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/>
  <xr:revisionPtr revIDLastSave="0" documentId="13_ncr:1_{BD6B3238-9E87-42CB-B824-6CA75A5F4AD5}" xr6:coauthVersionLast="47" xr6:coauthVersionMax="47" xr10:uidLastSave="{00000000-0000-0000-0000-000000000000}"/>
  <bookViews>
    <workbookView xWindow="45960" yWindow="-120" windowWidth="29040" windowHeight="15720" tabRatio="722" xr2:uid="{00000000-000D-0000-FFFF-FFFF00000000}"/>
  </bookViews>
  <sheets>
    <sheet name="Inputs" sheetId="5" r:id="rId1"/>
    <sheet name="Attach2 - BidFactors" sheetId="6" r:id="rId2"/>
    <sheet name="Attach3 - AuctionRateResult" sheetId="7" r:id="rId3"/>
    <sheet name="Attach4 P1" sheetId="54" r:id="rId4"/>
    <sheet name="Attach4 P2" sheetId="67" r:id="rId5"/>
    <sheet name="Attach4 P3" sheetId="78" r:id="rId6"/>
    <sheet name="Attach4 P4" sheetId="68" r:id="rId7"/>
    <sheet name="Attach4 P5" sheetId="79" r:id="rId8"/>
    <sheet name="Attachment 5" sheetId="77" r:id="rId9"/>
  </sheets>
  <definedNames>
    <definedName name="\a" localSheetId="3">#REF!</definedName>
    <definedName name="\a" localSheetId="4">#REF!</definedName>
    <definedName name="\a" localSheetId="6">#REF!</definedName>
    <definedName name="\a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1SUM_BANDS">#REF!</definedName>
    <definedName name="_Fill" hidden="1">#REF!</definedName>
    <definedName name="_xlnm._FilterDatabase" localSheetId="0" hidden="1">Inputs!$N$13:$W$142</definedName>
    <definedName name="_Order1" hidden="1">255</definedName>
    <definedName name="ace_hs1">#REF!</definedName>
    <definedName name="ace_rhs1">#REF!</definedName>
    <definedName name="ace_rlm1">#REF!</definedName>
    <definedName name="ace_rs1">#REF!</definedName>
    <definedName name="ActExcessAmt">#REF!</definedName>
    <definedName name="ActGrTaxAmt">#REF!</definedName>
    <definedName name="ActKWHExcess">#REF!</definedName>
    <definedName name="ActKWHNotUsed">#REF!</definedName>
    <definedName name="ActKWHRes">#REF!</definedName>
    <definedName name="ActKWHSubTot">#REF!</definedName>
    <definedName name="ActKWHTot">#REF!</definedName>
    <definedName name="ActNotUsedAmt">#REF!</definedName>
    <definedName name="ActResAmt">#REF!</definedName>
    <definedName name="ActSubTotAmt">#REF!</definedName>
    <definedName name="ActTotAmt">#REF!</definedName>
    <definedName name="AdminChg">#REF!</definedName>
    <definedName name="AEP">#REF!</definedName>
    <definedName name="anscount" hidden="1">1</definedName>
    <definedName name="APCO">#REF!</definedName>
    <definedName name="AVRGPWRFCTR">#REF!</definedName>
    <definedName name="B1HRSCRMO">#REF!</definedName>
    <definedName name="B2HRSCRMO">#REF!</definedName>
    <definedName name="BASERATECHG">#REF!</definedName>
    <definedName name="bge_hs1">#REF!</definedName>
    <definedName name="bge_rhs1">#REF!</definedName>
    <definedName name="bge_rlm1">#REF!</definedName>
    <definedName name="bge_rs1">#REF!</definedName>
    <definedName name="BILLKWH">#REF!</definedName>
    <definedName name="BIRPCCHG">#REF!</definedName>
    <definedName name="BIRPDCHG1">#REF!</definedName>
    <definedName name="BIRPDCHG2">#REF!</definedName>
    <definedName name="BIRPECHG1">#REF!</definedName>
    <definedName name="BIRPECHGB1">#REF!</definedName>
    <definedName name="BIRPECHGB2">#REF!</definedName>
    <definedName name="BIRPECHGB3">#REF!</definedName>
    <definedName name="BIRPECHGW">#REF!</definedName>
    <definedName name="BIRPKWH1">#REF!</definedName>
    <definedName name="BIRPKWHB1">#REF!</definedName>
    <definedName name="BIRPKWHB2">#REF!</definedName>
    <definedName name="BIRPKWHB3">#REF!</definedName>
    <definedName name="BIRPKWHWH">#REF!</definedName>
    <definedName name="BIRPMECHG1">#REF!</definedName>
    <definedName name="BIRPOFKWH">#REF!</definedName>
    <definedName name="BIRPOPKWH">#REF!</definedName>
    <definedName name="BIRPP1EC">#REF!</definedName>
    <definedName name="BIRPP2EC">#REF!</definedName>
    <definedName name="BIRPP3EC">#REF!</definedName>
    <definedName name="BIRPP4EC">#REF!</definedName>
    <definedName name="BIRPP5EC">#REF!</definedName>
    <definedName name="BIRPPDMDCHG">#REF!</definedName>
    <definedName name="BIRPRCHG">#REF!</definedName>
    <definedName name="BIRPXKVA">#REF!</definedName>
    <definedName name="BIRPXKVAPCT">#REF!</definedName>
    <definedName name="BIRPXOFKW">#REF!</definedName>
    <definedName name="BKUPKWH">#REF!</definedName>
    <definedName name="BLDAMNT">#REF!</definedName>
    <definedName name="BLDDMND">#REF!</definedName>
    <definedName name="BLDKWH">#REF!</definedName>
    <definedName name="BLDOPDMND">#REF!</definedName>
    <definedName name="BLNGKWB4EDR">#REF!</definedName>
    <definedName name="BLNGKWH">#REF!</definedName>
    <definedName name="BLNGKWHTTL">#REF!</definedName>
    <definedName name="BndBlkKwh1">#REF!</definedName>
    <definedName name="BndBlkKwh2">#REF!</definedName>
    <definedName name="BndBlkKwh3">#REF!</definedName>
    <definedName name="BndBlkKwhChg1">#REF!</definedName>
    <definedName name="BndBlkKwhChg2">#REF!</definedName>
    <definedName name="BndBlkKwhChg3">#REF!</definedName>
    <definedName name="BndBlkKwhChgT">#REF!</definedName>
    <definedName name="BndBlkKwhChgW">#REF!</definedName>
    <definedName name="BndBlkKwhT">#REF!</definedName>
    <definedName name="BndBlkKwhW">#REF!</definedName>
    <definedName name="BndCustChg">#REF!</definedName>
    <definedName name="BndDmdChg1">#REF!</definedName>
    <definedName name="BndDmdChg2">#REF!</definedName>
    <definedName name="BndExcsKvaPct">#REF!</definedName>
    <definedName name="BndMEChg">#REF!</definedName>
    <definedName name="BndOffPkKwh">#REF!</definedName>
    <definedName name="BndOnPkKwh">#REF!</definedName>
    <definedName name="BndPL1Chg">#REF!</definedName>
    <definedName name="BndPL2Chg">#REF!</definedName>
    <definedName name="BndPL3Chg">#REF!</definedName>
    <definedName name="BndPL4Chg">#REF!</definedName>
    <definedName name="BndPL5Chg">#REF!</definedName>
    <definedName name="BndReactiveChg">#REF!</definedName>
    <definedName name="BndXOfpKvaChg">#REF!</definedName>
    <definedName name="BndXOfpKwChg">#REF!</definedName>
    <definedName name="BTTrueUp">#REF!</definedName>
    <definedName name="BUNCCHG">#REF!</definedName>
    <definedName name="BUNDCHG1">#REF!</definedName>
    <definedName name="BUNDCHG2">#REF!</definedName>
    <definedName name="BUNECHG1">#REF!</definedName>
    <definedName name="BUNECHGB1">#REF!</definedName>
    <definedName name="BUNECHGB2">#REF!</definedName>
    <definedName name="BUNECHGB3">#REF!</definedName>
    <definedName name="BUNECHGW">#REF!</definedName>
    <definedName name="BUNKWH1">#REF!</definedName>
    <definedName name="BUNKWHB1">#REF!</definedName>
    <definedName name="BUNKWHB2">#REF!</definedName>
    <definedName name="BUNKWHB3">#REF!</definedName>
    <definedName name="BUNKWHWH">#REF!</definedName>
    <definedName name="BUNMECHG1">#REF!</definedName>
    <definedName name="BUNOFKWH">#REF!</definedName>
    <definedName name="BUNOPKWH">#REF!</definedName>
    <definedName name="BUNP1EC">#REF!</definedName>
    <definedName name="BUNP2EC">#REF!</definedName>
    <definedName name="BUNP3EC">#REF!</definedName>
    <definedName name="BUNP4EC">#REF!</definedName>
    <definedName name="BUNP5EC">#REF!</definedName>
    <definedName name="BUNPDMDCHG">#REF!</definedName>
    <definedName name="BUNRCHG">#REF!</definedName>
    <definedName name="BUNXKVA">#REF!</definedName>
    <definedName name="BUNXKVAPCT">#REF!</definedName>
    <definedName name="BUNXOFKW">#REF!</definedName>
    <definedName name="CALCPFCC">#REF!</definedName>
    <definedName name="CAPDEFA">#REF!</definedName>
    <definedName name="CBLKWH">#REF!</definedName>
    <definedName name="City">#REF!</definedName>
    <definedName name="CNTRCTDMND">#REF!</definedName>
    <definedName name="Co_letter" localSheetId="3">#REF!</definedName>
    <definedName name="Co_letter" localSheetId="4">#REF!</definedName>
    <definedName name="Co_letter" localSheetId="6">#REF!</definedName>
    <definedName name="Co_letter">#REF!</definedName>
    <definedName name="Co_List" localSheetId="3">#REF!</definedName>
    <definedName name="Co_List" localSheetId="4">#REF!</definedName>
    <definedName name="Co_List" localSheetId="6">#REF!</definedName>
    <definedName name="Co_List">#REF!</definedName>
    <definedName name="Co_Listc" localSheetId="3">#REF!</definedName>
    <definedName name="Co_Listc" localSheetId="4">#REF!</definedName>
    <definedName name="Co_Listc" localSheetId="6">#REF!</definedName>
    <definedName name="Co_Listc">#REF!</definedName>
    <definedName name="Co_Name" localSheetId="3">#REF!</definedName>
    <definedName name="Co_Name" localSheetId="4">#REF!</definedName>
    <definedName name="Co_Name" localSheetId="6">#REF!</definedName>
    <definedName name="Co_Name">#REF!</definedName>
    <definedName name="Co_Picked" localSheetId="3">#REF!</definedName>
    <definedName name="Co_Picked" localSheetId="4">#REF!</definedName>
    <definedName name="Co_Picked" localSheetId="6">#REF!</definedName>
    <definedName name="Co_Picked">#REF!</definedName>
    <definedName name="CoPhoneLine">#REF!</definedName>
    <definedName name="CRMOINTRPTHRS">#REF!</definedName>
    <definedName name="CRNTMOBTKWH">#REF!</definedName>
    <definedName name="CRNTMOFPKHRS">#REF!</definedName>
    <definedName name="CRNTMONPKHRS">#REF!</definedName>
    <definedName name="CRTLBLONPKHRS">#REF!</definedName>
    <definedName name="CRTLBLONPKKWH">#REF!</definedName>
    <definedName name="CSTMRCHG">#REF!</definedName>
    <definedName name="CurMoAddr1">#REF!</definedName>
    <definedName name="CurMoAddr2">#REF!</definedName>
    <definedName name="CurMoBTDetail">#REF!</definedName>
    <definedName name="CurMoBuyThrgh_Sheet">#REF!</definedName>
    <definedName name="CurMoCityStZip">#REF!</definedName>
    <definedName name="CurMoCustName">#REF!</definedName>
    <definedName name="CurMoExcessAmt">#REF!</definedName>
    <definedName name="CurMoGrTaxAmt">#REF!</definedName>
    <definedName name="CurMoKWHExcess">#REF!</definedName>
    <definedName name="CurMoKWHNotUsed">#REF!</definedName>
    <definedName name="CurMoKWHRes">#REF!</definedName>
    <definedName name="CurMoKWHSubTot">#REF!</definedName>
    <definedName name="CurMoKWHTot">#REF!</definedName>
    <definedName name="CurMoMtrMult">#REF!</definedName>
    <definedName name="CurMoNotUsedAmt">#REF!</definedName>
    <definedName name="CurMoResAmt">#REF!</definedName>
    <definedName name="CurMoSubTotAmt">#REF!</definedName>
    <definedName name="CurMoTotAmt">#REF!</definedName>
    <definedName name="CustAddr1">#REF!</definedName>
    <definedName name="CustAddr2">#REF!</definedName>
    <definedName name="CustCityStZip">#REF!</definedName>
    <definedName name="CustName2">#REF!</definedName>
    <definedName name="CustTable">#REF!</definedName>
    <definedName name="cw_hs1">#REF!</definedName>
    <definedName name="cw_rhs1">#REF!</definedName>
    <definedName name="cw_rlm1">#REF!</definedName>
    <definedName name="cw_rs1">#REF!</definedName>
    <definedName name="DetailTotCbl">#REF!</definedName>
    <definedName name="DetailTotChg">#REF!</definedName>
    <definedName name="DetailTotKw">#REF!</definedName>
    <definedName name="DetailTotMargin">#REF!</definedName>
    <definedName name="DIRPCCHG">#REF!</definedName>
    <definedName name="DIRPDCHG1">#REF!</definedName>
    <definedName name="DIRPDCHG2">#REF!</definedName>
    <definedName name="DIRPECHG1">#REF!</definedName>
    <definedName name="DIRPECHGB1">#REF!</definedName>
    <definedName name="DIRPECHGB2">#REF!</definedName>
    <definedName name="DIRPECHGB3">#REF!</definedName>
    <definedName name="DIRPMECHG1">#REF!</definedName>
    <definedName name="DIRPMINDC">#REF!</definedName>
    <definedName name="DIRPMINEC">#REF!</definedName>
    <definedName name="DIRPOFKVA">#REF!</definedName>
    <definedName name="DIRPOFKW">#REF!</definedName>
    <definedName name="DIRPOFKWH">#REF!</definedName>
    <definedName name="DIRPOPKWH">#REF!</definedName>
    <definedName name="DIRPP1EC">#REF!</definedName>
    <definedName name="DIRPP2EC">#REF!</definedName>
    <definedName name="DIRPP3EC">#REF!</definedName>
    <definedName name="DIRPP4EC">#REF!</definedName>
    <definedName name="DIRPP5EC">#REF!</definedName>
    <definedName name="DIRPRCHG">#REF!</definedName>
    <definedName name="DisBlkKwhChg1">#REF!</definedName>
    <definedName name="DisBlkKwhChg2">#REF!</definedName>
    <definedName name="DisBlkKwhChg3">#REF!</definedName>
    <definedName name="DisBlkKwhChgT">#REF!</definedName>
    <definedName name="DisCustChg">#REF!</definedName>
    <definedName name="DisDmdChg1">#REF!</definedName>
    <definedName name="DisDmdChg2">#REF!</definedName>
    <definedName name="DisMEChg">#REF!</definedName>
    <definedName name="DisMinDChg">#REF!</definedName>
    <definedName name="DisMinEChg">#REF!</definedName>
    <definedName name="DisOffPkKwh">#REF!</definedName>
    <definedName name="DisOnPkKwh">#REF!</definedName>
    <definedName name="DisPL1Chg">#REF!</definedName>
    <definedName name="DisPL2Chg">#REF!</definedName>
    <definedName name="DisPL3Chg">#REF!</definedName>
    <definedName name="DisPL4Chg">#REF!</definedName>
    <definedName name="DisPL5Chg">#REF!</definedName>
    <definedName name="DisReactiveChg">#REF!</definedName>
    <definedName name="DisXOfpKvaChg">#REF!</definedName>
    <definedName name="DisXOfpKwChg">#REF!</definedName>
    <definedName name="dlm_hs1">#REF!</definedName>
    <definedName name="dlm_rhs1">#REF!</definedName>
    <definedName name="dlm_rlm1">#REF!</definedName>
    <definedName name="dlm_rs1">#REF!</definedName>
    <definedName name="DSTCCHG">#REF!</definedName>
    <definedName name="DSTDCHG1">#REF!</definedName>
    <definedName name="DSTDCHG2">#REF!</definedName>
    <definedName name="DSTECHG1">#REF!</definedName>
    <definedName name="DSTECHGB1">#REF!</definedName>
    <definedName name="DSTECHGB2">#REF!</definedName>
    <definedName name="DSTECHGB3">#REF!</definedName>
    <definedName name="DSTMECHG1">#REF!</definedName>
    <definedName name="DSTMINDC">#REF!</definedName>
    <definedName name="DSTMINEC">#REF!</definedName>
    <definedName name="DSTOFKWH">#REF!</definedName>
    <definedName name="DSTOPKWH">#REF!</definedName>
    <definedName name="DSTP1EC">#REF!</definedName>
    <definedName name="DSTP2EC">#REF!</definedName>
    <definedName name="DSTP3EC">#REF!</definedName>
    <definedName name="DSTP4EC">#REF!</definedName>
    <definedName name="DSTP5EC">#REF!</definedName>
    <definedName name="DSTRCHG">#REF!</definedName>
    <definedName name="DSTXOFKVA">#REF!</definedName>
    <definedName name="DSTXOFKW">#REF!</definedName>
    <definedName name="duq_hs1">#REF!</definedName>
    <definedName name="duq_rhs1">#REF!</definedName>
    <definedName name="duq_rlm1">#REF!</definedName>
    <definedName name="duq_rs1">#REF!</definedName>
    <definedName name="EDRBASE">#REF!</definedName>
    <definedName name="EDRDATE">#REF!</definedName>
    <definedName name="EDRDSCNT">#REF!</definedName>
    <definedName name="EDRLVLPCT">#REF!</definedName>
    <definedName name="EDRTYPE">#REF!</definedName>
    <definedName name="EffDate">#REF!</definedName>
    <definedName name="ELKMCGN1">#REF!</definedName>
    <definedName name="ELKMCGN2">#REF!</definedName>
    <definedName name="ENDDTM">#REF!</definedName>
    <definedName name="ENDTIME">#REF!</definedName>
    <definedName name="EstExcessAmt">#REF!</definedName>
    <definedName name="EstGrTaxAmt">#REF!</definedName>
    <definedName name="EstKWHExcess">#REF!</definedName>
    <definedName name="EstKWHNotUsed">#REF!</definedName>
    <definedName name="EstKWHRes">#REF!</definedName>
    <definedName name="EstKWHSubTot">#REF!</definedName>
    <definedName name="EstKWHTot">#REF!</definedName>
    <definedName name="EstNotUsedAmt">#REF!</definedName>
    <definedName name="EstResAmt">#REF!</definedName>
    <definedName name="EstSubTotAmt">#REF!</definedName>
    <definedName name="EstTotAmt">#REF!</definedName>
    <definedName name="EV__LASTREFTIME__" hidden="1">40030.7771990741</definedName>
    <definedName name="EXCSKVACHG">#REF!</definedName>
    <definedName name="EXCSKVADMND">#REF!</definedName>
    <definedName name="EXCSKVAR">#REF!</definedName>
    <definedName name="FIRMKWH">#REF!</definedName>
    <definedName name="FIRSTDAY">#REF!</definedName>
    <definedName name="FRMCPCT">#REF!</definedName>
    <definedName name="FUELCHG">#REF!</definedName>
    <definedName name="FUELRATE">#REF!</definedName>
    <definedName name="GenBlkKwhChg1">#REF!</definedName>
    <definedName name="GenBlkKwhChg2">#REF!</definedName>
    <definedName name="GenBlkKwhChg3">#REF!</definedName>
    <definedName name="GenBlkKwhChgT">#REF!</definedName>
    <definedName name="GENCCHG">#REF!</definedName>
    <definedName name="GenCustChg">#REF!</definedName>
    <definedName name="GENDCHG1">#REF!</definedName>
    <definedName name="GENDCHG2">#REF!</definedName>
    <definedName name="GenDmdChg1">#REF!</definedName>
    <definedName name="GenDmdChg2">#REF!</definedName>
    <definedName name="GENECHG1">#REF!</definedName>
    <definedName name="GENECHGB1">#REF!</definedName>
    <definedName name="GENECHGB2">#REF!</definedName>
    <definedName name="GENECHGB3">#REF!</definedName>
    <definedName name="GenMEChg">#REF!</definedName>
    <definedName name="GENMECHG1">#REF!</definedName>
    <definedName name="GENMINDC">#REF!</definedName>
    <definedName name="GenMinDChg">#REF!</definedName>
    <definedName name="GENMINEC">#REF!</definedName>
    <definedName name="GenMinEChg">#REF!</definedName>
    <definedName name="GenOffPkKwh">#REF!</definedName>
    <definedName name="GENOFKWH">#REF!</definedName>
    <definedName name="GenOnPkKwh">#REF!</definedName>
    <definedName name="GENOPKWH">#REF!</definedName>
    <definedName name="GENP1EC">#REF!</definedName>
    <definedName name="GENP2EC">#REF!</definedName>
    <definedName name="GENP3EC">#REF!</definedName>
    <definedName name="GENP4EC">#REF!</definedName>
    <definedName name="GENP5EC">#REF!</definedName>
    <definedName name="GenPL1Chg">#REF!</definedName>
    <definedName name="GenPL2Chg">#REF!</definedName>
    <definedName name="GenPL3Chg">#REF!</definedName>
    <definedName name="GenPL4Chg">#REF!</definedName>
    <definedName name="GenPL5Chg">#REF!</definedName>
    <definedName name="GENRCHG">#REF!</definedName>
    <definedName name="GenReactiveChg">#REF!</definedName>
    <definedName name="GENXOFKVA">#REF!</definedName>
    <definedName name="GENXOFKW">#REF!</definedName>
    <definedName name="GenXOfpKvaChg">#REF!</definedName>
    <definedName name="GenXOfpKwChg">#REF!</definedName>
    <definedName name="Get_Co" localSheetId="3">#REF!</definedName>
    <definedName name="Get_Co" localSheetId="4">#REF!</definedName>
    <definedName name="Get_Co" localSheetId="6">#REF!</definedName>
    <definedName name="Get_Co">#REF!</definedName>
    <definedName name="Get_Mo" localSheetId="3">#REF!</definedName>
    <definedName name="Get_Mo" localSheetId="4">#REF!</definedName>
    <definedName name="Get_Mo" localSheetId="6">#REF!</definedName>
    <definedName name="Get_Mo">#REF!</definedName>
    <definedName name="Get_moc" localSheetId="3">#REF!</definedName>
    <definedName name="Get_moc" localSheetId="4">#REF!</definedName>
    <definedName name="Get_moc" localSheetId="6">#REF!</definedName>
    <definedName name="Get_moc">#REF!</definedName>
    <definedName name="GIRPCCHG">#REF!</definedName>
    <definedName name="GIRPDCHG1">#REF!</definedName>
    <definedName name="GIRPDCHG2">#REF!</definedName>
    <definedName name="GIRPECHG1">#REF!</definedName>
    <definedName name="GIRPECHGB1">#REF!</definedName>
    <definedName name="GIRPECHGB2">#REF!</definedName>
    <definedName name="GIRPECHGB3">#REF!</definedName>
    <definedName name="GIRPMECHG1">#REF!</definedName>
    <definedName name="GIRPMINDC">#REF!</definedName>
    <definedName name="GIRPMINEC">#REF!</definedName>
    <definedName name="GIRPOFKVA">#REF!</definedName>
    <definedName name="GIRPOFKW">#REF!</definedName>
    <definedName name="GIRPOFKWH">#REF!</definedName>
    <definedName name="GIRPOPKWH">#REF!</definedName>
    <definedName name="GIRPP1EC">#REF!</definedName>
    <definedName name="GIRPP2EC">#REF!</definedName>
    <definedName name="GIRPP3EC">#REF!</definedName>
    <definedName name="GIRPP4EC">#REF!</definedName>
    <definedName name="GIRPP5EC">#REF!</definedName>
    <definedName name="GIRPRCHG">#REF!</definedName>
    <definedName name="goaway" hidden="1">{#N/A,#N/A,TRUE,"TAXPROV";#N/A,#N/A,TRUE,"FLOWTHRU";#N/A,#N/A,TRUE,"SCHEDULE M'S";#N/A,#N/A,TRUE,"PLANT M'S";#N/A,#N/A,TRUE,"TAXJE"}</definedName>
    <definedName name="HIPREKW">#REF!</definedName>
    <definedName name="HRCRDKW">#REF!</definedName>
    <definedName name="HRCRDKWDT">#REF!</definedName>
    <definedName name="HRCRDKWTM">#REF!</definedName>
    <definedName name="HROFPKDT">#REF!</definedName>
    <definedName name="HROFPKKW">#REF!</definedName>
    <definedName name="HROFPKTM">#REF!</definedName>
    <definedName name="HRONPKDT">#REF!</definedName>
    <definedName name="HRONPKKW">#REF!</definedName>
    <definedName name="HRONPKTM">#REF!</definedName>
    <definedName name="IMCO">#REF!</definedName>
    <definedName name="InterruptCapacity">#REF!</definedName>
    <definedName name="InterruptOfpCapacity">#REF!</definedName>
    <definedName name="InterruptType">#REF!</definedName>
    <definedName name="INTRPBLCAP">#REF!</definedName>
    <definedName name="Invdetails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EXPENSE_CODE_" hidden="1">"CL06946"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44200.7174884259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KWCHG">#REF!</definedName>
    <definedName name="KWH1NOCMM">#REF!</definedName>
    <definedName name="KWH3NOCMM">#REF!</definedName>
    <definedName name="KWHCHG">#REF!</definedName>
    <definedName name="LASTDAY">#REF!</definedName>
    <definedName name="LASTFUEL">#REF!</definedName>
    <definedName name="LASTMSRR">#REF!</definedName>
    <definedName name="LASTPFCC">#REF!</definedName>
    <definedName name="LDFCTR">#REF!</definedName>
    <definedName name="limcount" hidden="1">1</definedName>
    <definedName name="LRCREDIT">#REF!</definedName>
    <definedName name="MACC1">#REF!</definedName>
    <definedName name="MACC2">#REF!</definedName>
    <definedName name="MAINTHRSCRMO">#REF!</definedName>
    <definedName name="MAINTKWH">#REF!</definedName>
    <definedName name="MinBillDem">#REF!</definedName>
    <definedName name="MinBillDem2">#REF!</definedName>
    <definedName name="MinBillDmd">#REF!</definedName>
    <definedName name="Mo_List" localSheetId="3">#REF!</definedName>
    <definedName name="Mo_List" localSheetId="4">#REF!</definedName>
    <definedName name="Mo_List" localSheetId="6">#REF!</definedName>
    <definedName name="Mo_List">#REF!</definedName>
    <definedName name="Mo_Picked" localSheetId="3">#REF!</definedName>
    <definedName name="Mo_Picked" localSheetId="4">#REF!</definedName>
    <definedName name="Mo_Picked" localSheetId="6">#REF!</definedName>
    <definedName name="Mo_Picked">#REF!</definedName>
    <definedName name="MSRRBLD">#REF!</definedName>
    <definedName name="MSRRCHG">#REF!</definedName>
    <definedName name="MTRMLTPLR1">#REF!</definedName>
    <definedName name="MTRMLTPLR2">#REF!</definedName>
    <definedName name="NETMRGCHG">#REF!</definedName>
    <definedName name="NODAYSINPRD">#REF!</definedName>
    <definedName name="NODELPOINTS">#REF!</definedName>
    <definedName name="NvsASD">"V2006-12-31"</definedName>
    <definedName name="NvsAutoDrillOk">"VN"</definedName>
    <definedName name="NvsElapsedTime">0.000231481484661344</definedName>
    <definedName name="NvsEndTime">39091.5909490741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"%,X,RZF..,CNF.."</definedName>
    <definedName name="NvsPanelBusUnit">"V100"</definedName>
    <definedName name="NvsPanelEffdt">"V2004-06-30"</definedName>
    <definedName name="NvsPanelSetid">"VAEP"</definedName>
    <definedName name="NvsReqBU">"VX999"</definedName>
    <definedName name="NvsReqBUOnly">"VN"</definedName>
    <definedName name="NvsTransLed">"VN"</definedName>
    <definedName name="NvsTreeASD">"V2099-01-01"</definedName>
    <definedName name="NvsValTbl.ACCOUNT">"GL_ACCOUNT_TBL"</definedName>
    <definedName name="NvsValTbl.CURRENCY_CD">"CURRENCY_CD_TBL"</definedName>
    <definedName name="OFPCBLKW">#REF!</definedName>
    <definedName name="OFPKBILLKWH">#REF!</definedName>
    <definedName name="OFPKCGNKWH">#REF!</definedName>
    <definedName name="OFPKCNTRCTCPCT">#REF!</definedName>
    <definedName name="OFPKDMPKWH">#REF!</definedName>
    <definedName name="OFPKDSCRKWH">#REF!</definedName>
    <definedName name="OFPKDT">#REF!</definedName>
    <definedName name="OFPKEXCSKW">#REF!</definedName>
    <definedName name="OFPKINCRKWH">#REF!</definedName>
    <definedName name="OFPKKVADT">#REF!</definedName>
    <definedName name="OFPKKVATM">#REF!</definedName>
    <definedName name="OFPKKVW">#REF!</definedName>
    <definedName name="OFPKKW">#REF!</definedName>
    <definedName name="OFPKKWH1NOCMM">#REF!</definedName>
    <definedName name="OFPKKWH3NOCMM">#REF!</definedName>
    <definedName name="OFPKRCRDKWH">#REF!</definedName>
    <definedName name="OFPKTM">#REF!</definedName>
    <definedName name="OFPXCSKW">#REF!</definedName>
    <definedName name="OFPXCSKWDT">#REF!</definedName>
    <definedName name="OFPXCSKWH">#REF!</definedName>
    <definedName name="OFPXCSKWTM">#REF!</definedName>
    <definedName name="ONPKBILLKWH">#REF!</definedName>
    <definedName name="ONPKCAPB">#REF!</definedName>
    <definedName name="ONPKCGNKWH">#REF!</definedName>
    <definedName name="ONPKCNTRCTCPCT">#REF!</definedName>
    <definedName name="ONPKDMPKWH">#REF!</definedName>
    <definedName name="ONPKDSCRKWH">#REF!</definedName>
    <definedName name="ONPKDT">#REF!</definedName>
    <definedName name="ONPKINCRKWH">#REF!</definedName>
    <definedName name="ONPKKVA">#REF!</definedName>
    <definedName name="ONPKKVADT">#REF!</definedName>
    <definedName name="ONPKKVATM">#REF!</definedName>
    <definedName name="ONPKKW">#REF!</definedName>
    <definedName name="ONPKKWH1NOCMM">#REF!</definedName>
    <definedName name="ONPKKWH3NOCMM">#REF!</definedName>
    <definedName name="ONPKRCRDKWH">#REF!</definedName>
    <definedName name="ONPKTM">#REF!</definedName>
    <definedName name="OPCBLKW">#REF!</definedName>
    <definedName name="OPCO">#REF!</definedName>
    <definedName name="OPXCSKW">#REF!</definedName>
    <definedName name="OPXCSKWDT">#REF!</definedName>
    <definedName name="OPXCSKWH">#REF!</definedName>
    <definedName name="OPXCSKWTM">#REF!</definedName>
    <definedName name="OTHRTRNSKWH">#REF!</definedName>
    <definedName name="P1PENPERC">#REF!</definedName>
    <definedName name="P2PENPERC">#REF!</definedName>
    <definedName name="PeakDemandChg">#REF!</definedName>
    <definedName name="pec_hs1">#REF!</definedName>
    <definedName name="pec_rhs1">#REF!</definedName>
    <definedName name="pec_rlm1">#REF!</definedName>
    <definedName name="pec_rs1">#REF!</definedName>
    <definedName name="PenaltyDays">#REF!</definedName>
    <definedName name="PenaltyPct">#REF!</definedName>
    <definedName name="PENDAYS">#REF!</definedName>
    <definedName name="PENDAYS2">#REF!</definedName>
    <definedName name="pep_hs1">#REF!</definedName>
    <definedName name="pep_rhs1">#REF!</definedName>
    <definedName name="pep_rlm1">#REF!</definedName>
    <definedName name="pep_rs1">#REF!</definedName>
    <definedName name="PFCC">#REF!</definedName>
    <definedName name="PKKVAR">#REF!</definedName>
    <definedName name="PKKVARDATE">#REF!</definedName>
    <definedName name="PKKVARTIME">#REF!</definedName>
    <definedName name="PLVLKWH1">#REF!</definedName>
    <definedName name="PLVLKWH1A">#REF!</definedName>
    <definedName name="PLVLKWH2">#REF!</definedName>
    <definedName name="PLVLKWH23A">#REF!</definedName>
    <definedName name="PLVLKWH25">#REF!</definedName>
    <definedName name="PLVLKWH2A">#REF!</definedName>
    <definedName name="PLVLKWH3">#REF!</definedName>
    <definedName name="PLVLKWH3A">#REF!</definedName>
    <definedName name="PLVLKWH4">#REF!</definedName>
    <definedName name="PLVLKWH4A">#REF!</definedName>
    <definedName name="ppl_hs1">#REF!</definedName>
    <definedName name="ppl_rhs1">#REF!</definedName>
    <definedName name="ppl_rlm1">#REF!</definedName>
    <definedName name="ppl_rs1">#REF!</definedName>
    <definedName name="PRICEDESIG">#REF!</definedName>
    <definedName name="PriMoAddr1">#REF!</definedName>
    <definedName name="PriMoAddr2">#REF!</definedName>
    <definedName name="PriMoBTDetail">#REF!</definedName>
    <definedName name="PriMoBuyThrgh_Sheet">#REF!</definedName>
    <definedName name="PriMoCityStZip">#REF!</definedName>
    <definedName name="PriMoCustName">#REF!</definedName>
    <definedName name="PriMoMtrMult">#REF!</definedName>
    <definedName name="_xlnm.Print_Area" localSheetId="1">'Attach2 - BidFactors'!$A$1:$L$360</definedName>
    <definedName name="_xlnm.Print_Area" localSheetId="2">'Attach3 - AuctionRateResult'!$A$1:$L$213</definedName>
    <definedName name="_xlnm.Print_Area" localSheetId="3">'Attach4 P1'!$A$1:$E$22</definedName>
    <definedName name="_xlnm.Print_Area" localSheetId="4">'Attach4 P2'!$A$1:$K$23</definedName>
    <definedName name="_xlnm.Print_Area" localSheetId="5">'Attach4 P3'!$A$1:$J$23</definedName>
    <definedName name="_xlnm.Print_Area" localSheetId="6">'Attach4 P4'!$A$1:$H$34</definedName>
    <definedName name="_xlnm.Print_Area" localSheetId="7">'Attach4 P5'!$A$1:$H$34</definedName>
    <definedName name="_xlnm.Print_Area" localSheetId="8">'Attachment 5'!$B$1:$P$60</definedName>
    <definedName name="_xlnm.Print_Area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>#REF!</definedName>
    <definedName name="_xlnm.Print_Titles" localSheetId="2">'Attach3 - AuctionRateResult'!$1:$4</definedName>
    <definedName name="_xlnm.Print_Titles" localSheetId="6">'Attach4 P4'!$2:$4</definedName>
    <definedName name="_xlnm.Print_Titles" localSheetId="8">'Attachment 5'!$B:$D</definedName>
    <definedName name="_xlnm.Print_Titles">#N/A</definedName>
    <definedName name="PRVCNT">#REF!</definedName>
    <definedName name="PRVDATE">#REF!</definedName>
    <definedName name="PRVFUEL">#REF!</definedName>
    <definedName name="PRVKW">#REF!</definedName>
    <definedName name="PRVKWH">#REF!</definedName>
    <definedName name="PRVMSRR">#REF!</definedName>
    <definedName name="PRVPFCC">#REF!</definedName>
    <definedName name="PVHIOFPCBL">#REF!</definedName>
    <definedName name="PVHIOPCBL">#REF!</definedName>
    <definedName name="RatchetFactor">#REF!</definedName>
    <definedName name="RCRDRID">#REF!</definedName>
    <definedName name="RCTVHRS">#REF!</definedName>
    <definedName name="RDRBLK1C">#REF!</definedName>
    <definedName name="RDRBLK1Q">#REF!</definedName>
    <definedName name="RDRBLK2C">#REF!</definedName>
    <definedName name="RDRBLK2Q">#REF!</definedName>
    <definedName name="RDRBLK3C">#REF!</definedName>
    <definedName name="RDRBLK3Q">#REF!</definedName>
    <definedName name="RDRBLKTC">#REF!</definedName>
    <definedName name="RDRBLKTC1">#REF!</definedName>
    <definedName name="RDRBLKTC10">#REF!</definedName>
    <definedName name="RDRBLKTC11">#REF!</definedName>
    <definedName name="RDRBLKTC12">#REF!</definedName>
    <definedName name="RDRBLKTC13">#REF!</definedName>
    <definedName name="RDRBLKTC14">#REF!</definedName>
    <definedName name="RDRBLKTC15">#REF!</definedName>
    <definedName name="RDRBLKTC16">#REF!</definedName>
    <definedName name="RDRBLKTC17">#REF!</definedName>
    <definedName name="RDRBLKTC18">#REF!</definedName>
    <definedName name="RDRBLKTC19">#REF!</definedName>
    <definedName name="RDRBLKTC2">#REF!</definedName>
    <definedName name="RDRBLKTC20">#REF!</definedName>
    <definedName name="RDRBLKTC3">#REF!</definedName>
    <definedName name="RDRBLKTC4">#REF!</definedName>
    <definedName name="RDRBLKTC5">#REF!</definedName>
    <definedName name="RDRBLKTC6">#REF!</definedName>
    <definedName name="RDRBLKTC7">#REF!</definedName>
    <definedName name="RDRBLKTC8">#REF!</definedName>
    <definedName name="RDRBLKTC9">#REF!</definedName>
    <definedName name="RDRBLKTQ">#REF!</definedName>
    <definedName name="RDRCODE">#REF!</definedName>
    <definedName name="RDRCYCLE">#REF!</definedName>
    <definedName name="RDRDATE">#REF!</definedName>
    <definedName name="RDRNAME">#REF!</definedName>
    <definedName name="RDRRATEB">#REF!</definedName>
    <definedName name="RDRRATEB1">#REF!</definedName>
    <definedName name="RDRRATEB10">#REF!</definedName>
    <definedName name="RDRRATEB11">#REF!</definedName>
    <definedName name="RDRRATEB12">#REF!</definedName>
    <definedName name="RDRRATEB13">#REF!</definedName>
    <definedName name="RDRRATEB14">#REF!</definedName>
    <definedName name="RDRRATEB15">#REF!</definedName>
    <definedName name="RDRRATEB16">#REF!</definedName>
    <definedName name="RDRRATEB17">#REF!</definedName>
    <definedName name="RDRRATEB18">#REF!</definedName>
    <definedName name="RDRRATEB19">#REF!</definedName>
    <definedName name="RDRRATEB2">#REF!</definedName>
    <definedName name="RDRRATEB20">#REF!</definedName>
    <definedName name="RDRRATEB3">#REF!</definedName>
    <definedName name="RDRRATEB4">#REF!</definedName>
    <definedName name="RDRRATEB5">#REF!</definedName>
    <definedName name="RDRRATEB6">#REF!</definedName>
    <definedName name="RDRRATEB7">#REF!</definedName>
    <definedName name="RDRRATEB8">#REF!</definedName>
    <definedName name="RDRRATEB9">#REF!</definedName>
    <definedName name="RDRRATED">#REF!</definedName>
    <definedName name="RDRRATED1">#REF!</definedName>
    <definedName name="RDRRATED10">#REF!</definedName>
    <definedName name="RDRRATED11">#REF!</definedName>
    <definedName name="RDRRATED12">#REF!</definedName>
    <definedName name="RDRRATED13">#REF!</definedName>
    <definedName name="RDRRATED14">#REF!</definedName>
    <definedName name="RDRRATED15">#REF!</definedName>
    <definedName name="RDRRATED16">#REF!</definedName>
    <definedName name="RDRRATED17">#REF!</definedName>
    <definedName name="RDRRATED18">#REF!</definedName>
    <definedName name="RDRRATED19">#REF!</definedName>
    <definedName name="RDRRATED2">#REF!</definedName>
    <definedName name="RDRRATED20">#REF!</definedName>
    <definedName name="RDRRATED3">#REF!</definedName>
    <definedName name="RDRRATED4">#REF!</definedName>
    <definedName name="RDRRATED5">#REF!</definedName>
    <definedName name="RDRRATED6">#REF!</definedName>
    <definedName name="RDRRATED7">#REF!</definedName>
    <definedName name="RDRRATED8">#REF!</definedName>
    <definedName name="RDRRATED9">#REF!</definedName>
    <definedName name="RDRRATEG">#REF!</definedName>
    <definedName name="RDRRATEG1">#REF!</definedName>
    <definedName name="RDRRATEG10">#REF!</definedName>
    <definedName name="RDRRATEG11">#REF!</definedName>
    <definedName name="RDRRATEG12">#REF!</definedName>
    <definedName name="RDRRATEG13">#REF!</definedName>
    <definedName name="RDRRATEG14">#REF!</definedName>
    <definedName name="RDRRATEG15">#REF!</definedName>
    <definedName name="RDRRATEG16">#REF!</definedName>
    <definedName name="RDRRATEG17">#REF!</definedName>
    <definedName name="RDRRATEG18">#REF!</definedName>
    <definedName name="RDRRATEG19">#REF!</definedName>
    <definedName name="RDRRATEG2">#REF!</definedName>
    <definedName name="RDRRATEG20">#REF!</definedName>
    <definedName name="RDRRATEG3">#REF!</definedName>
    <definedName name="RDRRATEG4">#REF!</definedName>
    <definedName name="RDRRATEG5">#REF!</definedName>
    <definedName name="RDRRATEG6">#REF!</definedName>
    <definedName name="RDRRATEG7">#REF!</definedName>
    <definedName name="RDRRATEG8">#REF!</definedName>
    <definedName name="RDRRATEG9">#REF!</definedName>
    <definedName name="RDRRATET">#REF!</definedName>
    <definedName name="RDRRATET1">#REF!</definedName>
    <definedName name="RDRRATET10">#REF!</definedName>
    <definedName name="RDRRATET11">#REF!</definedName>
    <definedName name="RDRRATET12">#REF!</definedName>
    <definedName name="RDRRATET13">#REF!</definedName>
    <definedName name="RDRRATET14">#REF!</definedName>
    <definedName name="RDRRATET15">#REF!</definedName>
    <definedName name="RDRRATET16">#REF!</definedName>
    <definedName name="RDRRATET17">#REF!</definedName>
    <definedName name="RDRRATET18">#REF!</definedName>
    <definedName name="RDRRATET19">#REF!</definedName>
    <definedName name="RDRRATET2">#REF!</definedName>
    <definedName name="RDRRATET20">#REF!</definedName>
    <definedName name="RDRRATET3">#REF!</definedName>
    <definedName name="RDRRATET4">#REF!</definedName>
    <definedName name="RDRRATET5">#REF!</definedName>
    <definedName name="RDRRATET6">#REF!</definedName>
    <definedName name="RDRRATET7">#REF!</definedName>
    <definedName name="RDRRATET8">#REF!</definedName>
    <definedName name="RDRRATET9">#REF!</definedName>
    <definedName name="RDRTYPE">#REF!</definedName>
    <definedName name="RDRUNITS">#REF!</definedName>
    <definedName name="_xlnm.Recorder">#REF!</definedName>
    <definedName name="Reserved_Section">#REF!</definedName>
    <definedName name="RIDERS">#REF!</definedName>
    <definedName name="RKVAHRDNG">#REF!</definedName>
    <definedName name="Rpt_Mo" localSheetId="3">#REF!</definedName>
    <definedName name="Rpt_Mo" localSheetId="4">#REF!</definedName>
    <definedName name="Rpt_Mo" localSheetId="6">#REF!</definedName>
    <definedName name="Rpt_Mo">#REF!</definedName>
    <definedName name="RTCHTCNTRCTCPCT">#REF!</definedName>
    <definedName name="RTCHTFCTR">#REF!</definedName>
    <definedName name="RTCHTFCTR2">#REF!</definedName>
    <definedName name="RTCHTHIPREVKW">#REF!</definedName>
    <definedName name="RTP_Detail">#REF!</definedName>
    <definedName name="RTPLRKW">#REF!</definedName>
    <definedName name="SAPBEXrevision" hidden="1">0</definedName>
    <definedName name="SAPBEXsysID" hidden="1">"BP0"</definedName>
    <definedName name="SAPBEXwbID" hidden="1">"45D3UH8M8LM52O14IHYK4WKKZ"</definedName>
    <definedName name="SDI">#REF!</definedName>
    <definedName name="SHLDRPKKW">#REF!</definedName>
    <definedName name="SHLDRPKKWDT">#REF!</definedName>
    <definedName name="SHLDRPKKWTM">#REF!</definedName>
    <definedName name="SHRDTRNSKWH">#REF!</definedName>
    <definedName name="SRPLSKWH">#REF!</definedName>
    <definedName name="STARTDTM">#REF!</definedName>
    <definedName name="State">#REF!</definedName>
    <definedName name="STDKW">#REF!</definedName>
    <definedName name="STDKWDT">#REF!</definedName>
    <definedName name="STDKWTM">#REF!</definedName>
    <definedName name="STRTTIME">#REF!</definedName>
    <definedName name="SUM" localSheetId="3">#REF!</definedName>
    <definedName name="SUM" localSheetId="4">#REF!</definedName>
    <definedName name="SUM" localSheetId="6">#REF!</definedName>
    <definedName name="SUM">#REF!</definedName>
    <definedName name="SYSPKKW">#REF!</definedName>
    <definedName name="SYSPKKWDT">#REF!</definedName>
    <definedName name="SYSPKKWTM">#REF!</definedName>
    <definedName name="TARIFF1">#REF!</definedName>
    <definedName name="TARIFF2">#REF!</definedName>
    <definedName name="TariffCode">#REF!</definedName>
    <definedName name="TariffLongName">#REF!</definedName>
    <definedName name="TariffShortName">#REF!</definedName>
    <definedName name="TAXDATE">#REF!</definedName>
    <definedName name="TAXES">#REF!</definedName>
    <definedName name="TAXNAME">#REF!</definedName>
    <definedName name="TAXRATE">#REF!</definedName>
    <definedName name="TAXTYPE">#REF!</definedName>
    <definedName name="TCst">#REF!</definedName>
    <definedName name="TCst1">#REF!</definedName>
    <definedName name="TIRPCCHG">#REF!</definedName>
    <definedName name="TIRPDCHG1">#REF!</definedName>
    <definedName name="TIRPDCHG2">#REF!</definedName>
    <definedName name="TIRPECHG1">#REF!</definedName>
    <definedName name="TIRPECHGB1">#REF!</definedName>
    <definedName name="TIRPECHGB2">#REF!</definedName>
    <definedName name="TIRPECHGB3">#REF!</definedName>
    <definedName name="TIRPMECHG1">#REF!</definedName>
    <definedName name="TIRPMINDC">#REF!</definedName>
    <definedName name="TIRPMINEC">#REF!</definedName>
    <definedName name="TIRPOFKVA">#REF!</definedName>
    <definedName name="TIRPOFKW">#REF!</definedName>
    <definedName name="TIRPOFKWH">#REF!</definedName>
    <definedName name="TIRPOPKWH">#REF!</definedName>
    <definedName name="TIRPP1EC">#REF!</definedName>
    <definedName name="TIRPP2EC">#REF!</definedName>
    <definedName name="TIRPP3EC">#REF!</definedName>
    <definedName name="TIRPP4EC">#REF!</definedName>
    <definedName name="TIRPP5EC">#REF!</definedName>
    <definedName name="TIRPRCHG">#REF!</definedName>
    <definedName name="TLsFctr">#REF!</definedName>
    <definedName name="TRCRDKWH">#REF!</definedName>
    <definedName name="TRCRDKWH2P">#REF!</definedName>
    <definedName name="TRFDATE1">#REF!</definedName>
    <definedName name="TRFDATE2">#REF!</definedName>
    <definedName name="TRFNAME1">#REF!</definedName>
    <definedName name="TRFNAME2">#REF!</definedName>
    <definedName name="TRFSHORTNM1">#REF!</definedName>
    <definedName name="TRFSHORTNM2">#REF!</definedName>
    <definedName name="trl_hs1">#REF!</definedName>
    <definedName name="trl_rhs1">#REF!</definedName>
    <definedName name="trl_rlm1">#REF!</definedName>
    <definedName name="trl_rs1">#REF!</definedName>
    <definedName name="TrnBlkKwhChg1">#REF!</definedName>
    <definedName name="TrnBlkKwhChg2">#REF!</definedName>
    <definedName name="TrnBlkKwhChg3">#REF!</definedName>
    <definedName name="TrnBlkKwhChgT">#REF!</definedName>
    <definedName name="TRNCCHG">#REF!</definedName>
    <definedName name="TrnCustChg">#REF!</definedName>
    <definedName name="TRNDCHG1">#REF!</definedName>
    <definedName name="TRNDCHG2">#REF!</definedName>
    <definedName name="TrnDmdChg1">#REF!</definedName>
    <definedName name="TrnDmdChg2">#REF!</definedName>
    <definedName name="TRNECHG1">#REF!</definedName>
    <definedName name="TRNECHGB1">#REF!</definedName>
    <definedName name="TRNECHGB2">#REF!</definedName>
    <definedName name="TRNECHGB3">#REF!</definedName>
    <definedName name="TrnMEChg">#REF!</definedName>
    <definedName name="TRNMECHG1">#REF!</definedName>
    <definedName name="TRNMINDC">#REF!</definedName>
    <definedName name="TrnMinDChg">#REF!</definedName>
    <definedName name="TRNMINEC">#REF!</definedName>
    <definedName name="TrnMinEChg">#REF!</definedName>
    <definedName name="TrnOffPkKwh">#REF!</definedName>
    <definedName name="TRNOFKWH">#REF!</definedName>
    <definedName name="TrnOnPkKwh">#REF!</definedName>
    <definedName name="TRNOPKWH">#REF!</definedName>
    <definedName name="TRNP1EC">#REF!</definedName>
    <definedName name="TRNP2EC">#REF!</definedName>
    <definedName name="TRNP3EC">#REF!</definedName>
    <definedName name="TRNP4EC">#REF!</definedName>
    <definedName name="TRNP5EC">#REF!</definedName>
    <definedName name="TrnPL1Chg">#REF!</definedName>
    <definedName name="TrnPL2Chg">#REF!</definedName>
    <definedName name="TrnPL3Chg">#REF!</definedName>
    <definedName name="TrnPL4Chg">#REF!</definedName>
    <definedName name="TrnPL5Chg">#REF!</definedName>
    <definedName name="TRNRCHG">#REF!</definedName>
    <definedName name="TrnReactiveChg">#REF!</definedName>
    <definedName name="TRNSKWTOFPK">#REF!</definedName>
    <definedName name="TRNSKWTONPK">#REF!</definedName>
    <definedName name="TRNXOFKVA">#REF!</definedName>
    <definedName name="TRNXOFKW">#REF!</definedName>
    <definedName name="TrnXOfpKvaChg">#REF!</definedName>
    <definedName name="TrnXOfpKwChg">#REF!</definedName>
    <definedName name="TTLBSRATETTL">#REF!</definedName>
    <definedName name="TTLCOGENKWH">#REF!</definedName>
    <definedName name="UNBUNDIND">#REF!</definedName>
    <definedName name="what" hidden="1">{#N/A,#N/A,FALSE,"O&amp;M by processes";#N/A,#N/A,FALSE,"Elec Act vs Bud";#N/A,#N/A,FALSE,"G&amp;A";#N/A,#N/A,FALSE,"BGS";#N/A,#N/A,FALSE,"Res Cost"}</definedName>
    <definedName name="Whatwhat" hidden="1">{#N/A,#N/A,FALSE,"O&amp;M by processes";#N/A,#N/A,FALSE,"Elec Act vs Bud";#N/A,#N/A,FALSE,"G&amp;A";#N/A,#N/A,FALSE,"BGS";#N/A,#N/A,FALSE,"Res Cost"}</definedName>
    <definedName name="wrn.AGT." hidden="1">{"AGT",#N/A,FALSE,"Revenue"}</definedName>
    <definedName name="wrn.August._.1._.2003._.Rate._.Change.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definedName>
    <definedName name="wrn.August._.1._.Filing." hidden="1">{"2002 Scedule A Revenue Proof",#N/A,FALSE,"Schedule A";"2002 Rate Detail",#N/A,FALSE,"Schedule B";"2002 Light Rates Page 1",#N/A,FALSE,"Schedule B";"2002 Light Rates Page 2",#N/A,FALSE,"Schedule B";"Schedule C",#N/A,FALSE,"Schedule C"}</definedName>
    <definedName name="wrn.Basic." hidden="1">{#N/A,#N/A,FALSE,"O&amp;M by processes";#N/A,#N/A,FALSE,"Elec Act vs Bud";#N/A,#N/A,FALSE,"G&amp;A";#N/A,#N/A,FALSE,"BGS";#N/A,#N/A,FALSE,"Res Cost"}</definedName>
    <definedName name="wrn.Deferral._.Forecast." hidden="1">{"Summary Deferral Forecast",#N/A,FALSE,"Deferral Forecast";"BGS Deferral Forecast",#N/A,FALSE,"BGS Deferral";"NNC Deferral Forecast",#N/A,FALSE,"NNC Deferral";"MTCDeferralForecast",#N/A,FALSE,"MTC Deferral";"SBC Deferral Forecast",#N/A,FALSE,"SBC Deferral"}</definedName>
    <definedName name="wrn.Filing.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definedName>
    <definedName name="wrn.Filing._.Update." hidden="1">{"JFJ-1a",#N/A,FALSE,"JFJ-1a UROR";"JFJ-1",#N/A,FALSE,"JFJ-1";"JFJ-2 RS",#N/A,FALSE,"JFJ-2 RS";"JFJ-2 MGS Sec",#N/A,FALSE,"JFJ-2 MGS Sec";"JFJ-2 MGS Pri",#N/A,FALSE,"JFJ-2 MGS Pri";"JFJ-2 AGS Sec",#N/A,FALSE,"JFJ-2 AGS Sec";"JFJ-2 AGS Pri",#N/A,FALSE,"JFJ-2 AGS Pri";"JFJ-2 TGS Sub",#N/A,FALSE,"JFJ-2 TGS Sub Trans";"JFJ-2 TGS Trans",#N/A,FALSE,"JFJ-2 TGS Trans";"JFJ-2 SPL",#N/A,FALSE,"JFJ-2 SPL CSL DDC";"JFJ-3",#N/A,FALSE,"JFJ-3 RARC";"JFJ-4",#N/A,FALSE,"JFJ-4 Stand By Rate"}</definedName>
    <definedName name="wrn.HLP._.Detail." hidden="1">{"2002 - 2006 Detail Income Statement",#N/A,FALSE,"TUB Income Statement wo DW";"BGS Deferral",#N/A,FALSE,"BGS Deferral";"NNC Deferral",#N/A,FALSE,"NNC Deferral";"MTC Deferral",#N/A,FALSE,"MTC Deferral";#N/A,#N/A,FALSE,"Schedule D"}</definedName>
    <definedName name="wrn.NTC._.Deferred._.Asset." hidden="1">{#N/A,#N/A,FALSE,"NTC Coversheet";#N/A,#N/A,FALSE,"NTC Deferred";#N/A,#N/A,FALSE,"Exhibit 1";#N/A,#N/A,FALSE,"Exhibit 2";#N/A,#N/A,FALSE,"Exhibit 3"}</definedName>
    <definedName name="wrn.Revenue._.Analysis.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definedName>
    <definedName name="wrn.Settlement._.Analysis." hidden="1">{"Assumptions",#N/A,FALSE,"Assumptions";"2003 - 2007 Summary",#N/A,FALSE,"Income Statement";"Summary Deferral Forecast",#N/A,FALSE,"Deferral Forecast"}</definedName>
    <definedName name="wrn.Tax._.Accrual." hidden="1">{#N/A,#N/A,TRUE,"TAXPROV";#N/A,#N/A,TRUE,"FLOWTHRU";#N/A,#N/A,TRUE,"SCHEDULE M'S";#N/A,#N/A,TRUE,"PLANT M'S";#N/A,#N/A,TRUE,"TAXJE"}</definedName>
    <definedName name="wrn.TBC._.Update." hidden="1">{#N/A,#N/A,FALSE,"TABLE I";#N/A,#N/A,FALSE,"TBC Development";#N/A,#N/A,FALSE,"MTC -Tax Development";#N/A,#N/A,FALSE,"MTC - Tax descriptions";#N/A,#N/A,FALSE,"MTC -Tax True Up"}</definedName>
    <definedName name="X" hidden="1">{#N/A,#N/A,FALSE,"NTC Coversheet";#N/A,#N/A,FALSE,"NTC Deferred";#N/A,#N/A,FALSE,"Exhibit 1";#N/A,#N/A,FALSE,"Exhibit 2";#N/A,#N/A,FALSE,"Exhibit 3"}</definedName>
    <definedName name="Year1" localSheetId="3">#REF!</definedName>
    <definedName name="Year1" localSheetId="4">#REF!</definedName>
    <definedName name="Year1" localSheetId="6">#REF!</definedName>
    <definedName name="Year1">#REF!</definedName>
    <definedName name="Z_279F1FAD_C428_4166_9FD0_7026629BA599_.wvu.PrintArea" localSheetId="3" hidden="1">'Attach4 P1'!$A$1:$E$21</definedName>
    <definedName name="Z_279F1FAD_C428_4166_9FD0_7026629BA599_.wvu.PrintArea" localSheetId="4" hidden="1">'Attach4 P2'!$A$1:$J$21</definedName>
    <definedName name="Z_279F1FAD_C428_4166_9FD0_7026629BA599_.wvu.PrintArea" localSheetId="6" hidden="1">'Attach4 P4'!$A$1:$J$33</definedName>
    <definedName name="Z_279F1FAD_C428_4166_9FD0_7026629BA599_.wvu.PrintTitles" localSheetId="6" hidden="1">'Attach4 P4'!$2:$4</definedName>
    <definedName name="Zi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7" l="1"/>
  <c r="C8" i="79" l="1"/>
  <c r="D8" i="68"/>
  <c r="B47" i="5"/>
  <c r="S106" i="77" l="1"/>
  <c r="S107" i="77"/>
  <c r="S111" i="77"/>
  <c r="S110" i="77"/>
  <c r="E13" i="79" l="1"/>
  <c r="D13" i="79"/>
  <c r="E13" i="68"/>
  <c r="D13" i="68"/>
  <c r="C14" i="78"/>
  <c r="C7" i="78"/>
  <c r="D14" i="67"/>
  <c r="C14" i="67"/>
  <c r="D7" i="67"/>
  <c r="C7" i="67"/>
  <c r="C14" i="54"/>
  <c r="C7" i="54"/>
  <c r="H21" i="77" l="1"/>
  <c r="G21" i="77"/>
  <c r="A40" i="77" l="1"/>
  <c r="K23" i="77"/>
  <c r="I21" i="77"/>
  <c r="L19" i="77"/>
  <c r="I18" i="77"/>
  <c r="A9" i="77"/>
  <c r="I6" i="77"/>
  <c r="G6" i="77" s="1"/>
  <c r="H6" i="77" s="1"/>
  <c r="B15" i="77" l="1"/>
  <c r="Q36" i="77"/>
  <c r="Q37" i="77"/>
  <c r="N3" i="77"/>
  <c r="P15" i="77"/>
  <c r="Q35" i="77"/>
  <c r="Q38" i="77" l="1"/>
  <c r="Q42" i="77" s="1"/>
  <c r="N2" i="77"/>
  <c r="J16" i="77"/>
  <c r="M7" i="77" l="1"/>
  <c r="C8" i="7" l="1"/>
  <c r="C91" i="6" l="1"/>
  <c r="C90" i="6"/>
  <c r="C89" i="6"/>
  <c r="C92" i="6" l="1"/>
  <c r="C14" i="7" l="1"/>
  <c r="E14" i="7"/>
  <c r="O140" i="5" l="1"/>
  <c r="N140" i="5"/>
  <c r="E9" i="5" l="1"/>
  <c r="E45" i="6" l="1"/>
  <c r="E46" i="6"/>
  <c r="E47" i="6"/>
  <c r="E48" i="6"/>
  <c r="E49" i="6"/>
  <c r="E50" i="6"/>
  <c r="E51" i="6"/>
  <c r="E52" i="6"/>
  <c r="E53" i="6"/>
  <c r="E54" i="6"/>
  <c r="E55" i="6"/>
  <c r="E56" i="6"/>
  <c r="D62" i="5" l="1"/>
  <c r="E62" i="5"/>
  <c r="F62" i="5"/>
  <c r="G62" i="5"/>
  <c r="H62" i="5"/>
  <c r="I62" i="5"/>
  <c r="J62" i="5"/>
  <c r="K62" i="5"/>
  <c r="L62" i="5"/>
  <c r="C62" i="5"/>
  <c r="M62" i="5" l="1"/>
  <c r="E28" i="5" l="1"/>
  <c r="E23" i="6" l="1"/>
  <c r="D8" i="7" l="1"/>
  <c r="C8" i="68" s="1"/>
  <c r="B5" i="5" l="1"/>
  <c r="B1" i="7" l="1"/>
  <c r="C294" i="6"/>
  <c r="B105" i="5"/>
  <c r="B7" i="5"/>
  <c r="B2" i="6" l="1"/>
  <c r="E6" i="7"/>
  <c r="E7" i="7" s="1"/>
  <c r="C6" i="7"/>
  <c r="D6" i="7"/>
  <c r="C7" i="7" l="1"/>
  <c r="D7" i="7"/>
  <c r="B42" i="6" l="1"/>
  <c r="E27" i="5" l="1"/>
  <c r="B149" i="6" l="1"/>
  <c r="E22" i="6" l="1"/>
  <c r="E4" i="6"/>
  <c r="D175" i="6" l="1"/>
  <c r="R54" i="77" l="1"/>
  <c r="Q80" i="6"/>
  <c r="X155" i="6" l="1"/>
  <c r="D17" i="7" l="1"/>
  <c r="D18" i="7"/>
  <c r="C18" i="7"/>
  <c r="C17" i="7"/>
  <c r="D14" i="7" l="1"/>
  <c r="C15" i="7" l="1"/>
  <c r="D15" i="7" s="1"/>
  <c r="E15" i="7" l="1"/>
  <c r="AD155" i="6" l="1"/>
  <c r="AD154" i="6"/>
  <c r="D172" i="6"/>
  <c r="C172" i="6"/>
  <c r="Q79" i="6"/>
  <c r="Q78" i="6"/>
  <c r="AB46" i="6"/>
  <c r="AB47" i="6"/>
  <c r="AB48" i="6"/>
  <c r="AB49" i="6"/>
  <c r="AB50" i="6"/>
  <c r="AB51" i="6"/>
  <c r="AB52" i="6"/>
  <c r="AB53" i="6"/>
  <c r="AB54" i="6"/>
  <c r="AB55" i="6"/>
  <c r="AB56" i="6"/>
  <c r="AB45" i="6"/>
  <c r="D45" i="6"/>
  <c r="F45" i="6"/>
  <c r="G45" i="6"/>
  <c r="H45" i="6"/>
  <c r="I45" i="6"/>
  <c r="J45" i="6"/>
  <c r="K45" i="6"/>
  <c r="D46" i="6"/>
  <c r="F46" i="6"/>
  <c r="G46" i="6"/>
  <c r="H46" i="6"/>
  <c r="I46" i="6"/>
  <c r="J46" i="6"/>
  <c r="K46" i="6"/>
  <c r="D47" i="6"/>
  <c r="F47" i="6"/>
  <c r="G47" i="6"/>
  <c r="H47" i="6"/>
  <c r="I47" i="6"/>
  <c r="J47" i="6"/>
  <c r="K47" i="6"/>
  <c r="D48" i="6"/>
  <c r="F48" i="6"/>
  <c r="G48" i="6"/>
  <c r="H48" i="6"/>
  <c r="I48" i="6"/>
  <c r="J48" i="6"/>
  <c r="K48" i="6"/>
  <c r="D49" i="6"/>
  <c r="F49" i="6"/>
  <c r="G49" i="6"/>
  <c r="H49" i="6"/>
  <c r="I49" i="6"/>
  <c r="J49" i="6"/>
  <c r="K49" i="6"/>
  <c r="D50" i="6"/>
  <c r="F50" i="6"/>
  <c r="G50" i="6"/>
  <c r="H50" i="6"/>
  <c r="I50" i="6"/>
  <c r="J50" i="6"/>
  <c r="K50" i="6"/>
  <c r="D51" i="6"/>
  <c r="F51" i="6"/>
  <c r="G51" i="6"/>
  <c r="H51" i="6"/>
  <c r="I51" i="6"/>
  <c r="J51" i="6"/>
  <c r="K51" i="6"/>
  <c r="D52" i="6"/>
  <c r="F52" i="6"/>
  <c r="G52" i="6"/>
  <c r="H52" i="6"/>
  <c r="I52" i="6"/>
  <c r="J52" i="6"/>
  <c r="K52" i="6"/>
  <c r="D53" i="6"/>
  <c r="F53" i="6"/>
  <c r="G53" i="6"/>
  <c r="H53" i="6"/>
  <c r="I53" i="6"/>
  <c r="J53" i="6"/>
  <c r="K53" i="6"/>
  <c r="D54" i="6"/>
  <c r="F54" i="6"/>
  <c r="G54" i="6"/>
  <c r="H54" i="6"/>
  <c r="I54" i="6"/>
  <c r="J54" i="6"/>
  <c r="K54" i="6"/>
  <c r="D55" i="6"/>
  <c r="F55" i="6"/>
  <c r="G55" i="6"/>
  <c r="H55" i="6"/>
  <c r="I55" i="6"/>
  <c r="J55" i="6"/>
  <c r="K55" i="6"/>
  <c r="D56" i="6"/>
  <c r="F56" i="6"/>
  <c r="G56" i="6"/>
  <c r="H56" i="6"/>
  <c r="I56" i="6"/>
  <c r="J56" i="6"/>
  <c r="K56" i="6"/>
  <c r="C46" i="6"/>
  <c r="C47" i="6"/>
  <c r="C48" i="6"/>
  <c r="C49" i="6"/>
  <c r="C50" i="6"/>
  <c r="C51" i="6"/>
  <c r="C52" i="6"/>
  <c r="C53" i="6"/>
  <c r="C54" i="6"/>
  <c r="C55" i="6"/>
  <c r="C56" i="6"/>
  <c r="C45" i="6"/>
  <c r="E27" i="6"/>
  <c r="L27" i="6"/>
  <c r="E28" i="6"/>
  <c r="L28" i="6"/>
  <c r="E29" i="6"/>
  <c r="L29" i="6"/>
  <c r="E30" i="6"/>
  <c r="L30" i="6"/>
  <c r="E31" i="6"/>
  <c r="L31" i="6"/>
  <c r="E32" i="6"/>
  <c r="L32" i="6"/>
  <c r="E33" i="6"/>
  <c r="L33" i="6"/>
  <c r="E34" i="6"/>
  <c r="L34" i="6"/>
  <c r="E35" i="6"/>
  <c r="L35" i="6"/>
  <c r="E36" i="6"/>
  <c r="L36" i="6"/>
  <c r="E37" i="6"/>
  <c r="L37" i="6"/>
  <c r="E38" i="6"/>
  <c r="L38" i="6"/>
  <c r="E46" i="77" l="1"/>
  <c r="F46" i="77" s="1"/>
  <c r="F44" i="77" s="1"/>
  <c r="O45" i="6"/>
  <c r="C84" i="6"/>
  <c r="C79" i="6"/>
  <c r="S38" i="77" l="1"/>
  <c r="F45" i="77"/>
  <c r="G46" i="77"/>
  <c r="F43" i="77"/>
  <c r="E45" i="77"/>
  <c r="E43" i="77"/>
  <c r="E44" i="77"/>
  <c r="C80" i="6"/>
  <c r="Q59" i="77" s="1"/>
  <c r="E12" i="77" l="1"/>
  <c r="G43" i="77"/>
  <c r="G45" i="77"/>
  <c r="K45" i="77" s="1"/>
  <c r="G44" i="77"/>
  <c r="K44" i="77" s="1"/>
  <c r="G79" i="6"/>
  <c r="G80" i="6" s="1"/>
  <c r="G81" i="6" s="1"/>
  <c r="H84" i="6"/>
  <c r="AB57" i="6"/>
  <c r="E79" i="6"/>
  <c r="E80" i="6" s="1"/>
  <c r="E81" i="6" s="1"/>
  <c r="C57" i="6"/>
  <c r="D57" i="6"/>
  <c r="Q141" i="6"/>
  <c r="F57" i="6"/>
  <c r="G57" i="6"/>
  <c r="H57" i="6"/>
  <c r="I57" i="6"/>
  <c r="J57" i="6"/>
  <c r="Q137" i="6"/>
  <c r="P45" i="6"/>
  <c r="Q45" i="6"/>
  <c r="R45" i="6"/>
  <c r="R47" i="6" s="1"/>
  <c r="S45" i="6"/>
  <c r="T45" i="6"/>
  <c r="U45" i="6"/>
  <c r="V45" i="6"/>
  <c r="W45" i="6"/>
  <c r="O49" i="6"/>
  <c r="P49" i="6"/>
  <c r="Q49" i="6"/>
  <c r="R49" i="6"/>
  <c r="S49" i="6"/>
  <c r="T49" i="6"/>
  <c r="U49" i="6"/>
  <c r="V49" i="6"/>
  <c r="W49" i="6"/>
  <c r="Q81" i="6"/>
  <c r="E57" i="6"/>
  <c r="D79" i="6"/>
  <c r="D80" i="6" s="1"/>
  <c r="H79" i="6"/>
  <c r="H80" i="6" s="1"/>
  <c r="H81" i="6" s="1"/>
  <c r="E271" i="6"/>
  <c r="C271" i="6"/>
  <c r="H160" i="6"/>
  <c r="J79" i="6"/>
  <c r="J80" i="6" s="1"/>
  <c r="J81" i="6" s="1"/>
  <c r="R173" i="6"/>
  <c r="Q173" i="6"/>
  <c r="C25" i="6"/>
  <c r="D25" i="6"/>
  <c r="E25" i="6"/>
  <c r="F25" i="6"/>
  <c r="G25" i="6"/>
  <c r="H25" i="6"/>
  <c r="I25" i="6"/>
  <c r="J25" i="6"/>
  <c r="K25" i="6"/>
  <c r="L25" i="6"/>
  <c r="F84" i="6"/>
  <c r="G84" i="6"/>
  <c r="J84" i="6"/>
  <c r="K84" i="6"/>
  <c r="K57" i="6"/>
  <c r="Q50" i="6"/>
  <c r="D160" i="7"/>
  <c r="E160" i="7"/>
  <c r="F160" i="7"/>
  <c r="G160" i="7"/>
  <c r="H160" i="7"/>
  <c r="I160" i="7"/>
  <c r="J160" i="7"/>
  <c r="C160" i="7"/>
  <c r="E249" i="6"/>
  <c r="D249" i="6"/>
  <c r="F249" i="6"/>
  <c r="G249" i="6"/>
  <c r="H249" i="6"/>
  <c r="I249" i="6"/>
  <c r="J249" i="6"/>
  <c r="C249" i="6"/>
  <c r="D167" i="6"/>
  <c r="C167" i="6"/>
  <c r="L150" i="6"/>
  <c r="K150" i="6"/>
  <c r="D215" i="6"/>
  <c r="J215" i="6" s="1"/>
  <c r="C215" i="6"/>
  <c r="I215" i="6" s="1"/>
  <c r="L134" i="6"/>
  <c r="AD134" i="6" s="1"/>
  <c r="E134" i="6"/>
  <c r="AC134" i="6" s="1"/>
  <c r="D182" i="6"/>
  <c r="E182" i="6"/>
  <c r="F182" i="6"/>
  <c r="G182" i="6"/>
  <c r="H182" i="6"/>
  <c r="I182" i="6"/>
  <c r="J182" i="6"/>
  <c r="C182" i="6"/>
  <c r="X38" i="6"/>
  <c r="X30" i="6"/>
  <c r="Q46" i="6"/>
  <c r="C291" i="6"/>
  <c r="C290" i="6"/>
  <c r="P43" i="6"/>
  <c r="Q43" i="6"/>
  <c r="R43" i="6"/>
  <c r="S43" i="6"/>
  <c r="T43" i="6"/>
  <c r="U43" i="6"/>
  <c r="V43" i="6"/>
  <c r="W43" i="6"/>
  <c r="X43" i="6"/>
  <c r="O43" i="6"/>
  <c r="D198" i="6"/>
  <c r="E198" i="6"/>
  <c r="F198" i="6"/>
  <c r="G198" i="6"/>
  <c r="H198" i="6"/>
  <c r="I198" i="6"/>
  <c r="J198" i="6"/>
  <c r="C198" i="6"/>
  <c r="D150" i="6"/>
  <c r="E150" i="6"/>
  <c r="F150" i="6"/>
  <c r="G150" i="6"/>
  <c r="H150" i="6"/>
  <c r="I150" i="6"/>
  <c r="J150" i="6"/>
  <c r="C150" i="6"/>
  <c r="D134" i="6"/>
  <c r="F134" i="6"/>
  <c r="G134" i="6"/>
  <c r="H134" i="6"/>
  <c r="I134" i="6"/>
  <c r="J134" i="6"/>
  <c r="K134" i="6"/>
  <c r="C134" i="6"/>
  <c r="D116" i="6"/>
  <c r="E116" i="6"/>
  <c r="F116" i="6"/>
  <c r="G116" i="6"/>
  <c r="H116" i="6"/>
  <c r="I116" i="6"/>
  <c r="J116" i="6"/>
  <c r="K116" i="6"/>
  <c r="L116" i="6"/>
  <c r="C116" i="6"/>
  <c r="D98" i="6"/>
  <c r="E98" i="6"/>
  <c r="F98" i="6"/>
  <c r="G98" i="6"/>
  <c r="H98" i="6"/>
  <c r="I98" i="6"/>
  <c r="J98" i="6"/>
  <c r="K98" i="6"/>
  <c r="L98" i="6"/>
  <c r="D77" i="6"/>
  <c r="E77" i="6"/>
  <c r="F77" i="6"/>
  <c r="G77" i="6"/>
  <c r="H77" i="6"/>
  <c r="I77" i="6"/>
  <c r="J77" i="6"/>
  <c r="K77" i="6"/>
  <c r="L77" i="6"/>
  <c r="P25" i="6"/>
  <c r="Q25" i="6"/>
  <c r="R25" i="6"/>
  <c r="S25" i="6"/>
  <c r="T25" i="6"/>
  <c r="U25" i="6"/>
  <c r="V25" i="6"/>
  <c r="W25" i="6"/>
  <c r="X25" i="6"/>
  <c r="O25" i="6"/>
  <c r="D43" i="6"/>
  <c r="E43" i="6"/>
  <c r="F43" i="6"/>
  <c r="G43" i="6"/>
  <c r="H43" i="6"/>
  <c r="I43" i="6"/>
  <c r="J43" i="6"/>
  <c r="K43" i="6"/>
  <c r="L43" i="6"/>
  <c r="C98" i="6"/>
  <c r="C77" i="6"/>
  <c r="C43" i="6"/>
  <c r="P7" i="6"/>
  <c r="Q7" i="6"/>
  <c r="R7" i="6"/>
  <c r="S7" i="6"/>
  <c r="T7" i="6"/>
  <c r="U7" i="6"/>
  <c r="V7" i="6"/>
  <c r="W7" i="6"/>
  <c r="X7" i="6"/>
  <c r="O7" i="6"/>
  <c r="Q38" i="6"/>
  <c r="X37" i="6"/>
  <c r="Q37" i="6"/>
  <c r="X36" i="6"/>
  <c r="Q36" i="6"/>
  <c r="X35" i="6"/>
  <c r="Q35" i="6"/>
  <c r="X34" i="6"/>
  <c r="Q34" i="6"/>
  <c r="X33" i="6"/>
  <c r="Q33" i="6"/>
  <c r="X32" i="6"/>
  <c r="Q32" i="6"/>
  <c r="X31" i="6"/>
  <c r="Q31" i="6"/>
  <c r="Q30" i="6"/>
  <c r="X29" i="6"/>
  <c r="Q29" i="6"/>
  <c r="X28" i="6"/>
  <c r="Q28" i="6"/>
  <c r="X27" i="6"/>
  <c r="Q27" i="6"/>
  <c r="K79" i="6"/>
  <c r="K80" i="6" s="1"/>
  <c r="F79" i="6"/>
  <c r="F80" i="6" s="1"/>
  <c r="I79" i="6"/>
  <c r="I80" i="6" s="1"/>
  <c r="L79" i="6"/>
  <c r="L80" i="6" s="1"/>
  <c r="L81" i="6" s="1"/>
  <c r="C81" i="6"/>
  <c r="D84" i="6"/>
  <c r="C85" i="6"/>
  <c r="I84" i="6"/>
  <c r="E84" i="6"/>
  <c r="L84" i="6"/>
  <c r="K43" i="77" l="1"/>
  <c r="K46" i="77" s="1"/>
  <c r="M8" i="77"/>
  <c r="E13" i="77"/>
  <c r="G12" i="77"/>
  <c r="F12" i="77"/>
  <c r="E14" i="77"/>
  <c r="I19" i="77"/>
  <c r="I47" i="7"/>
  <c r="I88" i="7" s="1"/>
  <c r="H47" i="7"/>
  <c r="H88" i="7" s="1"/>
  <c r="C69" i="7"/>
  <c r="C106" i="7" s="1"/>
  <c r="I106" i="7" s="1"/>
  <c r="G47" i="7"/>
  <c r="G88" i="7" s="1"/>
  <c r="F271" i="6"/>
  <c r="C47" i="7"/>
  <c r="C88" i="7" s="1"/>
  <c r="F47" i="7"/>
  <c r="F88" i="7" s="1"/>
  <c r="E47" i="7"/>
  <c r="E88" i="7" s="1"/>
  <c r="J47" i="7"/>
  <c r="J88" i="7" s="1"/>
  <c r="D47" i="7"/>
  <c r="D88" i="7" s="1"/>
  <c r="L85" i="6"/>
  <c r="L86" i="6" s="1"/>
  <c r="Q134" i="6"/>
  <c r="AA134" i="6"/>
  <c r="R134" i="6"/>
  <c r="E69" i="7"/>
  <c r="J69" i="7" s="1"/>
  <c r="D271" i="6"/>
  <c r="C86" i="6"/>
  <c r="K85" i="6"/>
  <c r="K86" i="6" s="1"/>
  <c r="E85" i="6"/>
  <c r="E86" i="6" s="1"/>
  <c r="T134" i="6"/>
  <c r="Z134" i="6"/>
  <c r="C169" i="6"/>
  <c r="X134" i="6"/>
  <c r="W134" i="6"/>
  <c r="D169" i="6"/>
  <c r="D81" i="6"/>
  <c r="P47" i="6"/>
  <c r="O47" i="6"/>
  <c r="F85" i="6"/>
  <c r="F86" i="6" s="1"/>
  <c r="Q51" i="6"/>
  <c r="Q47" i="6"/>
  <c r="J85" i="6"/>
  <c r="J86" i="6" s="1"/>
  <c r="D85" i="6"/>
  <c r="H85" i="6"/>
  <c r="H86" i="6" s="1"/>
  <c r="G85" i="6"/>
  <c r="G86" i="6" s="1"/>
  <c r="I85" i="6"/>
  <c r="I86" i="6" s="1"/>
  <c r="K81" i="6"/>
  <c r="Q142" i="6"/>
  <c r="Q138" i="6"/>
  <c r="F81" i="6"/>
  <c r="I81" i="6"/>
  <c r="U134" i="6"/>
  <c r="E18" i="77" l="1"/>
  <c r="F19" i="77"/>
  <c r="E19" i="77"/>
  <c r="F18" i="77"/>
  <c r="H12" i="77"/>
  <c r="F13" i="77"/>
  <c r="F8" i="77"/>
  <c r="E8" i="77"/>
  <c r="E32" i="77"/>
  <c r="G14" i="77"/>
  <c r="F14" i="77"/>
  <c r="E31" i="77"/>
  <c r="G13" i="77"/>
  <c r="C178" i="7"/>
  <c r="I178" i="7" s="1"/>
  <c r="I69" i="7"/>
  <c r="D69" i="7"/>
  <c r="F69" i="7"/>
  <c r="O53" i="6"/>
  <c r="P53" i="6"/>
  <c r="E106" i="7"/>
  <c r="J106" i="7" s="1"/>
  <c r="D170" i="6"/>
  <c r="C170" i="6"/>
  <c r="D86" i="6"/>
  <c r="H14" i="77" l="1"/>
  <c r="I14" i="77" s="1"/>
  <c r="F32" i="77"/>
  <c r="G15" i="77"/>
  <c r="G8" i="77"/>
  <c r="E30" i="77"/>
  <c r="F30" i="77"/>
  <c r="H8" i="77"/>
  <c r="H13" i="77"/>
  <c r="I13" i="77" s="1"/>
  <c r="F31" i="77"/>
  <c r="I12" i="77"/>
  <c r="O18" i="77"/>
  <c r="H18" i="77"/>
  <c r="N19" i="77"/>
  <c r="G19" i="77"/>
  <c r="H19" i="77"/>
  <c r="O19" i="77"/>
  <c r="N18" i="77"/>
  <c r="G18" i="77"/>
  <c r="P54" i="6"/>
  <c r="O54" i="6"/>
  <c r="E178" i="7"/>
  <c r="H15" i="77" l="1"/>
  <c r="H16" i="77" s="1"/>
  <c r="I15" i="77"/>
  <c r="P19" i="77"/>
  <c r="J18" i="77" s="1"/>
  <c r="S39" i="77"/>
  <c r="I8" i="77"/>
  <c r="L7" i="77" s="1"/>
  <c r="G16" i="77"/>
  <c r="J178" i="7"/>
  <c r="I16" i="77" l="1"/>
  <c r="J15" i="77" s="1"/>
  <c r="I223" i="6"/>
  <c r="J223" i="6"/>
  <c r="C289" i="6"/>
  <c r="J279" i="6" l="1"/>
  <c r="I279" i="6"/>
  <c r="I76" i="7" l="1"/>
  <c r="J76" i="7"/>
  <c r="J113" i="7" l="1"/>
  <c r="I113" i="7"/>
  <c r="J185" i="7" l="1"/>
  <c r="I185" i="7"/>
  <c r="F11" i="6" l="1"/>
  <c r="R11" i="6" s="1"/>
  <c r="E14" i="6"/>
  <c r="C14" i="6"/>
  <c r="D14" i="6"/>
  <c r="E10" i="6"/>
  <c r="Q10" i="6" s="1"/>
  <c r="C10" i="6"/>
  <c r="O10" i="6" s="1"/>
  <c r="L18" i="6"/>
  <c r="D10" i="6"/>
  <c r="G11" i="6"/>
  <c r="S11" i="6" s="1"/>
  <c r="L14" i="6"/>
  <c r="F14" i="6"/>
  <c r="H18" i="6"/>
  <c r="T18" i="6" s="1"/>
  <c r="K10" i="6"/>
  <c r="E18" i="6"/>
  <c r="K11" i="6"/>
  <c r="F15" i="6"/>
  <c r="H11" i="6"/>
  <c r="T11" i="6" s="1"/>
  <c r="C15" i="6"/>
  <c r="E11" i="6"/>
  <c r="Q11" i="6" s="1"/>
  <c r="K14" i="6"/>
  <c r="H14" i="6"/>
  <c r="F18" i="6"/>
  <c r="R18" i="6" s="1"/>
  <c r="C18" i="6"/>
  <c r="G18" i="6"/>
  <c r="S18" i="6" s="1"/>
  <c r="H15" i="6"/>
  <c r="D15" i="6"/>
  <c r="D11" i="6"/>
  <c r="L11" i="6"/>
  <c r="X11" i="6" s="1"/>
  <c r="L15" i="6"/>
  <c r="X15" i="6" s="1"/>
  <c r="C11" i="6"/>
  <c r="O11" i="6" s="1"/>
  <c r="K15" i="6"/>
  <c r="O15" i="6" l="1"/>
  <c r="O18" i="6"/>
  <c r="O14" i="6"/>
  <c r="K18" i="6"/>
  <c r="H10" i="6"/>
  <c r="T10" i="6" s="1"/>
  <c r="E15" i="6"/>
  <c r="Q15" i="6" s="1"/>
  <c r="D18" i="6"/>
  <c r="P18" i="6" s="1"/>
  <c r="G10" i="6"/>
  <c r="S10" i="6" s="1"/>
  <c r="Q18" i="6"/>
  <c r="Q14" i="6"/>
  <c r="R15" i="6"/>
  <c r="X14" i="6"/>
  <c r="R14" i="6"/>
  <c r="T15" i="6"/>
  <c r="X18" i="6"/>
  <c r="P10" i="6"/>
  <c r="P15" i="6"/>
  <c r="P14" i="6"/>
  <c r="P11" i="6"/>
  <c r="L10" i="6" l="1"/>
  <c r="X10" i="6" s="1"/>
  <c r="G15" i="6"/>
  <c r="S15" i="6" s="1"/>
  <c r="G14" i="6"/>
  <c r="G19" i="6"/>
  <c r="G17" i="6"/>
  <c r="S17" i="6" s="1"/>
  <c r="E17" i="6"/>
  <c r="Q17" i="6" s="1"/>
  <c r="D19" i="6"/>
  <c r="F10" i="6"/>
  <c r="R10" i="6" s="1"/>
  <c r="D12" i="6"/>
  <c r="C13" i="6"/>
  <c r="F13" i="6"/>
  <c r="R13" i="6" s="1"/>
  <c r="G16" i="6"/>
  <c r="E13" i="6"/>
  <c r="Q13" i="6" s="1"/>
  <c r="C19" i="6"/>
  <c r="H17" i="6"/>
  <c r="T17" i="6" s="1"/>
  <c r="E19" i="6"/>
  <c r="Q19" i="6" s="1"/>
  <c r="K19" i="6"/>
  <c r="D13" i="6"/>
  <c r="F12" i="6"/>
  <c r="R12" i="6" s="1"/>
  <c r="E12" i="6"/>
  <c r="Q12" i="6" s="1"/>
  <c r="L17" i="6"/>
  <c r="L19" i="6"/>
  <c r="X19" i="6" s="1"/>
  <c r="H16" i="6"/>
  <c r="T16" i="6" s="1"/>
  <c r="L12" i="6"/>
  <c r="X12" i="6" s="1"/>
  <c r="C16" i="6"/>
  <c r="K13" i="6"/>
  <c r="G12" i="6"/>
  <c r="S12" i="6" s="1"/>
  <c r="L13" i="6"/>
  <c r="X13" i="6" s="1"/>
  <c r="H13" i="6"/>
  <c r="T13" i="6" s="1"/>
  <c r="D16" i="6"/>
  <c r="G13" i="6"/>
  <c r="S13" i="6" s="1"/>
  <c r="L16" i="6"/>
  <c r="K9" i="6"/>
  <c r="H9" i="6"/>
  <c r="E16" i="6"/>
  <c r="D17" i="6"/>
  <c r="H12" i="6"/>
  <c r="T12" i="6" s="1"/>
  <c r="K12" i="6"/>
  <c r="K16" i="6"/>
  <c r="C17" i="6"/>
  <c r="F17" i="6"/>
  <c r="R17" i="6" s="1"/>
  <c r="H19" i="6"/>
  <c r="T19" i="6" s="1"/>
  <c r="T14" i="6"/>
  <c r="O16" i="6" l="1"/>
  <c r="S14" i="6"/>
  <c r="O19" i="6"/>
  <c r="O17" i="6"/>
  <c r="O13" i="6"/>
  <c r="C12" i="6"/>
  <c r="O12" i="6" s="1"/>
  <c r="E9" i="6"/>
  <c r="G9" i="6"/>
  <c r="I11" i="6"/>
  <c r="F19" i="6"/>
  <c r="R19" i="6" s="1"/>
  <c r="F9" i="6"/>
  <c r="D9" i="6"/>
  <c r="O65" i="6"/>
  <c r="I12" i="6"/>
  <c r="J16" i="6"/>
  <c r="V16" i="6" s="1"/>
  <c r="J11" i="6"/>
  <c r="K17" i="6"/>
  <c r="J9" i="6"/>
  <c r="I9" i="6"/>
  <c r="U9" i="6" s="1"/>
  <c r="J13" i="6"/>
  <c r="V13" i="6" s="1"/>
  <c r="J12" i="6"/>
  <c r="V12" i="6" s="1"/>
  <c r="T65" i="6"/>
  <c r="T66" i="6" s="1"/>
  <c r="W13" i="6"/>
  <c r="X17" i="6"/>
  <c r="W12" i="6"/>
  <c r="X16" i="6"/>
  <c r="W16" i="6"/>
  <c r="W11" i="6"/>
  <c r="Q16" i="6"/>
  <c r="Q65" i="6"/>
  <c r="Q66" i="6" s="1"/>
  <c r="T137" i="6"/>
  <c r="S19" i="6"/>
  <c r="P16" i="6"/>
  <c r="P65" i="6"/>
  <c r="P13" i="6"/>
  <c r="P19" i="6"/>
  <c r="P17" i="6"/>
  <c r="O66" i="6" l="1"/>
  <c r="U12" i="6"/>
  <c r="U11" i="6"/>
  <c r="L9" i="6"/>
  <c r="X9" i="6" s="1"/>
  <c r="I16" i="6"/>
  <c r="U16" i="6" s="1"/>
  <c r="C20" i="6"/>
  <c r="E20" i="6"/>
  <c r="Q61" i="6" s="1"/>
  <c r="I13" i="6"/>
  <c r="F20" i="6"/>
  <c r="R20" i="6" s="1"/>
  <c r="F16" i="6"/>
  <c r="H20" i="6"/>
  <c r="T20" i="6" s="1"/>
  <c r="D20" i="6"/>
  <c r="L20" i="6"/>
  <c r="K20" i="6"/>
  <c r="G20" i="6"/>
  <c r="S20" i="6" s="1"/>
  <c r="W137" i="6"/>
  <c r="V9" i="6"/>
  <c r="T138" i="6"/>
  <c r="V11" i="6"/>
  <c r="T9" i="6"/>
  <c r="S9" i="6"/>
  <c r="R9" i="6"/>
  <c r="Q9" i="6"/>
  <c r="S16" i="6"/>
  <c r="S65" i="6"/>
  <c r="S66" i="6" s="1"/>
  <c r="W9" i="6"/>
  <c r="P12" i="6"/>
  <c r="P66" i="6"/>
  <c r="O20" i="6" l="1"/>
  <c r="U13" i="6"/>
  <c r="C9" i="6"/>
  <c r="Q20" i="6"/>
  <c r="T142" i="6" s="1"/>
  <c r="R65" i="6"/>
  <c r="R66" i="6" s="1"/>
  <c r="R16" i="6"/>
  <c r="R61" i="6"/>
  <c r="R62" i="6" s="1"/>
  <c r="T61" i="6"/>
  <c r="T68" i="6" s="1"/>
  <c r="T141" i="6"/>
  <c r="W141" i="6" s="1"/>
  <c r="X20" i="6"/>
  <c r="S61" i="6"/>
  <c r="Q68" i="6"/>
  <c r="Q62" i="6"/>
  <c r="Q69" i="6" s="1"/>
  <c r="W138" i="6"/>
  <c r="P20" i="6"/>
  <c r="P61" i="6"/>
  <c r="P9" i="6"/>
  <c r="O9" i="6" l="1"/>
  <c r="O61" i="6"/>
  <c r="O62" i="6" s="1"/>
  <c r="O69" i="6" s="1"/>
  <c r="R69" i="6"/>
  <c r="R68" i="6"/>
  <c r="T62" i="6"/>
  <c r="T69" i="6" s="1"/>
  <c r="W142" i="6"/>
  <c r="S68" i="6"/>
  <c r="S62" i="6"/>
  <c r="S69" i="6" s="1"/>
  <c r="P62" i="6"/>
  <c r="P68" i="6"/>
  <c r="O68" i="6" l="1"/>
  <c r="J18" i="6"/>
  <c r="I18" i="6"/>
  <c r="I15" i="6"/>
  <c r="J17" i="6"/>
  <c r="I17" i="6"/>
  <c r="I14" i="6"/>
  <c r="J19" i="6"/>
  <c r="J14" i="6"/>
  <c r="I20" i="6"/>
  <c r="I19" i="6"/>
  <c r="J10" i="6"/>
  <c r="J15" i="6"/>
  <c r="J20" i="6"/>
  <c r="W18" i="6"/>
  <c r="W19" i="6"/>
  <c r="W15" i="6"/>
  <c r="W17" i="6"/>
  <c r="W20" i="6"/>
  <c r="P69" i="6"/>
  <c r="U15" i="6" l="1"/>
  <c r="U18" i="6"/>
  <c r="U20" i="6"/>
  <c r="U17" i="6"/>
  <c r="U19" i="6"/>
  <c r="U14" i="6"/>
  <c r="U65" i="6"/>
  <c r="W10" i="6"/>
  <c r="W61" i="6"/>
  <c r="W14" i="6"/>
  <c r="W65" i="6"/>
  <c r="W66" i="6" s="1"/>
  <c r="V20" i="6"/>
  <c r="V19" i="6"/>
  <c r="V15" i="6"/>
  <c r="V17" i="6"/>
  <c r="V18" i="6"/>
  <c r="V14" i="6"/>
  <c r="V65" i="6"/>
  <c r="U66" i="6" l="1"/>
  <c r="B11" i="5"/>
  <c r="I10" i="6"/>
  <c r="V66" i="6"/>
  <c r="W68" i="6"/>
  <c r="W62" i="6"/>
  <c r="W69" i="6" s="1"/>
  <c r="U10" i="6" l="1"/>
  <c r="U61" i="6"/>
  <c r="V10" i="6"/>
  <c r="V61" i="6"/>
  <c r="U62" i="6" l="1"/>
  <c r="U68" i="6"/>
  <c r="V68" i="6"/>
  <c r="V62" i="6"/>
  <c r="U69" i="6" l="1"/>
  <c r="V69" i="6"/>
  <c r="AD45" i="6" l="1"/>
  <c r="M45" i="6" l="1"/>
  <c r="AE45" i="6" l="1"/>
  <c r="L50" i="6"/>
  <c r="L45" i="6"/>
  <c r="L53" i="6"/>
  <c r="L55" i="6"/>
  <c r="L56" i="6"/>
  <c r="L49" i="6"/>
  <c r="L54" i="6"/>
  <c r="L52" i="6"/>
  <c r="L47" i="6"/>
  <c r="L46" i="6"/>
  <c r="L51" i="6"/>
  <c r="L48" i="6"/>
  <c r="X45" i="6" l="1"/>
  <c r="L57" i="6"/>
  <c r="R142" i="6"/>
  <c r="X46" i="6"/>
  <c r="R141" i="6"/>
  <c r="U141" i="6"/>
  <c r="X61" i="6"/>
  <c r="U142" i="6"/>
  <c r="R137" i="6"/>
  <c r="X49" i="6"/>
  <c r="X50" i="6"/>
  <c r="R138" i="6"/>
  <c r="U138" i="6"/>
  <c r="U137" i="6"/>
  <c r="X65" i="6"/>
  <c r="AF45" i="6"/>
  <c r="X66" i="6" l="1"/>
  <c r="Y65" i="6"/>
  <c r="X137" i="6"/>
  <c r="X142" i="6"/>
  <c r="X138" i="6"/>
  <c r="C358" i="6"/>
  <c r="X51" i="6"/>
  <c r="Y49" i="6"/>
  <c r="X68" i="6"/>
  <c r="Y61" i="6"/>
  <c r="C359" i="6"/>
  <c r="X47" i="6"/>
  <c r="Y45" i="6"/>
  <c r="X62" i="6"/>
  <c r="X141" i="6"/>
  <c r="Y66" i="6" l="1"/>
  <c r="Z65" i="6" s="1"/>
  <c r="X69" i="6"/>
  <c r="Y62" i="6"/>
  <c r="Z61" i="6" s="1"/>
  <c r="C22" i="7"/>
  <c r="C360" i="6"/>
  <c r="C18" i="54" s="1"/>
  <c r="Y68" i="6"/>
  <c r="Z45" i="6"/>
  <c r="C21" i="7"/>
  <c r="C21" i="68" l="1"/>
  <c r="C21" i="79"/>
  <c r="C20" i="68"/>
  <c r="C20" i="79"/>
  <c r="C18" i="78"/>
  <c r="C19" i="78" s="1"/>
  <c r="C18" i="67"/>
  <c r="C19" i="67" s="1"/>
  <c r="D18" i="67"/>
  <c r="D19" i="67" s="1"/>
  <c r="C19" i="54"/>
  <c r="Y69" i="6"/>
  <c r="Z68" i="6" s="1"/>
  <c r="Z66" i="6"/>
  <c r="Z49" i="6"/>
  <c r="Z62" i="6"/>
  <c r="Z69" i="6" l="1"/>
  <c r="D11" i="7"/>
  <c r="E11" i="7" l="1"/>
  <c r="D26" i="7"/>
  <c r="D25" i="7"/>
  <c r="D27" i="7" l="1"/>
  <c r="D63" i="6" l="1"/>
  <c r="D68" i="6"/>
  <c r="I63" i="6"/>
  <c r="D72" i="6" l="1"/>
  <c r="D66" i="6"/>
  <c r="D65" i="6"/>
  <c r="D64" i="6"/>
  <c r="D67" i="6"/>
  <c r="D74" i="6"/>
  <c r="D73" i="6"/>
  <c r="D69" i="6"/>
  <c r="D70" i="6"/>
  <c r="D71" i="6"/>
  <c r="H68" i="6"/>
  <c r="H63" i="6"/>
  <c r="I68" i="6"/>
  <c r="I72" i="6"/>
  <c r="I64" i="6"/>
  <c r="I74" i="6"/>
  <c r="I73" i="6"/>
  <c r="I65" i="6"/>
  <c r="I66" i="6"/>
  <c r="I67" i="6"/>
  <c r="I70" i="6" l="1"/>
  <c r="I71" i="6"/>
  <c r="I69" i="6"/>
  <c r="H73" i="6"/>
  <c r="H67" i="6"/>
  <c r="H64" i="6"/>
  <c r="H66" i="6"/>
  <c r="H74" i="6"/>
  <c r="H65" i="6"/>
  <c r="H72" i="6"/>
  <c r="H69" i="6"/>
  <c r="H70" i="6"/>
  <c r="H71" i="6"/>
  <c r="D176" i="6" l="1"/>
  <c r="D177" i="6" l="1"/>
  <c r="R55" i="77"/>
  <c r="R56" i="77" s="1"/>
  <c r="R57" i="77" s="1"/>
  <c r="R58" i="77" s="1"/>
  <c r="E27" i="77" s="1"/>
  <c r="C292" i="6" l="1"/>
  <c r="F27" i="77"/>
  <c r="S58" i="77"/>
  <c r="F28" i="77"/>
  <c r="F26" i="77"/>
  <c r="E26" i="77"/>
  <c r="E28" i="77"/>
  <c r="C63" i="6"/>
  <c r="C65" i="6"/>
  <c r="C72" i="6"/>
  <c r="C67" i="6"/>
  <c r="C73" i="6"/>
  <c r="C74" i="6"/>
  <c r="C64" i="6"/>
  <c r="C66" i="6"/>
  <c r="C68" i="6"/>
  <c r="C69" i="6"/>
  <c r="C70" i="6"/>
  <c r="C71" i="6"/>
  <c r="R28" i="77" l="1"/>
  <c r="F36" i="77"/>
  <c r="S37" i="77"/>
  <c r="E36" i="77"/>
  <c r="Q28" i="77"/>
  <c r="R37" i="77"/>
  <c r="Q27" i="77"/>
  <c r="R36" i="77"/>
  <c r="Q26" i="77"/>
  <c r="R35" i="77"/>
  <c r="R26" i="77"/>
  <c r="S35" i="77"/>
  <c r="D165" i="6"/>
  <c r="D164" i="6"/>
  <c r="E69" i="6"/>
  <c r="E71" i="6"/>
  <c r="E73" i="6"/>
  <c r="E70" i="6"/>
  <c r="E74" i="6"/>
  <c r="E67" i="6"/>
  <c r="E72" i="6"/>
  <c r="E68" i="6"/>
  <c r="E101" i="6"/>
  <c r="E119" i="6" s="1"/>
  <c r="C101" i="6"/>
  <c r="D101" i="6"/>
  <c r="D119" i="6" s="1"/>
  <c r="H101" i="6"/>
  <c r="H119" i="6" s="1"/>
  <c r="G101" i="6"/>
  <c r="G119" i="6" s="1"/>
  <c r="F101" i="6"/>
  <c r="F119" i="6" s="1"/>
  <c r="K101" i="6"/>
  <c r="K119" i="6" s="1"/>
  <c r="J101" i="6"/>
  <c r="J119" i="6" s="1"/>
  <c r="I101" i="6"/>
  <c r="I119" i="6" s="1"/>
  <c r="L101" i="6"/>
  <c r="L119" i="6" s="1"/>
  <c r="E65" i="6"/>
  <c r="E66" i="6"/>
  <c r="E63" i="6"/>
  <c r="F105" i="6"/>
  <c r="F123" i="6" s="1"/>
  <c r="H105" i="6"/>
  <c r="H123" i="6" s="1"/>
  <c r="E105" i="6"/>
  <c r="E123" i="6" s="1"/>
  <c r="G105" i="6"/>
  <c r="G123" i="6" s="1"/>
  <c r="D105" i="6"/>
  <c r="D123" i="6" s="1"/>
  <c r="C105" i="6"/>
  <c r="K105" i="6"/>
  <c r="K123" i="6" s="1"/>
  <c r="I105" i="6"/>
  <c r="I123" i="6" s="1"/>
  <c r="J105" i="6"/>
  <c r="J123" i="6" s="1"/>
  <c r="L105" i="6"/>
  <c r="L123" i="6" s="1"/>
  <c r="E64" i="6"/>
  <c r="H100" i="6" l="1"/>
  <c r="H118" i="6" s="1"/>
  <c r="T37" i="77"/>
  <c r="I59" i="77"/>
  <c r="R42" i="77"/>
  <c r="T35" i="77"/>
  <c r="J59" i="77"/>
  <c r="F164" i="6"/>
  <c r="F165" i="6"/>
  <c r="G104" i="6"/>
  <c r="G122" i="6" s="1"/>
  <c r="G140" i="6" s="1"/>
  <c r="I104" i="6"/>
  <c r="I122" i="6" s="1"/>
  <c r="I140" i="6" s="1"/>
  <c r="C104" i="6"/>
  <c r="C122" i="6" s="1"/>
  <c r="J104" i="6"/>
  <c r="J122" i="6" s="1"/>
  <c r="J140" i="6" s="1"/>
  <c r="I100" i="6"/>
  <c r="I118" i="6" s="1"/>
  <c r="I136" i="6" s="1"/>
  <c r="J100" i="6"/>
  <c r="J118" i="6" s="1"/>
  <c r="J136" i="6" s="1"/>
  <c r="K100" i="6"/>
  <c r="K118" i="6" s="1"/>
  <c r="C119" i="6"/>
  <c r="L104" i="6"/>
  <c r="L122" i="6" s="1"/>
  <c r="H104" i="6"/>
  <c r="H122" i="6" s="1"/>
  <c r="H140" i="6" s="1"/>
  <c r="H102" i="6"/>
  <c r="H120" i="6" s="1"/>
  <c r="D102" i="6"/>
  <c r="D120" i="6" s="1"/>
  <c r="C102" i="6"/>
  <c r="E102" i="6"/>
  <c r="E120" i="6" s="1"/>
  <c r="E138" i="6" s="1"/>
  <c r="G102" i="6"/>
  <c r="G120" i="6" s="1"/>
  <c r="F102" i="6"/>
  <c r="F120" i="6" s="1"/>
  <c r="J102" i="6"/>
  <c r="J120" i="6" s="1"/>
  <c r="I102" i="6"/>
  <c r="I120" i="6" s="1"/>
  <c r="K102" i="6"/>
  <c r="K120" i="6" s="1"/>
  <c r="L102" i="6"/>
  <c r="L120" i="6" s="1"/>
  <c r="L138" i="6" s="1"/>
  <c r="F100" i="6"/>
  <c r="G106" i="6"/>
  <c r="G124" i="6" s="1"/>
  <c r="F106" i="6"/>
  <c r="F124" i="6" s="1"/>
  <c r="H106" i="6"/>
  <c r="H124" i="6" s="1"/>
  <c r="D106" i="6"/>
  <c r="D124" i="6" s="1"/>
  <c r="E106" i="6"/>
  <c r="E124" i="6" s="1"/>
  <c r="E142" i="6" s="1"/>
  <c r="C106" i="6"/>
  <c r="K106" i="6"/>
  <c r="K124" i="6" s="1"/>
  <c r="I106" i="6"/>
  <c r="I124" i="6" s="1"/>
  <c r="J106" i="6"/>
  <c r="J124" i="6" s="1"/>
  <c r="L106" i="6"/>
  <c r="L124" i="6" s="1"/>
  <c r="L142" i="6" s="1"/>
  <c r="D104" i="6"/>
  <c r="D122" i="6" s="1"/>
  <c r="D140" i="6" s="1"/>
  <c r="G100" i="6"/>
  <c r="C123" i="6"/>
  <c r="E104" i="6"/>
  <c r="E122" i="6" s="1"/>
  <c r="D100" i="6"/>
  <c r="K104" i="6"/>
  <c r="K122" i="6" s="1"/>
  <c r="K140" i="6" s="1"/>
  <c r="C221" i="6" s="1"/>
  <c r="C100" i="6"/>
  <c r="F104" i="6"/>
  <c r="F122" i="6" s="1"/>
  <c r="F140" i="6" s="1"/>
  <c r="L100" i="6"/>
  <c r="E100" i="6"/>
  <c r="F50" i="77" l="1"/>
  <c r="L59" i="77"/>
  <c r="E50" i="77"/>
  <c r="K59" i="77"/>
  <c r="C287" i="6"/>
  <c r="J219" i="6"/>
  <c r="I219" i="6"/>
  <c r="C286" i="6"/>
  <c r="I218" i="6"/>
  <c r="J218" i="6"/>
  <c r="Q166" i="6"/>
  <c r="I220" i="6"/>
  <c r="J220" i="6"/>
  <c r="J108" i="6"/>
  <c r="E141" i="6"/>
  <c r="Z141" i="6" s="1"/>
  <c r="E137" i="6"/>
  <c r="Z137" i="6" s="1"/>
  <c r="I108" i="6"/>
  <c r="L137" i="6"/>
  <c r="D218" i="6" s="1"/>
  <c r="D219" i="6"/>
  <c r="AA138" i="6"/>
  <c r="H108" i="6"/>
  <c r="D223" i="6"/>
  <c r="AA142" i="6"/>
  <c r="H136" i="6"/>
  <c r="H126" i="6"/>
  <c r="AC143" i="6"/>
  <c r="E140" i="6"/>
  <c r="E202" i="6"/>
  <c r="Z138" i="6"/>
  <c r="C120" i="6"/>
  <c r="I144" i="6"/>
  <c r="AD143" i="6"/>
  <c r="L140" i="6"/>
  <c r="D221" i="6" s="1"/>
  <c r="J144" i="6"/>
  <c r="C124" i="6"/>
  <c r="K136" i="6"/>
  <c r="K126" i="6"/>
  <c r="I126" i="6"/>
  <c r="Z142" i="6"/>
  <c r="E208" i="6"/>
  <c r="K108" i="6"/>
  <c r="G118" i="6"/>
  <c r="G108" i="6"/>
  <c r="L141" i="6"/>
  <c r="E118" i="6"/>
  <c r="E126" i="6" s="1"/>
  <c r="E108" i="6"/>
  <c r="L108" i="6"/>
  <c r="L118" i="6"/>
  <c r="C118" i="6"/>
  <c r="C108" i="6"/>
  <c r="J126" i="6"/>
  <c r="D118" i="6"/>
  <c r="D108" i="6"/>
  <c r="F118" i="6"/>
  <c r="F108" i="6"/>
  <c r="C140" i="6"/>
  <c r="AA137" i="6" l="1"/>
  <c r="G50" i="77"/>
  <c r="J276" i="6"/>
  <c r="I274" i="6"/>
  <c r="I276" i="6"/>
  <c r="I275" i="6"/>
  <c r="J274" i="6"/>
  <c r="J275" i="6"/>
  <c r="G126" i="6"/>
  <c r="G136" i="6"/>
  <c r="K144" i="6"/>
  <c r="C225" i="6" s="1"/>
  <c r="C217" i="6"/>
  <c r="Z139" i="6"/>
  <c r="D234" i="6"/>
  <c r="C136" i="6"/>
  <c r="C126" i="6"/>
  <c r="C110" i="6"/>
  <c r="D136" i="6"/>
  <c r="D126" i="6"/>
  <c r="Z143" i="6"/>
  <c r="F136" i="6"/>
  <c r="F126" i="6"/>
  <c r="AA139" i="6"/>
  <c r="E136" i="6"/>
  <c r="E144" i="6" s="1"/>
  <c r="AC139" i="6"/>
  <c r="AD139" i="6"/>
  <c r="L136" i="6"/>
  <c r="L126" i="6"/>
  <c r="D222" i="6"/>
  <c r="AA141" i="6"/>
  <c r="H144" i="6"/>
  <c r="D230" i="6"/>
  <c r="I72" i="7" l="1"/>
  <c r="I73" i="7"/>
  <c r="J73" i="7"/>
  <c r="J72" i="7"/>
  <c r="D144" i="6"/>
  <c r="F279" i="6"/>
  <c r="F144" i="6"/>
  <c r="D217" i="6"/>
  <c r="L144" i="6"/>
  <c r="D225" i="6" s="1"/>
  <c r="C128" i="6"/>
  <c r="C144" i="6"/>
  <c r="F275" i="6"/>
  <c r="AA143" i="6"/>
  <c r="G144" i="6"/>
  <c r="J110" i="7" l="1"/>
  <c r="I110" i="7"/>
  <c r="J109" i="7"/>
  <c r="I109" i="7"/>
  <c r="C145" i="6"/>
  <c r="F77" i="7"/>
  <c r="F73" i="7"/>
  <c r="I182" i="7" l="1"/>
  <c r="J182" i="7"/>
  <c r="I181" i="7"/>
  <c r="J181" i="7"/>
  <c r="AE152" i="6" l="1"/>
  <c r="D155" i="6" s="1"/>
  <c r="D184" i="6" s="1"/>
  <c r="AL151" i="6"/>
  <c r="AI151" i="6" l="1"/>
  <c r="AH151" i="6"/>
  <c r="AL152" i="6"/>
  <c r="K155" i="6" s="1"/>
  <c r="K153" i="6"/>
  <c r="AL157" i="6"/>
  <c r="AL174" i="6" s="1"/>
  <c r="AJ151" i="6"/>
  <c r="AE151" i="6"/>
  <c r="AK152" i="6"/>
  <c r="J155" i="6" s="1"/>
  <c r="J184" i="6" s="1"/>
  <c r="AG151" i="6"/>
  <c r="AD151" i="6"/>
  <c r="AF151" i="6"/>
  <c r="AI152" i="6"/>
  <c r="H155" i="6" s="1"/>
  <c r="H184" i="6" s="1"/>
  <c r="AH152" i="6"/>
  <c r="G155" i="6" s="1"/>
  <c r="G184" i="6" s="1"/>
  <c r="AG152" i="6"/>
  <c r="F155" i="6" s="1"/>
  <c r="F184" i="6" s="1"/>
  <c r="AF152" i="6"/>
  <c r="E155" i="6" s="1"/>
  <c r="E184" i="6" s="1"/>
  <c r="AM152" i="6"/>
  <c r="L155" i="6" s="1"/>
  <c r="M101" i="5" l="1"/>
  <c r="F153" i="6"/>
  <c r="AG157" i="6"/>
  <c r="AG174" i="6" s="1"/>
  <c r="I153" i="6"/>
  <c r="AJ157" i="6"/>
  <c r="AJ174" i="6" s="1"/>
  <c r="AK151" i="6"/>
  <c r="D153" i="6"/>
  <c r="AE157" i="6"/>
  <c r="AE174" i="6" s="1"/>
  <c r="D130" i="7"/>
  <c r="D131" i="7"/>
  <c r="K309" i="6"/>
  <c r="C232" i="6"/>
  <c r="C228" i="6"/>
  <c r="K308" i="6"/>
  <c r="C236" i="6"/>
  <c r="AM151" i="6"/>
  <c r="AH157" i="6"/>
  <c r="AH174" i="6" s="1"/>
  <c r="G153" i="6"/>
  <c r="AJ152" i="6"/>
  <c r="I155" i="6" s="1"/>
  <c r="I184" i="6" s="1"/>
  <c r="E153" i="6"/>
  <c r="AF157" i="6"/>
  <c r="AF174" i="6" s="1"/>
  <c r="H153" i="6"/>
  <c r="AI157" i="6"/>
  <c r="AI174" i="6" s="1"/>
  <c r="M102" i="5"/>
  <c r="AD152" i="6"/>
  <c r="AD157" i="6"/>
  <c r="C153" i="6"/>
  <c r="AN151" i="6" l="1"/>
  <c r="J153" i="6"/>
  <c r="AK157" i="6"/>
  <c r="AK174" i="6" s="1"/>
  <c r="I189" i="6"/>
  <c r="I188" i="6"/>
  <c r="I187" i="6"/>
  <c r="I210" i="6" s="1"/>
  <c r="C155" i="6"/>
  <c r="C184" i="6" s="1"/>
  <c r="G189" i="6"/>
  <c r="G188" i="6"/>
  <c r="G187" i="6"/>
  <c r="F189" i="6"/>
  <c r="F188" i="6"/>
  <c r="F187" i="6"/>
  <c r="L153" i="6"/>
  <c r="AM157" i="6"/>
  <c r="AM174" i="6" s="1"/>
  <c r="D273" i="6"/>
  <c r="E188" i="6"/>
  <c r="E187" i="6"/>
  <c r="E189" i="6"/>
  <c r="D277" i="6"/>
  <c r="K310" i="6"/>
  <c r="K314" i="6" s="1"/>
  <c r="C188" i="6"/>
  <c r="C189" i="6"/>
  <c r="C187" i="6"/>
  <c r="N22" i="77" s="1"/>
  <c r="AD174" i="6"/>
  <c r="H188" i="6"/>
  <c r="H189" i="6"/>
  <c r="H187" i="6"/>
  <c r="D132" i="7"/>
  <c r="D188" i="6"/>
  <c r="D189" i="6"/>
  <c r="D187" i="6"/>
  <c r="C8" i="54" l="1"/>
  <c r="O22" i="77"/>
  <c r="K313" i="6"/>
  <c r="AN175" i="6"/>
  <c r="AN157" i="6"/>
  <c r="AN174" i="6" s="1"/>
  <c r="M153" i="6"/>
  <c r="C206" i="6"/>
  <c r="C200" i="6"/>
  <c r="C210" i="6"/>
  <c r="D75" i="7"/>
  <c r="F200" i="6"/>
  <c r="F210" i="6"/>
  <c r="F206" i="6"/>
  <c r="H210" i="6"/>
  <c r="H206" i="6"/>
  <c r="H200" i="6"/>
  <c r="J188" i="6"/>
  <c r="J187" i="6"/>
  <c r="J189" i="6"/>
  <c r="I200" i="6"/>
  <c r="I206" i="6"/>
  <c r="G131" i="7"/>
  <c r="G130" i="7"/>
  <c r="L309" i="6"/>
  <c r="D229" i="6"/>
  <c r="D232" i="6"/>
  <c r="D233" i="6"/>
  <c r="L308" i="6"/>
  <c r="D236" i="6"/>
  <c r="D228" i="6"/>
  <c r="G206" i="6"/>
  <c r="G210" i="6"/>
  <c r="G200" i="6"/>
  <c r="D71" i="7"/>
  <c r="D200" i="6"/>
  <c r="D206" i="6"/>
  <c r="D210" i="6"/>
  <c r="E207" i="6"/>
  <c r="E201" i="6"/>
  <c r="D8" i="67" l="1"/>
  <c r="D10" i="67" s="1"/>
  <c r="D16" i="67" s="1"/>
  <c r="D21" i="67" s="1"/>
  <c r="D9" i="68" s="1"/>
  <c r="C8" i="78"/>
  <c r="C10" i="78" s="1"/>
  <c r="C16" i="78" s="1"/>
  <c r="C21" i="78" s="1"/>
  <c r="C9" i="79" s="1"/>
  <c r="C10" i="79" s="1"/>
  <c r="C8" i="67"/>
  <c r="C10" i="67" s="1"/>
  <c r="C16" i="67" s="1"/>
  <c r="C21" i="67" s="1"/>
  <c r="C9" i="68" s="1"/>
  <c r="C10" i="54"/>
  <c r="C16" i="54" s="1"/>
  <c r="C21" i="54" s="1"/>
  <c r="N23" i="77"/>
  <c r="M22" i="77" s="1"/>
  <c r="M26" i="77" s="1"/>
  <c r="L310" i="6"/>
  <c r="L314" i="6" s="1"/>
  <c r="F278" i="6"/>
  <c r="J200" i="6"/>
  <c r="J210" i="6"/>
  <c r="J206" i="6"/>
  <c r="F274" i="6"/>
  <c r="E210" i="6"/>
  <c r="E308" i="6"/>
  <c r="H308" i="6"/>
  <c r="H309" i="6"/>
  <c r="D203" i="6"/>
  <c r="G132" i="7"/>
  <c r="D137" i="7"/>
  <c r="D309" i="6"/>
  <c r="G308" i="6"/>
  <c r="I309" i="6"/>
  <c r="E309" i="6"/>
  <c r="D136" i="7"/>
  <c r="F309" i="6"/>
  <c r="I308" i="6"/>
  <c r="C203" i="6"/>
  <c r="G309" i="6"/>
  <c r="F308" i="6"/>
  <c r="C309" i="6"/>
  <c r="C137" i="5" l="1"/>
  <c r="C9" i="7"/>
  <c r="C11" i="7" s="1"/>
  <c r="C25" i="79"/>
  <c r="C24" i="79"/>
  <c r="D10" i="68"/>
  <c r="C10" i="68"/>
  <c r="C239" i="6"/>
  <c r="D241" i="6" s="1"/>
  <c r="J251" i="6" s="1"/>
  <c r="L313" i="6"/>
  <c r="C256" i="6"/>
  <c r="C204" i="6"/>
  <c r="C308" i="6" s="1"/>
  <c r="F76" i="7"/>
  <c r="G310" i="6"/>
  <c r="G314" i="6" s="1"/>
  <c r="E310" i="6"/>
  <c r="E313" i="6" s="1"/>
  <c r="H310" i="6"/>
  <c r="H314" i="6" s="1"/>
  <c r="J309" i="6"/>
  <c r="D204" i="6"/>
  <c r="D308" i="6" s="1"/>
  <c r="D256" i="6"/>
  <c r="D138" i="7"/>
  <c r="F72" i="7"/>
  <c r="I310" i="6"/>
  <c r="I314" i="6" s="1"/>
  <c r="F310" i="6"/>
  <c r="F313" i="6" s="1"/>
  <c r="J308" i="6"/>
  <c r="C26" i="7" l="1"/>
  <c r="C27" i="7" s="1"/>
  <c r="C25" i="7"/>
  <c r="C26" i="79"/>
  <c r="C24" i="68"/>
  <c r="C25" i="68"/>
  <c r="E8" i="68"/>
  <c r="D24" i="68"/>
  <c r="D25" i="68"/>
  <c r="D26" i="68" s="1"/>
  <c r="D240" i="6"/>
  <c r="C318" i="6"/>
  <c r="F314" i="6"/>
  <c r="H313" i="6"/>
  <c r="J265" i="6"/>
  <c r="J261" i="6"/>
  <c r="J59" i="7" s="1"/>
  <c r="G313" i="6"/>
  <c r="E265" i="6"/>
  <c r="E63" i="7" s="1"/>
  <c r="D54" i="7"/>
  <c r="C257" i="6"/>
  <c r="C54" i="7"/>
  <c r="D257" i="6"/>
  <c r="D310" i="6"/>
  <c r="D314" i="6" s="1"/>
  <c r="C317" i="6"/>
  <c r="C310" i="6"/>
  <c r="J310" i="6"/>
  <c r="J314" i="6" s="1"/>
  <c r="J49" i="7"/>
  <c r="E314" i="6"/>
  <c r="I313" i="6"/>
  <c r="C328" i="6"/>
  <c r="E275" i="6"/>
  <c r="E279" i="6"/>
  <c r="E263" i="6"/>
  <c r="E253" i="6"/>
  <c r="C273" i="6"/>
  <c r="C277" i="6"/>
  <c r="C281" i="6"/>
  <c r="I265" i="6"/>
  <c r="D255" i="6"/>
  <c r="I261" i="6"/>
  <c r="F261" i="6"/>
  <c r="E281" i="6"/>
  <c r="F251" i="6"/>
  <c r="C261" i="6"/>
  <c r="E252" i="6"/>
  <c r="H251" i="6"/>
  <c r="G261" i="6"/>
  <c r="C255" i="6"/>
  <c r="D261" i="6"/>
  <c r="E274" i="6"/>
  <c r="I251" i="6"/>
  <c r="C265" i="6"/>
  <c r="F265" i="6"/>
  <c r="E262" i="6"/>
  <c r="H261" i="6"/>
  <c r="E278" i="6"/>
  <c r="G251" i="6"/>
  <c r="G265" i="6"/>
  <c r="D265" i="6"/>
  <c r="H265" i="6"/>
  <c r="E10" i="68" l="1"/>
  <c r="D8" i="79"/>
  <c r="D10" i="79" s="1"/>
  <c r="E24" i="68"/>
  <c r="E25" i="68"/>
  <c r="C26" i="68"/>
  <c r="C30" i="68"/>
  <c r="C29" i="68"/>
  <c r="C319" i="6"/>
  <c r="E323" i="6"/>
  <c r="J63" i="7"/>
  <c r="J313" i="6"/>
  <c r="E79" i="7"/>
  <c r="E73" i="7"/>
  <c r="F49" i="7"/>
  <c r="F63" i="7"/>
  <c r="E76" i="7"/>
  <c r="D53" i="7"/>
  <c r="C75" i="7"/>
  <c r="D55" i="7"/>
  <c r="C63" i="7"/>
  <c r="C71" i="7"/>
  <c r="D313" i="6"/>
  <c r="F59" i="7"/>
  <c r="E60" i="7"/>
  <c r="K263" i="6"/>
  <c r="I59" i="7"/>
  <c r="I63" i="7"/>
  <c r="D59" i="7"/>
  <c r="C53" i="7"/>
  <c r="E51" i="7"/>
  <c r="H59" i="7"/>
  <c r="C334" i="6"/>
  <c r="H335" i="6"/>
  <c r="E335" i="6"/>
  <c r="L335" i="6"/>
  <c r="D334" i="6"/>
  <c r="H334" i="6"/>
  <c r="K335" i="6"/>
  <c r="F334" i="6"/>
  <c r="G335" i="6"/>
  <c r="E334" i="6"/>
  <c r="F335" i="6"/>
  <c r="L334" i="6"/>
  <c r="K334" i="6"/>
  <c r="C335" i="6"/>
  <c r="D335" i="6"/>
  <c r="G334" i="6"/>
  <c r="I49" i="7"/>
  <c r="K253" i="6"/>
  <c r="C55" i="7"/>
  <c r="G49" i="7"/>
  <c r="C79" i="7"/>
  <c r="C313" i="6"/>
  <c r="C314" i="6"/>
  <c r="H63" i="7"/>
  <c r="H49" i="7"/>
  <c r="E61" i="7"/>
  <c r="D63" i="7"/>
  <c r="E322" i="6"/>
  <c r="E72" i="7"/>
  <c r="G59" i="7"/>
  <c r="E50" i="7"/>
  <c r="G63" i="7"/>
  <c r="C59" i="7"/>
  <c r="E77" i="7"/>
  <c r="E26" i="68" l="1"/>
  <c r="C32" i="68" s="1"/>
  <c r="E8" i="79"/>
  <c r="E10" i="79" s="1"/>
  <c r="D24" i="79"/>
  <c r="D25" i="79"/>
  <c r="C322" i="6"/>
  <c r="C323" i="6"/>
  <c r="G336" i="6"/>
  <c r="C336" i="6"/>
  <c r="K51" i="7"/>
  <c r="F336" i="6"/>
  <c r="L322" i="6"/>
  <c r="L323" i="6"/>
  <c r="K336" i="6"/>
  <c r="I335" i="6"/>
  <c r="K61" i="7"/>
  <c r="J334" i="6"/>
  <c r="J335" i="6"/>
  <c r="L336" i="6"/>
  <c r="I334" i="6"/>
  <c r="E336" i="6"/>
  <c r="H336" i="6"/>
  <c r="D336" i="6"/>
  <c r="D26" i="79" l="1"/>
  <c r="E25" i="79"/>
  <c r="E24" i="79"/>
  <c r="C29" i="79" s="1"/>
  <c r="C338" i="6"/>
  <c r="C339" i="6"/>
  <c r="E17" i="7"/>
  <c r="C329" i="6"/>
  <c r="J336" i="6"/>
  <c r="C330" i="6"/>
  <c r="E18" i="7"/>
  <c r="I336" i="6"/>
  <c r="E26" i="79" l="1"/>
  <c r="C30" i="79"/>
  <c r="C32" i="79"/>
  <c r="C340" i="6"/>
  <c r="J344" i="6"/>
  <c r="D344" i="6"/>
  <c r="F344" i="6"/>
  <c r="K344" i="6"/>
  <c r="C344" i="6"/>
  <c r="I344" i="6"/>
  <c r="L344" i="6"/>
  <c r="E344" i="6"/>
  <c r="H344" i="6"/>
  <c r="G344" i="6"/>
  <c r="E26" i="7"/>
  <c r="F345" i="6"/>
  <c r="D345" i="6"/>
  <c r="I345" i="6"/>
  <c r="H345" i="6"/>
  <c r="G345" i="6"/>
  <c r="J345" i="6"/>
  <c r="E345" i="6"/>
  <c r="C345" i="6"/>
  <c r="L345" i="6"/>
  <c r="K345" i="6"/>
  <c r="E25" i="7"/>
  <c r="K346" i="6" l="1"/>
  <c r="J346" i="6"/>
  <c r="L346" i="6"/>
  <c r="E346" i="6"/>
  <c r="D346" i="6"/>
  <c r="F346" i="6"/>
  <c r="H346" i="6"/>
  <c r="C348" i="6"/>
  <c r="C31" i="7"/>
  <c r="E27" i="7"/>
  <c r="C205" i="7"/>
  <c r="C143" i="7"/>
  <c r="G346" i="6"/>
  <c r="I346" i="6"/>
  <c r="C349" i="6"/>
  <c r="C346" i="6"/>
  <c r="C204" i="7"/>
  <c r="C30" i="7"/>
  <c r="C142" i="7"/>
  <c r="C350" i="6" l="1"/>
  <c r="C206" i="7"/>
  <c r="C144" i="7"/>
  <c r="C38" i="7"/>
  <c r="C33" i="7"/>
  <c r="C352" i="6" l="1"/>
  <c r="E91" i="7"/>
  <c r="I97" i="7"/>
  <c r="G97" i="7"/>
  <c r="F97" i="7"/>
  <c r="H97" i="7"/>
  <c r="E98" i="7"/>
  <c r="H90" i="7"/>
  <c r="D94" i="7"/>
  <c r="E109" i="7"/>
  <c r="E99" i="7"/>
  <c r="C95" i="7"/>
  <c r="C108" i="7"/>
  <c r="E92" i="7"/>
  <c r="E114" i="7"/>
  <c r="E110" i="7"/>
  <c r="C112" i="7"/>
  <c r="D95" i="7"/>
  <c r="I90" i="7"/>
  <c r="C97" i="7"/>
  <c r="E113" i="7"/>
  <c r="C94" i="7"/>
  <c r="D97" i="7"/>
  <c r="G90" i="7"/>
  <c r="F90" i="7"/>
  <c r="C37" i="7"/>
  <c r="E123" i="7" l="1"/>
  <c r="F123" i="7"/>
  <c r="I122" i="7"/>
  <c r="J90" i="7"/>
  <c r="G123" i="7"/>
  <c r="F130" i="7"/>
  <c r="H123" i="7"/>
  <c r="F122" i="7"/>
  <c r="C131" i="7"/>
  <c r="C39" i="7"/>
  <c r="I123" i="7"/>
  <c r="J97" i="7"/>
  <c r="E122" i="7"/>
  <c r="C130" i="7"/>
  <c r="G122" i="7"/>
  <c r="D123" i="7"/>
  <c r="C122" i="7"/>
  <c r="F131" i="7"/>
  <c r="D122" i="7"/>
  <c r="C123" i="7"/>
  <c r="H122" i="7"/>
  <c r="D124" i="7" l="1"/>
  <c r="C124" i="7"/>
  <c r="F124" i="7"/>
  <c r="H124" i="7"/>
  <c r="J122" i="7"/>
  <c r="C132" i="7"/>
  <c r="E124" i="7"/>
  <c r="J123" i="7"/>
  <c r="C137" i="7" s="1"/>
  <c r="G124" i="7"/>
  <c r="F132" i="7"/>
  <c r="I124" i="7"/>
  <c r="C136" i="7" l="1"/>
  <c r="C138" i="7" s="1"/>
  <c r="J124" i="7"/>
  <c r="E137" i="7"/>
  <c r="E136" i="7" l="1"/>
  <c r="E138" i="7"/>
  <c r="C148" i="7"/>
  <c r="C147" i="7" l="1"/>
  <c r="E147" i="7" s="1"/>
  <c r="E148" i="7"/>
  <c r="C149" i="7"/>
  <c r="H162" i="7" l="1"/>
  <c r="E163" i="7"/>
  <c r="C166" i="7"/>
  <c r="F162" i="7"/>
  <c r="D167" i="7"/>
  <c r="G162" i="7"/>
  <c r="E164" i="7"/>
  <c r="C180" i="7"/>
  <c r="C167" i="7"/>
  <c r="E181" i="7"/>
  <c r="E182" i="7"/>
  <c r="D166" i="7"/>
  <c r="I162" i="7"/>
  <c r="J162" i="7"/>
  <c r="E186" i="7"/>
  <c r="D169" i="7"/>
  <c r="C184" i="7"/>
  <c r="E185" i="7"/>
  <c r="C169" i="7"/>
  <c r="F169" i="7"/>
  <c r="G169" i="7"/>
  <c r="I169" i="7"/>
  <c r="E171" i="7"/>
  <c r="E170" i="7"/>
  <c r="H169" i="7"/>
  <c r="J169" i="7"/>
  <c r="E195" i="7" l="1"/>
  <c r="K195" i="7"/>
  <c r="D194" i="7"/>
  <c r="C194" i="7"/>
  <c r="F195" i="7"/>
  <c r="H194" i="7"/>
  <c r="I195" i="7"/>
  <c r="G195" i="7"/>
  <c r="C195" i="7"/>
  <c r="F194" i="7"/>
  <c r="L194" i="7"/>
  <c r="K194" i="7"/>
  <c r="L195" i="7"/>
  <c r="G194" i="7"/>
  <c r="D195" i="7"/>
  <c r="E194" i="7"/>
  <c r="J195" i="7"/>
  <c r="J194" i="7"/>
  <c r="H195" i="7"/>
  <c r="I194" i="7"/>
  <c r="G34" i="77" l="1"/>
  <c r="G4" i="77" s="1"/>
  <c r="H34" i="77"/>
  <c r="I196" i="7"/>
  <c r="L196" i="7"/>
  <c r="D196" i="7"/>
  <c r="C198" i="7"/>
  <c r="F196" i="7"/>
  <c r="K196" i="7"/>
  <c r="J196" i="7"/>
  <c r="H196" i="7"/>
  <c r="C196" i="7"/>
  <c r="C199" i="7"/>
  <c r="E196" i="7"/>
  <c r="G196" i="7"/>
  <c r="I34" i="77" l="1"/>
  <c r="N4" i="77" s="1"/>
  <c r="H4" i="77"/>
  <c r="C210" i="7"/>
  <c r="C200" i="7"/>
  <c r="C209" i="7"/>
  <c r="I4" i="77" l="1"/>
  <c r="I5" i="77" s="1"/>
  <c r="I22" i="77"/>
  <c r="I26" i="77" s="1"/>
  <c r="B26" i="77" s="1"/>
  <c r="B34" i="77"/>
  <c r="N5" i="77"/>
  <c r="N6" i="77"/>
  <c r="E209" i="7"/>
  <c r="C211" i="7"/>
  <c r="E210" i="7"/>
  <c r="B22" i="77" l="1"/>
  <c r="I23" i="77"/>
  <c r="F23" i="77" s="1"/>
  <c r="E211" i="7"/>
  <c r="M109" i="77" l="1"/>
  <c r="F22" i="77"/>
  <c r="R22" i="77" s="1"/>
  <c r="E23" i="77"/>
  <c r="Q23" i="77" s="1"/>
  <c r="E22" i="77"/>
  <c r="Q22" i="77" s="1"/>
  <c r="H23" i="77"/>
  <c r="R23" i="77"/>
  <c r="G22" i="77" l="1"/>
  <c r="G26" i="77" s="1"/>
  <c r="F34" i="77"/>
  <c r="H22" i="77"/>
  <c r="H26" i="77" s="1"/>
  <c r="E34" i="77"/>
  <c r="E35" i="77"/>
  <c r="I58" i="77" s="1"/>
  <c r="G23" i="77"/>
  <c r="Q24" i="77"/>
  <c r="R24" i="77"/>
  <c r="I57" i="77"/>
  <c r="J57" i="77" l="1"/>
  <c r="L57" i="77" s="1"/>
  <c r="S25" i="77"/>
  <c r="J24" i="77" s="1"/>
  <c r="K58" i="77"/>
  <c r="F48" i="77"/>
  <c r="E48" i="77"/>
  <c r="K57" i="77"/>
  <c r="E49" i="77" l="1"/>
  <c r="E51" i="77" s="1"/>
  <c r="G48" i="77"/>
  <c r="S40" i="77"/>
  <c r="S36" i="77" l="1"/>
  <c r="S42" i="77" s="1"/>
  <c r="S43" i="77" s="1"/>
  <c r="F35" i="77"/>
  <c r="J58" i="77" s="1"/>
  <c r="R27" i="77"/>
  <c r="S28" i="77" s="1"/>
  <c r="J27" i="77" s="1"/>
  <c r="T36" i="77" l="1"/>
  <c r="T42" i="77" s="1"/>
  <c r="L58" i="77"/>
  <c r="N109" i="77" s="1"/>
  <c r="S45" i="77"/>
  <c r="S44" i="77"/>
  <c r="F49" i="77" l="1"/>
  <c r="G49" i="77" s="1"/>
  <c r="F51" i="77" l="1"/>
  <c r="G51" i="77" s="1"/>
  <c r="S41" i="77"/>
  <c r="K27" i="77"/>
  <c r="K28" i="77" s="1"/>
  <c r="M28" i="77" l="1"/>
  <c r="L28" i="77"/>
</calcChain>
</file>

<file path=xl/sharedStrings.xml><?xml version="1.0" encoding="utf-8"?>
<sst xmlns="http://schemas.openxmlformats.org/spreadsheetml/2006/main" count="1310" uniqueCount="542">
  <si>
    <t>RS</t>
  </si>
  <si>
    <t>RHS</t>
  </si>
  <si>
    <t>RLM</t>
  </si>
  <si>
    <t>WH</t>
  </si>
  <si>
    <t>WHS</t>
  </si>
  <si>
    <t>GLP</t>
  </si>
  <si>
    <t>HS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</si>
  <si>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</si>
  <si>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</si>
  <si>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</si>
  <si>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</si>
  <si>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</si>
  <si>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</si>
  <si>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</si>
  <si>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</si>
  <si>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</si>
  <si>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</si>
  <si>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</si>
  <si>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</si>
  <si>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</si>
  <si>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On-Peak</t>
  </si>
  <si>
    <t>Off-Peak</t>
  </si>
  <si>
    <t>Annual</t>
  </si>
  <si>
    <t>Summer - all hrs</t>
  </si>
  <si>
    <t>Winter - all hrs</t>
  </si>
  <si>
    <t>Gen Obl - MW</t>
  </si>
  <si>
    <t>Trans Obl - MW</t>
  </si>
  <si>
    <t>Assumptions:</t>
  </si>
  <si>
    <t>Gen Cost</t>
  </si>
  <si>
    <t>Trans cost</t>
  </si>
  <si>
    <t>per MW-yr</t>
  </si>
  <si>
    <t>PLUS:</t>
  </si>
  <si>
    <t>DEMAND RATES</t>
  </si>
  <si>
    <t>Usage patterns =</t>
  </si>
  <si>
    <t>Gen Cost =</t>
  </si>
  <si>
    <t>Trans cost =</t>
  </si>
  <si>
    <t>LPL-S</t>
  </si>
  <si>
    <t>PSAL</t>
  </si>
  <si>
    <t>BPL</t>
  </si>
  <si>
    <t>Forwards Prices - Energy Only @ bulk system</t>
  </si>
  <si>
    <t>in $/MWh</t>
  </si>
  <si>
    <t>NON-DEMAND RATES</t>
  </si>
  <si>
    <t>Losses</t>
  </si>
  <si>
    <t xml:space="preserve"> -- Other Analysis --</t>
  </si>
  <si>
    <t>per MWh at customer (per customer metered MWh)</t>
  </si>
  <si>
    <t>Obligations =</t>
  </si>
  <si>
    <t>Losses =</t>
  </si>
  <si>
    <t>summer</t>
  </si>
  <si>
    <t>winter</t>
  </si>
  <si>
    <t>all months</t>
  </si>
  <si>
    <t>Profile Meter Data</t>
  </si>
  <si>
    <t>per kW of G obl /month</t>
  </si>
  <si>
    <t>per kW of T obl /month</t>
  </si>
  <si>
    <t>Summer</t>
  </si>
  <si>
    <t>Winter</t>
  </si>
  <si>
    <t>Total Costs - in $1000</t>
  </si>
  <si>
    <t>% of Annual Total $</t>
  </si>
  <si>
    <t>% of Annual Total $ by Rate</t>
  </si>
  <si>
    <t>Total Costs by Rate - in $1000</t>
  </si>
  <si>
    <t>Grand Total Cost in $1000 =</t>
  </si>
  <si>
    <t>On-Peak periods defined as the 16 hr PJM Trading period, adj for NERC holidays</t>
  </si>
  <si>
    <t>winter MWh =</t>
  </si>
  <si>
    <t>summer MWh =</t>
  </si>
  <si>
    <t>PJM Time Periods =</t>
  </si>
  <si>
    <t>Table #1</t>
  </si>
  <si>
    <t>Table #2</t>
  </si>
  <si>
    <t>Table #5</t>
  </si>
  <si>
    <t>Table #6</t>
  </si>
  <si>
    <t>Table #7</t>
  </si>
  <si>
    <t>Table #8</t>
  </si>
  <si>
    <t>Table #9</t>
  </si>
  <si>
    <t>Table #10</t>
  </si>
  <si>
    <t>Table #11</t>
  </si>
  <si>
    <t>Table #13</t>
  </si>
  <si>
    <t>Table #12</t>
  </si>
  <si>
    <t>Table #3</t>
  </si>
  <si>
    <t>Table #4</t>
  </si>
  <si>
    <t>in MW</t>
  </si>
  <si>
    <t>in MWh</t>
  </si>
  <si>
    <t>N/A</t>
  </si>
  <si>
    <t>PJM on pk</t>
  </si>
  <si>
    <t>PJM off pk</t>
  </si>
  <si>
    <t>in $1000</t>
  </si>
  <si>
    <t>System Total</t>
  </si>
  <si>
    <t>PSE&amp;G On pk</t>
  </si>
  <si>
    <t>PSE&amp;G Off pk</t>
  </si>
  <si>
    <t>Annual Average</t>
  </si>
  <si>
    <t>System Average</t>
  </si>
  <si>
    <t>includes energy, G&amp;T obligations, and Ancillary Services - adjusted to billing time periods</t>
  </si>
  <si>
    <t>includes energy and Ancillary Services, G&amp;T obligations charged separately - adjusted to billing time periods</t>
  </si>
  <si>
    <t>PSE&amp;G Billing time periods =</t>
  </si>
  <si>
    <t>Adjusted to Billing Time Periods</t>
  </si>
  <si>
    <t>Table #14</t>
  </si>
  <si>
    <t>Table #15</t>
  </si>
  <si>
    <t xml:space="preserve"> PJM trading time periods - 7 AM to 11 PM weekdays, local time, x NERC </t>
  </si>
  <si>
    <t xml:space="preserve"> as per specific rate schedule</t>
  </si>
  <si>
    <t xml:space="preserve">   --- Other Analysis ---</t>
  </si>
  <si>
    <t xml:space="preserve">     holidays - New Year's, Memorial, 4th of July, Labor Day, Thanksgiving &amp; Christmas</t>
  </si>
  <si>
    <t>$/MW/day</t>
  </si>
  <si>
    <t>per kW/yr</t>
  </si>
  <si>
    <t xml:space="preserve">Resulting average generation capacity cost = </t>
  </si>
  <si>
    <t>Transmission Cost</t>
  </si>
  <si>
    <t>Generation Capacity cost</t>
  </si>
  <si>
    <t># of summer days =</t>
  </si>
  <si>
    <t># of winter days =</t>
  </si>
  <si>
    <t># of summer months =</t>
  </si>
  <si>
    <t># of winter months =</t>
  </si>
  <si>
    <t>annual  &gt;&gt;</t>
  </si>
  <si>
    <t>ALL RATES</t>
  </si>
  <si>
    <t>Annual - including T&amp;G Obl $</t>
  </si>
  <si>
    <t># of Months and Days used in this analysis</t>
  </si>
  <si>
    <t>total # months =</t>
  </si>
  <si>
    <t>Annual -all hrs</t>
  </si>
  <si>
    <t>Annual - all hrs</t>
  </si>
  <si>
    <t>Annual - all hrs per MWh only</t>
  </si>
  <si>
    <t>Analysis time period =</t>
  </si>
  <si>
    <t>summer months</t>
  </si>
  <si>
    <t>winter months</t>
  </si>
  <si>
    <t>Transmission Obl - all months</t>
  </si>
  <si>
    <t>on-peak</t>
  </si>
  <si>
    <t>off-peak</t>
  </si>
  <si>
    <t>Note: Obligation $ included in On pk costs</t>
  </si>
  <si>
    <t>Multiplier</t>
  </si>
  <si>
    <t>Total Rate Revenue - in $1000</t>
  </si>
  <si>
    <t>Total Supplier Payment - in $1000</t>
  </si>
  <si>
    <t>Assumed Winning Bid Price =</t>
  </si>
  <si>
    <t>Payment Ratio - Winter =</t>
  </si>
  <si>
    <t>Payment Ratio - Summer =</t>
  </si>
  <si>
    <t>Table #16</t>
  </si>
  <si>
    <t>% Usage During PJM On-Peak Period</t>
  </si>
  <si>
    <t>% Usage During PSE&amp;G On-Peak Billing Period</t>
  </si>
  <si>
    <t>Class Usage @ customer</t>
  </si>
  <si>
    <t>Summary of Average BGS Energy Only Costs @ customer - PJM Time Periods</t>
  </si>
  <si>
    <t>Summary of Average BGS Energy Only Unit Costs @ customer - PSE&amp;G Time Periods</t>
  </si>
  <si>
    <t>Summary of BGS Unit Costs @ customer</t>
  </si>
  <si>
    <t>Summary of Total BGS Costs by Season</t>
  </si>
  <si>
    <t>Ratio to All-In Cost &gt;&gt;&gt;</t>
  </si>
  <si>
    <t>Energy Costs =</t>
  </si>
  <si>
    <t>Summary of Average BGS Energy Only Unit Costs @ customer - PJM Time Periods</t>
  </si>
  <si>
    <t>Summary of Obligation Costs Expressed as $/MWh @ customer (for non-demand rates only)</t>
  </si>
  <si>
    <t>All-In Average cost @ customer =</t>
  </si>
  <si>
    <t>per MWh</t>
  </si>
  <si>
    <t>per MWh @  bulk system</t>
  </si>
  <si>
    <t>MWhs in PJM time periods</t>
  </si>
  <si>
    <t>MWhs in PSE&amp;G time periods</t>
  </si>
  <si>
    <t>Difference in MWhs</t>
  </si>
  <si>
    <t>(PJM - PSE&amp;G)</t>
  </si>
  <si>
    <t>Check on total $ recovered</t>
  </si>
  <si>
    <t>PSE&amp;G time periods</t>
  </si>
  <si>
    <t>PJM time periods (Table #8)</t>
  </si>
  <si>
    <t>summer =</t>
  </si>
  <si>
    <t>winter =</t>
  </si>
  <si>
    <t xml:space="preserve">Generation Obl -                </t>
  </si>
  <si>
    <t>per annual MWh</t>
  </si>
  <si>
    <t>recovery per summer MWh</t>
  </si>
  <si>
    <t>recovery per winter MWh</t>
  </si>
  <si>
    <t xml:space="preserve">For RLM, per </t>
  </si>
  <si>
    <t>on-peak kWh only</t>
  </si>
  <si>
    <t>Generation &amp; Transmission Obligations and Costs and Other Adjustments</t>
  </si>
  <si>
    <t>Block 2 (&gt;600 kWh/m)</t>
  </si>
  <si>
    <t>Block 1 (0-600 kWh/m)</t>
  </si>
  <si>
    <t>¢/kWh</t>
  </si>
  <si>
    <t>Block 1</t>
  </si>
  <si>
    <t>Block 2</t>
  </si>
  <si>
    <t>All usage Multiplier</t>
  </si>
  <si>
    <t>for Block 1 (0-600 kWh/m) usage</t>
  </si>
  <si>
    <t>for Block 2 (&gt;600 kWh/m) usage</t>
  </si>
  <si>
    <t>Use weighted average</t>
  </si>
  <si>
    <t>for all streetlighting =</t>
  </si>
  <si>
    <t>Total Summer</t>
  </si>
  <si>
    <t>Total Winter</t>
  </si>
  <si>
    <t>Grand Total</t>
  </si>
  <si>
    <t>Constant (in $/MWh)</t>
  </si>
  <si>
    <t>% usage during Off-Peak period</t>
  </si>
  <si>
    <t xml:space="preserve"> based on Forwards @ PJM West - corrected for congestion</t>
  </si>
  <si>
    <t>LMP ratio</t>
  </si>
  <si>
    <t>Resulting</t>
  </si>
  <si>
    <t>Off/On Pk</t>
  </si>
  <si>
    <t>Zone to Western Hub Basis Differential</t>
  </si>
  <si>
    <t>year round =</t>
  </si>
  <si>
    <t xml:space="preserve">/MW day </t>
  </si>
  <si>
    <t>Difference ( in $1000) =</t>
  </si>
  <si>
    <t>rounded to 4 decimal places</t>
  </si>
  <si>
    <t>Note: Minor differences in totals are due to rounding of Bid Factors and Payment Factors</t>
  </si>
  <si>
    <t>Required summer inversion =</t>
  </si>
  <si>
    <t>Block 2  (&gt;600 kWh/m)</t>
  </si>
  <si>
    <t>% usage in Summer Blocks</t>
  </si>
  <si>
    <t>(same as 2003/2004 BGS blocking inversion)</t>
  </si>
  <si>
    <t>Usage by season - PSE&amp;G periods</t>
  </si>
  <si>
    <t>Usage by season/period - PJM periods</t>
  </si>
  <si>
    <t>in MWhs</t>
  </si>
  <si>
    <t>Total on-peak</t>
  </si>
  <si>
    <t>Total off-peak</t>
  </si>
  <si>
    <t>%</t>
  </si>
  <si>
    <t>kWh</t>
  </si>
  <si>
    <t>% of</t>
  </si>
  <si>
    <t>Gen Obl</t>
  </si>
  <si>
    <t>Trans Obl</t>
  </si>
  <si>
    <t>Adj for PLS</t>
  </si>
  <si>
    <t>NON-DEMAND RATES -----------------------------------------------------------------------------------------------------------------------------------------------------------------------</t>
  </si>
  <si>
    <t>DEMAND RATES --------------------------------------------------------------------------------------------------------------------------------------------------------------------------------</t>
  </si>
  <si>
    <t>line #</t>
  </si>
  <si>
    <t>Notes:</t>
  </si>
  <si>
    <t>Winning Bid - in $/MWh</t>
  </si>
  <si>
    <t>Payment Factors</t>
  </si>
  <si>
    <t xml:space="preserve">                           Summer</t>
  </si>
  <si>
    <t xml:space="preserve">                           Winter</t>
  </si>
  <si>
    <t xml:space="preserve">                           Summer MWh</t>
  </si>
  <si>
    <t xml:space="preserve">                           Winter MWh</t>
  </si>
  <si>
    <t xml:space="preserve">                           Total</t>
  </si>
  <si>
    <t>= sum(line 10) / [ (6) + (7)]</t>
  </si>
  <si>
    <t xml:space="preserve">   &lt;&lt;&lt; used in calculation of</t>
  </si>
  <si>
    <t xml:space="preserve">           Customer Rates</t>
  </si>
  <si>
    <t xml:space="preserve">                Total weighted average</t>
  </si>
  <si>
    <t>Difference =</t>
  </si>
  <si>
    <t>Total Payment to Suppliers =</t>
  </si>
  <si>
    <t>= sum (line 10)</t>
  </si>
  <si>
    <t>= line (14) - line (15)</t>
  </si>
  <si>
    <t>= (13) * [(6)+(7)] / 1000</t>
  </si>
  <si>
    <t>Actual Billed Sales</t>
  </si>
  <si>
    <r>
      <t xml:space="preserve">Spreadsheet Error Checking - </t>
    </r>
    <r>
      <rPr>
        <i/>
        <sz val="10"/>
        <rFont val="Arial"/>
        <family val="2"/>
      </rPr>
      <t>Reconciliation of Customer Revenue and Supplier Payments, based on above data only</t>
    </r>
  </si>
  <si>
    <t>Differences - in $1000</t>
  </si>
  <si>
    <t xml:space="preserve">   rounded to 4 decimal places</t>
  </si>
  <si>
    <t xml:space="preserve">Note: These differences are due to rounding and seasonal differences in Bidder Payments (which are based on prior </t>
  </si>
  <si>
    <t xml:space="preserve">          wining bids and Seasonal Payment Factors) and current Rates (based on current seasonal market differentials)</t>
  </si>
  <si>
    <t>% difference</t>
  </si>
  <si>
    <t>Total Supplier Energy</t>
  </si>
  <si>
    <t>Table #17</t>
  </si>
  <si>
    <t xml:space="preserve"> Delivery losses from tariff, PJM losses based on 3 year average %</t>
  </si>
  <si>
    <t xml:space="preserve"> class totals in effect as of filing date</t>
  </si>
  <si>
    <t>in $/MWh, not including PJM losses</t>
  </si>
  <si>
    <t>(data rounded to nearest .01%)</t>
  </si>
  <si>
    <t>based on Forwards prices corrected for congestion &amp; all losses - PJM time periods</t>
  </si>
  <si>
    <t>based on Forwards prices corrected for congestion &amp; all losses</t>
  </si>
  <si>
    <t>based on Forwards prices corrected for congestion &amp; all losses - PSE&amp;G billing time periods</t>
  </si>
  <si>
    <r>
      <t>Reconciliation of amounts</t>
    </r>
    <r>
      <rPr>
        <i/>
        <sz val="10"/>
        <rFont val="Arial"/>
        <family val="2"/>
      </rPr>
      <t xml:space="preserve"> - in $1000</t>
    </r>
  </si>
  <si>
    <t>Weighted Average * Total MWh =</t>
  </si>
  <si>
    <t>MWh</t>
  </si>
  <si>
    <t>Table A</t>
  </si>
  <si>
    <t>Table B</t>
  </si>
  <si>
    <t>Table C</t>
  </si>
  <si>
    <t>Table D</t>
  </si>
  <si>
    <r>
      <t xml:space="preserve">Revenue Recovery Calculations - </t>
    </r>
    <r>
      <rPr>
        <i/>
        <sz val="10"/>
        <rFont val="Arial"/>
        <family val="2"/>
      </rPr>
      <t>Reconciliation of seasonal Customer Revenue and Supplier Payments, based on actual anticipated revenues and payments</t>
    </r>
  </si>
  <si>
    <t>Total Preliminary Rate Revenue - in $1000</t>
  </si>
  <si>
    <t>Adjustment</t>
  </si>
  <si>
    <t>Factors</t>
  </si>
  <si>
    <t>includes energy, G&amp;T obligations, and Ancillary Services - adjusted to billing time periods &amp; adjustment to energy price</t>
  </si>
  <si>
    <t>includes energy and Ancillary Services, G&amp;T obligations charged separately - adjusted to billing time periods &amp; adjustment to energy price</t>
  </si>
  <si>
    <t xml:space="preserve">   rounded to 5 decimal places</t>
  </si>
  <si>
    <t>Energy $</t>
  </si>
  <si>
    <t>Obligation $</t>
  </si>
  <si>
    <t>Total $</t>
  </si>
  <si>
    <t>kWh Rate</t>
  </si>
  <si>
    <t>Table E</t>
  </si>
  <si>
    <r>
      <t>Spreadsheet Error Checking</t>
    </r>
    <r>
      <rPr>
        <i/>
        <sz val="10"/>
        <rFont val="Arial"/>
        <family val="2"/>
      </rPr>
      <t xml:space="preserve"> - Checking of seasonal Customer Revenue and Supplier Payments, based on final actual anticipated revenues and payments</t>
    </r>
  </si>
  <si>
    <r>
      <t xml:space="preserve">Preliminary Resulting BGS Rates (in cents per kWh) - </t>
    </r>
    <r>
      <rPr>
        <i/>
        <sz val="10"/>
        <rFont val="Arial"/>
        <family val="2"/>
      </rPr>
      <t>equal to bid factors times weighted average bid price</t>
    </r>
  </si>
  <si>
    <t>Table F</t>
  </si>
  <si>
    <t xml:space="preserve">   rounded to 3 decimal places</t>
  </si>
  <si>
    <t>= sum(line 8) / (6) - rounded to 3 decimal places</t>
  </si>
  <si>
    <t>= sum(line 9) / (7) - rounded to 3 decimal places</t>
  </si>
  <si>
    <t>Auction Results</t>
  </si>
  <si>
    <t xml:space="preserve">     Loss Factors =</t>
  </si>
  <si>
    <t xml:space="preserve">     Expansion Factor =</t>
  </si>
  <si>
    <t xml:space="preserve">     1 / Expansion Factor =</t>
  </si>
  <si>
    <t>per MWh at transmission nodes (per metered MWh at transmission node)</t>
  </si>
  <si>
    <r>
      <t>Ratio of BGS Unit Costs @ customer to All-In Average Cost @ transmission nodes -</t>
    </r>
    <r>
      <rPr>
        <i/>
        <sz val="10"/>
        <rFont val="Arial"/>
        <family val="2"/>
      </rPr>
      <t xml:space="preserve"> rounded to 3 decimal places, unit obligation $ rounded to 4 decimal places</t>
    </r>
  </si>
  <si>
    <t>@ transmission nodes</t>
  </si>
  <si>
    <r>
      <t xml:space="preserve">Applicable Customer Usage @ transmission nodes </t>
    </r>
    <r>
      <rPr>
        <b/>
        <i/>
        <sz val="10"/>
        <rFont val="Arial"/>
        <family val="2"/>
      </rPr>
      <t xml:space="preserve">- </t>
    </r>
    <r>
      <rPr>
        <i/>
        <sz val="10"/>
        <rFont val="Arial"/>
        <family val="2"/>
      </rPr>
      <t>in MWh</t>
    </r>
  </si>
  <si>
    <r>
      <t xml:space="preserve">Total Payment to Suppliers </t>
    </r>
    <r>
      <rPr>
        <i/>
        <sz val="10"/>
        <rFont val="Arial"/>
        <family val="2"/>
      </rPr>
      <t xml:space="preserve">- in $1000 </t>
    </r>
  </si>
  <si>
    <r>
      <t xml:space="preserve">Average Payment to Suppliers </t>
    </r>
    <r>
      <rPr>
        <i/>
        <sz val="10"/>
        <rFont val="Arial"/>
        <family val="2"/>
      </rPr>
      <t>- in $/MWh</t>
    </r>
  </si>
  <si>
    <t>Ratio of BGS Unit Costs @ customer to All-In Average Cost @ transmission nodes</t>
  </si>
  <si>
    <t>Note: $ reflect total payment</t>
  </si>
  <si>
    <t xml:space="preserve">      (includes all payments, including impact of PJM marginal losses)</t>
  </si>
  <si>
    <t xml:space="preserve">         If total $ were split on a per MWh basis (on transmission node MWhs):</t>
  </si>
  <si>
    <t>per MWh @ trans nodes</t>
  </si>
  <si>
    <t>(bid includes payments for all losses)</t>
  </si>
  <si>
    <t>from meter to transmission node (includes Delivery less mean hourly PJM marginal losses)</t>
  </si>
  <si>
    <t>from meter to bulk system (includes Delivery &amp; PJM EHV losses)</t>
  </si>
  <si>
    <t>All-In Average costs @ transmission nodes =</t>
  </si>
  <si>
    <t xml:space="preserve"> </t>
  </si>
  <si>
    <t>rounded to 3 decimal places, unit obligation $ rounded to 4 decimal places</t>
  </si>
  <si>
    <t>June - September (0-600)</t>
  </si>
  <si>
    <t>June - September (600+)</t>
  </si>
  <si>
    <t>Total Summer Usage</t>
  </si>
  <si>
    <t>Tranmsission Obligation</t>
  </si>
  <si>
    <t>Final Zonal RPM Scaling Factor</t>
  </si>
  <si>
    <r>
      <t xml:space="preserve">Final Resulting BGS Rates from Auctions (in cents per kWh) - </t>
    </r>
    <r>
      <rPr>
        <i/>
        <sz val="10"/>
        <rFont val="Arial"/>
        <family val="2"/>
      </rPr>
      <t>with preliminary kWh rates adjusted by the kWh Rate Adjustment Factor</t>
    </r>
  </si>
  <si>
    <t>annual</t>
  </si>
  <si>
    <t>Delivery Losses</t>
  </si>
  <si>
    <t>EHV Losses</t>
  </si>
  <si>
    <t>Source</t>
  </si>
  <si>
    <t>Loss Type</t>
  </si>
  <si>
    <t>Percentage</t>
  </si>
  <si>
    <t>PJM</t>
  </si>
  <si>
    <t>NERA</t>
  </si>
  <si>
    <t>Marginal Loss Deration Factor</t>
  </si>
  <si>
    <t>Marginal Loss Factor</t>
  </si>
  <si>
    <t>LPL-S &gt; 500 kW PLS</t>
  </si>
  <si>
    <t>&lt; 500 kW</t>
  </si>
  <si>
    <t>&gt; 500 kW</t>
  </si>
  <si>
    <t>Generation Peak Load Share</t>
  </si>
  <si>
    <t># of Tranches for Bid</t>
  </si>
  <si>
    <t>Total # of Tranches</t>
  </si>
  <si>
    <t>Total - in $/MWh</t>
  </si>
  <si>
    <t>Base
Capacity</t>
  </si>
  <si>
    <t>Total Capacity</t>
  </si>
  <si>
    <t>Sum</t>
  </si>
  <si>
    <t>Win</t>
  </si>
  <si>
    <t>Notes</t>
  </si>
  <si>
    <t>BGS - CIEP BRA Clearing Price ($ per MW/Day)</t>
  </si>
  <si>
    <t>Annual Obligation Clearing Price</t>
  </si>
  <si>
    <t>Bill Impacts</t>
  </si>
  <si>
    <t>Scenario Name</t>
  </si>
  <si>
    <t>Report year</t>
  </si>
  <si>
    <t>Scenario Descr</t>
  </si>
  <si>
    <t xml:space="preserve">Congestion Factors &amp; On/Off Peak Ratios </t>
  </si>
  <si>
    <t>Total Tranches</t>
  </si>
  <si>
    <t>Ancillary Services &amp; Renewable Power Cost</t>
  </si>
  <si>
    <t xml:space="preserve">Ancillary Services </t>
  </si>
  <si>
    <t>Renewable Power Cost</t>
  </si>
  <si>
    <t>Basis</t>
  </si>
  <si>
    <t>remaining portion of 36 month bid - 2016 auction</t>
  </si>
  <si>
    <t>Ancillary Services &amp; RPS =</t>
  </si>
  <si>
    <t>NJ SUT (Sales &amp; Use Tax) =</t>
  </si>
  <si>
    <t>SUT excluded from all rates</t>
  </si>
  <si>
    <t>NJ Sales &amp; Use Tax (SUT) excluded</t>
  </si>
  <si>
    <t>Use Estimated amount in cell e136</t>
  </si>
  <si>
    <t>remaining portion of 36 month bid - 2017 auction</t>
  </si>
  <si>
    <t>Tariff (Result of 2018 Loss Study)</t>
  </si>
  <si>
    <t>(based on W/N actuals used in settlement and final rate design of 2018 Rate Case, rounded to .1%)</t>
  </si>
  <si>
    <t>(same as 2003/2004 BGS blocking inversion)(generally not updated)</t>
  </si>
  <si>
    <t>remaining portion of 36 month bid - 2019 auction</t>
  </si>
  <si>
    <t>remaining portion of 36 month bid - 2018 auction</t>
  </si>
  <si>
    <t>Base Capacity</t>
  </si>
  <si>
    <t>remaining portion of 36 month bid - 2020 auction</t>
  </si>
  <si>
    <t>Blocking Percentages based on Annualized W/N Usage Used in 2018 Electric Rate Case Settlement</t>
  </si>
  <si>
    <t>1A</t>
  </si>
  <si>
    <t>Capacity Proxy Price True-Up - in $/MWh</t>
  </si>
  <si>
    <t>1B</t>
  </si>
  <si>
    <t>1C</t>
  </si>
  <si>
    <t>= line 1 + line 1A - line 1B</t>
  </si>
  <si>
    <t>Eligible Tranches</t>
  </si>
  <si>
    <t>includes energy, Generation obligations, Ancillary Services and Renewable Power Costs- adjusted to billing time periods</t>
  </si>
  <si>
    <t>Including Generation Obligation $</t>
  </si>
  <si>
    <t>Annual - including Gen Obl $</t>
  </si>
  <si>
    <t>Capacity Proxy Price ($/MW-day)</t>
  </si>
  <si>
    <t>Capacity Proxy Price True-Up - $/MW-day</t>
  </si>
  <si>
    <t xml:space="preserve">= line 1 - line 2 </t>
  </si>
  <si>
    <t>BGS-RSCP Gen Obl - MW</t>
  </si>
  <si>
    <t>Days in Year</t>
  </si>
  <si>
    <t xml:space="preserve">Capacity Proxy Price True-Up Annual Cost </t>
  </si>
  <si>
    <t>= line 3 * line 4 * line 5</t>
  </si>
  <si>
    <t>from Table A</t>
  </si>
  <si>
    <t>% of tranches eligible for payment</t>
  </si>
  <si>
    <t>= line 7 / line 8</t>
  </si>
  <si>
    <t xml:space="preserve">Capacity Proxy Price True-Up Cost </t>
  </si>
  <si>
    <t>= line 6 * line 9</t>
  </si>
  <si>
    <t>Total Applicable Customer Usage @ bulk system - in MWh</t>
  </si>
  <si>
    <r>
      <t xml:space="preserve">Eligible Customer Usage @ bulk system </t>
    </r>
    <r>
      <rPr>
        <b/>
        <i/>
        <sz val="10"/>
        <rFont val="Arial"/>
        <family val="2"/>
      </rPr>
      <t>- in MWh</t>
    </r>
  </si>
  <si>
    <t>= line 9 * line 11</t>
  </si>
  <si>
    <t>Capacity Proxy Price True-Up - $/MWh</t>
  </si>
  <si>
    <t>= line 10/ line 12 - rounded to 2 decimal places</t>
  </si>
  <si>
    <t>Table A With Additional Line Item</t>
  </si>
  <si>
    <t>Specific BGS-RSCP Auction &gt;&gt;</t>
  </si>
  <si>
    <t>remaining portion of 36 month bid - 2021 auction</t>
  </si>
  <si>
    <t>Applicable Customer Usage @ bulk system - in MWh</t>
  </si>
  <si>
    <t>= sum(line 8) / (6) - rounded to 2 decimal places</t>
  </si>
  <si>
    <t>= sum(line 9) / (7) - rounded to 2 decimal places</t>
  </si>
  <si>
    <t xml:space="preserve">   rounded to 2 decimal places</t>
  </si>
  <si>
    <t>remaining portion of 36 month bid - 2022 auction</t>
  </si>
  <si>
    <t>Capacity Proxy True Up</t>
  </si>
  <si>
    <t>as may be determined by the RPM or its successor or otherwise</t>
  </si>
  <si>
    <t>Zonal Capacity Price ($/MW-day)</t>
  </si>
  <si>
    <t>Winning Bids</t>
  </si>
  <si>
    <t>Yes</t>
  </si>
  <si>
    <t xml:space="preserve">= ((1C * (2)/(3) * (4) * (6)) /1000 </t>
  </si>
  <si>
    <t>= ((1C * (2)/(3) * (5) * (7)) /1000</t>
  </si>
  <si>
    <t>Development of Capacity Proxy Price True-Up - $/MWh</t>
  </si>
  <si>
    <t>remaining portion of 36 month bid - 2023 auction</t>
  </si>
  <si>
    <t>= line 1 + line 1A</t>
  </si>
  <si>
    <t>= (1B * (2)/(3) * (4) * (6)) / 1000</t>
  </si>
  <si>
    <t>= (1B * (2)/(3) * (5) * (7)) / 1000</t>
  </si>
  <si>
    <t>Illustrative Purposes Only</t>
  </si>
  <si>
    <t>remaining portion of 36 month bid - 2024 auction</t>
  </si>
  <si>
    <t>W</t>
  </si>
  <si>
    <t>remaining portion of 36 month bid - 2025 auction</t>
  </si>
  <si>
    <t xml:space="preserve">calc is :     = 1 - </t>
  </si>
  <si>
    <t>divided by:</t>
  </si>
  <si>
    <t>(1 - EHV losses (.456%)</t>
  </si>
  <si>
    <t>(1 - marginal loss (1.3154%)</t>
  </si>
  <si>
    <t xml:space="preserve">Therefore:  1 - </t>
  </si>
  <si>
    <t>1-0.013154</t>
  </si>
  <si>
    <t>1-0.00456</t>
  </si>
  <si>
    <t>2027/2028 Delivery Year - Illustrative Data</t>
  </si>
  <si>
    <t>2027/28
Delivery Year</t>
  </si>
  <si>
    <t>remaining portion of 36 month bid - 2026 auction</t>
  </si>
  <si>
    <t>check</t>
  </si>
  <si>
    <t>factor</t>
  </si>
  <si>
    <t>from current Attach2 - BidFactors</t>
  </si>
  <si>
    <t>from Table #17 of the current Attach2 - BidFactors</t>
  </si>
  <si>
    <t>from Table #14 of the bid factor spreadsheet (Attach2 - BidFactors)</t>
  </si>
  <si>
    <t>entered after 2028 BGS Auction</t>
  </si>
  <si>
    <t>(Table 10 Part C)</t>
  </si>
  <si>
    <t>(Table 10 Part B)</t>
  </si>
  <si>
    <t>(Table 10 Part A)</t>
  </si>
  <si>
    <t>(Table 10 Part D)</t>
  </si>
  <si>
    <t>T11 Part a</t>
  </si>
  <si>
    <t>T11 Part b</t>
  </si>
  <si>
    <t>T11 Part c</t>
  </si>
  <si>
    <t>Part A</t>
  </si>
  <si>
    <t>Part 5A</t>
  </si>
  <si>
    <t>Part 3B</t>
  </si>
  <si>
    <t>Tariff (Result of 2018 Rate Case Loss Study) No change JC</t>
  </si>
  <si>
    <t>Part 5B</t>
  </si>
  <si>
    <t>from NERA</t>
  </si>
  <si>
    <t>Summer Avg's from</t>
  </si>
  <si>
    <t xml:space="preserve">Winter Avg's from </t>
  </si>
  <si>
    <t>Capacity Proxy Price True-Up Development for Winning Suppliers from 2025 BGS-RSCP Auction</t>
  </si>
  <si>
    <t>2028/2029 Delivery Year - Illustrative Data</t>
  </si>
  <si>
    <t>2028/29
Delivery Year</t>
  </si>
  <si>
    <t>PJM - No update for 2025</t>
  </si>
  <si>
    <t>Calculation of June 2028 to May 2029 BGS-RSCP Rates</t>
  </si>
  <si>
    <t>remaining portion of 36 month bid - 2027 auction</t>
  </si>
  <si>
    <t>36 month bid - 2028 auction</t>
  </si>
  <si>
    <t>28/29 Capacity Proxy Price True-up - in $/MWh</t>
  </si>
  <si>
    <t>Total Ancillary Services &amp; Renewable Power Costs</t>
  </si>
  <si>
    <t>2026 ciep winning bid as of 2/2026</t>
  </si>
  <si>
    <t>Prior</t>
  </si>
  <si>
    <t>PJM June 1, 2025 (through May 31, 2026) Forecast Pool Requirement</t>
  </si>
  <si>
    <t>DECREASE</t>
  </si>
  <si>
    <t>$/kWh</t>
  </si>
  <si>
    <t>$k</t>
  </si>
  <si>
    <t>Summer (S)</t>
  </si>
  <si>
    <t>Winter (W)</t>
  </si>
  <si>
    <t>S</t>
  </si>
  <si>
    <t>Total Revenue Requiremet</t>
  </si>
  <si>
    <t>Total w/ SC</t>
  </si>
  <si>
    <t>Total w/o Service Charge</t>
  </si>
  <si>
    <t>Total w/o SC</t>
  </si>
  <si>
    <t>Customer Service Charge</t>
  </si>
  <si>
    <t>&lt;- "rs" cell J62</t>
  </si>
  <si>
    <t>zero</t>
  </si>
  <si>
    <t>Distribution - System Delivery</t>
  </si>
  <si>
    <t>&lt;- "rs" cell I165</t>
  </si>
  <si>
    <t>mid-peak</t>
  </si>
  <si>
    <t>to migitigae summer increase</t>
  </si>
  <si>
    <t>Distribution - Local Delivery</t>
  </si>
  <si>
    <t>&lt;- "rs" cell I164</t>
  </si>
  <si>
    <t>spriead to peak+ mid</t>
  </si>
  <si>
    <t>with 50% rate to off</t>
  </si>
  <si>
    <t>Distribtuition billed reve</t>
  </si>
  <si>
    <t>Total delivery</t>
  </si>
  <si>
    <t>Zero if correct</t>
  </si>
  <si>
    <t>\</t>
  </si>
  <si>
    <t>move from COS to current rates</t>
  </si>
  <si>
    <t>Check</t>
  </si>
  <si>
    <t>Recover all but off peak</t>
  </si>
  <si>
    <t>spread to all but off peak</t>
  </si>
  <si>
    <t>avg rate</t>
  </si>
  <si>
    <t>zeor nighttime</t>
  </si>
  <si>
    <t>Days</t>
  </si>
  <si>
    <t>$/MWh RS Cost from BGS model</t>
  </si>
  <si>
    <t>Generation Capacity Cost</t>
  </si>
  <si>
    <t>Capacity</t>
  </si>
  <si>
    <t>Input energy only</t>
  </si>
  <si>
    <t>Change this cell in goal seek</t>
  </si>
  <si>
    <t>Target to Zero</t>
  </si>
  <si>
    <t>Energy</t>
  </si>
  <si>
    <t>on peak</t>
  </si>
  <si>
    <t>mid peak</t>
  </si>
  <si>
    <t>Distribution</t>
  </si>
  <si>
    <t>Generation Energy Revenue</t>
  </si>
  <si>
    <t>Total Generation</t>
  </si>
  <si>
    <t>Load Shape</t>
  </si>
  <si>
    <t>Total Bill</t>
  </si>
  <si>
    <t>SUT Factor</t>
  </si>
  <si>
    <t>kWh Rates</t>
  </si>
  <si>
    <t>w/o SUT</t>
  </si>
  <si>
    <t>w/ SUT</t>
  </si>
  <si>
    <t>Rate</t>
  </si>
  <si>
    <t>Period</t>
  </si>
  <si>
    <t>3P</t>
  </si>
  <si>
    <t>Expansion factor customer to bulk system</t>
  </si>
  <si>
    <t>Hard coded</t>
  </si>
  <si>
    <t>hard coded</t>
  </si>
  <si>
    <t>auction results and rates tab for rebase</t>
  </si>
  <si>
    <t>2027 Auction  Winning Bid</t>
  </si>
  <si>
    <t>Updated per NERA file June 8, 2026</t>
  </si>
  <si>
    <t>period ending June 2026</t>
  </si>
  <si>
    <t>NERA Update June 8, 2026</t>
  </si>
  <si>
    <t>Obligations - Peak Load shares eff 6/1/26, scaling factors eff 6/8/2026, Transmission Loads eff 6/8/26; costs are market estimates</t>
  </si>
  <si>
    <t>Updated per NERA file June 8, 2026 [Ancillary services T11] tab</t>
  </si>
  <si>
    <t>per Board Orders dated 11/21/2024</t>
  </si>
  <si>
    <t>Capacity Proxy Price True-Up Development for Winning Suppliers from 2026 BGS-RSCP Auction</t>
  </si>
  <si>
    <r>
      <t xml:space="preserve">Capacity Proxy Price True-Up Development for Winning Suppliers from 2027 BGS-RSCP Auction 
</t>
    </r>
    <r>
      <rPr>
        <sz val="10"/>
        <color rgb="FFC00000"/>
        <rFont val="Arial"/>
        <family val="2"/>
      </rPr>
      <t>(if needed)</t>
    </r>
  </si>
  <si>
    <t>2029/2030 Delivery Year - Illustrative Data</t>
  </si>
  <si>
    <t>2029/30
Delivery Year</t>
  </si>
  <si>
    <t>Calculation of June 2029 to May 2030 BGS-RSCP Rates</t>
  </si>
  <si>
    <t>remaining portion of 36 month bid - 2028 auction</t>
  </si>
  <si>
    <t>36 month bid - 2029 auction</t>
  </si>
  <si>
    <t>29/30 Capacity Proxy Price True-up - in $/MWh</t>
  </si>
  <si>
    <t>entered after 2029 BGS Auction</t>
  </si>
  <si>
    <t>All</t>
  </si>
  <si>
    <r>
      <t>Rate Summary -</t>
    </r>
    <r>
      <rPr>
        <i/>
        <sz val="12"/>
        <color theme="1"/>
        <rFont val="Calibri"/>
        <family val="2"/>
      </rPr>
      <t>Proposed 2027/2028</t>
    </r>
  </si>
  <si>
    <t>entered after 2027 Auction</t>
  </si>
  <si>
    <t>Current TOU w/SUT 6/1/26</t>
  </si>
  <si>
    <t xml:space="preserve">Summer RS </t>
  </si>
  <si>
    <t xml:space="preserve">Winter RS </t>
  </si>
  <si>
    <t>RS Current 0-600</t>
  </si>
  <si>
    <t>RS Current Over 600</t>
  </si>
  <si>
    <t>RS Proposed 0-600</t>
  </si>
  <si>
    <t>RS Proposed over 600</t>
  </si>
  <si>
    <t>RS current 0-600</t>
  </si>
  <si>
    <t>RS current over 600</t>
  </si>
  <si>
    <t>RS Proposed Over 600</t>
  </si>
  <si>
    <t xml:space="preserve">Current On Peak </t>
  </si>
  <si>
    <t>Current Mid Peak</t>
  </si>
  <si>
    <t>Current Off Peak</t>
  </si>
  <si>
    <t>RS Total Rate</t>
  </si>
  <si>
    <t>TOU Total Rate</t>
  </si>
  <si>
    <t xml:space="preserve">Proposed On Peak </t>
  </si>
  <si>
    <t>Proposed Mid Peak</t>
  </si>
  <si>
    <t>Proposed Off Peak</t>
  </si>
  <si>
    <t>Attachment 5</t>
  </si>
  <si>
    <t xml:space="preserve">RS Current Blended </t>
  </si>
  <si>
    <t>RS Proposed Blended</t>
  </si>
  <si>
    <t>Supply Charges</t>
  </si>
  <si>
    <t>Updated per NERA file June 8, 2026 (3-YEAR AVG)</t>
  </si>
  <si>
    <t>6/17/26 Congestion factor from NERA 5-YEAR AVG</t>
  </si>
  <si>
    <t>Mid Pk adj factors</t>
  </si>
  <si>
    <t>Current TOU rates</t>
  </si>
  <si>
    <t>Trans</t>
  </si>
  <si>
    <t>Dist</t>
  </si>
  <si>
    <t>3P TOU</t>
  </si>
  <si>
    <t>Updated per NERA file June 8, 2026 3-YEAR AVG</t>
  </si>
  <si>
    <t>Blocking Percentages based on Annualized W/N Usage Used in 2024 Electric Rate Case Settlement</t>
  </si>
  <si>
    <t>26/27 3IA - June 8, 2026</t>
  </si>
  <si>
    <t>ICE Forwards -</t>
  </si>
  <si>
    <t xml:space="preserve"> June 2023 through Sep 2025</t>
  </si>
  <si>
    <t xml:space="preserve"> Mar 2023 through Feb 2026</t>
  </si>
  <si>
    <t>per Board Orders dated 11/21/2025 and XX/XX/2026</t>
  </si>
  <si>
    <t>per Board Orders dated XX/XX/2026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</si>
</sst>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00"/>
    <numFmt numFmtId="166" formatCode="0.0000"/>
    <numFmt numFmtId="167" formatCode="0.0000%"/>
    <numFmt numFmtId="168" formatCode="#,##0.0"/>
    <numFmt numFmtId="169" formatCode="_(&quot;$&quot;* #,##0_);_(&quot;$&quot;* \(#,##0\);_(&quot;$&quot;* &quot;-&quot;??_);_(@_)"/>
    <numFmt numFmtId="170" formatCode="0.000000"/>
    <numFmt numFmtId="171" formatCode="_(&quot;$&quot;* #,##0.000_);_(&quot;$&quot;* \(#,##0.000\);_(&quot;$&quot;* &quot;-&quot;??_);_(@_)"/>
    <numFmt numFmtId="172" formatCode="_(&quot;$&quot;* #,##0.0000_);_(&quot;$&quot;* \(#,##0.0000\);_(&quot;$&quot;* &quot;-&quot;??_);_(@_)"/>
    <numFmt numFmtId="173" formatCode="0.0%"/>
    <numFmt numFmtId="174" formatCode="_(* #,##0_);_(* \(#,##0\);_(* &quot;-&quot;??_);_(@_)"/>
    <numFmt numFmtId="175" formatCode="_(* #,##0.000_);_(* \(#,##0.000\);_(* &quot;-&quot;??_);_(@_)"/>
    <numFmt numFmtId="176" formatCode="_(* #,##0.0000_);_(* \(#,##0.0000\);_(* &quot;-&quot;??_);_(@_)"/>
    <numFmt numFmtId="177" formatCode="#,##0.000"/>
    <numFmt numFmtId="178" formatCode="&quot;$&quot;#,##0.00"/>
    <numFmt numFmtId="179" formatCode="&quot;$&quot;#,##0\ ;\(&quot;$&quot;#,##0\)"/>
    <numFmt numFmtId="180" formatCode="&quot;$&quot;#,##0.0000"/>
    <numFmt numFmtId="181" formatCode="0.00000%"/>
    <numFmt numFmtId="182" formatCode="&quot;$&quot;#,##0"/>
    <numFmt numFmtId="183" formatCode="_(* #,##0.000000_);_(* \(#,##0.000000\);_(* &quot;-&quot;??_);_(@_)"/>
    <numFmt numFmtId="184" formatCode="_(* #,##0.0_);_(* \(#,##0.0\);_(* &quot;-&quot;??_);_(@_)"/>
    <numFmt numFmtId="185" formatCode="0.000"/>
    <numFmt numFmtId="186" formatCode="#,##0.0_);[Red]\(#,##0.0\)"/>
    <numFmt numFmtId="187" formatCode="_(* #,##0.00000_);_(* \(#,##0.00000\);_(* &quot;-&quot;??_);_(@_)"/>
    <numFmt numFmtId="188" formatCode="_(* #,##0.0000000_);_(* \(#,##0.0000000\);_(* &quot;-&quot;??_);_(@_)"/>
    <numFmt numFmtId="189" formatCode="[$$-409]#,##0_);\([$$-409]#,##0\)"/>
    <numFmt numFmtId="190" formatCode="#,##0.0000_);\(#,##0.0000\)"/>
    <numFmt numFmtId="191" formatCode="[$-409]m/d/yy\ h:mm\ AM/PM;@"/>
    <numFmt numFmtId="192" formatCode="#,##0.000000_);[Red]\(#,##0.000000\)"/>
    <numFmt numFmtId="193" formatCode="[$-409]mmmm\ d\,\ yyyy;@"/>
    <numFmt numFmtId="194" formatCode="_(&quot;$&quot;* #,##0.0000000_);_(&quot;$&quot;* \(#,##0.0000000\);_(&quot;$&quot;* &quot;-&quot;??_);_(@_)"/>
    <numFmt numFmtId="195" formatCode="_(&quot;$&quot;* #,##0.00000000_);_(&quot;$&quot;* \(#,##0.00000000\);_(&quot;$&quot;* &quot;-&quot;??_);_(@_)"/>
  </numFmts>
  <fonts count="1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b/>
      <sz val="10"/>
      <color indexed="54"/>
      <name val="Arial"/>
      <family val="2"/>
    </font>
    <font>
      <u/>
      <sz val="10"/>
      <color indexed="12"/>
      <name val="Arial"/>
      <family val="2"/>
    </font>
    <font>
      <u val="singleAccounting"/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22"/>
      <name val="Arial"/>
      <family val="2"/>
    </font>
    <font>
      <sz val="10"/>
      <color indexed="10"/>
      <name val="Arial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12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color indexed="8"/>
      <name val="Arial"/>
      <family val="2"/>
    </font>
    <font>
      <b/>
      <sz val="10"/>
      <color rgb="FFFF0000"/>
      <name val="Arial"/>
      <family val="2"/>
    </font>
    <font>
      <sz val="10"/>
      <name val="Times New Roman"/>
      <family val="1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i/>
      <sz val="10"/>
      <color rgb="FF161BF6"/>
      <name val="Arial"/>
      <family val="2"/>
    </font>
    <font>
      <i/>
      <sz val="8"/>
      <color rgb="FF161BF6"/>
      <name val="Arial"/>
      <family val="2"/>
    </font>
    <font>
      <b/>
      <sz val="16"/>
      <name val="Arial"/>
      <family val="2"/>
    </font>
    <font>
      <sz val="10"/>
      <color rgb="FFC00000"/>
      <name val="Arial"/>
      <family val="2"/>
    </font>
    <font>
      <b/>
      <sz val="10"/>
      <color rgb="FF143AF8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9"/>
      <color rgb="FFFF0000"/>
      <name val="Arial"/>
      <family val="2"/>
    </font>
    <font>
      <sz val="10"/>
      <color theme="0" tint="-0.14999847407452621"/>
      <name val="Arial"/>
      <family val="2"/>
    </font>
    <font>
      <i/>
      <sz val="9"/>
      <name val="Arial"/>
      <family val="2"/>
    </font>
    <font>
      <i/>
      <sz val="9"/>
      <color theme="1"/>
      <name val="Arial"/>
      <family val="2"/>
    </font>
    <font>
      <sz val="8"/>
      <color rgb="FFFF0000"/>
      <name val="Arial"/>
      <family val="2"/>
    </font>
    <font>
      <i/>
      <sz val="9"/>
      <color rgb="FF161BF6"/>
      <name val="Arial"/>
      <family val="2"/>
    </font>
    <font>
      <sz val="11"/>
      <name val="Arial"/>
      <family val="2"/>
    </font>
    <font>
      <sz val="10"/>
      <color rgb="FF143AF8"/>
      <name val="Arial"/>
      <family val="2"/>
    </font>
    <font>
      <i/>
      <sz val="9"/>
      <color theme="0" tint="-0.34998626667073579"/>
      <name val="Arial"/>
      <family val="2"/>
    </font>
    <font>
      <sz val="12"/>
      <color indexed="8"/>
      <name val="Times New Roman"/>
      <family val="2"/>
    </font>
    <font>
      <sz val="12"/>
      <color indexed="9"/>
      <name val="Times New Roman"/>
      <family val="2"/>
    </font>
    <font>
      <sz val="12"/>
      <color indexed="20"/>
      <name val="Times New Roman"/>
      <family val="2"/>
    </font>
    <font>
      <b/>
      <sz val="12"/>
      <color indexed="52"/>
      <name val="Times New Roman"/>
      <family val="2"/>
    </font>
    <font>
      <b/>
      <sz val="12"/>
      <color indexed="9"/>
      <name val="Times New Roman"/>
      <family val="2"/>
    </font>
    <font>
      <i/>
      <sz val="12"/>
      <color indexed="23"/>
      <name val="Times New Roman"/>
      <family val="2"/>
    </font>
    <font>
      <sz val="12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2"/>
      <color indexed="62"/>
      <name val="Times New Roman"/>
      <family val="2"/>
    </font>
    <font>
      <sz val="12"/>
      <color indexed="52"/>
      <name val="Times New Roman"/>
      <family val="2"/>
    </font>
    <font>
      <sz val="12"/>
      <color indexed="60"/>
      <name val="Times New Roman"/>
      <family val="2"/>
    </font>
    <font>
      <b/>
      <sz val="12"/>
      <color indexed="63"/>
      <name val="Times New Roman"/>
      <family val="2"/>
    </font>
    <font>
      <b/>
      <sz val="12"/>
      <color indexed="8"/>
      <name val="Times New Roman"/>
      <family val="2"/>
    </font>
    <font>
      <sz val="12"/>
      <color indexed="10"/>
      <name val="Times New Roman"/>
      <family val="2"/>
    </font>
    <font>
      <sz val="10"/>
      <color rgb="FF161BF6"/>
      <name val="Arial"/>
      <family val="2"/>
    </font>
    <font>
      <sz val="9"/>
      <color indexed="12"/>
      <name val="Arial"/>
      <family val="2"/>
    </font>
    <font>
      <b/>
      <i/>
      <sz val="9"/>
      <color theme="1"/>
      <name val="Arial"/>
      <family val="2"/>
    </font>
    <font>
      <i/>
      <sz val="9"/>
      <color theme="0" tint="-0.249977111117893"/>
      <name val="Arial"/>
      <family val="2"/>
    </font>
    <font>
      <b/>
      <sz val="10"/>
      <color rgb="FF161BF6"/>
      <name val="Arial"/>
      <family val="2"/>
    </font>
    <font>
      <b/>
      <i/>
      <sz val="10"/>
      <color rgb="FF161BF6"/>
      <name val="Arial"/>
      <family val="2"/>
    </font>
    <font>
      <b/>
      <i/>
      <sz val="10"/>
      <color rgb="FFC00000"/>
      <name val="Arial"/>
      <family val="2"/>
    </font>
    <font>
      <b/>
      <sz val="10"/>
      <color rgb="FFC00000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i/>
      <sz val="10"/>
      <name val="Segoe UI"/>
      <family val="2"/>
    </font>
    <font>
      <b/>
      <sz val="9"/>
      <color rgb="FFFF0000"/>
      <name val="Arial"/>
      <family val="2"/>
    </font>
    <font>
      <sz val="10"/>
      <color theme="1"/>
      <name val="Times New Roman"/>
      <family val="1"/>
    </font>
    <font>
      <b/>
      <sz val="8"/>
      <color rgb="FFFF0000"/>
      <name val="Arial"/>
      <family val="2"/>
    </font>
    <font>
      <sz val="12"/>
      <color theme="1"/>
      <name val="Calibri"/>
      <family val="2"/>
    </font>
    <font>
      <b/>
      <u/>
      <sz val="18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1"/>
      <color rgb="FF0070C0"/>
      <name val="Calibri"/>
      <family val="2"/>
    </font>
    <font>
      <i/>
      <sz val="11"/>
      <color theme="1"/>
      <name val="Calibri"/>
      <family val="2"/>
    </font>
    <font>
      <sz val="12"/>
      <name val="Calibri"/>
      <family val="2"/>
    </font>
    <font>
      <i/>
      <sz val="12"/>
      <color theme="1"/>
      <name val="Calibri"/>
      <family val="2"/>
    </font>
    <font>
      <sz val="12"/>
      <color theme="3" tint="0.249977111117893"/>
      <name val="Calibri"/>
      <family val="2"/>
    </font>
    <font>
      <sz val="12"/>
      <color rgb="FF0070C0"/>
      <name val="Calibri"/>
      <family val="2"/>
    </font>
    <font>
      <sz val="12"/>
      <color rgb="FF7030A0"/>
      <name val="Calibri"/>
      <family val="2"/>
    </font>
    <font>
      <i/>
      <sz val="12"/>
      <color theme="0" tint="-0.34998626667073579"/>
      <name val="Calibri"/>
      <family val="2"/>
    </font>
    <font>
      <sz val="12"/>
      <color rgb="FF002060"/>
      <name val="Calibri"/>
      <family val="2"/>
    </font>
    <font>
      <i/>
      <sz val="8"/>
      <color rgb="FF002060"/>
      <name val="Calibri"/>
      <family val="2"/>
    </font>
    <font>
      <i/>
      <sz val="10"/>
      <color theme="0" tint="-0.34998626667073579"/>
      <name val="Calibri"/>
      <family val="2"/>
    </font>
    <font>
      <sz val="12"/>
      <color theme="6" tint="-0.249977111117893"/>
      <name val="Calibri"/>
      <family val="2"/>
    </font>
    <font>
      <u val="singleAccounting"/>
      <sz val="12"/>
      <color theme="1"/>
      <name val="Calibri"/>
      <family val="2"/>
    </font>
    <font>
      <sz val="11"/>
      <color theme="9"/>
      <name val="Calibri"/>
      <family val="2"/>
    </font>
    <font>
      <sz val="11"/>
      <color theme="8"/>
      <name val="Calibri"/>
      <family val="2"/>
    </font>
    <font>
      <i/>
      <sz val="12"/>
      <color theme="8"/>
      <name val="Calibri"/>
      <family val="2"/>
    </font>
    <font>
      <b/>
      <sz val="14"/>
      <color theme="1"/>
      <name val="Calibri"/>
      <family val="2"/>
    </font>
    <font>
      <sz val="11"/>
      <color rgb="FFFF0000"/>
      <name val="Calibri"/>
      <family val="2"/>
    </font>
    <font>
      <b/>
      <i/>
      <sz val="12"/>
      <color rgb="FFC00000"/>
      <name val="Arial"/>
      <family val="2"/>
    </font>
    <font>
      <b/>
      <u/>
      <sz val="11"/>
      <color theme="1"/>
      <name val="Calibri"/>
      <family val="2"/>
    </font>
    <font>
      <u/>
      <sz val="12"/>
      <color theme="1"/>
      <name val="Calibri"/>
      <family val="2"/>
    </font>
    <font>
      <sz val="12"/>
      <color rgb="FF143AF8"/>
      <name val="Calibri"/>
      <family val="2"/>
    </font>
    <font>
      <sz val="11"/>
      <color rgb="FF143AF8"/>
      <name val="Calibri"/>
      <family val="2"/>
    </font>
    <font>
      <i/>
      <sz val="11"/>
      <color rgb="FFFF0000"/>
      <name val="Arial"/>
      <family val="2"/>
    </font>
    <font>
      <b/>
      <i/>
      <sz val="10"/>
      <color theme="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5FEC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9F2FB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58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33" fillId="3" borderId="0" applyNumberFormat="0" applyBorder="0" applyAlignment="0" applyProtection="0"/>
    <xf numFmtId="0" fontId="34" fillId="20" borderId="1" applyNumberFormat="0" applyAlignment="0" applyProtection="0"/>
    <xf numFmtId="0" fontId="35" fillId="21" borderId="2" applyNumberFormat="0" applyAlignment="0" applyProtection="0"/>
    <xf numFmtId="43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7" fillId="0" borderId="0" applyFont="0" applyFill="0" applyBorder="0" applyAlignment="0" applyProtection="0"/>
    <xf numFmtId="3" fontId="2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7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2" fontId="24" fillId="0" borderId="0" applyFont="0" applyFill="0" applyBorder="0" applyAlignment="0" applyProtection="0"/>
    <xf numFmtId="0" fontId="37" fillId="4" borderId="0" applyNumberFormat="0" applyBorder="0" applyAlignment="0" applyProtection="0"/>
    <xf numFmtId="0" fontId="26" fillId="0" borderId="0" applyNumberFormat="0" applyFill="0" applyBorder="0" applyAlignment="0" applyProtection="0"/>
    <xf numFmtId="0" fontId="38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1" fillId="7" borderId="1" applyNumberFormat="0" applyAlignment="0" applyProtection="0"/>
    <xf numFmtId="0" fontId="42" fillId="0" borderId="6" applyNumberFormat="0" applyFill="0" applyAlignment="0" applyProtection="0"/>
    <xf numFmtId="0" fontId="43" fillId="22" borderId="0" applyNumberFormat="0" applyBorder="0" applyAlignment="0" applyProtection="0"/>
    <xf numFmtId="0" fontId="48" fillId="0" borderId="0"/>
    <xf numFmtId="0" fontId="22" fillId="0" borderId="0"/>
    <xf numFmtId="0" fontId="11" fillId="23" borderId="7" applyNumberFormat="0" applyFont="0" applyAlignment="0" applyProtection="0"/>
    <xf numFmtId="0" fontId="44" fillId="20" borderId="8" applyNumberFormat="0" applyAlignment="0" applyProtection="0"/>
    <xf numFmtId="9" fontId="1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4" fillId="0" borderId="9" applyNumberFormat="0" applyFont="0" applyFill="0" applyAlignment="0" applyProtection="0"/>
    <xf numFmtId="0" fontId="45" fillId="0" borderId="10" applyNumberFormat="0" applyFill="0" applyAlignment="0" applyProtection="0"/>
    <xf numFmtId="0" fontId="25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  <xf numFmtId="0" fontId="10" fillId="23" borderId="7" applyNumberFormat="0" applyFont="0" applyAlignment="0" applyProtection="0"/>
    <xf numFmtId="9" fontId="10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10" fillId="0" borderId="0"/>
    <xf numFmtId="0" fontId="10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4" fontId="31" fillId="30" borderId="8" applyNumberFormat="0" applyProtection="0">
      <alignment vertical="center"/>
    </xf>
    <xf numFmtId="0" fontId="24" fillId="0" borderId="9" applyNumberFormat="0" applyFont="0" applyFill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2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2" fillId="0" borderId="0"/>
    <xf numFmtId="0" fontId="52" fillId="0" borderId="0"/>
    <xf numFmtId="0" fontId="8" fillId="0" borderId="0"/>
    <xf numFmtId="0" fontId="7" fillId="0" borderId="0"/>
    <xf numFmtId="4" fontId="59" fillId="30" borderId="8" applyNumberFormat="0" applyProtection="0">
      <alignment vertical="center"/>
    </xf>
    <xf numFmtId="4" fontId="31" fillId="30" borderId="8" applyNumberFormat="0" applyProtection="0">
      <alignment horizontal="left" vertical="center" indent="1"/>
    </xf>
    <xf numFmtId="4" fontId="31" fillId="30" borderId="8" applyNumberFormat="0" applyProtection="0">
      <alignment horizontal="left" vertical="center" indent="1"/>
    </xf>
    <xf numFmtId="0" fontId="10" fillId="31" borderId="8" applyNumberFormat="0" applyProtection="0">
      <alignment horizontal="left" vertical="center" indent="1"/>
    </xf>
    <xf numFmtId="4" fontId="31" fillId="32" borderId="8" applyNumberFormat="0" applyProtection="0">
      <alignment horizontal="right" vertical="center"/>
    </xf>
    <xf numFmtId="4" fontId="31" fillId="33" borderId="8" applyNumberFormat="0" applyProtection="0">
      <alignment horizontal="right" vertical="center"/>
    </xf>
    <xf numFmtId="4" fontId="31" fillId="34" borderId="8" applyNumberFormat="0" applyProtection="0">
      <alignment horizontal="right" vertical="center"/>
    </xf>
    <xf numFmtId="4" fontId="31" fillId="35" borderId="8" applyNumberFormat="0" applyProtection="0">
      <alignment horizontal="right" vertical="center"/>
    </xf>
    <xf numFmtId="4" fontId="31" fillId="36" borderId="8" applyNumberFormat="0" applyProtection="0">
      <alignment horizontal="right" vertical="center"/>
    </xf>
    <xf numFmtId="4" fontId="31" fillId="37" borderId="8" applyNumberFormat="0" applyProtection="0">
      <alignment horizontal="right" vertical="center"/>
    </xf>
    <xf numFmtId="4" fontId="31" fillId="38" borderId="8" applyNumberFormat="0" applyProtection="0">
      <alignment horizontal="right" vertical="center"/>
    </xf>
    <xf numFmtId="4" fontId="31" fillId="39" borderId="8" applyNumberFormat="0" applyProtection="0">
      <alignment horizontal="right" vertical="center"/>
    </xf>
    <xf numFmtId="4" fontId="31" fillId="40" borderId="8" applyNumberFormat="0" applyProtection="0">
      <alignment horizontal="right" vertical="center"/>
    </xf>
    <xf numFmtId="4" fontId="45" fillId="41" borderId="8" applyNumberFormat="0" applyProtection="0">
      <alignment horizontal="left" vertical="center" indent="1"/>
    </xf>
    <xf numFmtId="4" fontId="31" fillId="42" borderId="32" applyNumberFormat="0" applyProtection="0">
      <alignment horizontal="left" vertical="center" indent="1"/>
    </xf>
    <xf numFmtId="4" fontId="56" fillId="43" borderId="0" applyNumberFormat="0" applyProtection="0">
      <alignment horizontal="left" vertical="center" indent="1"/>
    </xf>
    <xf numFmtId="0" fontId="10" fillId="31" borderId="8" applyNumberFormat="0" applyProtection="0">
      <alignment horizontal="left" vertical="center" indent="1"/>
    </xf>
    <xf numFmtId="4" fontId="31" fillId="42" borderId="8" applyNumberFormat="0" applyProtection="0">
      <alignment horizontal="left" vertical="center" indent="1"/>
    </xf>
    <xf numFmtId="4" fontId="31" fillId="29" borderId="8" applyNumberFormat="0" applyProtection="0">
      <alignment horizontal="left" vertical="center" indent="1"/>
    </xf>
    <xf numFmtId="0" fontId="10" fillId="29" borderId="8" applyNumberFormat="0" applyProtection="0">
      <alignment horizontal="left" vertical="center" indent="1"/>
    </xf>
    <xf numFmtId="0" fontId="10" fillId="29" borderId="8" applyNumberFormat="0" applyProtection="0">
      <alignment horizontal="left" vertical="center" indent="1"/>
    </xf>
    <xf numFmtId="0" fontId="10" fillId="44" borderId="8" applyNumberFormat="0" applyProtection="0">
      <alignment horizontal="left" vertical="center" indent="1"/>
    </xf>
    <xf numFmtId="0" fontId="10" fillId="44" borderId="8" applyNumberFormat="0" applyProtection="0">
      <alignment horizontal="left" vertical="center" indent="1"/>
    </xf>
    <xf numFmtId="0" fontId="10" fillId="26" borderId="8" applyNumberFormat="0" applyProtection="0">
      <alignment horizontal="left" vertical="center" indent="1"/>
    </xf>
    <xf numFmtId="0" fontId="10" fillId="26" borderId="8" applyNumberFormat="0" applyProtection="0">
      <alignment horizontal="left" vertical="center" indent="1"/>
    </xf>
    <xf numFmtId="0" fontId="10" fillId="31" borderId="8" applyNumberFormat="0" applyProtection="0">
      <alignment horizontal="left" vertical="center" indent="1"/>
    </xf>
    <xf numFmtId="0" fontId="10" fillId="31" borderId="8" applyNumberFormat="0" applyProtection="0">
      <alignment horizontal="left" vertical="center" indent="1"/>
    </xf>
    <xf numFmtId="4" fontId="31" fillId="45" borderId="8" applyNumberFormat="0" applyProtection="0">
      <alignment vertical="center"/>
    </xf>
    <xf numFmtId="4" fontId="59" fillId="45" borderId="8" applyNumberFormat="0" applyProtection="0">
      <alignment vertical="center"/>
    </xf>
    <xf numFmtId="4" fontId="31" fillId="45" borderId="8" applyNumberFormat="0" applyProtection="0">
      <alignment horizontal="left" vertical="center" indent="1"/>
    </xf>
    <xf numFmtId="4" fontId="31" fillId="45" borderId="8" applyNumberFormat="0" applyProtection="0">
      <alignment horizontal="left" vertical="center" indent="1"/>
    </xf>
    <xf numFmtId="4" fontId="31" fillId="42" borderId="8" applyNumberFormat="0" applyProtection="0">
      <alignment horizontal="right" vertical="center"/>
    </xf>
    <xf numFmtId="4" fontId="59" fillId="42" borderId="8" applyNumberFormat="0" applyProtection="0">
      <alignment horizontal="right" vertical="center"/>
    </xf>
    <xf numFmtId="0" fontId="10" fillId="31" borderId="8" applyNumberFormat="0" applyProtection="0">
      <alignment horizontal="left" vertical="center" indent="1"/>
    </xf>
    <xf numFmtId="0" fontId="10" fillId="31" borderId="8" applyNumberFormat="0" applyProtection="0">
      <alignment horizontal="left" vertical="center" indent="1"/>
    </xf>
    <xf numFmtId="0" fontId="60" fillId="0" borderId="0"/>
    <xf numFmtId="4" fontId="25" fillId="42" borderId="8" applyNumberFormat="0" applyProtection="0">
      <alignment horizontal="right" vertical="center"/>
    </xf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9" fontId="10" fillId="0" borderId="0" applyFont="0" applyFill="0" applyBorder="0" applyAlignment="0" applyProtection="0"/>
    <xf numFmtId="9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" fontId="31" fillId="42" borderId="8" applyNumberFormat="0" applyProtection="0">
      <alignment horizontal="left" vertical="center" indent="1"/>
    </xf>
    <xf numFmtId="4" fontId="31" fillId="29" borderId="8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82" fillId="2" borderId="0" applyNumberFormat="0" applyBorder="0" applyAlignment="0" applyProtection="0"/>
    <xf numFmtId="0" fontId="82" fillId="3" borderId="0" applyNumberFormat="0" applyBorder="0" applyAlignment="0" applyProtection="0"/>
    <xf numFmtId="0" fontId="82" fillId="4" borderId="0" applyNumberFormat="0" applyBorder="0" applyAlignment="0" applyProtection="0"/>
    <xf numFmtId="0" fontId="82" fillId="5" borderId="0" applyNumberFormat="0" applyBorder="0" applyAlignment="0" applyProtection="0"/>
    <xf numFmtId="0" fontId="82" fillId="6" borderId="0" applyNumberFormat="0" applyBorder="0" applyAlignment="0" applyProtection="0"/>
    <xf numFmtId="0" fontId="82" fillId="7" borderId="0" applyNumberFormat="0" applyBorder="0" applyAlignment="0" applyProtection="0"/>
    <xf numFmtId="0" fontId="82" fillId="8" borderId="0" applyNumberFormat="0" applyBorder="0" applyAlignment="0" applyProtection="0"/>
    <xf numFmtId="0" fontId="82" fillId="9" borderId="0" applyNumberFormat="0" applyBorder="0" applyAlignment="0" applyProtection="0"/>
    <xf numFmtId="0" fontId="82" fillId="10" borderId="0" applyNumberFormat="0" applyBorder="0" applyAlignment="0" applyProtection="0"/>
    <xf numFmtId="0" fontId="82" fillId="5" borderId="0" applyNumberFormat="0" applyBorder="0" applyAlignment="0" applyProtection="0"/>
    <xf numFmtId="0" fontId="82" fillId="8" borderId="0" applyNumberFormat="0" applyBorder="0" applyAlignment="0" applyProtection="0"/>
    <xf numFmtId="0" fontId="82" fillId="11" borderId="0" applyNumberFormat="0" applyBorder="0" applyAlignment="0" applyProtection="0"/>
    <xf numFmtId="0" fontId="83" fillId="12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9" borderId="0" applyNumberFormat="0" applyBorder="0" applyAlignment="0" applyProtection="0"/>
    <xf numFmtId="0" fontId="84" fillId="3" borderId="0" applyNumberFormat="0" applyBorder="0" applyAlignment="0" applyProtection="0"/>
    <xf numFmtId="0" fontId="85" fillId="20" borderId="1" applyNumberFormat="0" applyAlignment="0" applyProtection="0"/>
    <xf numFmtId="0" fontId="86" fillId="21" borderId="2" applyNumberFormat="0" applyAlignment="0" applyProtection="0"/>
    <xf numFmtId="0" fontId="87" fillId="0" borderId="0" applyNumberFormat="0" applyFill="0" applyBorder="0" applyAlignment="0" applyProtection="0"/>
    <xf numFmtId="0" fontId="88" fillId="4" borderId="0" applyNumberFormat="0" applyBorder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1" fillId="0" borderId="5" applyNumberFormat="0" applyFill="0" applyAlignment="0" applyProtection="0"/>
    <xf numFmtId="0" fontId="91" fillId="0" borderId="0" applyNumberFormat="0" applyFill="0" applyBorder="0" applyAlignment="0" applyProtection="0"/>
    <xf numFmtId="0" fontId="92" fillId="7" borderId="1" applyNumberFormat="0" applyAlignment="0" applyProtection="0"/>
    <xf numFmtId="0" fontId="93" fillId="0" borderId="6" applyNumberFormat="0" applyFill="0" applyAlignment="0" applyProtection="0"/>
    <xf numFmtId="0" fontId="94" fillId="22" borderId="0" applyNumberFormat="0" applyBorder="0" applyAlignment="0" applyProtection="0"/>
    <xf numFmtId="0" fontId="58" fillId="0" borderId="0"/>
    <xf numFmtId="0" fontId="82" fillId="0" borderId="0"/>
    <xf numFmtId="0" fontId="82" fillId="23" borderId="7" applyNumberFormat="0" applyFont="0" applyAlignment="0" applyProtection="0"/>
    <xf numFmtId="0" fontId="58" fillId="23" borderId="7" applyNumberFormat="0" applyFont="0" applyAlignment="0" applyProtection="0"/>
    <xf numFmtId="0" fontId="95" fillId="20" borderId="8" applyNumberFormat="0" applyAlignment="0" applyProtection="0"/>
    <xf numFmtId="0" fontId="96" fillId="0" borderId="10" applyNumberFormat="0" applyFill="0" applyAlignment="0" applyProtection="0"/>
    <xf numFmtId="0" fontId="9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 applyNumberFormat="0" applyBorder="0" applyProtection="0">
      <alignment vertical="center"/>
    </xf>
    <xf numFmtId="0" fontId="4" fillId="0" borderId="0" applyNumberFormat="0" applyBorder="0" applyProtection="0">
      <alignment vertical="center"/>
    </xf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 applyNumberFormat="0" applyBorder="0" applyProtection="0">
      <alignment vertical="center"/>
    </xf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5">
    <xf numFmtId="0" fontId="0" fillId="0" borderId="0" xfId="0"/>
    <xf numFmtId="0" fontId="12" fillId="0" borderId="0" xfId="0" applyFont="1"/>
    <xf numFmtId="0" fontId="14" fillId="0" borderId="0" xfId="0" applyFont="1"/>
    <xf numFmtId="43" fontId="12" fillId="0" borderId="0" xfId="28" quotePrefix="1" applyFont="1" applyFill="1" applyBorder="1"/>
    <xf numFmtId="9" fontId="0" fillId="0" borderId="0" xfId="57" applyFont="1" applyFill="1"/>
    <xf numFmtId="175" fontId="12" fillId="0" borderId="0" xfId="28" quotePrefix="1" applyNumberFormat="1" applyFont="1" applyFill="1" applyBorder="1"/>
    <xf numFmtId="44" fontId="13" fillId="0" borderId="0" xfId="33" applyFont="1" applyFill="1"/>
    <xf numFmtId="166" fontId="13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/>
    <xf numFmtId="0" fontId="0" fillId="24" borderId="0" xfId="0" applyFill="1"/>
    <xf numFmtId="0" fontId="12" fillId="24" borderId="0" xfId="0" applyFont="1" applyFill="1" applyAlignment="1">
      <alignment horizontal="center"/>
    </xf>
    <xf numFmtId="0" fontId="12" fillId="24" borderId="0" xfId="0" applyFont="1" applyFill="1"/>
    <xf numFmtId="0" fontId="14" fillId="24" borderId="0" xfId="0" applyFont="1" applyFill="1"/>
    <xf numFmtId="0" fontId="17" fillId="24" borderId="0" xfId="0" applyFont="1" applyFill="1" applyAlignment="1">
      <alignment horizontal="left"/>
    </xf>
    <xf numFmtId="0" fontId="12" fillId="24" borderId="0" xfId="0" quotePrefix="1" applyFont="1" applyFill="1"/>
    <xf numFmtId="0" fontId="14" fillId="24" borderId="0" xfId="0" applyFont="1" applyFill="1" applyAlignment="1">
      <alignment horizontal="left"/>
    </xf>
    <xf numFmtId="0" fontId="14" fillId="24" borderId="23" xfId="0" applyFont="1" applyFill="1" applyBorder="1" applyAlignment="1">
      <alignment horizontal="center" wrapText="1"/>
    </xf>
    <xf numFmtId="0" fontId="14" fillId="24" borderId="23" xfId="0" applyFont="1" applyFill="1" applyBorder="1"/>
    <xf numFmtId="0" fontId="14" fillId="24" borderId="0" xfId="0" applyFont="1" applyFill="1" applyAlignment="1">
      <alignment horizontal="center" wrapText="1"/>
    </xf>
    <xf numFmtId="0" fontId="14" fillId="24" borderId="23" xfId="0" quotePrefix="1" applyFont="1" applyFill="1" applyBorder="1"/>
    <xf numFmtId="0" fontId="12" fillId="24" borderId="23" xfId="0" applyFont="1" applyFill="1" applyBorder="1" applyAlignment="1">
      <alignment horizontal="center"/>
    </xf>
    <xf numFmtId="0" fontId="14" fillId="24" borderId="0" xfId="0" applyFont="1" applyFill="1" applyAlignment="1">
      <alignment horizontal="center"/>
    </xf>
    <xf numFmtId="0" fontId="0" fillId="24" borderId="23" xfId="0" applyFill="1" applyBorder="1"/>
    <xf numFmtId="17" fontId="0" fillId="24" borderId="23" xfId="0" applyNumberFormat="1" applyFill="1" applyBorder="1"/>
    <xf numFmtId="173" fontId="13" fillId="24" borderId="0" xfId="57" quotePrefix="1" applyNumberFormat="1" applyFont="1" applyFill="1" applyBorder="1"/>
    <xf numFmtId="9" fontId="13" fillId="24" borderId="0" xfId="57" quotePrefix="1" applyFont="1" applyFill="1" applyBorder="1"/>
    <xf numFmtId="17" fontId="0" fillId="24" borderId="0" xfId="0" applyNumberFormat="1" applyFill="1"/>
    <xf numFmtId="9" fontId="13" fillId="24" borderId="0" xfId="57" applyFont="1" applyFill="1" applyBorder="1"/>
    <xf numFmtId="1" fontId="13" fillId="24" borderId="0" xfId="57" quotePrefix="1" applyNumberFormat="1" applyFont="1" applyFill="1" applyBorder="1"/>
    <xf numFmtId="0" fontId="20" fillId="24" borderId="0" xfId="49" applyFill="1" applyBorder="1" applyAlignment="1" applyProtection="1"/>
    <xf numFmtId="0" fontId="0" fillId="24" borderId="0" xfId="0" applyFill="1" applyAlignment="1">
      <alignment horizontal="center"/>
    </xf>
    <xf numFmtId="3" fontId="0" fillId="24" borderId="0" xfId="0" applyNumberFormat="1" applyFill="1"/>
    <xf numFmtId="3" fontId="0" fillId="24" borderId="0" xfId="0" quotePrefix="1" applyNumberFormat="1" applyFill="1"/>
    <xf numFmtId="9" fontId="0" fillId="24" borderId="0" xfId="57" applyFont="1" applyFill="1" applyBorder="1" applyAlignment="1"/>
    <xf numFmtId="0" fontId="0" fillId="24" borderId="0" xfId="0" applyFill="1" applyAlignment="1">
      <alignment horizontal="right"/>
    </xf>
    <xf numFmtId="9" fontId="0" fillId="24" borderId="0" xfId="0" applyNumberFormat="1" applyFill="1"/>
    <xf numFmtId="10" fontId="0" fillId="24" borderId="0" xfId="0" applyNumberFormat="1" applyFill="1"/>
    <xf numFmtId="166" fontId="0" fillId="24" borderId="0" xfId="0" applyNumberFormat="1" applyFill="1"/>
    <xf numFmtId="4" fontId="13" fillId="24" borderId="0" xfId="0" applyNumberFormat="1" applyFont="1" applyFill="1"/>
    <xf numFmtId="167" fontId="13" fillId="24" borderId="0" xfId="0" applyNumberFormat="1" applyFont="1" applyFill="1"/>
    <xf numFmtId="0" fontId="0" fillId="24" borderId="0" xfId="0" quotePrefix="1" applyFill="1"/>
    <xf numFmtId="170" fontId="0" fillId="24" borderId="0" xfId="0" applyNumberFormat="1" applyFill="1"/>
    <xf numFmtId="165" fontId="0" fillId="24" borderId="0" xfId="0" applyNumberFormat="1" applyFill="1"/>
    <xf numFmtId="168" fontId="0" fillId="24" borderId="0" xfId="0" applyNumberFormat="1" applyFill="1"/>
    <xf numFmtId="178" fontId="0" fillId="24" borderId="0" xfId="0" applyNumberFormat="1" applyFill="1"/>
    <xf numFmtId="168" fontId="13" fillId="24" borderId="0" xfId="0" applyNumberFormat="1" applyFont="1" applyFill="1"/>
    <xf numFmtId="0" fontId="10" fillId="24" borderId="0" xfId="0" applyFont="1" applyFill="1"/>
    <xf numFmtId="44" fontId="0" fillId="24" borderId="0" xfId="33" quotePrefix="1" applyFont="1" applyFill="1" applyBorder="1"/>
    <xf numFmtId="0" fontId="14" fillId="24" borderId="0" xfId="0" quotePrefix="1" applyFont="1" applyFill="1"/>
    <xf numFmtId="44" fontId="0" fillId="24" borderId="0" xfId="33" applyFont="1" applyFill="1" applyBorder="1"/>
    <xf numFmtId="44" fontId="0" fillId="24" borderId="0" xfId="33" quotePrefix="1" applyFont="1" applyFill="1" applyBorder="1" applyAlignment="1">
      <alignment horizontal="right"/>
    </xf>
    <xf numFmtId="44" fontId="0" fillId="24" borderId="0" xfId="0" applyNumberFormat="1" applyFill="1"/>
    <xf numFmtId="43" fontId="0" fillId="24" borderId="0" xfId="0" applyNumberFormat="1" applyFill="1"/>
    <xf numFmtId="172" fontId="0" fillId="24" borderId="0" xfId="0" applyNumberFormat="1" applyFill="1"/>
    <xf numFmtId="169" fontId="0" fillId="24" borderId="0" xfId="0" applyNumberFormat="1" applyFill="1"/>
    <xf numFmtId="175" fontId="12" fillId="24" borderId="0" xfId="28" quotePrefix="1" applyNumberFormat="1" applyFont="1" applyFill="1" applyBorder="1"/>
    <xf numFmtId="43" fontId="12" fillId="24" borderId="0" xfId="28" quotePrefix="1" applyFont="1" applyFill="1" applyBorder="1"/>
    <xf numFmtId="171" fontId="12" fillId="24" borderId="0" xfId="33" quotePrefix="1" applyNumberFormat="1" applyFont="1" applyFill="1" applyBorder="1"/>
    <xf numFmtId="3" fontId="18" fillId="24" borderId="0" xfId="0" applyNumberFormat="1" applyFont="1" applyFill="1"/>
    <xf numFmtId="0" fontId="12" fillId="24" borderId="0" xfId="0" applyFont="1" applyFill="1" applyAlignment="1">
      <alignment horizontal="left"/>
    </xf>
    <xf numFmtId="0" fontId="0" fillId="24" borderId="0" xfId="0" applyFill="1" applyAlignment="1">
      <alignment horizontal="center" wrapText="1"/>
    </xf>
    <xf numFmtId="44" fontId="10" fillId="24" borderId="0" xfId="0" applyNumberFormat="1" applyFont="1" applyFill="1"/>
    <xf numFmtId="168" fontId="0" fillId="24" borderId="0" xfId="0" applyNumberFormat="1" applyFill="1" applyAlignment="1">
      <alignment horizontal="right"/>
    </xf>
    <xf numFmtId="0" fontId="28" fillId="24" borderId="0" xfId="0" applyFont="1" applyFill="1"/>
    <xf numFmtId="6" fontId="0" fillId="24" borderId="0" xfId="0" applyNumberFormat="1" applyFill="1"/>
    <xf numFmtId="8" fontId="0" fillId="24" borderId="0" xfId="0" applyNumberFormat="1" applyFill="1"/>
    <xf numFmtId="182" fontId="0" fillId="24" borderId="0" xfId="0" applyNumberFormat="1" applyFill="1"/>
    <xf numFmtId="0" fontId="10" fillId="24" borderId="23" xfId="0" applyFont="1" applyFill="1" applyBorder="1"/>
    <xf numFmtId="0" fontId="10" fillId="24" borderId="0" xfId="0" applyFont="1" applyFill="1" applyAlignment="1">
      <alignment wrapText="1"/>
    </xf>
    <xf numFmtId="9" fontId="10" fillId="24" borderId="0" xfId="57" quotePrefix="1" applyFont="1" applyFill="1" applyBorder="1"/>
    <xf numFmtId="174" fontId="13" fillId="24" borderId="0" xfId="28" applyNumberFormat="1" applyFont="1" applyFill="1" applyBorder="1" applyAlignment="1">
      <alignment horizontal="center"/>
    </xf>
    <xf numFmtId="173" fontId="10" fillId="24" borderId="0" xfId="0" applyNumberFormat="1" applyFont="1" applyFill="1"/>
    <xf numFmtId="0" fontId="10" fillId="24" borderId="0" xfId="0" quotePrefix="1" applyFont="1" applyFill="1"/>
    <xf numFmtId="167" fontId="10" fillId="24" borderId="0" xfId="0" applyNumberFormat="1" applyFont="1" applyFill="1"/>
    <xf numFmtId="168" fontId="10" fillId="24" borderId="0" xfId="0" applyNumberFormat="1" applyFont="1" applyFill="1" applyAlignment="1">
      <alignment horizontal="right"/>
    </xf>
    <xf numFmtId="0" fontId="10" fillId="24" borderId="0" xfId="0" applyFont="1" applyFill="1" applyAlignment="1">
      <alignment horizontal="right"/>
    </xf>
    <xf numFmtId="44" fontId="10" fillId="24" borderId="0" xfId="33" quotePrefix="1" applyFont="1" applyFill="1" applyBorder="1"/>
    <xf numFmtId="175" fontId="10" fillId="24" borderId="0" xfId="28" quotePrefix="1" applyNumberFormat="1" applyFont="1" applyFill="1" applyBorder="1"/>
    <xf numFmtId="43" fontId="10" fillId="24" borderId="0" xfId="28" quotePrefix="1" applyFont="1" applyFill="1" applyBorder="1"/>
    <xf numFmtId="169" fontId="10" fillId="24" borderId="0" xfId="33" applyNumberFormat="1" applyFont="1" applyFill="1" applyBorder="1"/>
    <xf numFmtId="182" fontId="13" fillId="24" borderId="0" xfId="0" applyNumberFormat="1" applyFont="1" applyFill="1"/>
    <xf numFmtId="6" fontId="13" fillId="24" borderId="0" xfId="0" applyNumberFormat="1" applyFont="1" applyFill="1"/>
    <xf numFmtId="43" fontId="10" fillId="0" borderId="0" xfId="28" quotePrefix="1" applyFont="1" applyFill="1"/>
    <xf numFmtId="0" fontId="13" fillId="24" borderId="0" xfId="0" applyFont="1" applyFill="1"/>
    <xf numFmtId="178" fontId="13" fillId="24" borderId="0" xfId="0" applyNumberFormat="1" applyFont="1" applyFill="1"/>
    <xf numFmtId="0" fontId="10" fillId="24" borderId="23" xfId="0" applyFont="1" applyFill="1" applyBorder="1" applyAlignment="1">
      <alignment horizontal="center" wrapText="1"/>
    </xf>
    <xf numFmtId="44" fontId="13" fillId="24" borderId="14" xfId="33" applyFont="1" applyFill="1" applyBorder="1"/>
    <xf numFmtId="175" fontId="10" fillId="0" borderId="0" xfId="28" quotePrefix="1" applyNumberFormat="1" applyFont="1" applyFill="1" applyBorder="1"/>
    <xf numFmtId="43" fontId="10" fillId="0" borderId="0" xfId="28" quotePrefix="1" applyFont="1" applyFill="1" applyBorder="1"/>
    <xf numFmtId="43" fontId="10" fillId="0" borderId="0" xfId="28" applyFont="1" applyFill="1" applyBorder="1" applyAlignment="1">
      <alignment horizontal="right"/>
    </xf>
    <xf numFmtId="9" fontId="0" fillId="24" borderId="23" xfId="57" applyFont="1" applyFill="1" applyBorder="1"/>
    <xf numFmtId="10" fontId="13" fillId="24" borderId="14" xfId="57" applyNumberFormat="1" applyFont="1" applyFill="1" applyBorder="1"/>
    <xf numFmtId="44" fontId="10" fillId="24" borderId="0" xfId="33" quotePrefix="1" applyFont="1" applyFill="1" applyBorder="1" applyAlignment="1">
      <alignment horizontal="right"/>
    </xf>
    <xf numFmtId="186" fontId="51" fillId="24" borderId="0" xfId="0" applyNumberFormat="1" applyFont="1" applyFill="1" applyAlignment="1">
      <alignment horizontal="left"/>
    </xf>
    <xf numFmtId="0" fontId="67" fillId="24" borderId="0" xfId="0" applyFont="1" applyFill="1"/>
    <xf numFmtId="44" fontId="66" fillId="24" borderId="0" xfId="33" quotePrefix="1" applyFont="1" applyFill="1" applyBorder="1" applyAlignment="1">
      <alignment horizontal="right"/>
    </xf>
    <xf numFmtId="44" fontId="66" fillId="24" borderId="0" xfId="33" applyFont="1" applyFill="1" applyBorder="1"/>
    <xf numFmtId="0" fontId="66" fillId="24" borderId="0" xfId="0" applyFont="1" applyFill="1"/>
    <xf numFmtId="0" fontId="66" fillId="24" borderId="0" xfId="0" applyFont="1" applyFill="1" applyAlignment="1">
      <alignment horizontal="right"/>
    </xf>
    <xf numFmtId="17" fontId="66" fillId="24" borderId="0" xfId="0" applyNumberFormat="1" applyFont="1" applyFill="1"/>
    <xf numFmtId="17" fontId="66" fillId="24" borderId="0" xfId="0" applyNumberFormat="1" applyFont="1" applyFill="1" applyAlignment="1">
      <alignment horizontal="right"/>
    </xf>
    <xf numFmtId="44" fontId="69" fillId="24" borderId="0" xfId="33" quotePrefix="1" applyFont="1" applyFill="1" applyBorder="1" applyAlignment="1">
      <alignment horizontal="right"/>
    </xf>
    <xf numFmtId="44" fontId="69" fillId="24" borderId="0" xfId="33" applyFont="1" applyFill="1" applyBorder="1"/>
    <xf numFmtId="0" fontId="69" fillId="24" borderId="0" xfId="0" applyFont="1" applyFill="1"/>
    <xf numFmtId="0" fontId="69" fillId="24" borderId="0" xfId="0" applyFont="1" applyFill="1" applyAlignment="1">
      <alignment horizontal="right"/>
    </xf>
    <xf numFmtId="44" fontId="69" fillId="24" borderId="0" xfId="33" quotePrefix="1" applyFont="1" applyFill="1" applyBorder="1"/>
    <xf numFmtId="174" fontId="69" fillId="24" borderId="0" xfId="28" applyNumberFormat="1" applyFont="1" applyFill="1" applyBorder="1"/>
    <xf numFmtId="174" fontId="69" fillId="24" borderId="0" xfId="28" quotePrefix="1" applyNumberFormat="1" applyFont="1" applyFill="1" applyBorder="1"/>
    <xf numFmtId="0" fontId="71" fillId="24" borderId="0" xfId="0" applyFont="1" applyFill="1"/>
    <xf numFmtId="44" fontId="71" fillId="24" borderId="0" xfId="33" quotePrefix="1" applyFont="1" applyFill="1" applyBorder="1"/>
    <xf numFmtId="0" fontId="10" fillId="24" borderId="0" xfId="85" applyFill="1"/>
    <xf numFmtId="0" fontId="15" fillId="24" borderId="0" xfId="85" applyFont="1" applyFill="1" applyAlignment="1">
      <alignment horizontal="center"/>
    </xf>
    <xf numFmtId="0" fontId="57" fillId="24" borderId="0" xfId="85" applyFont="1" applyFill="1"/>
    <xf numFmtId="0" fontId="14" fillId="24" borderId="0" xfId="85" applyFont="1" applyFill="1"/>
    <xf numFmtId="0" fontId="12" fillId="24" borderId="0" xfId="85" applyFont="1" applyFill="1"/>
    <xf numFmtId="0" fontId="10" fillId="24" borderId="0" xfId="85" quotePrefix="1" applyFill="1"/>
    <xf numFmtId="0" fontId="12" fillId="24" borderId="0" xfId="85" applyFont="1" applyFill="1" applyAlignment="1">
      <alignment wrapText="1"/>
    </xf>
    <xf numFmtId="174" fontId="10" fillId="24" borderId="0" xfId="28" applyNumberFormat="1" applyFont="1" applyFill="1"/>
    <xf numFmtId="174" fontId="10" fillId="24" borderId="17" xfId="28" applyNumberFormat="1" applyFont="1" applyFill="1" applyBorder="1"/>
    <xf numFmtId="10" fontId="10" fillId="24" borderId="0" xfId="57" applyNumberFormat="1" applyFont="1" applyFill="1"/>
    <xf numFmtId="0" fontId="12" fillId="24" borderId="0" xfId="160" applyFont="1" applyFill="1"/>
    <xf numFmtId="3" fontId="10" fillId="24" borderId="17" xfId="85" applyNumberFormat="1" applyFill="1" applyBorder="1"/>
    <xf numFmtId="182" fontId="10" fillId="24" borderId="0" xfId="85" applyNumberFormat="1" applyFill="1"/>
    <xf numFmtId="178" fontId="12" fillId="24" borderId="31" xfId="85" applyNumberFormat="1" applyFont="1" applyFill="1" applyBorder="1"/>
    <xf numFmtId="3" fontId="10" fillId="24" borderId="0" xfId="85" applyNumberFormat="1" applyFill="1"/>
    <xf numFmtId="178" fontId="10" fillId="24" borderId="0" xfId="85" applyNumberFormat="1" applyFill="1"/>
    <xf numFmtId="0" fontId="14" fillId="24" borderId="0" xfId="85" applyFont="1" applyFill="1" applyAlignment="1">
      <alignment horizontal="center" wrapText="1"/>
    </xf>
    <xf numFmtId="0" fontId="12" fillId="24" borderId="0" xfId="85" quotePrefix="1" applyFont="1" applyFill="1"/>
    <xf numFmtId="0" fontId="63" fillId="24" borderId="0" xfId="85" applyFont="1" applyFill="1"/>
    <xf numFmtId="0" fontId="15" fillId="24" borderId="0" xfId="85" applyFont="1" applyFill="1"/>
    <xf numFmtId="0" fontId="17" fillId="24" borderId="0" xfId="85" applyFont="1" applyFill="1" applyAlignment="1">
      <alignment horizontal="center"/>
    </xf>
    <xf numFmtId="0" fontId="10" fillId="24" borderId="0" xfId="85" applyFill="1" applyAlignment="1">
      <alignment horizontal="center"/>
    </xf>
    <xf numFmtId="44" fontId="10" fillId="24" borderId="0" xfId="33" applyFont="1" applyFill="1"/>
    <xf numFmtId="44" fontId="10" fillId="24" borderId="0" xfId="100" applyFont="1" applyFill="1"/>
    <xf numFmtId="9" fontId="0" fillId="24" borderId="0" xfId="57" applyFont="1" applyFill="1"/>
    <xf numFmtId="169" fontId="10" fillId="24" borderId="0" xfId="100" applyNumberFormat="1" applyFont="1" applyFill="1"/>
    <xf numFmtId="169" fontId="10" fillId="24" borderId="0" xfId="85" applyNumberFormat="1" applyFill="1"/>
    <xf numFmtId="169" fontId="21" fillId="24" borderId="0" xfId="100" applyNumberFormat="1" applyFont="1" applyFill="1"/>
    <xf numFmtId="172" fontId="10" fillId="24" borderId="0" xfId="100" applyNumberFormat="1" applyFont="1" applyFill="1"/>
    <xf numFmtId="172" fontId="10" fillId="24" borderId="0" xfId="85" applyNumberFormat="1" applyFill="1"/>
    <xf numFmtId="171" fontId="12" fillId="24" borderId="0" xfId="100" quotePrefix="1" applyNumberFormat="1" applyFont="1" applyFill="1" applyBorder="1"/>
    <xf numFmtId="167" fontId="0" fillId="24" borderId="0" xfId="57" applyNumberFormat="1" applyFont="1" applyFill="1"/>
    <xf numFmtId="167" fontId="18" fillId="24" borderId="0" xfId="57" applyNumberFormat="1" applyFont="1" applyFill="1"/>
    <xf numFmtId="169" fontId="21" fillId="24" borderId="0" xfId="100" applyNumberFormat="1" applyFont="1" applyFill="1" applyBorder="1"/>
    <xf numFmtId="0" fontId="10" fillId="24" borderId="0" xfId="85" applyFill="1" applyAlignment="1">
      <alignment horizontal="center" wrapText="1"/>
    </xf>
    <xf numFmtId="0" fontId="10" fillId="24" borderId="0" xfId="160" applyFill="1"/>
    <xf numFmtId="0" fontId="50" fillId="24" borderId="0" xfId="85" applyFont="1" applyFill="1"/>
    <xf numFmtId="0" fontId="15" fillId="24" borderId="0" xfId="0" applyFont="1" applyFill="1"/>
    <xf numFmtId="0" fontId="10" fillId="24" borderId="0" xfId="0" applyFont="1" applyFill="1" applyAlignment="1">
      <alignment horizontal="center"/>
    </xf>
    <xf numFmtId="44" fontId="50" fillId="24" borderId="34" xfId="33" applyFont="1" applyFill="1" applyBorder="1"/>
    <xf numFmtId="44" fontId="50" fillId="24" borderId="0" xfId="33" applyFont="1" applyFill="1"/>
    <xf numFmtId="166" fontId="13" fillId="24" borderId="0" xfId="0" applyNumberFormat="1" applyFont="1" applyFill="1"/>
    <xf numFmtId="3" fontId="11" fillId="24" borderId="0" xfId="0" applyNumberFormat="1" applyFont="1" applyFill="1"/>
    <xf numFmtId="3" fontId="13" fillId="24" borderId="0" xfId="0" applyNumberFormat="1" applyFont="1" applyFill="1"/>
    <xf numFmtId="169" fontId="50" fillId="24" borderId="0" xfId="33" applyNumberFormat="1" applyFont="1" applyFill="1"/>
    <xf numFmtId="0" fontId="50" fillId="24" borderId="0" xfId="0" applyFont="1" applyFill="1"/>
    <xf numFmtId="169" fontId="50" fillId="24" borderId="17" xfId="33" applyNumberFormat="1" applyFont="1" applyFill="1" applyBorder="1"/>
    <xf numFmtId="171" fontId="0" fillId="24" borderId="0" xfId="33" applyNumberFormat="1" applyFont="1" applyFill="1"/>
    <xf numFmtId="171" fontId="11" fillId="24" borderId="0" xfId="33" applyNumberFormat="1" applyFont="1" applyFill="1"/>
    <xf numFmtId="172" fontId="11" fillId="24" borderId="0" xfId="33" applyNumberFormat="1" applyFont="1" applyFill="1"/>
    <xf numFmtId="171" fontId="12" fillId="24" borderId="0" xfId="33" quotePrefix="1" applyNumberFormat="1" applyFont="1" applyFill="1"/>
    <xf numFmtId="169" fontId="21" fillId="24" borderId="0" xfId="0" applyNumberFormat="1" applyFont="1" applyFill="1"/>
    <xf numFmtId="169" fontId="0" fillId="24" borderId="0" xfId="33" applyNumberFormat="1" applyFont="1" applyFill="1"/>
    <xf numFmtId="175" fontId="11" fillId="24" borderId="0" xfId="28" quotePrefix="1" applyNumberFormat="1" applyFont="1" applyFill="1" applyBorder="1"/>
    <xf numFmtId="43" fontId="11" fillId="24" borderId="0" xfId="28" quotePrefix="1" applyFont="1" applyFill="1"/>
    <xf numFmtId="17" fontId="0" fillId="24" borderId="0" xfId="0" applyNumberFormat="1" applyFill="1" applyAlignment="1">
      <alignment horizontal="right"/>
    </xf>
    <xf numFmtId="43" fontId="11" fillId="24" borderId="0" xfId="28" quotePrefix="1" applyFont="1" applyFill="1" applyBorder="1"/>
    <xf numFmtId="0" fontId="11" fillId="24" borderId="0" xfId="0" applyFont="1" applyFill="1"/>
    <xf numFmtId="43" fontId="11" fillId="24" borderId="0" xfId="28" applyFont="1" applyFill="1" applyBorder="1" applyAlignment="1">
      <alignment horizontal="right"/>
    </xf>
    <xf numFmtId="175" fontId="0" fillId="24" borderId="0" xfId="0" applyNumberFormat="1" applyFill="1"/>
    <xf numFmtId="175" fontId="12" fillId="24" borderId="0" xfId="0" applyNumberFormat="1" applyFont="1" applyFill="1"/>
    <xf numFmtId="0" fontId="11" fillId="24" borderId="0" xfId="0" applyFont="1" applyFill="1" applyAlignment="1">
      <alignment horizontal="left"/>
    </xf>
    <xf numFmtId="175" fontId="11" fillId="24" borderId="0" xfId="28" quotePrefix="1" applyNumberFormat="1" applyFont="1" applyFill="1"/>
    <xf numFmtId="0" fontId="12" fillId="24" borderId="0" xfId="0" applyFont="1" applyFill="1" applyAlignment="1">
      <alignment horizontal="center" wrapText="1"/>
    </xf>
    <xf numFmtId="0" fontId="18" fillId="24" borderId="0" xfId="0" applyFont="1" applyFill="1" applyAlignment="1">
      <alignment horizontal="left"/>
    </xf>
    <xf numFmtId="172" fontId="11" fillId="24" borderId="0" xfId="33" quotePrefix="1" applyNumberFormat="1" applyFont="1" applyFill="1"/>
    <xf numFmtId="0" fontId="17" fillId="24" borderId="0" xfId="0" applyFont="1" applyFill="1"/>
    <xf numFmtId="166" fontId="17" fillId="24" borderId="0" xfId="0" applyNumberFormat="1" applyFont="1" applyFill="1"/>
    <xf numFmtId="172" fontId="12" fillId="24" borderId="0" xfId="33" quotePrefix="1" applyNumberFormat="1" applyFont="1" applyFill="1"/>
    <xf numFmtId="169" fontId="0" fillId="24" borderId="0" xfId="33" quotePrefix="1" applyNumberFormat="1" applyFont="1" applyFill="1"/>
    <xf numFmtId="169" fontId="21" fillId="24" borderId="0" xfId="33" applyNumberFormat="1" applyFont="1" applyFill="1"/>
    <xf numFmtId="169" fontId="21" fillId="24" borderId="0" xfId="33" quotePrefix="1" applyNumberFormat="1" applyFont="1" applyFill="1"/>
    <xf numFmtId="169" fontId="12" fillId="24" borderId="0" xfId="0" applyNumberFormat="1" applyFont="1" applyFill="1"/>
    <xf numFmtId="0" fontId="0" fillId="24" borderId="11" xfId="0" applyFill="1" applyBorder="1"/>
    <xf numFmtId="0" fontId="0" fillId="24" borderId="12" xfId="0" applyFill="1" applyBorder="1"/>
    <xf numFmtId="0" fontId="0" fillId="24" borderId="13" xfId="0" applyFill="1" applyBorder="1"/>
    <xf numFmtId="0" fontId="0" fillId="24" borderId="14" xfId="0" applyFill="1" applyBorder="1" applyAlignment="1">
      <alignment horizontal="center"/>
    </xf>
    <xf numFmtId="0" fontId="0" fillId="24" borderId="15" xfId="0" applyFill="1" applyBorder="1"/>
    <xf numFmtId="0" fontId="0" fillId="24" borderId="0" xfId="0" applyFill="1" applyAlignment="1">
      <alignment horizontal="left"/>
    </xf>
    <xf numFmtId="0" fontId="11" fillId="24" borderId="0" xfId="0" applyFont="1" applyFill="1" applyAlignment="1">
      <alignment horizontal="center"/>
    </xf>
    <xf numFmtId="0" fontId="18" fillId="24" borderId="14" xfId="0" applyFont="1" applyFill="1" applyBorder="1" applyAlignment="1">
      <alignment horizontal="center"/>
    </xf>
    <xf numFmtId="165" fontId="0" fillId="24" borderId="14" xfId="0" applyNumberFormat="1" applyFill="1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180" fontId="12" fillId="24" borderId="0" xfId="33" quotePrefix="1" applyNumberFormat="1" applyFont="1" applyFill="1"/>
    <xf numFmtId="0" fontId="18" fillId="24" borderId="0" xfId="0" applyFont="1" applyFill="1" applyAlignment="1">
      <alignment horizontal="center"/>
    </xf>
    <xf numFmtId="166" fontId="10" fillId="24" borderId="0" xfId="0" applyNumberFormat="1" applyFont="1" applyFill="1"/>
    <xf numFmtId="166" fontId="11" fillId="24" borderId="0" xfId="0" applyNumberFormat="1" applyFont="1" applyFill="1"/>
    <xf numFmtId="166" fontId="13" fillId="24" borderId="22" xfId="0" applyNumberFormat="1" applyFont="1" applyFill="1" applyBorder="1"/>
    <xf numFmtId="44" fontId="70" fillId="24" borderId="0" xfId="33" quotePrefix="1" applyFont="1" applyFill="1" applyBorder="1" applyAlignment="1">
      <alignment horizontal="right"/>
    </xf>
    <xf numFmtId="44" fontId="70" fillId="24" borderId="0" xfId="33" applyFont="1" applyFill="1" applyBorder="1"/>
    <xf numFmtId="0" fontId="70" fillId="24" borderId="0" xfId="0" applyFont="1" applyFill="1"/>
    <xf numFmtId="0" fontId="0" fillId="24" borderId="0" xfId="0" applyFill="1" applyAlignment="1">
      <alignment wrapText="1"/>
    </xf>
    <xf numFmtId="171" fontId="0" fillId="24" borderId="0" xfId="0" applyNumberFormat="1" applyFill="1"/>
    <xf numFmtId="0" fontId="10" fillId="24" borderId="15" xfId="85" applyFill="1" applyBorder="1"/>
    <xf numFmtId="0" fontId="12" fillId="24" borderId="23" xfId="0" applyFont="1" applyFill="1" applyBorder="1" applyAlignment="1">
      <alignment horizontal="center" wrapText="1"/>
    </xf>
    <xf numFmtId="17" fontId="81" fillId="24" borderId="0" xfId="0" applyNumberFormat="1" applyFont="1" applyFill="1"/>
    <xf numFmtId="0" fontId="81" fillId="24" borderId="0" xfId="0" applyFont="1" applyFill="1"/>
    <xf numFmtId="9" fontId="81" fillId="24" borderId="0" xfId="57" quotePrefix="1" applyFont="1" applyFill="1" applyBorder="1"/>
    <xf numFmtId="10" fontId="81" fillId="24" borderId="0" xfId="0" applyNumberFormat="1" applyFont="1" applyFill="1"/>
    <xf numFmtId="3" fontId="81" fillId="24" borderId="0" xfId="0" applyNumberFormat="1" applyFont="1" applyFill="1"/>
    <xf numFmtId="182" fontId="10" fillId="24" borderId="0" xfId="85" quotePrefix="1" applyNumberFormat="1" applyFill="1" applyAlignment="1">
      <alignment horizontal="right"/>
    </xf>
    <xf numFmtId="168" fontId="10" fillId="24" borderId="0" xfId="85" applyNumberFormat="1" applyFill="1"/>
    <xf numFmtId="178" fontId="10" fillId="24" borderId="0" xfId="85" quotePrefix="1" applyNumberFormat="1" applyFill="1" applyAlignment="1">
      <alignment horizontal="right"/>
    </xf>
    <xf numFmtId="178" fontId="10" fillId="24" borderId="17" xfId="85" quotePrefix="1" applyNumberFormat="1" applyFill="1" applyBorder="1" applyAlignment="1">
      <alignment horizontal="right"/>
    </xf>
    <xf numFmtId="0" fontId="10" fillId="24" borderId="0" xfId="85" applyFill="1" applyAlignment="1">
      <alignment horizontal="center" vertical="center" wrapText="1"/>
    </xf>
    <xf numFmtId="0" fontId="10" fillId="24" borderId="0" xfId="85" quotePrefix="1" applyFill="1" applyAlignment="1">
      <alignment horizontal="center"/>
    </xf>
    <xf numFmtId="166" fontId="10" fillId="48" borderId="0" xfId="85" applyNumberFormat="1" applyFill="1"/>
    <xf numFmtId="0" fontId="10" fillId="24" borderId="0" xfId="160" quotePrefix="1" applyFill="1"/>
    <xf numFmtId="166" fontId="10" fillId="24" borderId="0" xfId="160" applyNumberFormat="1" applyFill="1"/>
    <xf numFmtId="44" fontId="0" fillId="24" borderId="0" xfId="100" applyFont="1" applyFill="1"/>
    <xf numFmtId="44" fontId="12" fillId="24" borderId="0" xfId="100" quotePrefix="1" applyFont="1" applyFill="1"/>
    <xf numFmtId="43" fontId="10" fillId="24" borderId="0" xfId="28" applyFont="1" applyFill="1" applyBorder="1" applyAlignment="1">
      <alignment horizontal="right"/>
    </xf>
    <xf numFmtId="44" fontId="10" fillId="0" borderId="0" xfId="33" applyFont="1" applyFill="1"/>
    <xf numFmtId="0" fontId="75" fillId="24" borderId="0" xfId="0" applyFont="1" applyFill="1"/>
    <xf numFmtId="0" fontId="12" fillId="24" borderId="0" xfId="0" applyFont="1" applyFill="1" applyAlignment="1">
      <alignment horizontal="right"/>
    </xf>
    <xf numFmtId="0" fontId="75" fillId="24" borderId="0" xfId="0" applyFont="1" applyFill="1" applyAlignment="1">
      <alignment horizontal="left"/>
    </xf>
    <xf numFmtId="0" fontId="14" fillId="24" borderId="0" xfId="160" applyFont="1" applyFill="1"/>
    <xf numFmtId="44" fontId="10" fillId="24" borderId="23" xfId="33" applyFont="1" applyFill="1" applyBorder="1"/>
    <xf numFmtId="0" fontId="10" fillId="2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center"/>
    </xf>
    <xf numFmtId="44" fontId="10" fillId="0" borderId="0" xfId="33" quotePrefix="1" applyFont="1" applyFill="1" applyBorder="1"/>
    <xf numFmtId="44" fontId="0" fillId="0" borderId="0" xfId="33" applyFont="1" applyFill="1" applyBorder="1"/>
    <xf numFmtId="166" fontId="0" fillId="0" borderId="0" xfId="0" applyNumberFormat="1"/>
    <xf numFmtId="0" fontId="0" fillId="0" borderId="0" xfId="0" applyAlignment="1">
      <alignment horizontal="right"/>
    </xf>
    <xf numFmtId="0" fontId="0" fillId="0" borderId="0" xfId="0" quotePrefix="1"/>
    <xf numFmtId="169" fontId="13" fillId="0" borderId="0" xfId="33" applyNumberFormat="1" applyFont="1" applyFill="1" applyBorder="1"/>
    <xf numFmtId="44" fontId="0" fillId="0" borderId="0" xfId="33" quotePrefix="1" applyFont="1" applyFill="1" applyBorder="1"/>
    <xf numFmtId="44" fontId="0" fillId="0" borderId="0" xfId="0" applyNumberFormat="1"/>
    <xf numFmtId="0" fontId="67" fillId="0" borderId="0" xfId="0" applyFont="1"/>
    <xf numFmtId="0" fontId="71" fillId="0" borderId="0" xfId="0" applyFont="1"/>
    <xf numFmtId="44" fontId="69" fillId="0" borderId="0" xfId="33" quotePrefix="1" applyFont="1" applyFill="1" applyBorder="1" applyAlignment="1">
      <alignment horizontal="right"/>
    </xf>
    <xf numFmtId="0" fontId="69" fillId="0" borderId="0" xfId="0" applyFont="1" applyAlignment="1">
      <alignment horizontal="right"/>
    </xf>
    <xf numFmtId="174" fontId="69" fillId="0" borderId="0" xfId="28" quotePrefix="1" applyNumberFormat="1" applyFont="1" applyFill="1" applyBorder="1"/>
    <xf numFmtId="44" fontId="71" fillId="0" borderId="0" xfId="33" quotePrefix="1" applyFont="1" applyFill="1" applyBorder="1"/>
    <xf numFmtId="44" fontId="69" fillId="0" borderId="0" xfId="33" quotePrefix="1" applyFont="1" applyFill="1" applyBorder="1"/>
    <xf numFmtId="0" fontId="68" fillId="0" borderId="0" xfId="0" applyFont="1"/>
    <xf numFmtId="0" fontId="18" fillId="0" borderId="0" xfId="0" applyFont="1" applyAlignment="1">
      <alignment horizontal="left"/>
    </xf>
    <xf numFmtId="0" fontId="69" fillId="0" borderId="0" xfId="0" applyFont="1" applyAlignment="1">
      <alignment horizontal="left"/>
    </xf>
    <xf numFmtId="44" fontId="69" fillId="0" borderId="0" xfId="33" applyFont="1" applyFill="1" applyBorder="1" applyAlignment="1">
      <alignment horizontal="right"/>
    </xf>
    <xf numFmtId="172" fontId="10" fillId="0" borderId="0" xfId="33" applyNumberFormat="1" applyFont="1" applyFill="1" applyBorder="1"/>
    <xf numFmtId="43" fontId="0" fillId="0" borderId="0" xfId="0" applyNumberFormat="1"/>
    <xf numFmtId="174" fontId="0" fillId="0" borderId="0" xfId="28" applyNumberFormat="1" applyFont="1" applyFill="1" applyBorder="1"/>
    <xf numFmtId="17" fontId="0" fillId="0" borderId="0" xfId="0" applyNumberFormat="1" applyAlignment="1">
      <alignment horizontal="right"/>
    </xf>
    <xf numFmtId="174" fontId="12" fillId="0" borderId="0" xfId="28" applyNumberFormat="1" applyFont="1" applyFill="1" applyBorder="1"/>
    <xf numFmtId="44" fontId="12" fillId="0" borderId="0" xfId="33" applyFont="1" applyFill="1" applyBorder="1" applyAlignment="1">
      <alignment horizontal="center"/>
    </xf>
    <xf numFmtId="174" fontId="12" fillId="0" borderId="0" xfId="28" applyNumberFormat="1" applyFont="1" applyFill="1" applyBorder="1" applyAlignment="1">
      <alignment horizontal="center"/>
    </xf>
    <xf numFmtId="0" fontId="72" fillId="0" borderId="0" xfId="0" applyFont="1"/>
    <xf numFmtId="172" fontId="0" fillId="0" borderId="0" xfId="0" applyNumberFormat="1"/>
    <xf numFmtId="44" fontId="10" fillId="0" borderId="0" xfId="33" quotePrefix="1" applyFont="1" applyFill="1" applyBorder="1" applyAlignment="1">
      <alignment horizontal="left"/>
    </xf>
    <xf numFmtId="17" fontId="18" fillId="0" borderId="0" xfId="0" applyNumberFormat="1" applyFont="1" applyAlignment="1">
      <alignment horizontal="left"/>
    </xf>
    <xf numFmtId="169" fontId="10" fillId="0" borderId="0" xfId="33" quotePrefix="1" applyNumberFormat="1" applyFont="1" applyFill="1" applyBorder="1"/>
    <xf numFmtId="169" fontId="0" fillId="0" borderId="0" xfId="0" applyNumberFormat="1"/>
    <xf numFmtId="169" fontId="0" fillId="0" borderId="0" xfId="33" applyNumberFormat="1" applyFont="1" applyFill="1" applyBorder="1"/>
    <xf numFmtId="175" fontId="0" fillId="0" borderId="0" xfId="0" applyNumberFormat="1"/>
    <xf numFmtId="175" fontId="12" fillId="0" borderId="0" xfId="0" applyNumberFormat="1" applyFont="1"/>
    <xf numFmtId="0" fontId="12" fillId="0" borderId="0" xfId="0" applyFont="1" applyAlignment="1">
      <alignment horizontal="right"/>
    </xf>
    <xf numFmtId="171" fontId="12" fillId="0" borderId="0" xfId="33" quotePrefix="1" applyNumberFormat="1" applyFont="1" applyFill="1" applyBorder="1"/>
    <xf numFmtId="172" fontId="10" fillId="0" borderId="0" xfId="33" quotePrefix="1" applyNumberFormat="1" applyFont="1" applyFill="1" applyBorder="1"/>
    <xf numFmtId="0" fontId="12" fillId="0" borderId="0" xfId="0" applyFont="1" applyAlignment="1">
      <alignment horizontal="center" wrapText="1"/>
    </xf>
    <xf numFmtId="44" fontId="10" fillId="0" borderId="0" xfId="0" applyNumberFormat="1" applyFont="1"/>
    <xf numFmtId="9" fontId="0" fillId="0" borderId="0" xfId="57" applyFont="1" applyFill="1" applyBorder="1"/>
    <xf numFmtId="169" fontId="10" fillId="0" borderId="0" xfId="33" applyNumberFormat="1" applyFont="1" applyFill="1" applyBorder="1"/>
    <xf numFmtId="0" fontId="14" fillId="0" borderId="0" xfId="0" applyFont="1" applyAlignment="1">
      <alignment horizontal="right"/>
    </xf>
    <xf numFmtId="176" fontId="12" fillId="0" borderId="0" xfId="28" applyNumberFormat="1" applyFont="1" applyFill="1" applyBorder="1"/>
    <xf numFmtId="169" fontId="0" fillId="0" borderId="0" xfId="57" applyNumberFormat="1" applyFont="1" applyFill="1" applyBorder="1"/>
    <xf numFmtId="43" fontId="14" fillId="0" borderId="0" xfId="28" applyFont="1" applyFill="1" applyBorder="1"/>
    <xf numFmtId="169" fontId="0" fillId="0" borderId="0" xfId="33" quotePrefix="1" applyNumberFormat="1" applyFont="1" applyFill="1" applyBorder="1"/>
    <xf numFmtId="176" fontId="10" fillId="0" borderId="0" xfId="28" quotePrefix="1" applyNumberFormat="1" applyFont="1" applyFill="1" applyBorder="1"/>
    <xf numFmtId="0" fontId="61" fillId="24" borderId="0" xfId="0" applyFont="1" applyFill="1" applyAlignment="1">
      <alignment horizontal="left"/>
    </xf>
    <xf numFmtId="0" fontId="78" fillId="24" borderId="0" xfId="0" applyFont="1" applyFill="1" applyAlignment="1">
      <alignment horizontal="left"/>
    </xf>
    <xf numFmtId="0" fontId="103" fillId="24" borderId="0" xfId="0" applyFont="1" applyFill="1" applyAlignment="1">
      <alignment horizontal="left"/>
    </xf>
    <xf numFmtId="17" fontId="78" fillId="24" borderId="0" xfId="0" applyNumberFormat="1" applyFont="1" applyFill="1" applyAlignment="1">
      <alignment horizontal="left" wrapText="1"/>
    </xf>
    <xf numFmtId="0" fontId="10" fillId="24" borderId="23" xfId="0" applyFont="1" applyFill="1" applyBorder="1" applyAlignment="1">
      <alignment horizontal="center"/>
    </xf>
    <xf numFmtId="0" fontId="0" fillId="24" borderId="23" xfId="0" applyFill="1" applyBorder="1" applyAlignment="1">
      <alignment horizontal="center"/>
    </xf>
    <xf numFmtId="44" fontId="10" fillId="24" borderId="0" xfId="33" applyFont="1" applyFill="1" applyBorder="1"/>
    <xf numFmtId="0" fontId="102" fillId="24" borderId="0" xfId="0" quotePrefix="1" applyFont="1" applyFill="1"/>
    <xf numFmtId="0" fontId="0" fillId="24" borderId="23" xfId="0" applyFill="1" applyBorder="1" applyAlignment="1">
      <alignment horizontal="right"/>
    </xf>
    <xf numFmtId="4" fontId="0" fillId="24" borderId="0" xfId="0" applyNumberFormat="1" applyFill="1"/>
    <xf numFmtId="168" fontId="10" fillId="24" borderId="0" xfId="0" applyNumberFormat="1" applyFont="1" applyFill="1"/>
    <xf numFmtId="178" fontId="10" fillId="24" borderId="0" xfId="0" applyNumberFormat="1" applyFont="1" applyFill="1"/>
    <xf numFmtId="0" fontId="10" fillId="24" borderId="0" xfId="0" quotePrefix="1" applyFont="1" applyFill="1" applyAlignment="1">
      <alignment horizontal="right"/>
    </xf>
    <xf numFmtId="0" fontId="10" fillId="24" borderId="23" xfId="0" applyFont="1" applyFill="1" applyBorder="1" applyAlignment="1">
      <alignment horizontal="right"/>
    </xf>
    <xf numFmtId="0" fontId="16" fillId="24" borderId="0" xfId="0" applyFont="1" applyFill="1" applyAlignment="1">
      <alignment horizontal="left"/>
    </xf>
    <xf numFmtId="0" fontId="19" fillId="24" borderId="0" xfId="0" applyFont="1" applyFill="1" applyAlignment="1">
      <alignment horizontal="center"/>
    </xf>
    <xf numFmtId="17" fontId="75" fillId="24" borderId="0" xfId="0" applyNumberFormat="1" applyFont="1" applyFill="1" applyAlignment="1">
      <alignment wrapText="1"/>
    </xf>
    <xf numFmtId="9" fontId="99" fillId="24" borderId="0" xfId="57" quotePrefix="1" applyFont="1" applyFill="1" applyBorder="1"/>
    <xf numFmtId="174" fontId="101" fillId="24" borderId="0" xfId="28" applyNumberFormat="1" applyFont="1" applyFill="1" applyBorder="1"/>
    <xf numFmtId="3" fontId="101" fillId="24" borderId="0" xfId="0" applyNumberFormat="1" applyFont="1" applyFill="1"/>
    <xf numFmtId="0" fontId="55" fillId="24" borderId="23" xfId="0" quotePrefix="1" applyFont="1" applyFill="1" applyBorder="1" applyAlignment="1">
      <alignment horizontal="center"/>
    </xf>
    <xf numFmtId="0" fontId="13" fillId="24" borderId="23" xfId="28" applyNumberFormat="1" applyFont="1" applyFill="1" applyBorder="1"/>
    <xf numFmtId="10" fontId="74" fillId="24" borderId="23" xfId="0" applyNumberFormat="1" applyFont="1" applyFill="1" applyBorder="1"/>
    <xf numFmtId="0" fontId="106" fillId="24" borderId="0" xfId="0" applyFont="1" applyFill="1" applyAlignment="1">
      <alignment horizontal="left"/>
    </xf>
    <xf numFmtId="0" fontId="107" fillId="24" borderId="0" xfId="0" applyFont="1" applyFill="1"/>
    <xf numFmtId="0" fontId="107" fillId="24" borderId="0" xfId="0" applyFont="1" applyFill="1" applyAlignment="1">
      <alignment horizontal="center"/>
    </xf>
    <xf numFmtId="0" fontId="108" fillId="24" borderId="0" xfId="0" applyFont="1" applyFill="1"/>
    <xf numFmtId="0" fontId="108" fillId="24" borderId="0" xfId="0" applyFont="1" applyFill="1" applyAlignment="1">
      <alignment horizontal="left"/>
    </xf>
    <xf numFmtId="168" fontId="50" fillId="24" borderId="0" xfId="0" applyNumberFormat="1" applyFont="1" applyFill="1"/>
    <xf numFmtId="0" fontId="50" fillId="24" borderId="23" xfId="0" applyFont="1" applyFill="1" applyBorder="1"/>
    <xf numFmtId="0" fontId="76" fillId="24" borderId="0" xfId="0" applyFont="1" applyFill="1" applyAlignment="1">
      <alignment horizontal="left"/>
    </xf>
    <xf numFmtId="168" fontId="107" fillId="24" borderId="0" xfId="0" applyNumberFormat="1" applyFont="1" applyFill="1"/>
    <xf numFmtId="0" fontId="76" fillId="24" borderId="0" xfId="0" applyFont="1" applyFill="1"/>
    <xf numFmtId="0" fontId="100" fillId="24" borderId="0" xfId="0" applyFont="1" applyFill="1"/>
    <xf numFmtId="0" fontId="108" fillId="24" borderId="23" xfId="0" applyFont="1" applyFill="1" applyBorder="1"/>
    <xf numFmtId="0" fontId="107" fillId="24" borderId="23" xfId="0" applyFont="1" applyFill="1" applyBorder="1" applyAlignment="1">
      <alignment horizontal="center"/>
    </xf>
    <xf numFmtId="0" fontId="77" fillId="24" borderId="0" xfId="0" applyFont="1" applyFill="1" applyAlignment="1">
      <alignment horizontal="left" wrapText="1"/>
    </xf>
    <xf numFmtId="44" fontId="13" fillId="28" borderId="0" xfId="33" applyFont="1" applyFill="1"/>
    <xf numFmtId="44" fontId="68" fillId="48" borderId="0" xfId="33" applyFont="1" applyFill="1"/>
    <xf numFmtId="0" fontId="10" fillId="24" borderId="23" xfId="0" quotePrefix="1" applyFont="1" applyFill="1" applyBorder="1"/>
    <xf numFmtId="17" fontId="12" fillId="24" borderId="0" xfId="0" applyNumberFormat="1" applyFont="1" applyFill="1"/>
    <xf numFmtId="0" fontId="106" fillId="24" borderId="0" xfId="0" applyFont="1" applyFill="1" applyAlignment="1">
      <alignment horizontal="center"/>
    </xf>
    <xf numFmtId="0" fontId="112" fillId="24" borderId="23" xfId="85" applyFont="1" applyFill="1" applyBorder="1" applyAlignment="1">
      <alignment vertical="center"/>
    </xf>
    <xf numFmtId="177" fontId="50" fillId="24" borderId="0" xfId="0" applyNumberFormat="1" applyFont="1" applyFill="1"/>
    <xf numFmtId="9" fontId="50" fillId="24" borderId="0" xfId="57" applyFont="1" applyFill="1" applyBorder="1"/>
    <xf numFmtId="165" fontId="50" fillId="24" borderId="0" xfId="0" applyNumberFormat="1" applyFont="1" applyFill="1"/>
    <xf numFmtId="170" fontId="50" fillId="24" borderId="0" xfId="0" applyNumberFormat="1" applyFont="1" applyFill="1"/>
    <xf numFmtId="165" fontId="50" fillId="24" borderId="0" xfId="0" quotePrefix="1" applyNumberFormat="1" applyFont="1" applyFill="1"/>
    <xf numFmtId="0" fontId="107" fillId="24" borderId="0" xfId="0" quotePrefix="1" applyFont="1" applyFill="1"/>
    <xf numFmtId="39" fontId="50" fillId="24" borderId="0" xfId="0" quotePrefix="1" applyNumberFormat="1" applyFont="1" applyFill="1"/>
    <xf numFmtId="0" fontId="108" fillId="24" borderId="23" xfId="0" applyFont="1" applyFill="1" applyBorder="1" applyAlignment="1">
      <alignment horizontal="center" wrapText="1"/>
    </xf>
    <xf numFmtId="0" fontId="50" fillId="24" borderId="23" xfId="0" applyFont="1" applyFill="1" applyBorder="1" applyAlignment="1">
      <alignment wrapText="1"/>
    </xf>
    <xf numFmtId="173" fontId="10" fillId="24" borderId="0" xfId="57" quotePrefix="1" applyNumberFormat="1" applyFont="1" applyFill="1" applyBorder="1"/>
    <xf numFmtId="44" fontId="110" fillId="25" borderId="0" xfId="0" applyNumberFormat="1" applyFont="1" applyFill="1" applyAlignment="1">
      <alignment wrapText="1"/>
    </xf>
    <xf numFmtId="0" fontId="110" fillId="25" borderId="0" xfId="0" applyFont="1" applyFill="1" applyAlignment="1">
      <alignment wrapText="1"/>
    </xf>
    <xf numFmtId="44" fontId="105" fillId="24" borderId="0" xfId="0" applyNumberFormat="1" applyFont="1" applyFill="1"/>
    <xf numFmtId="38" fontId="13" fillId="24" borderId="23" xfId="0" applyNumberFormat="1" applyFont="1" applyFill="1" applyBorder="1" applyAlignment="1">
      <alignment horizontal="right"/>
    </xf>
    <xf numFmtId="17" fontId="76" fillId="24" borderId="0" xfId="0" applyNumberFormat="1" applyFont="1" applyFill="1" applyAlignment="1">
      <alignment horizontal="right"/>
    </xf>
    <xf numFmtId="40" fontId="98" fillId="24" borderId="23" xfId="0" applyNumberFormat="1" applyFont="1" applyFill="1" applyBorder="1" applyAlignment="1">
      <alignment horizontal="right"/>
    </xf>
    <xf numFmtId="168" fontId="13" fillId="24" borderId="23" xfId="0" applyNumberFormat="1" applyFont="1" applyFill="1" applyBorder="1"/>
    <xf numFmtId="7" fontId="98" fillId="24" borderId="23" xfId="33" applyNumberFormat="1" applyFont="1" applyFill="1" applyBorder="1"/>
    <xf numFmtId="0" fontId="98" fillId="24" borderId="0" xfId="0" applyFont="1" applyFill="1"/>
    <xf numFmtId="0" fontId="15" fillId="0" borderId="0" xfId="0" applyFont="1"/>
    <xf numFmtId="0" fontId="11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2" fillId="0" borderId="0" xfId="0" quotePrefix="1" applyFont="1"/>
    <xf numFmtId="39" fontId="11" fillId="0" borderId="0" xfId="0" quotePrefix="1" applyNumberFormat="1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4" fillId="0" borderId="0" xfId="0" quotePrefix="1" applyFont="1"/>
    <xf numFmtId="0" fontId="1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3" fillId="0" borderId="0" xfId="0" quotePrefix="1" applyFont="1" applyAlignment="1">
      <alignment wrapText="1"/>
    </xf>
    <xf numFmtId="10" fontId="13" fillId="0" borderId="0" xfId="57" applyNumberFormat="1" applyFont="1" applyFill="1"/>
    <xf numFmtId="173" fontId="13" fillId="0" borderId="0" xfId="57" quotePrefix="1" applyNumberFormat="1" applyFont="1" applyFill="1"/>
    <xf numFmtId="9" fontId="13" fillId="0" borderId="0" xfId="57" quotePrefix="1" applyFont="1" applyFill="1"/>
    <xf numFmtId="9" fontId="11" fillId="0" borderId="0" xfId="57" quotePrefix="1" applyFont="1" applyFill="1"/>
    <xf numFmtId="9" fontId="14" fillId="0" borderId="0" xfId="57" applyFont="1" applyFill="1"/>
    <xf numFmtId="9" fontId="13" fillId="0" borderId="0" xfId="57" applyFont="1" applyFill="1"/>
    <xf numFmtId="9" fontId="13" fillId="0" borderId="0" xfId="57" quotePrefix="1" applyFont="1" applyFill="1" applyAlignment="1">
      <alignment horizontal="center"/>
    </xf>
    <xf numFmtId="1" fontId="13" fillId="0" borderId="0" xfId="57" quotePrefix="1" applyNumberFormat="1" applyFont="1" applyFill="1"/>
    <xf numFmtId="17" fontId="12" fillId="0" borderId="0" xfId="0" applyNumberFormat="1" applyFont="1"/>
    <xf numFmtId="17" fontId="14" fillId="0" borderId="0" xfId="0" applyNumberFormat="1" applyFont="1"/>
    <xf numFmtId="0" fontId="20" fillId="0" borderId="0" xfId="49" applyFill="1" applyAlignment="1" applyProtection="1"/>
    <xf numFmtId="0" fontId="11" fillId="0" borderId="0" xfId="0" applyFont="1" applyAlignment="1">
      <alignment horizontal="center"/>
    </xf>
    <xf numFmtId="3" fontId="0" fillId="0" borderId="0" xfId="0" applyNumberFormat="1"/>
    <xf numFmtId="38" fontId="13" fillId="0" borderId="0" xfId="0" applyNumberFormat="1" applyFont="1" applyAlignment="1">
      <alignment horizontal="right"/>
    </xf>
    <xf numFmtId="174" fontId="11" fillId="0" borderId="0" xfId="28" applyNumberFormat="1" applyFont="1" applyFill="1"/>
    <xf numFmtId="173" fontId="0" fillId="0" borderId="0" xfId="0" applyNumberFormat="1"/>
    <xf numFmtId="3" fontId="0" fillId="0" borderId="0" xfId="0" quotePrefix="1" applyNumberFormat="1"/>
    <xf numFmtId="9" fontId="0" fillId="0" borderId="0" xfId="57" applyFont="1" applyFill="1" applyAlignment="1"/>
    <xf numFmtId="174" fontId="23" fillId="0" borderId="0" xfId="28" applyNumberFormat="1" applyFont="1" applyFill="1" applyAlignment="1">
      <alignment horizontal="center"/>
    </xf>
    <xf numFmtId="173" fontId="13" fillId="0" borderId="0" xfId="57" applyNumberFormat="1" applyFont="1" applyFill="1"/>
    <xf numFmtId="173" fontId="13" fillId="0" borderId="0" xfId="0" applyNumberFormat="1" applyFont="1"/>
    <xf numFmtId="173" fontId="11" fillId="0" borderId="0" xfId="0" applyNumberFormat="1" applyFont="1"/>
    <xf numFmtId="3" fontId="13" fillId="0" borderId="0" xfId="0" applyNumberFormat="1" applyFont="1"/>
    <xf numFmtId="0" fontId="11" fillId="0" borderId="0" xfId="0" quotePrefix="1" applyFont="1"/>
    <xf numFmtId="9" fontId="0" fillId="0" borderId="0" xfId="0" applyNumberFormat="1"/>
    <xf numFmtId="17" fontId="0" fillId="0" borderId="0" xfId="0" applyNumberFormat="1" applyAlignment="1">
      <alignment horizontal="center"/>
    </xf>
    <xf numFmtId="10" fontId="0" fillId="0" borderId="0" xfId="0" applyNumberFormat="1"/>
    <xf numFmtId="0" fontId="17" fillId="0" borderId="0" xfId="0" applyFont="1" applyAlignment="1">
      <alignment horizontal="center"/>
    </xf>
    <xf numFmtId="40" fontId="13" fillId="0" borderId="0" xfId="0" applyNumberFormat="1" applyFont="1" applyAlignment="1">
      <alignment horizontal="right"/>
    </xf>
    <xf numFmtId="177" fontId="11" fillId="0" borderId="0" xfId="0" applyNumberFormat="1" applyFont="1"/>
    <xf numFmtId="0" fontId="62" fillId="0" borderId="0" xfId="0" applyFont="1" applyAlignment="1">
      <alignment horizontal="left"/>
    </xf>
    <xf numFmtId="0" fontId="62" fillId="0" borderId="0" xfId="0" applyFont="1"/>
    <xf numFmtId="0" fontId="78" fillId="0" borderId="0" xfId="0" applyFont="1"/>
    <xf numFmtId="166" fontId="11" fillId="0" borderId="0" xfId="0" applyNumberFormat="1" applyFont="1"/>
    <xf numFmtId="9" fontId="11" fillId="0" borderId="0" xfId="57" applyFont="1" applyFill="1"/>
    <xf numFmtId="0" fontId="75" fillId="0" borderId="0" xfId="0" applyFont="1"/>
    <xf numFmtId="9" fontId="11" fillId="0" borderId="0" xfId="57" applyFont="1" applyFill="1" applyBorder="1"/>
    <xf numFmtId="0" fontId="62" fillId="0" borderId="0" xfId="0" applyFont="1" applyAlignment="1">
      <alignment wrapText="1"/>
    </xf>
    <xf numFmtId="0" fontId="58" fillId="0" borderId="0" xfId="0" applyFont="1" applyAlignment="1">
      <alignment vertical="center"/>
    </xf>
    <xf numFmtId="9" fontId="13" fillId="0" borderId="22" xfId="57" applyFont="1" applyFill="1" applyBorder="1"/>
    <xf numFmtId="166" fontId="0" fillId="0" borderId="19" xfId="0" applyNumberFormat="1" applyBorder="1"/>
    <xf numFmtId="9" fontId="0" fillId="0" borderId="19" xfId="57" applyFont="1" applyFill="1" applyBorder="1"/>
    <xf numFmtId="166" fontId="0" fillId="0" borderId="20" xfId="0" applyNumberFormat="1" applyBorder="1"/>
    <xf numFmtId="9" fontId="0" fillId="0" borderId="20" xfId="57" applyFont="1" applyFill="1" applyBorder="1"/>
    <xf numFmtId="4" fontId="13" fillId="0" borderId="0" xfId="0" applyNumberFormat="1" applyFont="1"/>
    <xf numFmtId="167" fontId="13" fillId="0" borderId="0" xfId="0" applyNumberFormat="1" applyFont="1"/>
    <xf numFmtId="0" fontId="0" fillId="0" borderId="17" xfId="0" applyBorder="1"/>
    <xf numFmtId="10" fontId="0" fillId="0" borderId="0" xfId="0" applyNumberFormat="1" applyAlignment="1">
      <alignment horizontal="center"/>
    </xf>
    <xf numFmtId="167" fontId="23" fillId="0" borderId="21" xfId="57" applyNumberFormat="1" applyFont="1" applyFill="1" applyBorder="1"/>
    <xf numFmtId="167" fontId="10" fillId="0" borderId="0" xfId="0" applyNumberFormat="1" applyFont="1"/>
    <xf numFmtId="167" fontId="11" fillId="0" borderId="0" xfId="0" applyNumberFormat="1" applyFont="1"/>
    <xf numFmtId="170" fontId="0" fillId="0" borderId="0" xfId="0" applyNumberFormat="1"/>
    <xf numFmtId="165" fontId="0" fillId="0" borderId="0" xfId="0" applyNumberFormat="1"/>
    <xf numFmtId="167" fontId="13" fillId="0" borderId="21" xfId="57" applyNumberFormat="1" applyFont="1" applyFill="1" applyBorder="1"/>
    <xf numFmtId="181" fontId="10" fillId="0" borderId="0" xfId="57" applyNumberFormat="1" applyFont="1" applyFill="1"/>
    <xf numFmtId="0" fontId="28" fillId="0" borderId="0" xfId="0" applyFont="1"/>
    <xf numFmtId="170" fontId="28" fillId="0" borderId="0" xfId="0" applyNumberFormat="1" applyFont="1"/>
    <xf numFmtId="167" fontId="98" fillId="0" borderId="0" xfId="57" applyNumberFormat="1" applyFont="1" applyFill="1"/>
    <xf numFmtId="181" fontId="10" fillId="0" borderId="0" xfId="57" quotePrefix="1" applyNumberFormat="1" applyFont="1" applyFill="1"/>
    <xf numFmtId="165" fontId="0" fillId="0" borderId="0" xfId="0" quotePrefix="1" applyNumberFormat="1"/>
    <xf numFmtId="44" fontId="11" fillId="0" borderId="0" xfId="33" quotePrefix="1" applyFont="1" applyFill="1"/>
    <xf numFmtId="44" fontId="0" fillId="0" borderId="0" xfId="33" applyFont="1" applyFill="1"/>
    <xf numFmtId="44" fontId="11" fillId="0" borderId="0" xfId="33" applyFont="1" applyFill="1"/>
    <xf numFmtId="169" fontId="11" fillId="0" borderId="0" xfId="33" quotePrefix="1" applyNumberFormat="1" applyFont="1" applyFill="1"/>
    <xf numFmtId="169" fontId="11" fillId="0" borderId="0" xfId="33" applyNumberFormat="1" applyFont="1" applyFill="1"/>
    <xf numFmtId="39" fontId="0" fillId="0" borderId="0" xfId="0" applyNumberFormat="1"/>
    <xf numFmtId="173" fontId="12" fillId="0" borderId="0" xfId="0" applyNumberFormat="1" applyFont="1" applyAlignment="1">
      <alignment horizontal="center"/>
    </xf>
    <xf numFmtId="169" fontId="0" fillId="0" borderId="0" xfId="33" applyNumberFormat="1" applyFont="1" applyFill="1"/>
    <xf numFmtId="169" fontId="21" fillId="0" borderId="0" xfId="33" applyNumberFormat="1" applyFont="1" applyFill="1"/>
    <xf numFmtId="168" fontId="23" fillId="0" borderId="0" xfId="0" applyNumberFormat="1" applyFont="1"/>
    <xf numFmtId="168" fontId="12" fillId="0" borderId="0" xfId="0" applyNumberFormat="1" applyFont="1"/>
    <xf numFmtId="168" fontId="11" fillId="0" borderId="0" xfId="0" applyNumberFormat="1" applyFont="1"/>
    <xf numFmtId="168" fontId="0" fillId="0" borderId="0" xfId="0" applyNumberFormat="1"/>
    <xf numFmtId="0" fontId="13" fillId="0" borderId="0" xfId="0" applyFont="1"/>
    <xf numFmtId="178" fontId="23" fillId="0" borderId="0" xfId="0" applyNumberFormat="1" applyFont="1"/>
    <xf numFmtId="178" fontId="0" fillId="0" borderId="0" xfId="0" applyNumberFormat="1"/>
    <xf numFmtId="1" fontId="11" fillId="0" borderId="0" xfId="0" applyNumberFormat="1" applyFont="1"/>
    <xf numFmtId="165" fontId="23" fillId="0" borderId="0" xfId="0" applyNumberFormat="1" applyFont="1"/>
    <xf numFmtId="178" fontId="0" fillId="0" borderId="17" xfId="0" applyNumberFormat="1" applyBorder="1"/>
    <xf numFmtId="168" fontId="13" fillId="0" borderId="0" xfId="0" applyNumberFormat="1" applyFont="1"/>
    <xf numFmtId="43" fontId="15" fillId="0" borderId="0" xfId="28" applyFont="1" applyFill="1"/>
    <xf numFmtId="3" fontId="11" fillId="0" borderId="0" xfId="0" applyNumberFormat="1" applyFont="1" applyAlignment="1">
      <alignment horizontal="right"/>
    </xf>
    <xf numFmtId="0" fontId="0" fillId="0" borderId="0" xfId="0" quotePrefix="1" applyAlignment="1">
      <alignment horizontal="right"/>
    </xf>
    <xf numFmtId="3" fontId="98" fillId="0" borderId="0" xfId="0" applyNumberFormat="1" applyFont="1"/>
    <xf numFmtId="168" fontId="11" fillId="0" borderId="0" xfId="0" applyNumberFormat="1" applyFont="1" applyAlignment="1">
      <alignment horizontal="right"/>
    </xf>
    <xf numFmtId="178" fontId="11" fillId="0" borderId="0" xfId="33" applyNumberFormat="1" applyFont="1" applyFill="1"/>
    <xf numFmtId="0" fontId="11" fillId="0" borderId="0" xfId="0" quotePrefix="1" applyFont="1" applyAlignment="1">
      <alignment horizontal="center"/>
    </xf>
    <xf numFmtId="168" fontId="11" fillId="0" borderId="0" xfId="0" quotePrefix="1" applyNumberFormat="1" applyFont="1" applyAlignment="1">
      <alignment horizontal="center"/>
    </xf>
    <xf numFmtId="178" fontId="10" fillId="0" borderId="0" xfId="33" applyNumberFormat="1" applyFont="1" applyFill="1" applyAlignment="1">
      <alignment horizontal="center" wrapText="1"/>
    </xf>
    <xf numFmtId="44" fontId="11" fillId="0" borderId="0" xfId="0" applyNumberFormat="1" applyFont="1"/>
    <xf numFmtId="164" fontId="0" fillId="0" borderId="0" xfId="0" applyNumberFormat="1"/>
    <xf numFmtId="44" fontId="0" fillId="0" borderId="0" xfId="33" quotePrefix="1" applyFont="1" applyFill="1"/>
    <xf numFmtId="184" fontId="79" fillId="0" borderId="0" xfId="28" applyNumberFormat="1" applyFont="1" applyFill="1"/>
    <xf numFmtId="0" fontId="11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165" fontId="10" fillId="0" borderId="0" xfId="0" applyNumberFormat="1" applyFont="1"/>
    <xf numFmtId="3" fontId="0" fillId="0" borderId="0" xfId="0" applyNumberFormat="1" applyAlignment="1">
      <alignment horizontal="center"/>
    </xf>
    <xf numFmtId="3" fontId="0" fillId="0" borderId="17" xfId="0" applyNumberFormat="1" applyBorder="1" applyAlignment="1">
      <alignment horizontal="center"/>
    </xf>
    <xf numFmtId="43" fontId="54" fillId="0" borderId="0" xfId="28" applyFont="1" applyFill="1"/>
    <xf numFmtId="0" fontId="12" fillId="0" borderId="42" xfId="0" applyFont="1" applyBorder="1"/>
    <xf numFmtId="43" fontId="15" fillId="0" borderId="42" xfId="0" applyNumberFormat="1" applyFont="1" applyBorder="1"/>
    <xf numFmtId="0" fontId="11" fillId="0" borderId="0" xfId="0" applyFont="1" applyAlignment="1">
      <alignment horizontal="left"/>
    </xf>
    <xf numFmtId="43" fontId="15" fillId="0" borderId="0" xfId="0" applyNumberFormat="1" applyFont="1"/>
    <xf numFmtId="169" fontId="13" fillId="0" borderId="0" xfId="33" applyNumberFormat="1" applyFont="1" applyFill="1"/>
    <xf numFmtId="44" fontId="0" fillId="0" borderId="0" xfId="33" quotePrefix="1" applyFont="1" applyFill="1" applyAlignment="1">
      <alignment horizontal="right"/>
    </xf>
    <xf numFmtId="44" fontId="0" fillId="0" borderId="0" xfId="33" applyFont="1" applyFill="1" applyAlignment="1">
      <alignment horizontal="center"/>
    </xf>
    <xf numFmtId="10" fontId="0" fillId="0" borderId="0" xfId="57" applyNumberFormat="1" applyFont="1" applyFill="1"/>
    <xf numFmtId="172" fontId="11" fillId="0" borderId="0" xfId="33" applyNumberFormat="1" applyFont="1" applyFill="1"/>
    <xf numFmtId="175" fontId="11" fillId="0" borderId="0" xfId="28" quotePrefix="1" applyNumberFormat="1" applyFont="1" applyFill="1" applyBorder="1"/>
    <xf numFmtId="43" fontId="11" fillId="0" borderId="0" xfId="28" quotePrefix="1" applyFont="1" applyFill="1"/>
    <xf numFmtId="43" fontId="11" fillId="0" borderId="0" xfId="28" quotePrefix="1" applyFont="1" applyFill="1" applyBorder="1"/>
    <xf numFmtId="43" fontId="11" fillId="0" borderId="0" xfId="28" applyFont="1" applyFill="1" applyBorder="1" applyAlignment="1">
      <alignment horizontal="right"/>
    </xf>
    <xf numFmtId="175" fontId="11" fillId="0" borderId="0" xfId="28" quotePrefix="1" applyNumberFormat="1" applyFont="1" applyFill="1"/>
    <xf numFmtId="172" fontId="11" fillId="0" borderId="0" xfId="33" quotePrefix="1" applyNumberFormat="1" applyFont="1" applyFill="1"/>
    <xf numFmtId="174" fontId="0" fillId="0" borderId="0" xfId="28" applyNumberFormat="1" applyFont="1" applyFill="1"/>
    <xf numFmtId="169" fontId="0" fillId="0" borderId="0" xfId="57" applyNumberFormat="1" applyFont="1" applyFill="1"/>
    <xf numFmtId="176" fontId="12" fillId="0" borderId="0" xfId="28" applyNumberFormat="1" applyFont="1" applyFill="1"/>
    <xf numFmtId="43" fontId="14" fillId="0" borderId="0" xfId="28" applyFont="1" applyFill="1"/>
    <xf numFmtId="176" fontId="11" fillId="0" borderId="0" xfId="28" quotePrefix="1" applyNumberFormat="1" applyFont="1" applyFill="1"/>
    <xf numFmtId="169" fontId="0" fillId="0" borderId="0" xfId="33" quotePrefix="1" applyNumberFormat="1" applyFont="1" applyFill="1"/>
    <xf numFmtId="3" fontId="18" fillId="0" borderId="0" xfId="0" applyNumberFormat="1" applyFont="1"/>
    <xf numFmtId="0" fontId="0" fillId="25" borderId="0" xfId="0" applyFill="1"/>
    <xf numFmtId="0" fontId="114" fillId="24" borderId="30" xfId="221" applyFont="1" applyFill="1" applyBorder="1">
      <alignment vertical="center"/>
    </xf>
    <xf numFmtId="0" fontId="115" fillId="24" borderId="30" xfId="221" applyFont="1" applyFill="1" applyBorder="1" applyAlignment="1">
      <alignment horizontal="left" vertical="center"/>
    </xf>
    <xf numFmtId="0" fontId="114" fillId="24" borderId="36" xfId="221" applyFont="1" applyFill="1" applyBorder="1" applyAlignment="1">
      <alignment horizontal="left" vertical="center"/>
    </xf>
    <xf numFmtId="0" fontId="114" fillId="24" borderId="36" xfId="221" applyFont="1" applyFill="1" applyBorder="1">
      <alignment vertical="center"/>
    </xf>
    <xf numFmtId="0" fontId="116" fillId="24" borderId="36" xfId="221" applyFont="1" applyFill="1" applyBorder="1">
      <alignment vertical="center"/>
    </xf>
    <xf numFmtId="37" fontId="117" fillId="24" borderId="36" xfId="221" applyNumberFormat="1" applyFont="1" applyFill="1" applyBorder="1">
      <alignment vertical="center"/>
    </xf>
    <xf numFmtId="0" fontId="116" fillId="24" borderId="0" xfId="221" applyFont="1" applyFill="1">
      <alignment vertical="center"/>
    </xf>
    <xf numFmtId="0" fontId="114" fillId="24" borderId="28" xfId="221" applyFont="1" applyFill="1" applyBorder="1">
      <alignment vertical="center"/>
    </xf>
    <xf numFmtId="0" fontId="114" fillId="24" borderId="28" xfId="221" applyFont="1" applyFill="1" applyBorder="1" applyAlignment="1">
      <alignment horizontal="left" vertical="center"/>
    </xf>
    <xf numFmtId="0" fontId="114" fillId="24" borderId="0" xfId="221" applyFont="1" applyFill="1" applyBorder="1" applyAlignment="1">
      <alignment horizontal="left" vertical="center"/>
    </xf>
    <xf numFmtId="0" fontId="120" fillId="24" borderId="33" xfId="221" applyFont="1" applyFill="1" applyBorder="1" applyAlignment="1">
      <alignment horizontal="centerContinuous" vertical="center"/>
    </xf>
    <xf numFmtId="0" fontId="120" fillId="24" borderId="27" xfId="221" applyFont="1" applyFill="1" applyBorder="1" applyAlignment="1">
      <alignment horizontal="centerContinuous" vertical="center"/>
    </xf>
    <xf numFmtId="0" fontId="116" fillId="24" borderId="0" xfId="221" applyFont="1" applyFill="1" applyBorder="1">
      <alignment vertical="center"/>
    </xf>
    <xf numFmtId="37" fontId="117" fillId="24" borderId="0" xfId="221" applyNumberFormat="1" applyFont="1" applyFill="1" applyBorder="1">
      <alignment vertical="center"/>
    </xf>
    <xf numFmtId="0" fontId="119" fillId="24" borderId="29" xfId="221" applyFont="1" applyFill="1" applyBorder="1">
      <alignment vertical="center"/>
    </xf>
    <xf numFmtId="0" fontId="119" fillId="24" borderId="29" xfId="221" applyFont="1" applyFill="1" applyBorder="1" applyAlignment="1">
      <alignment horizontal="left" vertical="center"/>
    </xf>
    <xf numFmtId="0" fontId="119" fillId="24" borderId="35" xfId="221" applyFont="1" applyFill="1" applyBorder="1" applyAlignment="1">
      <alignment horizontal="left" vertical="center"/>
    </xf>
    <xf numFmtId="0" fontId="114" fillId="24" borderId="29" xfId="221" applyFont="1" applyFill="1" applyBorder="1" applyAlignment="1">
      <alignment horizontal="center" vertical="center"/>
    </xf>
    <xf numFmtId="0" fontId="114" fillId="24" borderId="35" xfId="221" applyFont="1" applyFill="1" applyBorder="1" applyAlignment="1">
      <alignment horizontal="center" vertical="center"/>
    </xf>
    <xf numFmtId="0" fontId="119" fillId="24" borderId="35" xfId="221" applyFont="1" applyFill="1" applyBorder="1" applyAlignment="1">
      <alignment horizontal="center" vertical="center"/>
    </xf>
    <xf numFmtId="0" fontId="116" fillId="24" borderId="35" xfId="221" applyFont="1" applyFill="1" applyBorder="1">
      <alignment vertical="center"/>
    </xf>
    <xf numFmtId="37" fontId="117" fillId="24" borderId="35" xfId="221" applyNumberFormat="1" applyFont="1" applyFill="1" applyBorder="1">
      <alignment vertical="center"/>
    </xf>
    <xf numFmtId="0" fontId="116" fillId="24" borderId="28" xfId="221" applyFont="1" applyFill="1" applyBorder="1">
      <alignment vertical="center"/>
    </xf>
    <xf numFmtId="182" fontId="121" fillId="24" borderId="28" xfId="221" applyNumberFormat="1" applyFont="1" applyFill="1" applyBorder="1" applyAlignment="1">
      <alignment horizontal="left" vertical="center"/>
    </xf>
    <xf numFmtId="0" fontId="122" fillId="24" borderId="0" xfId="221" applyFont="1" applyFill="1" applyBorder="1" applyAlignment="1">
      <alignment horizontal="left" vertical="center"/>
    </xf>
    <xf numFmtId="0" fontId="122" fillId="24" borderId="28" xfId="221" applyFont="1" applyFill="1" applyBorder="1" applyAlignment="1">
      <alignment horizontal="left" vertical="center"/>
    </xf>
    <xf numFmtId="37" fontId="116" fillId="24" borderId="0" xfId="221" applyNumberFormat="1" applyFont="1" applyFill="1" applyBorder="1">
      <alignment vertical="center"/>
    </xf>
    <xf numFmtId="0" fontId="116" fillId="24" borderId="38" xfId="221" applyFont="1" applyFill="1" applyBorder="1">
      <alignment vertical="center"/>
    </xf>
    <xf numFmtId="0" fontId="116" fillId="24" borderId="28" xfId="221" applyFont="1" applyFill="1" applyBorder="1" applyAlignment="1">
      <alignment horizontal="left" vertical="center"/>
    </xf>
    <xf numFmtId="0" fontId="116" fillId="24" borderId="0" xfId="221" applyFont="1" applyFill="1" applyBorder="1" applyAlignment="1">
      <alignment horizontal="left" vertical="center"/>
    </xf>
    <xf numFmtId="0" fontId="122" fillId="24" borderId="0" xfId="221" applyFont="1" applyFill="1" applyBorder="1">
      <alignment vertical="center"/>
    </xf>
    <xf numFmtId="189" fontId="123" fillId="24" borderId="28" xfId="222" applyNumberFormat="1" applyFont="1" applyFill="1" applyBorder="1"/>
    <xf numFmtId="190" fontId="116" fillId="24" borderId="0" xfId="221" applyNumberFormat="1" applyFont="1" applyFill="1" applyBorder="1">
      <alignment vertical="center"/>
    </xf>
    <xf numFmtId="43" fontId="116" fillId="24" borderId="0" xfId="223" applyFont="1" applyFill="1" applyBorder="1" applyAlignment="1">
      <alignment vertical="center"/>
    </xf>
    <xf numFmtId="174" fontId="116" fillId="24" borderId="0" xfId="223" applyNumberFormat="1" applyFont="1" applyFill="1" applyBorder="1" applyAlignment="1">
      <alignment vertical="center"/>
    </xf>
    <xf numFmtId="176" fontId="122" fillId="24" borderId="0" xfId="223" applyNumberFormat="1" applyFont="1" applyFill="1" applyBorder="1" applyAlignment="1">
      <alignment horizontal="left" vertical="center"/>
    </xf>
    <xf numFmtId="0" fontId="121" fillId="24" borderId="0" xfId="221" applyFont="1" applyFill="1" applyBorder="1">
      <alignment vertical="center"/>
    </xf>
    <xf numFmtId="176" fontId="116" fillId="24" borderId="0" xfId="221" applyNumberFormat="1" applyFont="1" applyFill="1" applyBorder="1">
      <alignment vertical="center"/>
    </xf>
    <xf numFmtId="182" fontId="116" fillId="24" borderId="28" xfId="221" applyNumberFormat="1" applyFont="1" applyFill="1" applyBorder="1" applyAlignment="1">
      <alignment horizontal="left" vertical="center"/>
    </xf>
    <xf numFmtId="178" fontId="116" fillId="24" borderId="0" xfId="221" applyNumberFormat="1" applyFont="1" applyFill="1" applyBorder="1">
      <alignment vertical="center"/>
    </xf>
    <xf numFmtId="0" fontId="118" fillId="24" borderId="0" xfId="221" applyFont="1" applyFill="1">
      <alignment vertical="center"/>
    </xf>
    <xf numFmtId="37" fontId="121" fillId="24" borderId="0" xfId="221" applyNumberFormat="1" applyFont="1" applyFill="1" applyBorder="1">
      <alignment vertical="center"/>
    </xf>
    <xf numFmtId="188" fontId="116" fillId="24" borderId="0" xfId="223" applyNumberFormat="1" applyFont="1" applyFill="1" applyBorder="1" applyAlignment="1">
      <alignment vertical="center"/>
    </xf>
    <xf numFmtId="176" fontId="122" fillId="24" borderId="0" xfId="221" applyNumberFormat="1" applyFont="1" applyFill="1" applyBorder="1" applyAlignment="1">
      <alignment horizontal="left" vertical="center"/>
    </xf>
    <xf numFmtId="0" fontId="116" fillId="24" borderId="0" xfId="222" applyFont="1" applyFill="1"/>
    <xf numFmtId="176" fontId="122" fillId="24" borderId="28" xfId="221" applyNumberFormat="1" applyFont="1" applyFill="1" applyBorder="1" applyAlignment="1">
      <alignment horizontal="left" vertical="center"/>
    </xf>
    <xf numFmtId="182" fontId="114" fillId="24" borderId="30" xfId="221" applyNumberFormat="1" applyFont="1" applyFill="1" applyBorder="1" applyAlignment="1">
      <alignment horizontal="left" vertical="center"/>
    </xf>
    <xf numFmtId="0" fontId="124" fillId="24" borderId="36" xfId="221" applyFont="1" applyFill="1" applyBorder="1" applyAlignment="1">
      <alignment horizontal="left" vertical="center"/>
    </xf>
    <xf numFmtId="176" fontId="114" fillId="24" borderId="0" xfId="221" applyNumberFormat="1" applyFont="1" applyFill="1" applyBorder="1">
      <alignment vertical="center"/>
    </xf>
    <xf numFmtId="37" fontId="125" fillId="50" borderId="33" xfId="221" applyNumberFormat="1" applyFont="1" applyFill="1" applyBorder="1">
      <alignment vertical="center"/>
    </xf>
    <xf numFmtId="37" fontId="114" fillId="51" borderId="43" xfId="221" applyNumberFormat="1" applyFont="1" applyFill="1" applyBorder="1">
      <alignment vertical="center"/>
    </xf>
    <xf numFmtId="0" fontId="114" fillId="24" borderId="0" xfId="221" applyFont="1" applyFill="1" applyBorder="1">
      <alignment vertical="center"/>
    </xf>
    <xf numFmtId="0" fontId="114" fillId="24" borderId="0" xfId="222" applyFont="1" applyFill="1"/>
    <xf numFmtId="182" fontId="114" fillId="24" borderId="28" xfId="221" applyNumberFormat="1" applyFont="1" applyFill="1" applyBorder="1" applyAlignment="1">
      <alignment horizontal="left" vertical="center"/>
    </xf>
    <xf numFmtId="0" fontId="124" fillId="24" borderId="0" xfId="221" applyFont="1" applyFill="1" applyBorder="1">
      <alignment vertical="center"/>
    </xf>
    <xf numFmtId="172" fontId="114" fillId="49" borderId="0" xfId="221" applyNumberFormat="1" applyFont="1" applyFill="1" applyBorder="1">
      <alignment vertical="center"/>
    </xf>
    <xf numFmtId="37" fontId="114" fillId="49" borderId="0" xfId="221" applyNumberFormat="1" applyFont="1" applyFill="1" applyBorder="1">
      <alignment vertical="center"/>
    </xf>
    <xf numFmtId="0" fontId="126" fillId="51" borderId="0" xfId="221" applyFont="1" applyFill="1" applyBorder="1">
      <alignment vertical="center"/>
    </xf>
    <xf numFmtId="0" fontId="114" fillId="51" borderId="0" xfId="221" applyFont="1" applyFill="1" applyBorder="1">
      <alignment vertical="center"/>
    </xf>
    <xf numFmtId="173" fontId="114" fillId="49" borderId="0" xfId="224" applyNumberFormat="1" applyFont="1" applyFill="1" applyBorder="1"/>
    <xf numFmtId="44" fontId="126" fillId="49" borderId="0" xfId="221" applyNumberFormat="1" applyFont="1" applyFill="1" applyBorder="1">
      <alignment vertical="center"/>
    </xf>
    <xf numFmtId="174" fontId="116" fillId="24" borderId="0" xfId="223" applyNumberFormat="1" applyFont="1" applyFill="1" applyAlignment="1">
      <alignment vertical="center"/>
    </xf>
    <xf numFmtId="37" fontId="114" fillId="24" borderId="28" xfId="221" applyNumberFormat="1" applyFont="1" applyFill="1" applyBorder="1" applyAlignment="1">
      <alignment horizontal="left" vertical="center"/>
    </xf>
    <xf numFmtId="0" fontId="114" fillId="24" borderId="38" xfId="221" applyFont="1" applyFill="1" applyBorder="1" applyAlignment="1">
      <alignment horizontal="left" vertical="center"/>
    </xf>
    <xf numFmtId="190" fontId="114" fillId="49" borderId="0" xfId="221" applyNumberFormat="1" applyFont="1" applyFill="1" applyBorder="1">
      <alignment vertical="center"/>
    </xf>
    <xf numFmtId="0" fontId="114" fillId="24" borderId="0" xfId="221" applyFont="1" applyFill="1" applyBorder="1" applyAlignment="1">
      <alignment horizontal="right" vertical="center"/>
    </xf>
    <xf numFmtId="37" fontId="114" fillId="24" borderId="0" xfId="221" applyNumberFormat="1" applyFont="1" applyFill="1" applyBorder="1">
      <alignment vertical="center"/>
    </xf>
    <xf numFmtId="174" fontId="127" fillId="49" borderId="0" xfId="223" applyNumberFormat="1" applyFont="1" applyFill="1" applyBorder="1" applyAlignment="1">
      <alignment vertical="center"/>
    </xf>
    <xf numFmtId="190" fontId="127" fillId="49" borderId="0" xfId="221" applyNumberFormat="1" applyFont="1" applyFill="1" applyBorder="1">
      <alignment vertical="center"/>
    </xf>
    <xf numFmtId="0" fontId="114" fillId="24" borderId="38" xfId="221" applyFont="1" applyFill="1" applyBorder="1">
      <alignment vertical="center"/>
    </xf>
    <xf numFmtId="37" fontId="128" fillId="24" borderId="0" xfId="221" applyNumberFormat="1" applyFont="1" applyFill="1" applyBorder="1" applyAlignment="1">
      <alignment horizontal="left" vertical="center" wrapText="1"/>
    </xf>
    <xf numFmtId="37" fontId="128" fillId="24" borderId="0" xfId="221" applyNumberFormat="1" applyFont="1" applyFill="1" applyBorder="1" applyAlignment="1">
      <alignment vertical="center" wrapText="1"/>
    </xf>
    <xf numFmtId="0" fontId="114" fillId="24" borderId="0" xfId="221" applyFont="1" applyFill="1" applyBorder="1" applyAlignment="1">
      <alignment horizontal="center" vertical="center"/>
    </xf>
    <xf numFmtId="174" fontId="116" fillId="24" borderId="0" xfId="221" applyNumberFormat="1" applyFont="1" applyFill="1">
      <alignment vertical="center"/>
    </xf>
    <xf numFmtId="187" fontId="114" fillId="51" borderId="0" xfId="221" applyNumberFormat="1" applyFont="1" applyFill="1" applyBorder="1" applyAlignment="1">
      <alignment horizontal="left" vertical="center"/>
    </xf>
    <xf numFmtId="165" fontId="129" fillId="51" borderId="0" xfId="221" applyNumberFormat="1" applyFont="1" applyFill="1" applyBorder="1">
      <alignment vertical="center"/>
    </xf>
    <xf numFmtId="190" fontId="127" fillId="53" borderId="0" xfId="221" applyNumberFormat="1" applyFont="1" applyFill="1" applyBorder="1">
      <alignment vertical="center"/>
    </xf>
    <xf numFmtId="174" fontId="127" fillId="53" borderId="0" xfId="223" applyNumberFormat="1" applyFont="1" applyFill="1" applyBorder="1" applyAlignment="1">
      <alignment vertical="center"/>
    </xf>
    <xf numFmtId="173" fontId="114" fillId="24" borderId="0" xfId="224" applyNumberFormat="1" applyFont="1" applyFill="1" applyBorder="1"/>
    <xf numFmtId="37" fontId="131" fillId="24" borderId="0" xfId="221" applyNumberFormat="1" applyFont="1" applyFill="1" applyBorder="1" applyAlignment="1">
      <alignment horizontal="left" vertical="center" wrapText="1"/>
    </xf>
    <xf numFmtId="37" fontId="131" fillId="24" borderId="0" xfId="221" applyNumberFormat="1" applyFont="1" applyFill="1" applyBorder="1" applyAlignment="1">
      <alignment vertical="center" wrapText="1"/>
    </xf>
    <xf numFmtId="176" fontId="114" fillId="24" borderId="0" xfId="221" applyNumberFormat="1" applyFont="1" applyFill="1" applyBorder="1" applyAlignment="1">
      <alignment horizontal="left" vertical="center"/>
    </xf>
    <xf numFmtId="176" fontId="114" fillId="51" borderId="0" xfId="221" applyNumberFormat="1" applyFont="1" applyFill="1" applyBorder="1" applyAlignment="1">
      <alignment horizontal="left" vertical="center"/>
    </xf>
    <xf numFmtId="37" fontId="125" fillId="49" borderId="33" xfId="221" applyNumberFormat="1" applyFont="1" applyFill="1" applyBorder="1">
      <alignment vertical="center"/>
    </xf>
    <xf numFmtId="37" fontId="123" fillId="49" borderId="43" xfId="221" applyNumberFormat="1" applyFont="1" applyFill="1" applyBorder="1">
      <alignment vertical="center"/>
    </xf>
    <xf numFmtId="174" fontId="114" fillId="51" borderId="0" xfId="223" applyNumberFormat="1" applyFont="1" applyFill="1" applyBorder="1" applyAlignment="1">
      <alignment vertical="center"/>
    </xf>
    <xf numFmtId="174" fontId="114" fillId="51" borderId="0" xfId="221" applyNumberFormat="1" applyFont="1" applyFill="1" applyBorder="1">
      <alignment vertical="center"/>
    </xf>
    <xf numFmtId="185" fontId="114" fillId="24" borderId="28" xfId="221" applyNumberFormat="1" applyFont="1" applyFill="1" applyBorder="1" applyAlignment="1">
      <alignment horizontal="left" vertical="center"/>
    </xf>
    <xf numFmtId="166" fontId="116" fillId="24" borderId="28" xfId="221" applyNumberFormat="1" applyFont="1" applyFill="1" applyBorder="1">
      <alignment vertical="center"/>
    </xf>
    <xf numFmtId="174" fontId="116" fillId="24" borderId="0" xfId="221" applyNumberFormat="1" applyFont="1" applyFill="1" applyBorder="1">
      <alignment vertical="center"/>
    </xf>
    <xf numFmtId="0" fontId="119" fillId="24" borderId="28" xfId="221" applyFont="1" applyFill="1" applyBorder="1" applyAlignment="1">
      <alignment horizontal="left" vertical="center"/>
    </xf>
    <xf numFmtId="0" fontId="119" fillId="24" borderId="0" xfId="221" applyFont="1" applyFill="1" applyBorder="1">
      <alignment vertical="center"/>
    </xf>
    <xf numFmtId="174" fontId="114" fillId="51" borderId="0" xfId="223" applyNumberFormat="1" applyFont="1" applyFill="1" applyBorder="1" applyAlignment="1">
      <alignment horizontal="left" vertical="center"/>
    </xf>
    <xf numFmtId="174" fontId="114" fillId="51" borderId="0" xfId="224" applyNumberFormat="1" applyFont="1" applyFill="1" applyBorder="1" applyAlignment="1">
      <alignment horizontal="left" vertical="center"/>
    </xf>
    <xf numFmtId="0" fontId="134" fillId="24" borderId="28" xfId="221" applyFont="1" applyFill="1" applyBorder="1">
      <alignment vertical="center"/>
    </xf>
    <xf numFmtId="37" fontId="125" fillId="52" borderId="21" xfId="221" applyNumberFormat="1" applyFont="1" applyFill="1" applyBorder="1">
      <alignment vertical="center"/>
    </xf>
    <xf numFmtId="174" fontId="114" fillId="51" borderId="21" xfId="224" applyNumberFormat="1" applyFont="1" applyFill="1" applyBorder="1" applyAlignment="1">
      <alignment horizontal="left" vertical="center"/>
    </xf>
    <xf numFmtId="0" fontId="135" fillId="24" borderId="28" xfId="221" applyFont="1" applyFill="1" applyBorder="1">
      <alignment vertical="center"/>
    </xf>
    <xf numFmtId="0" fontId="136" fillId="24" borderId="29" xfId="221" applyFont="1" applyFill="1" applyBorder="1" applyAlignment="1">
      <alignment horizontal="left" vertical="center"/>
    </xf>
    <xf numFmtId="0" fontId="114" fillId="24" borderId="35" xfId="221" applyFont="1" applyFill="1" applyBorder="1" applyAlignment="1">
      <alignment horizontal="left" vertical="center"/>
    </xf>
    <xf numFmtId="0" fontId="114" fillId="24" borderId="39" xfId="221" applyFont="1" applyFill="1" applyBorder="1">
      <alignment vertical="center"/>
    </xf>
    <xf numFmtId="0" fontId="114" fillId="24" borderId="35" xfId="221" applyFont="1" applyFill="1" applyBorder="1">
      <alignment vertical="center"/>
    </xf>
    <xf numFmtId="0" fontId="136" fillId="24" borderId="28" xfId="221" applyFont="1" applyFill="1" applyBorder="1" applyAlignment="1">
      <alignment horizontal="left" vertical="center"/>
    </xf>
    <xf numFmtId="174" fontId="114" fillId="51" borderId="28" xfId="223" applyNumberFormat="1" applyFont="1" applyFill="1" applyBorder="1" applyAlignment="1">
      <alignment vertical="center"/>
    </xf>
    <xf numFmtId="0" fontId="114" fillId="24" borderId="29" xfId="221" applyFont="1" applyFill="1" applyBorder="1" applyAlignment="1">
      <alignment horizontal="left" vertical="center"/>
    </xf>
    <xf numFmtId="174" fontId="114" fillId="51" borderId="35" xfId="221" applyNumberFormat="1" applyFont="1" applyFill="1" applyBorder="1">
      <alignment vertical="center"/>
    </xf>
    <xf numFmtId="174" fontId="128" fillId="24" borderId="35" xfId="223" applyNumberFormat="1" applyFont="1" applyFill="1" applyBorder="1" applyAlignment="1">
      <alignment vertical="center"/>
    </xf>
    <xf numFmtId="0" fontId="128" fillId="24" borderId="35" xfId="221" applyFont="1" applyFill="1" applyBorder="1">
      <alignment vertical="center"/>
    </xf>
    <xf numFmtId="0" fontId="123" fillId="24" borderId="0" xfId="221" applyFont="1" applyFill="1" applyBorder="1">
      <alignment vertical="center"/>
    </xf>
    <xf numFmtId="191" fontId="116" fillId="24" borderId="0" xfId="221" applyNumberFormat="1" applyFont="1" applyFill="1" applyBorder="1">
      <alignment vertical="center"/>
    </xf>
    <xf numFmtId="0" fontId="123" fillId="24" borderId="0" xfId="222" applyFont="1" applyFill="1"/>
    <xf numFmtId="0" fontId="116" fillId="0" borderId="0" xfId="221" applyFont="1" applyBorder="1">
      <alignment vertical="center"/>
    </xf>
    <xf numFmtId="0" fontId="137" fillId="24" borderId="0" xfId="221" applyFont="1" applyFill="1" applyBorder="1">
      <alignment vertical="center"/>
    </xf>
    <xf numFmtId="0" fontId="127" fillId="54" borderId="0" xfId="221" applyFont="1" applyFill="1" applyBorder="1">
      <alignment vertical="center"/>
    </xf>
    <xf numFmtId="0" fontId="116" fillId="24" borderId="0" xfId="221" applyFont="1" applyFill="1" applyBorder="1" applyAlignment="1">
      <alignment horizontal="right" vertical="center"/>
    </xf>
    <xf numFmtId="44" fontId="138" fillId="52" borderId="0" xfId="221" applyNumberFormat="1" applyFont="1" applyFill="1" applyBorder="1">
      <alignment vertical="center"/>
    </xf>
    <xf numFmtId="0" fontId="119" fillId="24" borderId="33" xfId="221" applyFont="1" applyFill="1" applyBorder="1" applyAlignment="1">
      <alignment horizontal="center" vertical="center"/>
    </xf>
    <xf numFmtId="0" fontId="119" fillId="24" borderId="26" xfId="221" applyFont="1" applyFill="1" applyBorder="1" applyAlignment="1">
      <alignment horizontal="left" vertical="center"/>
    </xf>
    <xf numFmtId="0" fontId="119" fillId="24" borderId="26" xfId="221" applyFont="1" applyFill="1" applyBorder="1">
      <alignment vertical="center"/>
    </xf>
    <xf numFmtId="0" fontId="114" fillId="24" borderId="27" xfId="221" applyFont="1" applyFill="1" applyBorder="1">
      <alignment vertical="center"/>
    </xf>
    <xf numFmtId="0" fontId="114" fillId="24" borderId="33" xfId="221" applyFont="1" applyFill="1" applyBorder="1" applyAlignment="1">
      <alignment horizontal="center" vertical="center"/>
    </xf>
    <xf numFmtId="0" fontId="114" fillId="24" borderId="26" xfId="221" applyFont="1" applyFill="1" applyBorder="1">
      <alignment vertical="center"/>
    </xf>
    <xf numFmtId="0" fontId="114" fillId="24" borderId="26" xfId="221" applyFont="1" applyFill="1" applyBorder="1" applyAlignment="1">
      <alignment horizontal="center" vertical="center"/>
    </xf>
    <xf numFmtId="0" fontId="114" fillId="24" borderId="27" xfId="221" applyFont="1" applyFill="1" applyBorder="1" applyAlignment="1">
      <alignment horizontal="center" vertical="center"/>
    </xf>
    <xf numFmtId="0" fontId="114" fillId="24" borderId="28" xfId="221" applyFont="1" applyFill="1" applyBorder="1" applyAlignment="1">
      <alignment horizontal="center" vertical="center"/>
    </xf>
    <xf numFmtId="192" fontId="114" fillId="24" borderId="0" xfId="221" applyNumberFormat="1" applyFont="1" applyFill="1" applyBorder="1">
      <alignment vertical="center"/>
    </xf>
    <xf numFmtId="192" fontId="114" fillId="24" borderId="38" xfId="221" applyNumberFormat="1" applyFont="1" applyFill="1" applyBorder="1">
      <alignment vertical="center"/>
    </xf>
    <xf numFmtId="192" fontId="114" fillId="24" borderId="35" xfId="221" applyNumberFormat="1" applyFont="1" applyFill="1" applyBorder="1">
      <alignment vertical="center"/>
    </xf>
    <xf numFmtId="192" fontId="114" fillId="24" borderId="39" xfId="221" applyNumberFormat="1" applyFont="1" applyFill="1" applyBorder="1">
      <alignment vertical="center"/>
    </xf>
    <xf numFmtId="0" fontId="138" fillId="52" borderId="0" xfId="221" applyFont="1" applyFill="1" applyBorder="1">
      <alignment vertical="center"/>
    </xf>
    <xf numFmtId="0" fontId="114" fillId="24" borderId="0" xfId="221" applyFont="1" applyFill="1" applyBorder="1" applyAlignment="1">
      <alignment horizontal="center"/>
    </xf>
    <xf numFmtId="0" fontId="114" fillId="24" borderId="0" xfId="221" applyFont="1" applyFill="1" applyBorder="1" applyAlignment="1"/>
    <xf numFmtId="192" fontId="114" fillId="24" borderId="0" xfId="221" applyNumberFormat="1" applyFont="1" applyFill="1" applyBorder="1" applyAlignment="1"/>
    <xf numFmtId="0" fontId="119" fillId="24" borderId="0" xfId="221" applyFont="1" applyFill="1" applyBorder="1" applyAlignment="1">
      <alignment horizontal="left" vertical="center"/>
    </xf>
    <xf numFmtId="164" fontId="116" fillId="24" borderId="0" xfId="221" applyNumberFormat="1" applyFont="1" applyFill="1" applyBorder="1">
      <alignment vertical="center"/>
    </xf>
    <xf numFmtId="0" fontId="114" fillId="24" borderId="0" xfId="221" applyFont="1" applyFill="1" applyAlignment="1">
      <alignment horizontal="left" vertical="center"/>
    </xf>
    <xf numFmtId="0" fontId="114" fillId="24" borderId="0" xfId="221" applyFont="1" applyFill="1">
      <alignment vertical="center"/>
    </xf>
    <xf numFmtId="0" fontId="123" fillId="24" borderId="0" xfId="221" applyFont="1" applyFill="1">
      <alignment vertical="center"/>
    </xf>
    <xf numFmtId="0" fontId="116" fillId="0" borderId="0" xfId="221" applyFont="1">
      <alignment vertical="center"/>
    </xf>
    <xf numFmtId="191" fontId="116" fillId="0" borderId="0" xfId="221" applyNumberFormat="1" applyFont="1">
      <alignment vertical="center"/>
    </xf>
    <xf numFmtId="0" fontId="116" fillId="0" borderId="0" xfId="221" applyFont="1" applyAlignment="1">
      <alignment horizontal="left" vertical="center"/>
    </xf>
    <xf numFmtId="10" fontId="80" fillId="24" borderId="23" xfId="57" applyNumberFormat="1" applyFont="1" applyFill="1" applyBorder="1"/>
    <xf numFmtId="166" fontId="80" fillId="24" borderId="23" xfId="0" applyNumberFormat="1" applyFont="1" applyFill="1" applyBorder="1"/>
    <xf numFmtId="9" fontId="80" fillId="24" borderId="23" xfId="57" applyFont="1" applyFill="1" applyBorder="1"/>
    <xf numFmtId="3" fontId="10" fillId="24" borderId="0" xfId="0" applyNumberFormat="1" applyFont="1" applyFill="1"/>
    <xf numFmtId="8" fontId="80" fillId="24" borderId="23" xfId="28" applyNumberFormat="1" applyFont="1" applyFill="1" applyBorder="1"/>
    <xf numFmtId="0" fontId="10" fillId="24" borderId="23" xfId="33" applyNumberFormat="1" applyFont="1" applyFill="1" applyBorder="1"/>
    <xf numFmtId="0" fontId="10" fillId="24" borderId="23" xfId="33" applyNumberFormat="1" applyFont="1" applyFill="1" applyBorder="1" applyAlignment="1">
      <alignment horizontal="right"/>
    </xf>
    <xf numFmtId="166" fontId="10" fillId="24" borderId="23" xfId="33" applyNumberFormat="1" applyFont="1" applyFill="1" applyBorder="1"/>
    <xf numFmtId="44" fontId="80" fillId="24" borderId="23" xfId="33" applyFont="1" applyFill="1" applyBorder="1"/>
    <xf numFmtId="0" fontId="80" fillId="0" borderId="0" xfId="0" applyFont="1"/>
    <xf numFmtId="3" fontId="0" fillId="25" borderId="0" xfId="0" applyNumberFormat="1" applyFill="1"/>
    <xf numFmtId="7" fontId="13" fillId="0" borderId="0" xfId="33" applyNumberFormat="1" applyFont="1" applyFill="1"/>
    <xf numFmtId="9" fontId="14" fillId="24" borderId="0" xfId="57" applyFont="1" applyFill="1" applyBorder="1"/>
    <xf numFmtId="10" fontId="98" fillId="24" borderId="23" xfId="57" applyNumberFormat="1" applyFont="1" applyFill="1" applyBorder="1"/>
    <xf numFmtId="8" fontId="80" fillId="24" borderId="23" xfId="33" applyNumberFormat="1" applyFont="1" applyFill="1" applyBorder="1"/>
    <xf numFmtId="193" fontId="108" fillId="24" borderId="0" xfId="0" applyNumberFormat="1" applyFont="1" applyFill="1" applyAlignment="1">
      <alignment horizontal="center" wrapText="1"/>
    </xf>
    <xf numFmtId="167" fontId="50" fillId="24" borderId="25" xfId="57" applyNumberFormat="1" applyFont="1" applyFill="1" applyBorder="1"/>
    <xf numFmtId="0" fontId="50" fillId="24" borderId="22" xfId="0" applyFont="1" applyFill="1" applyBorder="1"/>
    <xf numFmtId="167" fontId="50" fillId="24" borderId="21" xfId="0" applyNumberFormat="1" applyFont="1" applyFill="1" applyBorder="1"/>
    <xf numFmtId="167" fontId="50" fillId="24" borderId="24" xfId="0" applyNumberFormat="1" applyFont="1" applyFill="1" applyBorder="1"/>
    <xf numFmtId="0" fontId="50" fillId="24" borderId="11" xfId="0" applyFont="1" applyFill="1" applyBorder="1"/>
    <xf numFmtId="167" fontId="50" fillId="24" borderId="12" xfId="0" applyNumberFormat="1" applyFont="1" applyFill="1" applyBorder="1"/>
    <xf numFmtId="170" fontId="50" fillId="24" borderId="24" xfId="0" applyNumberFormat="1" applyFont="1" applyFill="1" applyBorder="1"/>
    <xf numFmtId="167" fontId="80" fillId="24" borderId="25" xfId="57" applyNumberFormat="1" applyFont="1" applyFill="1" applyBorder="1"/>
    <xf numFmtId="170" fontId="50" fillId="24" borderId="13" xfId="0" applyNumberFormat="1" applyFont="1" applyFill="1" applyBorder="1"/>
    <xf numFmtId="0" fontId="76" fillId="24" borderId="25" xfId="0" applyFont="1" applyFill="1" applyBorder="1"/>
    <xf numFmtId="0" fontId="139" fillId="24" borderId="0" xfId="85" applyFont="1" applyFill="1" applyAlignment="1">
      <alignment horizontal="center"/>
    </xf>
    <xf numFmtId="178" fontId="12" fillId="24" borderId="0" xfId="85" applyNumberFormat="1" applyFont="1" applyFill="1"/>
    <xf numFmtId="0" fontId="0" fillId="24" borderId="0" xfId="85" applyFont="1" applyFill="1" applyAlignment="1">
      <alignment horizontal="center" vertical="center" wrapText="1"/>
    </xf>
    <xf numFmtId="174" fontId="10" fillId="0" borderId="0" xfId="28" applyNumberFormat="1" applyFont="1" applyFill="1"/>
    <xf numFmtId="0" fontId="0" fillId="24" borderId="0" xfId="85" applyFont="1" applyFill="1" applyAlignment="1">
      <alignment horizontal="center" wrapText="1"/>
    </xf>
    <xf numFmtId="10" fontId="13" fillId="0" borderId="23" xfId="0" applyNumberFormat="1" applyFont="1" applyBorder="1"/>
    <xf numFmtId="0" fontId="10" fillId="28" borderId="0" xfId="85" applyFill="1"/>
    <xf numFmtId="0" fontId="10" fillId="28" borderId="15" xfId="85" applyFill="1" applyBorder="1"/>
    <xf numFmtId="0" fontId="10" fillId="28" borderId="0" xfId="85" applyFill="1" applyAlignment="1">
      <alignment horizontal="center" wrapText="1"/>
    </xf>
    <xf numFmtId="0" fontId="14" fillId="28" borderId="0" xfId="85" applyFont="1" applyFill="1"/>
    <xf numFmtId="0" fontId="12" fillId="28" borderId="0" xfId="85" applyFont="1" applyFill="1"/>
    <xf numFmtId="178" fontId="10" fillId="28" borderId="0" xfId="85" applyNumberFormat="1" applyFill="1"/>
    <xf numFmtId="0" fontId="10" fillId="28" borderId="0" xfId="85" quotePrefix="1" applyFill="1"/>
    <xf numFmtId="182" fontId="10" fillId="28" borderId="0" xfId="85" applyNumberFormat="1" applyFill="1"/>
    <xf numFmtId="3" fontId="10" fillId="28" borderId="0" xfId="85" applyNumberFormat="1" applyFill="1"/>
    <xf numFmtId="0" fontId="10" fillId="28" borderId="0" xfId="85" applyFill="1" applyAlignment="1">
      <alignment horizontal="center"/>
    </xf>
    <xf numFmtId="166" fontId="13" fillId="28" borderId="0" xfId="85" applyNumberFormat="1" applyFont="1" applyFill="1"/>
    <xf numFmtId="169" fontId="10" fillId="28" borderId="0" xfId="100" applyNumberFormat="1" applyFont="1" applyFill="1"/>
    <xf numFmtId="169" fontId="10" fillId="28" borderId="0" xfId="85" applyNumberFormat="1" applyFill="1"/>
    <xf numFmtId="169" fontId="21" fillId="28" borderId="0" xfId="100" applyNumberFormat="1" applyFont="1" applyFill="1"/>
    <xf numFmtId="172" fontId="10" fillId="28" borderId="0" xfId="85" applyNumberFormat="1" applyFill="1"/>
    <xf numFmtId="0" fontId="12" fillId="28" borderId="0" xfId="85" applyFont="1" applyFill="1" applyAlignment="1">
      <alignment horizontal="left"/>
    </xf>
    <xf numFmtId="0" fontId="10" fillId="28" borderId="0" xfId="85" applyFill="1" applyAlignment="1">
      <alignment horizontal="right"/>
    </xf>
    <xf numFmtId="169" fontId="21" fillId="28" borderId="0" xfId="85" applyNumberFormat="1" applyFont="1" applyFill="1"/>
    <xf numFmtId="169" fontId="0" fillId="28" borderId="0" xfId="100" applyNumberFormat="1" applyFont="1" applyFill="1"/>
    <xf numFmtId="0" fontId="17" fillId="28" borderId="0" xfId="85" applyFont="1" applyFill="1" applyAlignment="1">
      <alignment horizontal="left"/>
    </xf>
    <xf numFmtId="0" fontId="12" fillId="28" borderId="0" xfId="85" applyFont="1" applyFill="1" applyAlignment="1">
      <alignment horizontal="center"/>
    </xf>
    <xf numFmtId="0" fontId="12" fillId="28" borderId="15" xfId="85" applyFont="1" applyFill="1" applyBorder="1" applyAlignment="1">
      <alignment horizontal="center"/>
    </xf>
    <xf numFmtId="17" fontId="10" fillId="28" borderId="0" xfId="85" applyNumberFormat="1" applyFill="1"/>
    <xf numFmtId="175" fontId="10" fillId="28" borderId="0" xfId="28" quotePrefix="1" applyNumberFormat="1" applyFont="1" applyFill="1" applyBorder="1"/>
    <xf numFmtId="175" fontId="12" fillId="28" borderId="0" xfId="28" quotePrefix="1" applyNumberFormat="1" applyFont="1" applyFill="1" applyBorder="1"/>
    <xf numFmtId="175" fontId="12" fillId="28" borderId="15" xfId="28" quotePrefix="1" applyNumberFormat="1" applyFont="1" applyFill="1" applyBorder="1"/>
    <xf numFmtId="43" fontId="10" fillId="28" borderId="0" xfId="28" quotePrefix="1" applyFont="1" applyFill="1"/>
    <xf numFmtId="17" fontId="10" fillId="28" borderId="0" xfId="85" applyNumberFormat="1" applyFill="1" applyAlignment="1">
      <alignment horizontal="right"/>
    </xf>
    <xf numFmtId="43" fontId="12" fillId="28" borderId="0" xfId="28" quotePrefix="1" applyFont="1" applyFill="1" applyBorder="1"/>
    <xf numFmtId="43" fontId="10" fillId="28" borderId="0" xfId="28" quotePrefix="1" applyFont="1" applyFill="1" applyBorder="1"/>
    <xf numFmtId="175" fontId="10" fillId="28" borderId="15" xfId="28" quotePrefix="1" applyNumberFormat="1" applyFont="1" applyFill="1" applyBorder="1"/>
    <xf numFmtId="43" fontId="10" fillId="28" borderId="0" xfId="28" applyFont="1" applyFill="1" applyBorder="1" applyAlignment="1">
      <alignment horizontal="right"/>
    </xf>
    <xf numFmtId="175" fontId="10" fillId="28" borderId="15" xfId="85" applyNumberFormat="1" applyFill="1" applyBorder="1"/>
    <xf numFmtId="175" fontId="12" fillId="28" borderId="0" xfId="85" applyNumberFormat="1" applyFont="1" applyFill="1"/>
    <xf numFmtId="0" fontId="12" fillId="28" borderId="0" xfId="85" applyFont="1" applyFill="1" applyAlignment="1">
      <alignment horizontal="right"/>
    </xf>
    <xf numFmtId="43" fontId="10" fillId="28" borderId="15" xfId="28" quotePrefix="1" applyFont="1" applyFill="1" applyBorder="1"/>
    <xf numFmtId="171" fontId="12" fillId="28" borderId="0" xfId="100" quotePrefix="1" applyNumberFormat="1" applyFont="1" applyFill="1" applyBorder="1"/>
    <xf numFmtId="0" fontId="10" fillId="28" borderId="0" xfId="85" applyFill="1" applyAlignment="1">
      <alignment horizontal="left"/>
    </xf>
    <xf numFmtId="175" fontId="10" fillId="28" borderId="0" xfId="28" quotePrefix="1" applyNumberFormat="1" applyFont="1" applyFill="1"/>
    <xf numFmtId="0" fontId="12" fillId="28" borderId="15" xfId="85" applyFont="1" applyFill="1" applyBorder="1"/>
    <xf numFmtId="0" fontId="12" fillId="28" borderId="0" xfId="85" applyFont="1" applyFill="1" applyAlignment="1">
      <alignment horizontal="center" wrapText="1"/>
    </xf>
    <xf numFmtId="175" fontId="10" fillId="28" borderId="0" xfId="85" applyNumberFormat="1" applyFill="1"/>
    <xf numFmtId="0" fontId="18" fillId="28" borderId="15" xfId="85" applyFont="1" applyFill="1" applyBorder="1" applyAlignment="1">
      <alignment horizontal="left"/>
    </xf>
    <xf numFmtId="0" fontId="10" fillId="28" borderId="15" xfId="85" applyFill="1" applyBorder="1" applyAlignment="1">
      <alignment horizontal="right"/>
    </xf>
    <xf numFmtId="172" fontId="10" fillId="28" borderId="0" xfId="100" quotePrefix="1" applyNumberFormat="1" applyFont="1" applyFill="1"/>
    <xf numFmtId="0" fontId="17" fillId="28" borderId="0" xfId="85" applyFont="1" applyFill="1"/>
    <xf numFmtId="166" fontId="17" fillId="28" borderId="0" xfId="85" applyNumberFormat="1" applyFont="1" applyFill="1"/>
    <xf numFmtId="166" fontId="17" fillId="28" borderId="15" xfId="85" applyNumberFormat="1" applyFont="1" applyFill="1" applyBorder="1"/>
    <xf numFmtId="0" fontId="17" fillId="28" borderId="15" xfId="85" applyFont="1" applyFill="1" applyBorder="1"/>
    <xf numFmtId="172" fontId="12" fillId="28" borderId="0" xfId="100" quotePrefix="1" applyNumberFormat="1" applyFont="1" applyFill="1"/>
    <xf numFmtId="169" fontId="0" fillId="28" borderId="0" xfId="100" quotePrefix="1" applyNumberFormat="1" applyFont="1" applyFill="1"/>
    <xf numFmtId="169" fontId="0" fillId="28" borderId="15" xfId="100" applyNumberFormat="1" applyFont="1" applyFill="1" applyBorder="1"/>
    <xf numFmtId="169" fontId="21" fillId="28" borderId="15" xfId="100" applyNumberFormat="1" applyFont="1" applyFill="1" applyBorder="1"/>
    <xf numFmtId="169" fontId="10" fillId="28" borderId="15" xfId="85" applyNumberFormat="1" applyFill="1" applyBorder="1"/>
    <xf numFmtId="169" fontId="10" fillId="28" borderId="0" xfId="100" quotePrefix="1" applyNumberFormat="1" applyFont="1" applyFill="1"/>
    <xf numFmtId="169" fontId="21" fillId="28" borderId="0" xfId="100" quotePrefix="1" applyNumberFormat="1" applyFont="1" applyFill="1"/>
    <xf numFmtId="169" fontId="12" fillId="28" borderId="0" xfId="85" applyNumberFormat="1" applyFont="1" applyFill="1"/>
    <xf numFmtId="180" fontId="12" fillId="28" borderId="0" xfId="100" quotePrefix="1" applyNumberFormat="1" applyFont="1" applyFill="1"/>
    <xf numFmtId="0" fontId="18" fillId="28" borderId="0" xfId="85" applyFont="1" applyFill="1" applyAlignment="1">
      <alignment horizontal="center"/>
    </xf>
    <xf numFmtId="167" fontId="0" fillId="28" borderId="0" xfId="57" applyNumberFormat="1" applyFont="1" applyFill="1"/>
    <xf numFmtId="167" fontId="18" fillId="28" borderId="0" xfId="57" applyNumberFormat="1" applyFont="1" applyFill="1"/>
    <xf numFmtId="44" fontId="10" fillId="28" borderId="0" xfId="85" applyNumberFormat="1" applyFill="1"/>
    <xf numFmtId="169" fontId="21" fillId="28" borderId="0" xfId="100" applyNumberFormat="1" applyFont="1" applyFill="1" applyBorder="1"/>
    <xf numFmtId="169" fontId="10" fillId="28" borderId="17" xfId="85" applyNumberFormat="1" applyFill="1" applyBorder="1"/>
    <xf numFmtId="44" fontId="10" fillId="28" borderId="17" xfId="85" applyNumberFormat="1" applyFill="1" applyBorder="1"/>
    <xf numFmtId="0" fontId="57" fillId="25" borderId="0" xfId="85" applyFont="1" applyFill="1"/>
    <xf numFmtId="0" fontId="10" fillId="25" borderId="0" xfId="85" applyFill="1"/>
    <xf numFmtId="7" fontId="138" fillId="52" borderId="0" xfId="221" applyNumberFormat="1" applyFont="1" applyFill="1" applyBorder="1">
      <alignment vertical="center"/>
    </xf>
    <xf numFmtId="174" fontId="116" fillId="47" borderId="0" xfId="223" applyNumberFormat="1" applyFont="1" applyFill="1" applyBorder="1" applyAlignment="1">
      <alignment vertical="center"/>
    </xf>
    <xf numFmtId="0" fontId="77" fillId="28" borderId="0" xfId="85" applyFont="1" applyFill="1" applyAlignment="1">
      <alignment horizontal="left" vertical="center" wrapText="1"/>
    </xf>
    <xf numFmtId="0" fontId="77" fillId="24" borderId="0" xfId="85" applyFont="1" applyFill="1" applyAlignment="1">
      <alignment horizontal="left" vertical="center" wrapText="1"/>
    </xf>
    <xf numFmtId="174" fontId="114" fillId="24" borderId="0" xfId="221" applyNumberFormat="1" applyFont="1" applyFill="1" applyBorder="1">
      <alignment vertical="center"/>
    </xf>
    <xf numFmtId="184" fontId="114" fillId="24" borderId="0" xfId="223" applyNumberFormat="1" applyFont="1" applyFill="1" applyBorder="1" applyAlignment="1">
      <alignment vertical="center"/>
    </xf>
    <xf numFmtId="174" fontId="133" fillId="24" borderId="0" xfId="221" applyNumberFormat="1" applyFont="1" applyFill="1" applyBorder="1">
      <alignment vertical="center"/>
    </xf>
    <xf numFmtId="175" fontId="114" fillId="24" borderId="0" xfId="221" applyNumberFormat="1" applyFont="1" applyFill="1" applyBorder="1">
      <alignment vertical="center"/>
    </xf>
    <xf numFmtId="10" fontId="127" fillId="24" borderId="0" xfId="224" applyNumberFormat="1" applyFont="1" applyFill="1" applyBorder="1" applyAlignment="1">
      <alignment horizontal="right" vertical="center"/>
    </xf>
    <xf numFmtId="10" fontId="114" fillId="24" borderId="0" xfId="224" applyNumberFormat="1" applyFont="1" applyFill="1" applyBorder="1"/>
    <xf numFmtId="10" fontId="114" fillId="24" borderId="21" xfId="224" applyNumberFormat="1" applyFont="1" applyFill="1" applyBorder="1" applyAlignment="1">
      <alignment horizontal="right" vertical="center"/>
    </xf>
    <xf numFmtId="10" fontId="114" fillId="24" borderId="21" xfId="224" applyNumberFormat="1" applyFont="1" applyFill="1" applyBorder="1"/>
    <xf numFmtId="9" fontId="114" fillId="24" borderId="0" xfId="57" applyFont="1" applyFill="1" applyBorder="1" applyAlignment="1">
      <alignment vertical="center"/>
    </xf>
    <xf numFmtId="0" fontId="0" fillId="0" borderId="0" xfId="85" quotePrefix="1" applyFont="1"/>
    <xf numFmtId="0" fontId="104" fillId="24" borderId="0" xfId="85" applyFont="1" applyFill="1"/>
    <xf numFmtId="44" fontId="10" fillId="24" borderId="34" xfId="100" applyFont="1" applyFill="1" applyBorder="1"/>
    <xf numFmtId="0" fontId="0" fillId="24" borderId="0" xfId="160" applyFont="1" applyFill="1"/>
    <xf numFmtId="0" fontId="114" fillId="24" borderId="0" xfId="221" applyFont="1" applyFill="1" applyAlignment="1">
      <alignment horizontal="center" vertical="center"/>
    </xf>
    <xf numFmtId="173" fontId="116" fillId="24" borderId="0" xfId="57" applyNumberFormat="1" applyFont="1" applyFill="1" applyBorder="1" applyAlignment="1">
      <alignment vertical="center"/>
    </xf>
    <xf numFmtId="0" fontId="116" fillId="24" borderId="0" xfId="221" applyFont="1" applyFill="1" applyAlignment="1">
      <alignment horizontal="left" vertical="center"/>
    </xf>
    <xf numFmtId="170" fontId="114" fillId="24" borderId="0" xfId="221" applyNumberFormat="1" applyFont="1" applyFill="1" applyBorder="1">
      <alignment vertical="center"/>
    </xf>
    <xf numFmtId="170" fontId="114" fillId="24" borderId="0" xfId="221" applyNumberFormat="1" applyFont="1" applyFill="1">
      <alignment vertical="center"/>
    </xf>
    <xf numFmtId="0" fontId="116" fillId="24" borderId="30" xfId="221" applyFont="1" applyFill="1" applyBorder="1">
      <alignment vertical="center"/>
    </xf>
    <xf numFmtId="0" fontId="140" fillId="24" borderId="36" xfId="221" applyFont="1" applyFill="1" applyBorder="1">
      <alignment vertical="center"/>
    </xf>
    <xf numFmtId="0" fontId="140" fillId="24" borderId="37" xfId="221" applyFont="1" applyFill="1" applyBorder="1">
      <alignment vertical="center"/>
    </xf>
    <xf numFmtId="0" fontId="140" fillId="24" borderId="28" xfId="221" applyFont="1" applyFill="1" applyBorder="1">
      <alignment vertical="center"/>
    </xf>
    <xf numFmtId="170" fontId="116" fillId="24" borderId="38" xfId="221" applyNumberFormat="1" applyFont="1" applyFill="1" applyBorder="1">
      <alignment vertical="center"/>
    </xf>
    <xf numFmtId="170" fontId="116" fillId="24" borderId="0" xfId="221" applyNumberFormat="1" applyFont="1" applyFill="1" applyBorder="1">
      <alignment vertical="center"/>
    </xf>
    <xf numFmtId="192" fontId="116" fillId="24" borderId="38" xfId="221" applyNumberFormat="1" applyFont="1" applyFill="1" applyBorder="1">
      <alignment vertical="center"/>
    </xf>
    <xf numFmtId="0" fontId="116" fillId="24" borderId="29" xfId="221" applyFont="1" applyFill="1" applyBorder="1">
      <alignment vertical="center"/>
    </xf>
    <xf numFmtId="192" fontId="116" fillId="24" borderId="39" xfId="221" applyNumberFormat="1" applyFont="1" applyFill="1" applyBorder="1">
      <alignment vertical="center"/>
    </xf>
    <xf numFmtId="0" fontId="114" fillId="24" borderId="14" xfId="221" applyFont="1" applyFill="1" applyBorder="1">
      <alignment vertical="center"/>
    </xf>
    <xf numFmtId="0" fontId="114" fillId="24" borderId="15" xfId="221" applyFont="1" applyFill="1" applyBorder="1">
      <alignment vertical="center"/>
    </xf>
    <xf numFmtId="170" fontId="114" fillId="24" borderId="15" xfId="221" applyNumberFormat="1" applyFont="1" applyFill="1" applyBorder="1">
      <alignment vertical="center"/>
    </xf>
    <xf numFmtId="0" fontId="114" fillId="24" borderId="16" xfId="221" applyFont="1" applyFill="1" applyBorder="1">
      <alignment vertical="center"/>
    </xf>
    <xf numFmtId="0" fontId="114" fillId="24" borderId="17" xfId="221" applyFont="1" applyFill="1" applyBorder="1">
      <alignment vertical="center"/>
    </xf>
    <xf numFmtId="170" fontId="114" fillId="24" borderId="18" xfId="221" applyNumberFormat="1" applyFont="1" applyFill="1" applyBorder="1">
      <alignment vertical="center"/>
    </xf>
    <xf numFmtId="0" fontId="141" fillId="24" borderId="11" xfId="221" applyFont="1" applyFill="1" applyBorder="1">
      <alignment vertical="center"/>
    </xf>
    <xf numFmtId="0" fontId="141" fillId="24" borderId="34" xfId="221" applyFont="1" applyFill="1" applyBorder="1">
      <alignment vertical="center"/>
    </xf>
    <xf numFmtId="0" fontId="141" fillId="24" borderId="13" xfId="221" applyFont="1" applyFill="1" applyBorder="1">
      <alignment vertical="center"/>
    </xf>
    <xf numFmtId="0" fontId="116" fillId="24" borderId="0" xfId="221" applyFont="1" applyFill="1" applyBorder="1" applyAlignment="1">
      <alignment horizontal="center" vertical="center"/>
    </xf>
    <xf numFmtId="0" fontId="124" fillId="24" borderId="0" xfId="221" applyFont="1" applyFill="1" applyBorder="1" applyAlignment="1">
      <alignment horizontal="left" vertical="center"/>
    </xf>
    <xf numFmtId="0" fontId="122" fillId="24" borderId="28" xfId="221" applyFont="1" applyFill="1" applyBorder="1">
      <alignment vertical="center"/>
    </xf>
    <xf numFmtId="176" fontId="122" fillId="24" borderId="28" xfId="223" applyNumberFormat="1" applyFont="1" applyFill="1" applyBorder="1" applyAlignment="1">
      <alignment horizontal="left" vertical="center"/>
    </xf>
    <xf numFmtId="176" fontId="124" fillId="24" borderId="28" xfId="221" applyNumberFormat="1" applyFont="1" applyFill="1" applyBorder="1" applyAlignment="1">
      <alignment horizontal="left" vertical="center"/>
    </xf>
    <xf numFmtId="0" fontId="114" fillId="24" borderId="0" xfId="222" applyFont="1" applyFill="1" applyAlignment="1">
      <alignment horizontal="center"/>
    </xf>
    <xf numFmtId="172" fontId="114" fillId="49" borderId="28" xfId="221" applyNumberFormat="1" applyFont="1" applyFill="1" applyBorder="1">
      <alignment vertical="center"/>
    </xf>
    <xf numFmtId="0" fontId="114" fillId="24" borderId="0" xfId="222" applyFont="1" applyFill="1" applyAlignment="1">
      <alignment horizontal="right"/>
    </xf>
    <xf numFmtId="0" fontId="124" fillId="24" borderId="28" xfId="221" applyFont="1" applyFill="1" applyBorder="1">
      <alignment vertical="center"/>
    </xf>
    <xf numFmtId="187" fontId="114" fillId="51" borderId="28" xfId="221" applyNumberFormat="1" applyFont="1" applyFill="1" applyBorder="1" applyAlignment="1">
      <alignment horizontal="left" vertical="center"/>
    </xf>
    <xf numFmtId="176" fontId="114" fillId="24" borderId="28" xfId="221" applyNumberFormat="1" applyFont="1" applyFill="1" applyBorder="1" applyAlignment="1">
      <alignment horizontal="left" vertical="center"/>
    </xf>
    <xf numFmtId="176" fontId="114" fillId="51" borderId="28" xfId="221" applyNumberFormat="1" applyFont="1" applyFill="1" applyBorder="1" applyAlignment="1">
      <alignment horizontal="left" vertical="center"/>
    </xf>
    <xf numFmtId="174" fontId="114" fillId="51" borderId="28" xfId="223" applyNumberFormat="1" applyFont="1" applyFill="1" applyBorder="1" applyAlignment="1">
      <alignment horizontal="left" vertical="center"/>
    </xf>
    <xf numFmtId="37" fontId="125" fillId="52" borderId="45" xfId="221" applyNumberFormat="1" applyFont="1" applyFill="1" applyBorder="1">
      <alignment vertical="center"/>
    </xf>
    <xf numFmtId="0" fontId="114" fillId="24" borderId="29" xfId="221" applyFont="1" applyFill="1" applyBorder="1">
      <alignment vertical="center"/>
    </xf>
    <xf numFmtId="0" fontId="123" fillId="24" borderId="40" xfId="221" applyFont="1" applyFill="1" applyBorder="1">
      <alignment vertical="center"/>
    </xf>
    <xf numFmtId="0" fontId="123" fillId="24" borderId="44" xfId="221" applyFont="1" applyFill="1" applyBorder="1">
      <alignment vertical="center"/>
    </xf>
    <xf numFmtId="0" fontId="123" fillId="24" borderId="41" xfId="221" applyFont="1" applyFill="1" applyBorder="1">
      <alignment vertical="center"/>
    </xf>
    <xf numFmtId="0" fontId="114" fillId="24" borderId="0" xfId="221" applyFont="1" applyFill="1" applyBorder="1" applyAlignment="1">
      <alignment vertical="center" wrapText="1"/>
    </xf>
    <xf numFmtId="9" fontId="114" fillId="24" borderId="0" xfId="57" applyFont="1" applyFill="1" applyAlignment="1">
      <alignment vertical="center"/>
    </xf>
    <xf numFmtId="43" fontId="114" fillId="24" borderId="0" xfId="28" applyFont="1" applyFill="1" applyBorder="1" applyAlignment="1">
      <alignment vertical="center"/>
    </xf>
    <xf numFmtId="170" fontId="116" fillId="27" borderId="0" xfId="221" applyNumberFormat="1" applyFont="1" applyFill="1">
      <alignment vertical="center"/>
    </xf>
    <xf numFmtId="0" fontId="118" fillId="24" borderId="36" xfId="221" applyFont="1" applyFill="1" applyBorder="1" applyAlignment="1">
      <alignment horizontal="right" vertical="center"/>
    </xf>
    <xf numFmtId="0" fontId="117" fillId="24" borderId="0" xfId="221" applyFont="1" applyFill="1" applyBorder="1">
      <alignment vertical="center"/>
    </xf>
    <xf numFmtId="0" fontId="117" fillId="24" borderId="35" xfId="221" applyFont="1" applyFill="1" applyBorder="1">
      <alignment vertical="center"/>
    </xf>
    <xf numFmtId="0" fontId="118" fillId="24" borderId="40" xfId="221" applyFont="1" applyFill="1" applyBorder="1">
      <alignment vertical="center"/>
    </xf>
    <xf numFmtId="0" fontId="118" fillId="24" borderId="44" xfId="221" applyFont="1" applyFill="1" applyBorder="1">
      <alignment vertical="center"/>
    </xf>
    <xf numFmtId="37" fontId="118" fillId="24" borderId="44" xfId="221" applyNumberFormat="1" applyFont="1" applyFill="1" applyBorder="1">
      <alignment vertical="center"/>
    </xf>
    <xf numFmtId="0" fontId="130" fillId="24" borderId="44" xfId="221" applyFont="1" applyFill="1" applyBorder="1" applyAlignment="1">
      <alignment vertical="center" wrapText="1"/>
    </xf>
    <xf numFmtId="194" fontId="0" fillId="25" borderId="0" xfId="0" applyNumberFormat="1" applyFill="1"/>
    <xf numFmtId="37" fontId="0" fillId="25" borderId="0" xfId="0" applyNumberFormat="1" applyFill="1"/>
    <xf numFmtId="169" fontId="0" fillId="46" borderId="0" xfId="0" applyNumberFormat="1" applyFill="1"/>
    <xf numFmtId="9" fontId="10" fillId="25" borderId="0" xfId="57" quotePrefix="1" applyFont="1" applyFill="1"/>
    <xf numFmtId="195" fontId="0" fillId="25" borderId="0" xfId="0" applyNumberFormat="1" applyFill="1"/>
    <xf numFmtId="1" fontId="0" fillId="0" borderId="0" xfId="57" applyNumberFormat="1" applyFont="1" applyFill="1"/>
    <xf numFmtId="173" fontId="0" fillId="0" borderId="0" xfId="57" applyNumberFormat="1" applyFont="1" applyFill="1"/>
    <xf numFmtId="173" fontId="12" fillId="24" borderId="0" xfId="57" applyNumberFormat="1" applyFont="1" applyFill="1" applyAlignment="1">
      <alignment horizontal="center"/>
    </xf>
    <xf numFmtId="0" fontId="12" fillId="25" borderId="0" xfId="0" applyFont="1" applyFill="1"/>
    <xf numFmtId="4" fontId="0" fillId="0" borderId="0" xfId="0" applyNumberFormat="1"/>
    <xf numFmtId="187" fontId="114" fillId="24" borderId="28" xfId="221" applyNumberFormat="1" applyFont="1" applyFill="1" applyBorder="1" applyAlignment="1">
      <alignment horizontal="left" vertical="center"/>
    </xf>
    <xf numFmtId="187" fontId="114" fillId="24" borderId="0" xfId="221" applyNumberFormat="1" applyFont="1" applyFill="1" applyBorder="1" applyAlignment="1">
      <alignment horizontal="left" vertical="center"/>
    </xf>
    <xf numFmtId="14" fontId="62" fillId="0" borderId="0" xfId="0" applyNumberFormat="1" applyFont="1"/>
    <xf numFmtId="191" fontId="116" fillId="24" borderId="0" xfId="221" applyNumberFormat="1" applyFont="1" applyFill="1">
      <alignment vertical="center"/>
    </xf>
    <xf numFmtId="0" fontId="143" fillId="24" borderId="0" xfId="221" applyFont="1" applyFill="1">
      <alignment vertical="center"/>
    </xf>
    <xf numFmtId="176" fontId="114" fillId="24" borderId="28" xfId="223" applyNumberFormat="1" applyFont="1" applyFill="1" applyBorder="1" applyAlignment="1">
      <alignment horizontal="left" vertical="center"/>
    </xf>
    <xf numFmtId="176" fontId="114" fillId="24" borderId="0" xfId="223" applyNumberFormat="1" applyFont="1" applyFill="1" applyBorder="1" applyAlignment="1">
      <alignment horizontal="left" vertical="center"/>
    </xf>
    <xf numFmtId="174" fontId="114" fillId="24" borderId="0" xfId="223" applyNumberFormat="1" applyFont="1" applyFill="1" applyBorder="1" applyAlignment="1">
      <alignment vertical="center"/>
    </xf>
    <xf numFmtId="174" fontId="133" fillId="24" borderId="0" xfId="223" applyNumberFormat="1" applyFont="1" applyFill="1" applyBorder="1" applyAlignment="1">
      <alignment vertical="center"/>
    </xf>
    <xf numFmtId="0" fontId="132" fillId="24" borderId="0" xfId="221" applyFont="1" applyFill="1" applyBorder="1">
      <alignment vertical="center"/>
    </xf>
    <xf numFmtId="165" fontId="132" fillId="24" borderId="0" xfId="221" applyNumberFormat="1" applyFont="1" applyFill="1" applyBorder="1">
      <alignment vertical="center"/>
    </xf>
    <xf numFmtId="43" fontId="114" fillId="24" borderId="0" xfId="221" applyNumberFormat="1" applyFont="1" applyFill="1" applyBorder="1">
      <alignment vertical="center"/>
    </xf>
    <xf numFmtId="183" fontId="114" fillId="24" borderId="0" xfId="222" applyNumberFormat="1" applyFont="1" applyFill="1"/>
    <xf numFmtId="183" fontId="114" fillId="24" borderId="0" xfId="28" applyNumberFormat="1" applyFont="1" applyFill="1" applyBorder="1"/>
    <xf numFmtId="0" fontId="142" fillId="24" borderId="0" xfId="221" applyFont="1" applyFill="1" applyBorder="1">
      <alignment vertical="center"/>
    </xf>
    <xf numFmtId="183" fontId="116" fillId="24" borderId="0" xfId="223" applyNumberFormat="1" applyFont="1" applyFill="1" applyBorder="1" applyAlignment="1">
      <alignment vertical="center"/>
    </xf>
    <xf numFmtId="191" fontId="116" fillId="24" borderId="35" xfId="221" applyNumberFormat="1" applyFont="1" applyFill="1" applyBorder="1">
      <alignment vertical="center"/>
    </xf>
    <xf numFmtId="170" fontId="114" fillId="24" borderId="0" xfId="221" applyNumberFormat="1" applyFont="1" applyFill="1" applyAlignment="1">
      <alignment horizontal="center" vertical="center"/>
    </xf>
    <xf numFmtId="170" fontId="116" fillId="24" borderId="0" xfId="221" applyNumberFormat="1" applyFont="1" applyFill="1" applyBorder="1" applyAlignment="1">
      <alignment horizontal="right" vertical="center"/>
    </xf>
    <xf numFmtId="192" fontId="116" fillId="24" borderId="0" xfId="221" applyNumberFormat="1" applyFont="1" applyFill="1" applyBorder="1" applyAlignment="1">
      <alignment horizontal="right" vertical="center"/>
    </xf>
    <xf numFmtId="192" fontId="116" fillId="24" borderId="35" xfId="221" applyNumberFormat="1" applyFont="1" applyFill="1" applyBorder="1" applyAlignment="1">
      <alignment horizontal="right" vertical="center"/>
    </xf>
    <xf numFmtId="17" fontId="108" fillId="24" borderId="0" xfId="0" applyNumberFormat="1" applyFont="1" applyFill="1"/>
    <xf numFmtId="0" fontId="144" fillId="24" borderId="0" xfId="85" applyFont="1" applyFill="1" applyAlignment="1">
      <alignment horizontal="left"/>
    </xf>
    <xf numFmtId="8" fontId="65" fillId="0" borderId="23" xfId="33" quotePrefix="1" applyNumberFormat="1" applyFont="1" applyFill="1" applyBorder="1"/>
    <xf numFmtId="8" fontId="13" fillId="24" borderId="0" xfId="33" applyNumberFormat="1" applyFont="1" applyFill="1"/>
    <xf numFmtId="171" fontId="10" fillId="24" borderId="0" xfId="33" applyNumberFormat="1" applyFont="1" applyFill="1" applyBorder="1"/>
    <xf numFmtId="44" fontId="65" fillId="24" borderId="0" xfId="0" applyNumberFormat="1" applyFont="1" applyFill="1" applyAlignment="1">
      <alignment horizontal="center"/>
    </xf>
    <xf numFmtId="44" fontId="77" fillId="24" borderId="0" xfId="0" quotePrefix="1" applyNumberFormat="1" applyFont="1" applyFill="1" applyAlignment="1">
      <alignment wrapText="1"/>
    </xf>
    <xf numFmtId="194" fontId="0" fillId="24" borderId="0" xfId="0" applyNumberFormat="1" applyFill="1"/>
    <xf numFmtId="195" fontId="0" fillId="24" borderId="0" xfId="0" applyNumberFormat="1" applyFill="1"/>
    <xf numFmtId="37" fontId="0" fillId="24" borderId="0" xfId="0" applyNumberFormat="1" applyFill="1"/>
    <xf numFmtId="9" fontId="10" fillId="24" borderId="0" xfId="57" quotePrefix="1" applyFont="1" applyFill="1"/>
    <xf numFmtId="0" fontId="116" fillId="24" borderId="0" xfId="221" applyFont="1" applyFill="1" applyBorder="1" applyAlignment="1">
      <alignment horizontal="right" vertical="center" wrapText="1"/>
    </xf>
    <xf numFmtId="0" fontId="66" fillId="0" borderId="0" xfId="0" applyFont="1"/>
    <xf numFmtId="0" fontId="145" fillId="24" borderId="0" xfId="0" applyFont="1" applyFill="1" applyAlignment="1">
      <alignment horizontal="left"/>
    </xf>
    <xf numFmtId="0" fontId="107" fillId="0" borderId="0" xfId="0" quotePrefix="1" applyFont="1"/>
    <xf numFmtId="0" fontId="0" fillId="0" borderId="23" xfId="0" applyBorder="1" applyAlignment="1">
      <alignment horizontal="right"/>
    </xf>
    <xf numFmtId="165" fontId="80" fillId="0" borderId="23" xfId="0" applyNumberFormat="1" applyFont="1" applyBorder="1"/>
    <xf numFmtId="168" fontId="78" fillId="0" borderId="0" xfId="0" applyNumberFormat="1" applyFont="1"/>
    <xf numFmtId="168" fontId="50" fillId="0" borderId="0" xfId="0" applyNumberFormat="1" applyFont="1"/>
    <xf numFmtId="0" fontId="109" fillId="0" borderId="0" xfId="0" applyFont="1"/>
    <xf numFmtId="0" fontId="10" fillId="0" borderId="23" xfId="0" applyFont="1" applyBorder="1"/>
    <xf numFmtId="165" fontId="13" fillId="0" borderId="23" xfId="0" applyNumberFormat="1" applyFont="1" applyBorder="1"/>
    <xf numFmtId="0" fontId="50" fillId="0" borderId="0" xfId="0" applyFont="1"/>
    <xf numFmtId="0" fontId="108" fillId="0" borderId="0" xfId="0" applyFont="1" applyAlignment="1">
      <alignment horizontal="left"/>
    </xf>
    <xf numFmtId="0" fontId="50" fillId="0" borderId="0" xfId="0" applyFont="1" applyAlignment="1">
      <alignment horizontal="right"/>
    </xf>
    <xf numFmtId="3" fontId="50" fillId="0" borderId="0" xfId="0" applyNumberFormat="1" applyFont="1" applyAlignment="1">
      <alignment horizontal="right"/>
    </xf>
    <xf numFmtId="166" fontId="50" fillId="24" borderId="23" xfId="0" applyNumberFormat="1" applyFont="1" applyFill="1" applyBorder="1"/>
    <xf numFmtId="44" fontId="50" fillId="24" borderId="0" xfId="33" applyFont="1" applyFill="1" applyBorder="1"/>
    <xf numFmtId="0" fontId="108" fillId="0" borderId="0" xfId="0" quotePrefix="1" applyFont="1"/>
    <xf numFmtId="44" fontId="50" fillId="0" borderId="0" xfId="33" applyFont="1" applyFill="1" applyBorder="1"/>
    <xf numFmtId="178" fontId="80" fillId="0" borderId="23" xfId="28" applyNumberFormat="1" applyFont="1" applyFill="1" applyBorder="1" applyAlignment="1">
      <alignment horizontal="right"/>
    </xf>
    <xf numFmtId="0" fontId="65" fillId="0" borderId="0" xfId="0" applyFont="1" applyAlignment="1">
      <alignment horizontal="center"/>
    </xf>
    <xf numFmtId="44" fontId="65" fillId="0" borderId="23" xfId="33" applyFont="1" applyFill="1" applyBorder="1"/>
    <xf numFmtId="0" fontId="17" fillId="0" borderId="0" xfId="0" applyFont="1" applyAlignment="1">
      <alignment horizontal="left" wrapText="1"/>
    </xf>
    <xf numFmtId="44" fontId="65" fillId="0" borderId="23" xfId="33" quotePrefix="1" applyFont="1" applyFill="1" applyBorder="1"/>
    <xf numFmtId="0" fontId="12" fillId="0" borderId="0" xfId="85" applyFont="1"/>
    <xf numFmtId="44" fontId="10" fillId="24" borderId="0" xfId="100" applyFont="1" applyFill="1" applyBorder="1"/>
    <xf numFmtId="9" fontId="0" fillId="24" borderId="0" xfId="57" applyFont="1" applyFill="1" applyBorder="1"/>
    <xf numFmtId="166" fontId="13" fillId="24" borderId="0" xfId="85" applyNumberFormat="1" applyFont="1" applyFill="1"/>
    <xf numFmtId="169" fontId="10" fillId="24" borderId="0" xfId="100" applyNumberFormat="1" applyFont="1" applyFill="1" applyBorder="1"/>
    <xf numFmtId="44" fontId="0" fillId="24" borderId="0" xfId="100" applyFont="1" applyFill="1" applyBorder="1"/>
    <xf numFmtId="172" fontId="10" fillId="24" borderId="0" xfId="100" applyNumberFormat="1" applyFont="1" applyFill="1" applyBorder="1"/>
    <xf numFmtId="44" fontId="12" fillId="24" borderId="0" xfId="100" quotePrefix="1" applyFont="1" applyFill="1" applyBorder="1"/>
    <xf numFmtId="0" fontId="12" fillId="24" borderId="0" xfId="85" applyFont="1" applyFill="1" applyAlignment="1">
      <alignment horizontal="left"/>
    </xf>
    <xf numFmtId="0" fontId="10" fillId="24" borderId="0" xfId="85" applyFill="1" applyAlignment="1">
      <alignment horizontal="right"/>
    </xf>
    <xf numFmtId="169" fontId="21" fillId="24" borderId="0" xfId="85" applyNumberFormat="1" applyFont="1" applyFill="1"/>
    <xf numFmtId="169" fontId="0" fillId="24" borderId="0" xfId="100" applyNumberFormat="1" applyFont="1" applyFill="1" applyBorder="1"/>
    <xf numFmtId="0" fontId="17" fillId="24" borderId="0" xfId="85" applyFont="1" applyFill="1" applyAlignment="1">
      <alignment horizontal="left"/>
    </xf>
    <xf numFmtId="0" fontId="12" fillId="24" borderId="0" xfId="85" applyFont="1" applyFill="1" applyAlignment="1">
      <alignment horizontal="center"/>
    </xf>
    <xf numFmtId="17" fontId="10" fillId="24" borderId="0" xfId="85" applyNumberFormat="1" applyFill="1"/>
    <xf numFmtId="17" fontId="10" fillId="24" borderId="0" xfId="85" applyNumberFormat="1" applyFill="1" applyAlignment="1">
      <alignment horizontal="right"/>
    </xf>
    <xf numFmtId="175" fontId="10" fillId="24" borderId="0" xfId="85" applyNumberFormat="1" applyFill="1"/>
    <xf numFmtId="175" fontId="12" fillId="24" borderId="0" xfId="85" applyNumberFormat="1" applyFont="1" applyFill="1"/>
    <xf numFmtId="0" fontId="12" fillId="24" borderId="0" xfId="85" applyFont="1" applyFill="1" applyAlignment="1">
      <alignment horizontal="right"/>
    </xf>
    <xf numFmtId="0" fontId="10" fillId="24" borderId="0" xfId="85" applyFill="1" applyAlignment="1">
      <alignment horizontal="left"/>
    </xf>
    <xf numFmtId="0" fontId="12" fillId="24" borderId="0" xfId="85" applyFont="1" applyFill="1" applyAlignment="1">
      <alignment horizontal="center" wrapText="1"/>
    </xf>
    <xf numFmtId="0" fontId="18" fillId="24" borderId="0" xfId="85" applyFont="1" applyFill="1" applyAlignment="1">
      <alignment horizontal="left"/>
    </xf>
    <xf numFmtId="172" fontId="10" fillId="24" borderId="0" xfId="100" quotePrefix="1" applyNumberFormat="1" applyFont="1" applyFill="1" applyBorder="1"/>
    <xf numFmtId="0" fontId="17" fillId="24" borderId="0" xfId="85" applyFont="1" applyFill="1"/>
    <xf numFmtId="166" fontId="17" fillId="24" borderId="0" xfId="85" applyNumberFormat="1" applyFont="1" applyFill="1"/>
    <xf numFmtId="172" fontId="12" fillId="24" borderId="0" xfId="100" quotePrefix="1" applyNumberFormat="1" applyFont="1" applyFill="1" applyBorder="1"/>
    <xf numFmtId="169" fontId="0" fillId="24" borderId="0" xfId="100" quotePrefix="1" applyNumberFormat="1" applyFont="1" applyFill="1" applyBorder="1"/>
    <xf numFmtId="169" fontId="10" fillId="24" borderId="0" xfId="100" quotePrefix="1" applyNumberFormat="1" applyFont="1" applyFill="1" applyBorder="1"/>
    <xf numFmtId="169" fontId="21" fillId="24" borderId="0" xfId="100" quotePrefix="1" applyNumberFormat="1" applyFont="1" applyFill="1" applyBorder="1"/>
    <xf numFmtId="169" fontId="10" fillId="46" borderId="0" xfId="85" applyNumberFormat="1" applyFill="1"/>
    <xf numFmtId="169" fontId="12" fillId="24" borderId="0" xfId="85" applyNumberFormat="1" applyFont="1" applyFill="1"/>
    <xf numFmtId="180" fontId="12" fillId="24" borderId="0" xfId="100" quotePrefix="1" applyNumberFormat="1" applyFont="1" applyFill="1" applyBorder="1"/>
    <xf numFmtId="0" fontId="18" fillId="24" borderId="0" xfId="85" applyFont="1" applyFill="1" applyAlignment="1">
      <alignment horizontal="center"/>
    </xf>
    <xf numFmtId="167" fontId="0" fillId="24" borderId="0" xfId="57" applyNumberFormat="1" applyFont="1" applyFill="1" applyBorder="1"/>
    <xf numFmtId="167" fontId="18" fillId="24" borderId="0" xfId="57" applyNumberFormat="1" applyFont="1" applyFill="1" applyBorder="1"/>
    <xf numFmtId="44" fontId="10" fillId="24" borderId="0" xfId="85" applyNumberFormat="1" applyFill="1"/>
    <xf numFmtId="178" fontId="50" fillId="24" borderId="0" xfId="85" applyNumberFormat="1" applyFont="1" applyFill="1"/>
    <xf numFmtId="178" fontId="50" fillId="24" borderId="17" xfId="85" quotePrefix="1" applyNumberFormat="1" applyFont="1" applyFill="1" applyBorder="1" applyAlignment="1">
      <alignment horizontal="right"/>
    </xf>
    <xf numFmtId="0" fontId="10" fillId="24" borderId="23" xfId="0" applyFont="1" applyFill="1" applyBorder="1" applyAlignment="1">
      <alignment horizontal="right"/>
    </xf>
    <xf numFmtId="0" fontId="10" fillId="24" borderId="33" xfId="0" applyFont="1" applyFill="1" applyBorder="1" applyAlignment="1">
      <alignment horizontal="left"/>
    </xf>
    <xf numFmtId="0" fontId="0" fillId="24" borderId="26" xfId="0" applyFill="1" applyBorder="1" applyAlignment="1">
      <alignment horizontal="left"/>
    </xf>
    <xf numFmtId="0" fontId="0" fillId="24" borderId="27" xfId="0" applyFill="1" applyBorder="1" applyAlignment="1">
      <alignment horizontal="left"/>
    </xf>
    <xf numFmtId="0" fontId="50" fillId="24" borderId="25" xfId="0" applyFont="1" applyFill="1" applyBorder="1" applyAlignment="1">
      <alignment horizontal="center"/>
    </xf>
    <xf numFmtId="0" fontId="50" fillId="24" borderId="24" xfId="0" applyFont="1" applyFill="1" applyBorder="1" applyAlignment="1">
      <alignment horizontal="center"/>
    </xf>
    <xf numFmtId="178" fontId="10" fillId="24" borderId="17" xfId="33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 wrapText="1"/>
    </xf>
    <xf numFmtId="0" fontId="57" fillId="25" borderId="0" xfId="0" applyFont="1" applyFill="1" applyAlignment="1">
      <alignment horizontal="left" vertical="center" wrapText="1"/>
    </xf>
    <xf numFmtId="0" fontId="73" fillId="25" borderId="0" xfId="0" applyFont="1" applyFill="1" applyAlignment="1">
      <alignment horizontal="left" wrapText="1"/>
    </xf>
    <xf numFmtId="0" fontId="110" fillId="25" borderId="0" xfId="0" applyFont="1" applyFill="1" applyAlignment="1">
      <alignment horizontal="left" wrapText="1"/>
    </xf>
    <xf numFmtId="0" fontId="57" fillId="25" borderId="0" xfId="85" applyFont="1" applyFill="1" applyAlignment="1">
      <alignment horizontal="left" vertical="center" wrapText="1"/>
    </xf>
    <xf numFmtId="0" fontId="57" fillId="24" borderId="0" xfId="85" applyFont="1" applyFill="1" applyAlignment="1">
      <alignment horizontal="left" vertical="center" wrapText="1"/>
    </xf>
    <xf numFmtId="0" fontId="111" fillId="25" borderId="0" xfId="85" applyFont="1" applyFill="1" applyAlignment="1">
      <alignment horizontal="left" vertical="center" wrapText="1"/>
    </xf>
    <xf numFmtId="0" fontId="111" fillId="24" borderId="0" xfId="85" applyFont="1" applyFill="1" applyAlignment="1">
      <alignment horizontal="left" vertical="center" wrapText="1"/>
    </xf>
    <xf numFmtId="0" fontId="57" fillId="24" borderId="15" xfId="85" applyFont="1" applyFill="1" applyBorder="1" applyAlignment="1">
      <alignment horizontal="left" vertical="center" wrapText="1"/>
    </xf>
    <xf numFmtId="0" fontId="116" fillId="0" borderId="36" xfId="221" applyFont="1" applyFill="1" applyBorder="1">
      <alignment vertical="center"/>
    </xf>
    <xf numFmtId="0" fontId="116" fillId="0" borderId="0" xfId="221" applyFont="1" applyFill="1" applyBorder="1">
      <alignment vertical="center"/>
    </xf>
  </cellXfs>
  <cellStyles count="258">
    <cellStyle name="20% - Accent1 2" xfId="1" xr:uid="{00000000-0005-0000-0000-000000000000}"/>
    <cellStyle name="20% - Accent1 2 2" xfId="165" xr:uid="{B849A244-159A-461F-86D3-7A54D1D7FDFE}"/>
    <cellStyle name="20% - Accent2 2" xfId="2" xr:uid="{00000000-0005-0000-0000-000001000000}"/>
    <cellStyle name="20% - Accent2 2 2" xfId="166" xr:uid="{A07637A8-DFD5-461B-A581-F7E91DCA31A5}"/>
    <cellStyle name="20% - Accent3 2" xfId="3" xr:uid="{00000000-0005-0000-0000-000002000000}"/>
    <cellStyle name="20% - Accent3 2 2" xfId="167" xr:uid="{18C4FAA6-FC1C-454F-B35E-93E9D302A90D}"/>
    <cellStyle name="20% - Accent4 2" xfId="4" xr:uid="{00000000-0005-0000-0000-000003000000}"/>
    <cellStyle name="20% - Accent4 2 2" xfId="168" xr:uid="{5DDA4A53-8E0D-40E9-8DE5-2D6E9A30CE74}"/>
    <cellStyle name="20% - Accent5 2" xfId="5" xr:uid="{00000000-0005-0000-0000-000004000000}"/>
    <cellStyle name="20% - Accent5 2 2" xfId="169" xr:uid="{B7A9CB99-10B9-4DF8-9844-8EF448FFE15C}"/>
    <cellStyle name="20% - Accent6 2" xfId="6" xr:uid="{00000000-0005-0000-0000-000005000000}"/>
    <cellStyle name="20% - Accent6 2 2" xfId="170" xr:uid="{00247860-7049-45E5-BDC7-377CF7AD0816}"/>
    <cellStyle name="40% - Accent1 2" xfId="7" xr:uid="{00000000-0005-0000-0000-000006000000}"/>
    <cellStyle name="40% - Accent1 2 2" xfId="171" xr:uid="{4B784DA1-3D42-4DC4-B078-97FB80E1F2A5}"/>
    <cellStyle name="40% - Accent2 2" xfId="8" xr:uid="{00000000-0005-0000-0000-000007000000}"/>
    <cellStyle name="40% - Accent2 2 2" xfId="172" xr:uid="{A504FF08-E159-47FE-A752-2D9616F843CB}"/>
    <cellStyle name="40% - Accent3 2" xfId="9" xr:uid="{00000000-0005-0000-0000-000008000000}"/>
    <cellStyle name="40% - Accent3 2 2" xfId="173" xr:uid="{BEA87BA7-14D5-43A8-9F62-80BA2E1BB5AB}"/>
    <cellStyle name="40% - Accent4 2" xfId="10" xr:uid="{00000000-0005-0000-0000-000009000000}"/>
    <cellStyle name="40% - Accent4 2 2" xfId="174" xr:uid="{B4ED7C95-77D1-40CE-94D5-E3F79F1CA510}"/>
    <cellStyle name="40% - Accent5 2" xfId="11" xr:uid="{00000000-0005-0000-0000-00000A000000}"/>
    <cellStyle name="40% - Accent5 2 2" xfId="175" xr:uid="{5C0F47CE-B71B-4499-BEB9-4559DD1E2F65}"/>
    <cellStyle name="40% - Accent6 2" xfId="12" xr:uid="{00000000-0005-0000-0000-00000B000000}"/>
    <cellStyle name="40% - Accent6 2 2" xfId="176" xr:uid="{F25A443C-2093-4563-AC7B-680105579344}"/>
    <cellStyle name="60% - Accent1 2" xfId="13" xr:uid="{00000000-0005-0000-0000-00000C000000}"/>
    <cellStyle name="60% - Accent1 2 2" xfId="177" xr:uid="{F25A46C0-A9C8-450B-9489-FD7DE3934286}"/>
    <cellStyle name="60% - Accent2 2" xfId="14" xr:uid="{00000000-0005-0000-0000-00000D000000}"/>
    <cellStyle name="60% - Accent2 2 2" xfId="178" xr:uid="{2735279C-37D1-4517-8D75-D05691A8E85E}"/>
    <cellStyle name="60% - Accent3 2" xfId="15" xr:uid="{00000000-0005-0000-0000-00000E000000}"/>
    <cellStyle name="60% - Accent3 2 2" xfId="179" xr:uid="{53500A37-365D-4DAB-94BD-9C4DB05F4B16}"/>
    <cellStyle name="60% - Accent4 2" xfId="16" xr:uid="{00000000-0005-0000-0000-00000F000000}"/>
    <cellStyle name="60% - Accent4 2 2" xfId="180" xr:uid="{7D115782-95BE-4FFD-8C09-676A577CE62F}"/>
    <cellStyle name="60% - Accent5 2" xfId="17" xr:uid="{00000000-0005-0000-0000-000010000000}"/>
    <cellStyle name="60% - Accent5 2 2" xfId="181" xr:uid="{AF3992C9-137F-4324-9FEF-4DC46A9666FB}"/>
    <cellStyle name="60% - Accent6 2" xfId="18" xr:uid="{00000000-0005-0000-0000-000011000000}"/>
    <cellStyle name="60% - Accent6 2 2" xfId="182" xr:uid="{98F3FD8D-CBBE-48C7-BB74-5032556CED24}"/>
    <cellStyle name="Accent1 2" xfId="19" xr:uid="{00000000-0005-0000-0000-000012000000}"/>
    <cellStyle name="Accent1 2 2" xfId="183" xr:uid="{BB2F9446-C962-4CAE-A18F-EF408F829579}"/>
    <cellStyle name="Accent2 2" xfId="20" xr:uid="{00000000-0005-0000-0000-000013000000}"/>
    <cellStyle name="Accent2 2 2" xfId="184" xr:uid="{D00E1250-4B95-4643-AE0D-DFBA3D7632D1}"/>
    <cellStyle name="Accent3 2" xfId="21" xr:uid="{00000000-0005-0000-0000-000014000000}"/>
    <cellStyle name="Accent3 2 2" xfId="185" xr:uid="{F101353E-E7C3-4208-B0BD-4BE3B364BFCE}"/>
    <cellStyle name="Accent4 2" xfId="22" xr:uid="{00000000-0005-0000-0000-000015000000}"/>
    <cellStyle name="Accent4 2 2" xfId="186" xr:uid="{64B00324-AE73-445D-BD8F-DE330A8AB477}"/>
    <cellStyle name="Accent5 2" xfId="23" xr:uid="{00000000-0005-0000-0000-000016000000}"/>
    <cellStyle name="Accent5 2 2" xfId="187" xr:uid="{29D62FDA-7BB7-4ABE-A81A-739797A1E24F}"/>
    <cellStyle name="Accent6 2" xfId="24" xr:uid="{00000000-0005-0000-0000-000017000000}"/>
    <cellStyle name="Accent6 2 2" xfId="188" xr:uid="{A83615B4-C8E3-481F-88D2-0F7EABD8EC45}"/>
    <cellStyle name="Bad 2" xfId="25" xr:uid="{00000000-0005-0000-0000-000018000000}"/>
    <cellStyle name="Bad 2 2" xfId="189" xr:uid="{BE361D09-1E68-4A1F-AC99-B6A83BF58A5D}"/>
    <cellStyle name="Calculation 2" xfId="26" xr:uid="{00000000-0005-0000-0000-000019000000}"/>
    <cellStyle name="Calculation 2 2" xfId="190" xr:uid="{2CF50169-C358-4CFB-BA2D-37FBBEEB37AD}"/>
    <cellStyle name="Check Cell 2" xfId="27" xr:uid="{00000000-0005-0000-0000-00001A000000}"/>
    <cellStyle name="Check Cell 2 2" xfId="191" xr:uid="{6B28542C-206C-4C69-929D-A8094CE9F0D6}"/>
    <cellStyle name="Comma" xfId="28" builtinId="3"/>
    <cellStyle name="Comma 2" xfId="29" xr:uid="{00000000-0005-0000-0000-00001C000000}"/>
    <cellStyle name="Comma 2 2" xfId="157" xr:uid="{00000000-0005-0000-0000-00001D000000}"/>
    <cellStyle name="Comma 3" xfId="30" xr:uid="{00000000-0005-0000-0000-00001E000000}"/>
    <cellStyle name="Comma 3 2" xfId="75" xr:uid="{00000000-0005-0000-0000-00001F000000}"/>
    <cellStyle name="Comma 4" xfId="31" xr:uid="{00000000-0005-0000-0000-000020000000}"/>
    <cellStyle name="Comma 4 2" xfId="99" xr:uid="{00000000-0005-0000-0000-000021000000}"/>
    <cellStyle name="Comma 5" xfId="71" xr:uid="{00000000-0005-0000-0000-000022000000}"/>
    <cellStyle name="Comma 5 2" xfId="74" xr:uid="{00000000-0005-0000-0000-000023000000}"/>
    <cellStyle name="Comma 5 3" xfId="146" xr:uid="{00000000-0005-0000-0000-000024000000}"/>
    <cellStyle name="Comma 6" xfId="83" xr:uid="{00000000-0005-0000-0000-000025000000}"/>
    <cellStyle name="Comma 7" xfId="214" xr:uid="{53F4CE21-AE83-4068-B4DA-9779EDD4B796}"/>
    <cellStyle name="Comma 7 2" xfId="247" xr:uid="{D0F9C220-9E88-4632-B6B0-316E26FCB1E7}"/>
    <cellStyle name="Comma 8" xfId="219" xr:uid="{71D6F285-300A-4F8E-A071-68A41172A8D9}"/>
    <cellStyle name="Comma 8 2" xfId="252" xr:uid="{115EE03E-189A-44A5-8472-8C665BF3A8FB}"/>
    <cellStyle name="Comma 9" xfId="223" xr:uid="{CFD37878-A987-4EF0-88A6-9FC710BF0936}"/>
    <cellStyle name="Comma 9 2" xfId="256" xr:uid="{153A4E51-8C32-44BC-9737-7E129C0FEE56}"/>
    <cellStyle name="Comma0" xfId="32" xr:uid="{00000000-0005-0000-0000-000026000000}"/>
    <cellStyle name="Currency" xfId="33" builtinId="4"/>
    <cellStyle name="Currency 2" xfId="34" xr:uid="{00000000-0005-0000-0000-000028000000}"/>
    <cellStyle name="Currency 2 2" xfId="35" xr:uid="{00000000-0005-0000-0000-000029000000}"/>
    <cellStyle name="Currency 2 2 2" xfId="100" xr:uid="{00000000-0005-0000-0000-00002A000000}"/>
    <cellStyle name="Currency 2 3" xfId="76" xr:uid="{00000000-0005-0000-0000-00002B000000}"/>
    <cellStyle name="Currency 3" xfId="36" xr:uid="{00000000-0005-0000-0000-00002C000000}"/>
    <cellStyle name="Currency 3 2" xfId="67" xr:uid="{00000000-0005-0000-0000-00002D000000}"/>
    <cellStyle name="Currency 4" xfId="37" xr:uid="{00000000-0005-0000-0000-00002E000000}"/>
    <cellStyle name="Currency 4 2" xfId="101" xr:uid="{00000000-0005-0000-0000-00002F000000}"/>
    <cellStyle name="Currency 5" xfId="69" xr:uid="{00000000-0005-0000-0000-000030000000}"/>
    <cellStyle name="Currency 5 2" xfId="72" xr:uid="{00000000-0005-0000-0000-000031000000}"/>
    <cellStyle name="Currency 5 3" xfId="147" xr:uid="{00000000-0005-0000-0000-000032000000}"/>
    <cellStyle name="Currency0" xfId="38" xr:uid="{00000000-0005-0000-0000-000033000000}"/>
    <cellStyle name="Date" xfId="39" xr:uid="{00000000-0005-0000-0000-000034000000}"/>
    <cellStyle name="Explanatory Text 2" xfId="40" xr:uid="{00000000-0005-0000-0000-000035000000}"/>
    <cellStyle name="Explanatory Text 2 2" xfId="192" xr:uid="{5F4021FB-C14A-48D1-B85E-7BB6C2A2AA24}"/>
    <cellStyle name="Fixed" xfId="41" xr:uid="{00000000-0005-0000-0000-000036000000}"/>
    <cellStyle name="Good 2" xfId="42" xr:uid="{00000000-0005-0000-0000-000037000000}"/>
    <cellStyle name="Good 2 2" xfId="193" xr:uid="{17496B5B-0F15-44AE-AD69-0950E0568783}"/>
    <cellStyle name="Heading 1" xfId="43" builtinId="16" customBuiltin="1"/>
    <cellStyle name="Heading 1 2" xfId="44" xr:uid="{00000000-0005-0000-0000-000039000000}"/>
    <cellStyle name="Heading 1 2 2" xfId="194" xr:uid="{7AC9397C-FA54-43A1-976B-9E1660537503}"/>
    <cellStyle name="Heading 1 3" xfId="87" xr:uid="{00000000-0005-0000-0000-00003A000000}"/>
    <cellStyle name="Heading 2" xfId="45" builtinId="17" customBuiltin="1"/>
    <cellStyle name="Heading 2 2" xfId="46" xr:uid="{00000000-0005-0000-0000-00003C000000}"/>
    <cellStyle name="Heading 2 2 2" xfId="195" xr:uid="{7E9D317F-686D-4056-81D4-7E13F8976ECE}"/>
    <cellStyle name="Heading 2 3" xfId="88" xr:uid="{00000000-0005-0000-0000-00003D000000}"/>
    <cellStyle name="Heading 3 2" xfId="47" xr:uid="{00000000-0005-0000-0000-00003E000000}"/>
    <cellStyle name="Heading 3 2 2" xfId="196" xr:uid="{5829EEC0-827E-4657-A2C7-0C3351A2F40E}"/>
    <cellStyle name="Heading 4 2" xfId="48" xr:uid="{00000000-0005-0000-0000-00003F000000}"/>
    <cellStyle name="Heading 4 2 2" xfId="197" xr:uid="{A7742502-2860-4DA6-86A0-1849B7EFB78C}"/>
    <cellStyle name="Hyperlink" xfId="49" builtinId="8"/>
    <cellStyle name="Hyperlink 2" xfId="97" xr:uid="{00000000-0005-0000-0000-000041000000}"/>
    <cellStyle name="Input 2" xfId="50" xr:uid="{00000000-0005-0000-0000-000042000000}"/>
    <cellStyle name="Input 2 2" xfId="198" xr:uid="{3F4CC198-FCC6-42DC-BFBF-1B755010687E}"/>
    <cellStyle name="Linked Cell 2" xfId="51" xr:uid="{00000000-0005-0000-0000-000043000000}"/>
    <cellStyle name="Linked Cell 2 2" xfId="199" xr:uid="{0E80A57D-94BB-48C2-8D70-B993AD439F38}"/>
    <cellStyle name="Neutral 2" xfId="52" xr:uid="{00000000-0005-0000-0000-000044000000}"/>
    <cellStyle name="Neutral 2 2" xfId="200" xr:uid="{BEEDD959-E471-4FE0-806D-6CAB22CDC80F}"/>
    <cellStyle name="Normal" xfId="0" builtinId="0"/>
    <cellStyle name="Normal 10" xfId="160" xr:uid="{00000000-0005-0000-0000-000046000000}"/>
    <cellStyle name="Normal 11 2" xfId="162" xr:uid="{00000000-0005-0000-0000-000047000000}"/>
    <cellStyle name="Normal 2" xfId="53" xr:uid="{00000000-0005-0000-0000-000048000000}"/>
    <cellStyle name="Normal 2 10" xfId="225" xr:uid="{6D3A5D12-7C10-4FC0-BD42-8F1EC06C4BCD}"/>
    <cellStyle name="Normal 2 2" xfId="77" xr:uid="{00000000-0005-0000-0000-000049000000}"/>
    <cellStyle name="Normal 2 2 2" xfId="89" xr:uid="{00000000-0005-0000-0000-00004A000000}"/>
    <cellStyle name="Normal 2 2 2 2" xfId="149" xr:uid="{00000000-0005-0000-0000-00004B000000}"/>
    <cellStyle name="Normal 2 2 2 2 2" xfId="235" xr:uid="{A3819017-8908-4965-BC7A-EA2E46DDB488}"/>
    <cellStyle name="Normal 2 2 2 3" xfId="228" xr:uid="{D2E54CBA-B842-45C7-8C9E-0EF09FE01949}"/>
    <cellStyle name="Normal 2 2 3" xfId="90" xr:uid="{00000000-0005-0000-0000-00004C000000}"/>
    <cellStyle name="Normal 2 2 3 2" xfId="150" xr:uid="{00000000-0005-0000-0000-00004D000000}"/>
    <cellStyle name="Normal 2 2 3 2 2" xfId="236" xr:uid="{C2E70708-B43C-4CBA-A808-C57F52BE8433}"/>
    <cellStyle name="Normal 2 2 3 3" xfId="229" xr:uid="{6F9C4738-83A2-4F3A-8062-04FD166ADF19}"/>
    <cellStyle name="Normal 2 2 4" xfId="91" xr:uid="{00000000-0005-0000-0000-00004E000000}"/>
    <cellStyle name="Normal 2 2 4 2" xfId="151" xr:uid="{00000000-0005-0000-0000-00004F000000}"/>
    <cellStyle name="Normal 2 2 4 2 2" xfId="237" xr:uid="{E1ED4E67-95B5-4137-A476-794D9BB2F197}"/>
    <cellStyle name="Normal 2 2 4 3" xfId="230" xr:uid="{3E6D06FA-AC29-45B1-8FCF-4DCB541E72DC}"/>
    <cellStyle name="Normal 2 2 5" xfId="148" xr:uid="{00000000-0005-0000-0000-000050000000}"/>
    <cellStyle name="Normal 2 2 5 2" xfId="234" xr:uid="{173F6044-6233-436C-9436-3A49C57281F0}"/>
    <cellStyle name="Normal 2 2 6" xfId="201" xr:uid="{A478CD19-0AA0-4DF6-A32C-E4DBA3BDDF80}"/>
    <cellStyle name="Normal 2 2 7" xfId="226" xr:uid="{DB9CCAEB-0B42-49E0-99C1-E061F67FCEDA}"/>
    <cellStyle name="Normal 2 3" xfId="78" xr:uid="{00000000-0005-0000-0000-000051000000}"/>
    <cellStyle name="Normal 2 3 2" xfId="92" xr:uid="{00000000-0005-0000-0000-000052000000}"/>
    <cellStyle name="Normal 2 3 2 2" xfId="152" xr:uid="{00000000-0005-0000-0000-000053000000}"/>
    <cellStyle name="Normal 2 3 2 2 2" xfId="238" xr:uid="{2AE8172B-20A9-408B-BAC4-AFF9A4702844}"/>
    <cellStyle name="Normal 2 3 2 3" xfId="231" xr:uid="{183184D8-95D7-4AA0-97F1-EC8A0D5E442F}"/>
    <cellStyle name="Normal 2 3 3" xfId="105" xr:uid="{00000000-0005-0000-0000-000054000000}"/>
    <cellStyle name="Normal 2 3 4" xfId="202" xr:uid="{CF1C4FF4-BA19-488A-92B9-7CB7A84D34AF}"/>
    <cellStyle name="Normal 2 3 5" xfId="227" xr:uid="{0B2CD73C-1113-49DA-AF3B-FC4855C2509B}"/>
    <cellStyle name="Normal 2 4" xfId="85" xr:uid="{00000000-0005-0000-0000-000055000000}"/>
    <cellStyle name="Normal 2 4 2" xfId="107" xr:uid="{00000000-0005-0000-0000-000056000000}"/>
    <cellStyle name="Normal 2 4 2 2" xfId="232" xr:uid="{7E1356C2-88D5-4911-BB9C-1B506BD69999}"/>
    <cellStyle name="Normal 2 4 3" xfId="153" xr:uid="{00000000-0005-0000-0000-000057000000}"/>
    <cellStyle name="Normal 2 4 3 2" xfId="239" xr:uid="{238C2CF1-321D-46D4-83DA-559121B29FA4}"/>
    <cellStyle name="Normal 2 4 4" xfId="163" xr:uid="{00000000-0005-0000-0000-000058000000}"/>
    <cellStyle name="Normal 2 5" xfId="98" xr:uid="{00000000-0005-0000-0000-000059000000}"/>
    <cellStyle name="Normal 2 5 2" xfId="161" xr:uid="{00000000-0005-0000-0000-00005A000000}"/>
    <cellStyle name="Normal 2 5 2 2" xfId="210" xr:uid="{310FFD34-FE58-440F-930F-EEEAB6DBAA9A}"/>
    <cellStyle name="Normal 2 5 2 2 2" xfId="211" xr:uid="{782B76D3-1B47-4A56-BB73-29E7BA984B32}"/>
    <cellStyle name="Normal 2 5 2 2 2 2" xfId="212" xr:uid="{FFEA71D7-C42B-47DA-996A-4E594328D005}"/>
    <cellStyle name="Normal 2 5 2 2 2 2 2" xfId="245" xr:uid="{1663AF7F-AE02-445D-B695-ED0E3D3E48AF}"/>
    <cellStyle name="Normal 2 5 2 2 2 3" xfId="244" xr:uid="{E6C010BD-A398-46C7-BC19-DC2F656DB3C6}"/>
    <cellStyle name="Normal 2 5 2 2 3" xfId="243" xr:uid="{3445DB0E-3029-4526-A38A-A0518857C540}"/>
    <cellStyle name="Normal 2 5 2 3" xfId="209" xr:uid="{751D8A16-751F-4C3D-B9CA-5C3945E52ADD}"/>
    <cellStyle name="Normal 2 5 2 3 2" xfId="242" xr:uid="{A63BF3C9-C9AA-43F4-9ABC-075C4FE361CC}"/>
    <cellStyle name="Normal 2 5 3" xfId="208" xr:uid="{5E0A6DCE-813B-4751-86B9-B32D02E22AC4}"/>
    <cellStyle name="Normal 2 5 3 2" xfId="241" xr:uid="{2F85821A-212D-4401-B10A-E8B9C6F6D8E6}"/>
    <cellStyle name="Normal 2 6" xfId="108" xr:uid="{00000000-0005-0000-0000-00005B000000}"/>
    <cellStyle name="Normal 2 6 2" xfId="233" xr:uid="{6009EB5C-B397-40E1-BC5B-C4AB22313D38}"/>
    <cellStyle name="Normal 2 7" xfId="164" xr:uid="{1ECA4834-1002-4083-8F17-B9B866EA9253}"/>
    <cellStyle name="Normal 2 7 2" xfId="240" xr:uid="{8CAFFA91-128E-4A8F-B558-63E7FAD5ACAC}"/>
    <cellStyle name="Normal 2 8" xfId="216" xr:uid="{FD5F7AE7-21CE-497C-8355-A4F42B8C5743}"/>
    <cellStyle name="Normal 2 8 2" xfId="249" xr:uid="{DB271499-61E4-4851-A0EE-282341CC081F}"/>
    <cellStyle name="Normal 2 9" xfId="221" xr:uid="{6A516DE1-E956-4D05-B99C-7FD90FA0624A}"/>
    <cellStyle name="Normal 2 9 2" xfId="254" xr:uid="{94F68F31-44F9-4910-A7CA-F03F23C04AEF}"/>
    <cellStyle name="Normal 3" xfId="54" xr:uid="{00000000-0005-0000-0000-00005C000000}"/>
    <cellStyle name="Normal 3 2" xfId="86" xr:uid="{00000000-0005-0000-0000-00005D000000}"/>
    <cellStyle name="Normal 3 2 2" xfId="102" xr:uid="{00000000-0005-0000-0000-00005E000000}"/>
    <cellStyle name="Normal 3 3" xfId="93" xr:uid="{00000000-0005-0000-0000-00005F000000}"/>
    <cellStyle name="Normal 3 4" xfId="154" xr:uid="{00000000-0005-0000-0000-000060000000}"/>
    <cellStyle name="Normal 3 5" xfId="217" xr:uid="{B9BE6384-D9F8-41AF-9B5B-501197596EFC}"/>
    <cellStyle name="Normal 3 5 2" xfId="250" xr:uid="{7AC6A626-0B4C-4F7A-8778-13CEA6970D76}"/>
    <cellStyle name="Normal 4" xfId="79" xr:uid="{00000000-0005-0000-0000-000061000000}"/>
    <cellStyle name="Normal 4 2" xfId="94" xr:uid="{00000000-0005-0000-0000-000062000000}"/>
    <cellStyle name="Normal 4 3" xfId="106" xr:uid="{00000000-0005-0000-0000-000063000000}"/>
    <cellStyle name="Normal 5" xfId="82" xr:uid="{00000000-0005-0000-0000-000064000000}"/>
    <cellStyle name="Normal 6" xfId="213" xr:uid="{BD082B28-0220-4834-8C74-ABD060026F8B}"/>
    <cellStyle name="Normal 6 2" xfId="246" xr:uid="{A90D0933-C7E8-4579-8197-9B552696B435}"/>
    <cellStyle name="Normal 7" xfId="218" xr:uid="{EC930692-90F4-4712-9BBF-B498CBDE00F2}"/>
    <cellStyle name="Normal 7 2" xfId="251" xr:uid="{43009C8F-002C-43FC-8A99-CB0E566CE7ED}"/>
    <cellStyle name="Normal 8" xfId="222" xr:uid="{1B50485D-79A5-4BB8-85A4-9E22F2014335}"/>
    <cellStyle name="Normal 8 2" xfId="255" xr:uid="{EEB091BB-30DF-4951-9212-D75EE7902D7B}"/>
    <cellStyle name="Note 2" xfId="55" xr:uid="{00000000-0005-0000-0000-000065000000}"/>
    <cellStyle name="Note 2 2" xfId="80" xr:uid="{00000000-0005-0000-0000-000066000000}"/>
    <cellStyle name="Note 2 3" xfId="203" xr:uid="{0A920E92-DB4F-4EB2-BDD5-2A07CC31639A}"/>
    <cellStyle name="Note 3" xfId="204" xr:uid="{1CD67F72-8ECD-4B48-90DA-17F0A3CB3C5D}"/>
    <cellStyle name="Output 2" xfId="56" xr:uid="{00000000-0005-0000-0000-000067000000}"/>
    <cellStyle name="Output 2 2" xfId="205" xr:uid="{4301BA32-51F7-49DD-BCFA-9222A0FAF5A3}"/>
    <cellStyle name="Percent" xfId="57" builtinId="5"/>
    <cellStyle name="Percent 10" xfId="224" xr:uid="{4FFDCD41-41B6-4BAA-8A10-AC9EC2F376E7}"/>
    <cellStyle name="Percent 10 2" xfId="257" xr:uid="{627C6D27-41F2-495E-9AD3-A5325BC795BB}"/>
    <cellStyle name="Percent 2" xfId="58" xr:uid="{00000000-0005-0000-0000-000069000000}"/>
    <cellStyle name="Percent 2 2" xfId="59" xr:uid="{00000000-0005-0000-0000-00006A000000}"/>
    <cellStyle name="Percent 2 2 2" xfId="103" xr:uid="{00000000-0005-0000-0000-00006B000000}"/>
    <cellStyle name="Percent 2 3" xfId="81" xr:uid="{00000000-0005-0000-0000-00006C000000}"/>
    <cellStyle name="Percent 3" xfId="60" xr:uid="{00000000-0005-0000-0000-00006D000000}"/>
    <cellStyle name="Percent 3 2" xfId="61" xr:uid="{00000000-0005-0000-0000-00006E000000}"/>
    <cellStyle name="Percent 3 2 2" xfId="68" xr:uid="{00000000-0005-0000-0000-00006F000000}"/>
    <cellStyle name="Percent 4" xfId="62" xr:uid="{00000000-0005-0000-0000-000070000000}"/>
    <cellStyle name="Percent 4 2" xfId="104" xr:uid="{00000000-0005-0000-0000-000071000000}"/>
    <cellStyle name="Percent 5" xfId="70" xr:uid="{00000000-0005-0000-0000-000072000000}"/>
    <cellStyle name="Percent 5 2" xfId="73" xr:uid="{00000000-0005-0000-0000-000073000000}"/>
    <cellStyle name="Percent 5 3" xfId="155" xr:uid="{00000000-0005-0000-0000-000074000000}"/>
    <cellStyle name="Percent 6" xfId="84" xr:uid="{00000000-0005-0000-0000-000075000000}"/>
    <cellStyle name="Percent 7" xfId="156" xr:uid="{00000000-0005-0000-0000-000076000000}"/>
    <cellStyle name="Percent 8" xfId="215" xr:uid="{DF3C50E8-F47F-4CB0-AC6C-291DD21C8A06}"/>
    <cellStyle name="Percent 8 2" xfId="248" xr:uid="{52344DDE-B03B-435A-8212-9283808B86D4}"/>
    <cellStyle name="Percent 9" xfId="220" xr:uid="{C26FA83E-9E5F-4DAE-A637-B4D39354B220}"/>
    <cellStyle name="Percent 9 2" xfId="253" xr:uid="{8E25CB02-6421-4782-9D95-A3D51FD100AD}"/>
    <cellStyle name="SAPBEXaggData" xfId="95" xr:uid="{00000000-0005-0000-0000-000077000000}"/>
    <cellStyle name="SAPBEXaggDataEmph" xfId="109" xr:uid="{00000000-0005-0000-0000-000078000000}"/>
    <cellStyle name="SAPBEXaggItem" xfId="110" xr:uid="{00000000-0005-0000-0000-000079000000}"/>
    <cellStyle name="SAPBEXaggItemX" xfId="111" xr:uid="{00000000-0005-0000-0000-00007A000000}"/>
    <cellStyle name="SAPBEXchaText" xfId="112" xr:uid="{00000000-0005-0000-0000-00007B000000}"/>
    <cellStyle name="SAPBEXexcBad7" xfId="113" xr:uid="{00000000-0005-0000-0000-00007C000000}"/>
    <cellStyle name="SAPBEXexcBad8" xfId="114" xr:uid="{00000000-0005-0000-0000-00007D000000}"/>
    <cellStyle name="SAPBEXexcBad9" xfId="115" xr:uid="{00000000-0005-0000-0000-00007E000000}"/>
    <cellStyle name="SAPBEXexcCritical4" xfId="116" xr:uid="{00000000-0005-0000-0000-00007F000000}"/>
    <cellStyle name="SAPBEXexcCritical5" xfId="117" xr:uid="{00000000-0005-0000-0000-000080000000}"/>
    <cellStyle name="SAPBEXexcCritical6" xfId="118" xr:uid="{00000000-0005-0000-0000-000081000000}"/>
    <cellStyle name="SAPBEXexcGood1" xfId="119" xr:uid="{00000000-0005-0000-0000-000082000000}"/>
    <cellStyle name="SAPBEXexcGood2" xfId="120" xr:uid="{00000000-0005-0000-0000-000083000000}"/>
    <cellStyle name="SAPBEXexcGood3" xfId="121" xr:uid="{00000000-0005-0000-0000-000084000000}"/>
    <cellStyle name="SAPBEXfilterDrill" xfId="122" xr:uid="{00000000-0005-0000-0000-000085000000}"/>
    <cellStyle name="SAPBEXfilterItem" xfId="123" xr:uid="{00000000-0005-0000-0000-000086000000}"/>
    <cellStyle name="SAPBEXfilterText" xfId="124" xr:uid="{00000000-0005-0000-0000-000087000000}"/>
    <cellStyle name="SAPBEXformats" xfId="125" xr:uid="{00000000-0005-0000-0000-000088000000}"/>
    <cellStyle name="SAPBEXheaderItem" xfId="126" xr:uid="{00000000-0005-0000-0000-000089000000}"/>
    <cellStyle name="SAPBEXheaderItem 2" xfId="158" xr:uid="{00000000-0005-0000-0000-00008A000000}"/>
    <cellStyle name="SAPBEXheaderText" xfId="127" xr:uid="{00000000-0005-0000-0000-00008B000000}"/>
    <cellStyle name="SAPBEXheaderText 2" xfId="159" xr:uid="{00000000-0005-0000-0000-00008C000000}"/>
    <cellStyle name="SAPBEXHLevel0" xfId="128" xr:uid="{00000000-0005-0000-0000-00008D000000}"/>
    <cellStyle name="SAPBEXHLevel0X" xfId="129" xr:uid="{00000000-0005-0000-0000-00008E000000}"/>
    <cellStyle name="SAPBEXHLevel1" xfId="130" xr:uid="{00000000-0005-0000-0000-00008F000000}"/>
    <cellStyle name="SAPBEXHLevel1X" xfId="131" xr:uid="{00000000-0005-0000-0000-000090000000}"/>
    <cellStyle name="SAPBEXHLevel2" xfId="132" xr:uid="{00000000-0005-0000-0000-000091000000}"/>
    <cellStyle name="SAPBEXHLevel2X" xfId="133" xr:uid="{00000000-0005-0000-0000-000092000000}"/>
    <cellStyle name="SAPBEXHLevel3" xfId="134" xr:uid="{00000000-0005-0000-0000-000093000000}"/>
    <cellStyle name="SAPBEXHLevel3X" xfId="135" xr:uid="{00000000-0005-0000-0000-000094000000}"/>
    <cellStyle name="SAPBEXresData" xfId="136" xr:uid="{00000000-0005-0000-0000-000095000000}"/>
    <cellStyle name="SAPBEXresDataEmph" xfId="137" xr:uid="{00000000-0005-0000-0000-000096000000}"/>
    <cellStyle name="SAPBEXresItem" xfId="138" xr:uid="{00000000-0005-0000-0000-000097000000}"/>
    <cellStyle name="SAPBEXresItemX" xfId="139" xr:uid="{00000000-0005-0000-0000-000098000000}"/>
    <cellStyle name="SAPBEXstdData" xfId="140" xr:uid="{00000000-0005-0000-0000-000099000000}"/>
    <cellStyle name="SAPBEXstdDataEmph" xfId="141" xr:uid="{00000000-0005-0000-0000-00009A000000}"/>
    <cellStyle name="SAPBEXstdItem" xfId="142" xr:uid="{00000000-0005-0000-0000-00009B000000}"/>
    <cellStyle name="SAPBEXstdItemX" xfId="143" xr:uid="{00000000-0005-0000-0000-00009C000000}"/>
    <cellStyle name="SAPBEXtitle" xfId="144" xr:uid="{00000000-0005-0000-0000-00009D000000}"/>
    <cellStyle name="SAPBEXundefined" xfId="145" xr:uid="{00000000-0005-0000-0000-00009E000000}"/>
    <cellStyle name="Title 2" xfId="63" xr:uid="{00000000-0005-0000-0000-00009F000000}"/>
    <cellStyle name="Total" xfId="64" builtinId="25" customBuiltin="1"/>
    <cellStyle name="Total 2" xfId="65" xr:uid="{00000000-0005-0000-0000-0000A1000000}"/>
    <cellStyle name="Total 2 2" xfId="206" xr:uid="{31A60373-74FD-4CA9-ADE5-0743D393C36F}"/>
    <cellStyle name="Total 3" xfId="96" xr:uid="{00000000-0005-0000-0000-0000A2000000}"/>
    <cellStyle name="Warning Text 2" xfId="66" xr:uid="{00000000-0005-0000-0000-0000A3000000}"/>
    <cellStyle name="Warning Text 2 2" xfId="207" xr:uid="{84074866-0D99-4057-AE89-091D420F3EF3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2" defaultTableStyle="TableStyleMedium2" defaultPivotStyle="PivotStyleLight16">
    <tableStyle name="Invisible" pivot="0" table="0" count="0" xr9:uid="{F44B2759-544B-4B99-9F15-E25734A3BFE4}"/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143AF8"/>
      <color rgb="FFD339FD"/>
      <color rgb="FFF5FEC2"/>
      <color rgb="FFFFEBF9"/>
      <color rgb="FFFFE5F7"/>
      <color rgb="FFFFAFF4"/>
      <color rgb="FFFFFFDD"/>
      <color rgb="FFD7D200"/>
      <color rgb="FF161BF6"/>
      <color rgb="FFBAFE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2021%20BGS-RSCP%20for%202022-2023/01.2022%20Compliance%20Filing/Model%20Updates/Pre-auction%20Final/Working%20Copy/Pre-auction%20Final/AppData/Local/Microsoft/2018%20BGS-RSCP%20for%202019-2020/2019.01%20Compliance%20Filing/Pre%20Auction/2015%20BGS-RSCP%20for%202016-2017/2015-11%20Compliance%20Filing/2015%20BGS-RSCP%20for%202016-2017/2015-07%20Initial%20Filing/BGS-FP%20Initial%20Filing%20Supporting%20Documents/Table1&amp;2%20-%20OnPeak%25/Table%201%20-%20Time%20period%20usage%20for%202016-17%20Spreadsheet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W@inning%20Bid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2:AF396"/>
  <sheetViews>
    <sheetView showGridLines="0" tabSelected="1" zoomScaleNormal="100" zoomScaleSheetLayoutView="100" workbookViewId="0"/>
  </sheetViews>
  <sheetFormatPr defaultColWidth="9.3984375" defaultRowHeight="12.75" outlineLevelRow="1" x14ac:dyDescent="0.35"/>
  <cols>
    <col min="1" max="1" width="17.3984375" style="190" customWidth="1"/>
    <col min="2" max="2" width="75.86328125" style="11" customWidth="1"/>
    <col min="3" max="3" width="18.59765625" style="11" customWidth="1"/>
    <col min="4" max="4" width="16.59765625" style="11" customWidth="1"/>
    <col min="5" max="5" width="13.3984375" style="11" customWidth="1"/>
    <col min="6" max="6" width="12.59765625" style="11" customWidth="1"/>
    <col min="7" max="8" width="10.59765625" style="11" customWidth="1"/>
    <col min="9" max="9" width="11" style="11" customWidth="1"/>
    <col min="10" max="10" width="10.59765625" style="11" customWidth="1"/>
    <col min="11" max="12" width="12.3984375" style="11" customWidth="1"/>
    <col min="13" max="15" width="13.3984375" style="11" customWidth="1"/>
    <col min="16" max="16" width="13" style="11" customWidth="1"/>
    <col min="17" max="17" width="11.59765625" style="11" bestFit="1" customWidth="1"/>
    <col min="18" max="18" width="12.3984375" style="11" customWidth="1"/>
    <col min="19" max="19" width="13" style="11" customWidth="1"/>
    <col min="20" max="20" width="13.3984375" style="11" customWidth="1"/>
    <col min="21" max="21" width="14.3984375" style="11" customWidth="1"/>
    <col min="22" max="22" width="11" style="11" bestFit="1" customWidth="1"/>
    <col min="23" max="23" width="10.59765625" style="11" customWidth="1"/>
    <col min="24" max="24" width="11.59765625" style="11" customWidth="1"/>
    <col min="25" max="25" width="11.3984375" style="11" bestFit="1" customWidth="1"/>
    <col min="26" max="26" width="10.3984375" style="11" customWidth="1"/>
    <col min="27" max="27" width="10.59765625" style="11" customWidth="1"/>
    <col min="28" max="28" width="12.59765625" style="11" bestFit="1" customWidth="1"/>
    <col min="29" max="29" width="9.3984375" style="11"/>
    <col min="30" max="30" width="17.59765625" style="11" customWidth="1"/>
    <col min="31" max="31" width="9.3984375" style="11"/>
    <col min="32" max="32" width="10.3984375" style="11" bestFit="1" customWidth="1"/>
    <col min="33" max="33" width="10.59765625" style="11" customWidth="1"/>
    <col min="34" max="16384" width="9.3984375" style="11"/>
  </cols>
  <sheetData>
    <row r="2" spans="1:24" x14ac:dyDescent="0.35">
      <c r="A2" s="837" t="s">
        <v>312</v>
      </c>
      <c r="B2" s="305"/>
      <c r="C2" s="24" t="s">
        <v>313</v>
      </c>
      <c r="D2" s="306">
        <v>2027</v>
      </c>
    </row>
    <row r="3" spans="1:24" ht="13.15" x14ac:dyDescent="0.4">
      <c r="A3" s="190" t="s">
        <v>279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24" ht="13.15" thickBot="1" x14ac:dyDescent="0.4">
      <c r="A4" s="11"/>
    </row>
    <row r="5" spans="1:24" ht="13.15" thickBot="1" x14ac:dyDescent="0.4">
      <c r="A5" s="232" t="s">
        <v>314</v>
      </c>
      <c r="B5" s="898">
        <f>B2</f>
        <v>0</v>
      </c>
      <c r="C5" s="899"/>
      <c r="D5" s="899"/>
      <c r="E5" s="899"/>
      <c r="F5" s="899"/>
      <c r="G5" s="899"/>
      <c r="H5" s="899"/>
      <c r="I5" s="899"/>
      <c r="J5" s="899"/>
      <c r="K5" s="899"/>
      <c r="L5" s="900"/>
    </row>
    <row r="6" spans="1:24" ht="13.15" x14ac:dyDescent="0.4"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24" ht="15" x14ac:dyDescent="0.4">
      <c r="B7" s="149" t="str">
        <f>"Development of BGS-RSCP Cost and Bid Factors for "&amp;(Inputs!D2)&amp;"/"&amp;(Inputs!D2+1)&amp;" BGS Filing"</f>
        <v>Development of BGS-RSCP Cost and Bid Factors for 2027/2028 BGS Filing</v>
      </c>
      <c r="C7" s="48"/>
      <c r="D7" s="48"/>
      <c r="E7" s="48"/>
      <c r="F7" s="48"/>
      <c r="J7" s="149"/>
    </row>
    <row r="8" spans="1:24" ht="13.15" x14ac:dyDescent="0.4">
      <c r="A8" s="299"/>
      <c r="B8" s="13" t="s">
        <v>91</v>
      </c>
      <c r="C8" s="48"/>
      <c r="D8" s="48"/>
      <c r="E8" s="48"/>
      <c r="F8" s="48"/>
    </row>
    <row r="9" spans="1:24" x14ac:dyDescent="0.35">
      <c r="B9" s="48"/>
      <c r="C9" s="48"/>
      <c r="D9" s="48"/>
      <c r="E9" s="14" t="str">
        <f>"Based on average of year "&amp;(Inputs!D2-4)&amp;", "&amp;(Inputs!D2-3)&amp;" &amp; "&amp;(Inputs!D2-2)&amp;" Load Profile Information"</f>
        <v>Based on average of year 2023, 2024 &amp; 2025 Load Profile Information</v>
      </c>
      <c r="F9" s="48"/>
    </row>
    <row r="10" spans="1:24" ht="13.15" x14ac:dyDescent="0.4">
      <c r="A10" s="308" t="s">
        <v>64</v>
      </c>
      <c r="B10" s="333" t="s">
        <v>129</v>
      </c>
      <c r="C10" s="334"/>
      <c r="D10" s="157" t="b">
        <v>1</v>
      </c>
      <c r="E10" s="311" t="s">
        <v>60</v>
      </c>
      <c r="F10" s="157"/>
      <c r="G10" s="157"/>
      <c r="H10" s="157"/>
      <c r="I10" s="157"/>
      <c r="J10" s="157"/>
      <c r="K10" s="157"/>
      <c r="L10" s="157"/>
      <c r="N10" s="16"/>
      <c r="O10" s="16"/>
      <c r="P10" s="48"/>
      <c r="Q10" s="48"/>
      <c r="R10" s="48"/>
      <c r="S10" s="48"/>
      <c r="T10" s="48"/>
      <c r="U10" s="48"/>
      <c r="V10" s="48"/>
      <c r="W10" s="48"/>
      <c r="X10" s="48"/>
    </row>
    <row r="11" spans="1:24" ht="25.5" x14ac:dyDescent="0.35">
      <c r="A11" s="312"/>
      <c r="B11" s="307">
        <f>SUM(C14:L25)</f>
        <v>54.392700000000012</v>
      </c>
      <c r="C11" s="335" t="s">
        <v>50</v>
      </c>
      <c r="D11" s="335" t="s">
        <v>50</v>
      </c>
      <c r="E11" s="335" t="s">
        <v>50</v>
      </c>
      <c r="F11" s="335" t="s">
        <v>50</v>
      </c>
      <c r="G11" s="335" t="s">
        <v>50</v>
      </c>
      <c r="H11" s="335" t="s">
        <v>50</v>
      </c>
      <c r="I11" s="319" t="s">
        <v>96</v>
      </c>
      <c r="J11" s="336"/>
      <c r="K11" s="335" t="s">
        <v>50</v>
      </c>
      <c r="L11" s="335" t="s">
        <v>50</v>
      </c>
      <c r="M11" s="20"/>
      <c r="N11" s="14"/>
      <c r="O11" s="20"/>
      <c r="P11" s="20"/>
      <c r="Q11" s="20"/>
      <c r="R11" s="20"/>
      <c r="S11" s="20"/>
      <c r="T11" s="20"/>
      <c r="U11" s="14"/>
      <c r="V11" s="70"/>
      <c r="W11" s="20"/>
      <c r="X11" s="20"/>
    </row>
    <row r="12" spans="1:24" ht="13.15" x14ac:dyDescent="0.4">
      <c r="A12" s="17"/>
      <c r="B12" s="21" t="s">
        <v>231</v>
      </c>
      <c r="C12" s="22" t="s">
        <v>0</v>
      </c>
      <c r="D12" s="22" t="s">
        <v>1</v>
      </c>
      <c r="E12" s="22" t="s">
        <v>2</v>
      </c>
      <c r="F12" s="22" t="s">
        <v>3</v>
      </c>
      <c r="G12" s="22" t="s">
        <v>4</v>
      </c>
      <c r="H12" s="22" t="s">
        <v>6</v>
      </c>
      <c r="I12" s="22" t="s">
        <v>37</v>
      </c>
      <c r="J12" s="22" t="s">
        <v>38</v>
      </c>
      <c r="K12" s="22" t="s">
        <v>5</v>
      </c>
      <c r="L12" s="22" t="s">
        <v>36</v>
      </c>
      <c r="M12" s="300"/>
      <c r="N12" s="23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 ht="13.15" x14ac:dyDescent="0.4">
      <c r="A13" s="17"/>
      <c r="B13" s="24"/>
      <c r="C13" s="22"/>
      <c r="D13" s="22"/>
      <c r="E13" s="22"/>
      <c r="F13" s="22"/>
      <c r="G13" s="22"/>
      <c r="H13" s="22"/>
      <c r="I13" s="22"/>
      <c r="J13" s="22"/>
      <c r="K13" s="22"/>
      <c r="L13" s="22"/>
      <c r="O13" s="48"/>
      <c r="P13" s="48"/>
      <c r="Q13" s="48"/>
      <c r="R13" s="48"/>
      <c r="S13" s="48"/>
      <c r="T13" s="48"/>
      <c r="U13" s="48"/>
      <c r="V13" s="48"/>
      <c r="W13" s="48"/>
      <c r="X13" s="48"/>
    </row>
    <row r="14" spans="1:24" x14ac:dyDescent="0.35">
      <c r="A14" s="17"/>
      <c r="B14" s="25" t="s">
        <v>7</v>
      </c>
      <c r="C14" s="625">
        <v>0.48139999999999999</v>
      </c>
      <c r="D14" s="625">
        <v>0.47360000000000002</v>
      </c>
      <c r="E14" s="625">
        <v>0.4773</v>
      </c>
      <c r="F14" s="625">
        <v>0.48139999999999999</v>
      </c>
      <c r="G14" s="625">
        <v>0.48139999999999999</v>
      </c>
      <c r="H14" s="625">
        <v>0.47389999999999999</v>
      </c>
      <c r="I14" s="625">
        <v>0.30630000000000002</v>
      </c>
      <c r="J14" s="625">
        <v>0.30630000000000002</v>
      </c>
      <c r="K14" s="625">
        <v>0.52139999999999997</v>
      </c>
      <c r="L14" s="625">
        <v>0.50319999999999998</v>
      </c>
      <c r="M14" s="337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</row>
    <row r="15" spans="1:24" x14ac:dyDescent="0.35">
      <c r="A15" s="17"/>
      <c r="B15" s="25" t="s">
        <v>8</v>
      </c>
      <c r="C15" s="625">
        <v>0.49009999999999998</v>
      </c>
      <c r="D15" s="625">
        <v>0.47599999999999998</v>
      </c>
      <c r="E15" s="625">
        <v>0.4793</v>
      </c>
      <c r="F15" s="625">
        <v>0.49009999999999998</v>
      </c>
      <c r="G15" s="625">
        <v>0.49009999999999998</v>
      </c>
      <c r="H15" s="625">
        <v>0.47689999999999999</v>
      </c>
      <c r="I15" s="625">
        <v>0.29449999999999998</v>
      </c>
      <c r="J15" s="625">
        <v>0.29449999999999998</v>
      </c>
      <c r="K15" s="625">
        <v>0.5343</v>
      </c>
      <c r="L15" s="625">
        <v>0.51490000000000002</v>
      </c>
      <c r="M15" s="337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</row>
    <row r="16" spans="1:24" x14ac:dyDescent="0.35">
      <c r="A16" s="17"/>
      <c r="B16" s="25" t="s">
        <v>9</v>
      </c>
      <c r="C16" s="625">
        <v>0.49819999999999998</v>
      </c>
      <c r="D16" s="625">
        <v>0.48930000000000001</v>
      </c>
      <c r="E16" s="625">
        <v>0.47760000000000002</v>
      </c>
      <c r="F16" s="625">
        <v>0.49819999999999998</v>
      </c>
      <c r="G16" s="625">
        <v>0.49819999999999998</v>
      </c>
      <c r="H16" s="625">
        <v>0.49070000000000003</v>
      </c>
      <c r="I16" s="625">
        <v>0.25509999999999999</v>
      </c>
      <c r="J16" s="625">
        <v>0.25509999999999999</v>
      </c>
      <c r="K16" s="625">
        <v>0.54430000000000001</v>
      </c>
      <c r="L16" s="625">
        <v>0.52400000000000002</v>
      </c>
      <c r="M16" s="337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</row>
    <row r="17" spans="1:24" x14ac:dyDescent="0.35">
      <c r="A17" s="17"/>
      <c r="B17" s="25" t="s">
        <v>10</v>
      </c>
      <c r="C17" s="625">
        <v>0.48459999999999998</v>
      </c>
      <c r="D17" s="625">
        <v>0.48139999999999999</v>
      </c>
      <c r="E17" s="625">
        <v>0.4667</v>
      </c>
      <c r="F17" s="625">
        <v>0.48459999999999998</v>
      </c>
      <c r="G17" s="625">
        <v>0.48459999999999998</v>
      </c>
      <c r="H17" s="625">
        <v>0.49559999999999998</v>
      </c>
      <c r="I17" s="625">
        <v>0.2235</v>
      </c>
      <c r="J17" s="625">
        <v>0.2235</v>
      </c>
      <c r="K17" s="625">
        <v>0.5282</v>
      </c>
      <c r="L17" s="625">
        <v>0.50760000000000005</v>
      </c>
      <c r="M17" s="337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</row>
    <row r="18" spans="1:24" x14ac:dyDescent="0.35">
      <c r="A18" s="17"/>
      <c r="B18" s="25" t="s">
        <v>11</v>
      </c>
      <c r="C18" s="625">
        <v>0.4864</v>
      </c>
      <c r="D18" s="625">
        <v>0.499</v>
      </c>
      <c r="E18" s="625">
        <v>0.48209999999999997</v>
      </c>
      <c r="F18" s="625">
        <v>0.4864</v>
      </c>
      <c r="G18" s="625">
        <v>0.4864</v>
      </c>
      <c r="H18" s="625">
        <v>0.53010000000000002</v>
      </c>
      <c r="I18" s="625">
        <v>0.2089</v>
      </c>
      <c r="J18" s="625">
        <v>0.2089</v>
      </c>
      <c r="K18" s="625">
        <v>0.53669999999999995</v>
      </c>
      <c r="L18" s="625">
        <v>0.51180000000000003</v>
      </c>
      <c r="M18" s="337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</row>
    <row r="19" spans="1:24" x14ac:dyDescent="0.35">
      <c r="A19" s="17"/>
      <c r="B19" s="25" t="s">
        <v>12</v>
      </c>
      <c r="C19" s="625">
        <v>0.53220000000000001</v>
      </c>
      <c r="D19" s="625">
        <v>0.53820000000000001</v>
      </c>
      <c r="E19" s="625">
        <v>0.53069999999999995</v>
      </c>
      <c r="F19" s="625">
        <v>0.53220000000000001</v>
      </c>
      <c r="G19" s="625">
        <v>0.53220000000000001</v>
      </c>
      <c r="H19" s="625">
        <v>0.57969999999999999</v>
      </c>
      <c r="I19" s="625">
        <v>0.20130000000000001</v>
      </c>
      <c r="J19" s="625">
        <v>0.20130000000000001</v>
      </c>
      <c r="K19" s="625">
        <v>0.56779999999999997</v>
      </c>
      <c r="L19" s="625">
        <v>0.53680000000000005</v>
      </c>
      <c r="M19" s="337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</row>
    <row r="20" spans="1:24" x14ac:dyDescent="0.35">
      <c r="A20" s="17"/>
      <c r="B20" s="25" t="s">
        <v>13</v>
      </c>
      <c r="C20" s="625">
        <v>0.50260000000000005</v>
      </c>
      <c r="D20" s="625">
        <v>0.50560000000000005</v>
      </c>
      <c r="E20" s="625">
        <v>0.50090000000000001</v>
      </c>
      <c r="F20" s="625">
        <v>0.50260000000000005</v>
      </c>
      <c r="G20" s="625">
        <v>0.50260000000000005</v>
      </c>
      <c r="H20" s="625">
        <v>0.54349999999999998</v>
      </c>
      <c r="I20" s="625">
        <v>0.19020000000000001</v>
      </c>
      <c r="J20" s="625">
        <v>0.19020000000000001</v>
      </c>
      <c r="K20" s="625">
        <v>0.52759999999999996</v>
      </c>
      <c r="L20" s="625">
        <v>0.496</v>
      </c>
      <c r="M20" s="337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</row>
    <row r="21" spans="1:24" x14ac:dyDescent="0.35">
      <c r="A21" s="17"/>
      <c r="B21" s="25" t="s">
        <v>14</v>
      </c>
      <c r="C21" s="625">
        <v>0.52769999999999995</v>
      </c>
      <c r="D21" s="625">
        <v>0.53690000000000004</v>
      </c>
      <c r="E21" s="625">
        <v>0.52910000000000001</v>
      </c>
      <c r="F21" s="625">
        <v>0.52769999999999995</v>
      </c>
      <c r="G21" s="625">
        <v>0.52769999999999995</v>
      </c>
      <c r="H21" s="625">
        <v>0.58130000000000004</v>
      </c>
      <c r="I21" s="625">
        <v>0.21490000000000001</v>
      </c>
      <c r="J21" s="625">
        <v>0.21490000000000001</v>
      </c>
      <c r="K21" s="625">
        <v>0.56540000000000001</v>
      </c>
      <c r="L21" s="625">
        <v>0.53110000000000002</v>
      </c>
      <c r="M21" s="337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</row>
    <row r="22" spans="1:24" x14ac:dyDescent="0.35">
      <c r="A22" s="17"/>
      <c r="B22" s="25" t="s">
        <v>15</v>
      </c>
      <c r="C22" s="625">
        <v>0.48949999999999999</v>
      </c>
      <c r="D22" s="625">
        <v>0.50370000000000004</v>
      </c>
      <c r="E22" s="625">
        <v>0.48930000000000001</v>
      </c>
      <c r="F22" s="625">
        <v>0.48949999999999999</v>
      </c>
      <c r="G22" s="625">
        <v>0.48949999999999999</v>
      </c>
      <c r="H22" s="625">
        <v>0.5454</v>
      </c>
      <c r="I22" s="625">
        <v>0.23330000000000001</v>
      </c>
      <c r="J22" s="625">
        <v>0.23330000000000001</v>
      </c>
      <c r="K22" s="625">
        <v>0.5363</v>
      </c>
      <c r="L22" s="625">
        <v>0.50790000000000002</v>
      </c>
      <c r="M22" s="337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</row>
    <row r="23" spans="1:24" x14ac:dyDescent="0.35">
      <c r="A23" s="17"/>
      <c r="B23" s="25" t="s">
        <v>16</v>
      </c>
      <c r="C23" s="625">
        <v>0.50029999999999997</v>
      </c>
      <c r="D23" s="625">
        <v>0.50460000000000005</v>
      </c>
      <c r="E23" s="625">
        <v>0.49049999999999999</v>
      </c>
      <c r="F23" s="625">
        <v>0.50029999999999997</v>
      </c>
      <c r="G23" s="625">
        <v>0.50029999999999997</v>
      </c>
      <c r="H23" s="625">
        <v>0.53580000000000005</v>
      </c>
      <c r="I23" s="625">
        <v>0.27210000000000001</v>
      </c>
      <c r="J23" s="625">
        <v>0.27210000000000001</v>
      </c>
      <c r="K23" s="625">
        <v>0.54979999999999996</v>
      </c>
      <c r="L23" s="625">
        <v>0.52459999999999996</v>
      </c>
      <c r="M23" s="337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</row>
    <row r="24" spans="1:24" x14ac:dyDescent="0.35">
      <c r="A24" s="17"/>
      <c r="B24" s="25" t="s">
        <v>17</v>
      </c>
      <c r="C24" s="625">
        <v>0.47660000000000002</v>
      </c>
      <c r="D24" s="625">
        <v>0.47070000000000001</v>
      </c>
      <c r="E24" s="625">
        <v>0.47</v>
      </c>
      <c r="F24" s="625">
        <v>0.47660000000000002</v>
      </c>
      <c r="G24" s="625">
        <v>0.47660000000000002</v>
      </c>
      <c r="H24" s="625">
        <v>0.47720000000000001</v>
      </c>
      <c r="I24" s="625">
        <v>0.30559999999999998</v>
      </c>
      <c r="J24" s="625">
        <v>0.30559999999999998</v>
      </c>
      <c r="K24" s="625">
        <v>0.52280000000000004</v>
      </c>
      <c r="L24" s="625">
        <v>0.50260000000000005</v>
      </c>
      <c r="M24" s="337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</row>
    <row r="25" spans="1:24" x14ac:dyDescent="0.35">
      <c r="A25" s="17"/>
      <c r="B25" s="25" t="s">
        <v>18</v>
      </c>
      <c r="C25" s="625">
        <v>0.46410000000000001</v>
      </c>
      <c r="D25" s="625">
        <v>0.45989999999999998</v>
      </c>
      <c r="E25" s="625">
        <v>0.4612</v>
      </c>
      <c r="F25" s="625">
        <v>0.46410000000000001</v>
      </c>
      <c r="G25" s="625">
        <v>0.46410000000000001</v>
      </c>
      <c r="H25" s="625">
        <v>0.45779999999999998</v>
      </c>
      <c r="I25" s="625">
        <v>0.3054</v>
      </c>
      <c r="J25" s="625">
        <v>0.3054</v>
      </c>
      <c r="K25" s="625">
        <v>0.50560000000000005</v>
      </c>
      <c r="L25" s="625">
        <v>0.48720000000000002</v>
      </c>
      <c r="M25" s="337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</row>
    <row r="26" spans="1:24" ht="35.1" customHeight="1" x14ac:dyDescent="0.35">
      <c r="A26" s="229"/>
      <c r="B26" s="301"/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27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</row>
    <row r="27" spans="1:24" x14ac:dyDescent="0.35">
      <c r="A27" s="17"/>
      <c r="B27" s="28"/>
      <c r="C27" s="27"/>
      <c r="D27" s="27"/>
      <c r="E27" s="14" t="str">
        <f>E9</f>
        <v>Based on average of year 2023, 2024 &amp; 2025 Load Profile Information</v>
      </c>
      <c r="K27" s="27"/>
      <c r="L27" s="27"/>
      <c r="M27" s="27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</row>
    <row r="28" spans="1:24" ht="13.15" x14ac:dyDescent="0.4">
      <c r="A28" s="308" t="s">
        <v>65</v>
      </c>
      <c r="B28" s="16" t="s">
        <v>130</v>
      </c>
      <c r="C28" s="27"/>
      <c r="D28" s="27"/>
      <c r="E28" s="637" t="str">
        <f>"On-Peak periods as defined in specified rate schedule (average of %s for "&amp;(Inputs!D2-4)&amp;", "&amp;(Inputs!D2-3)&amp;" &amp; "&amp;(Inputs!D2-2)&amp;")"</f>
        <v>On-Peak periods as defined in specified rate schedule (average of %s for 2023, 2024 &amp; 2025)</v>
      </c>
      <c r="G28" s="27"/>
      <c r="H28" s="27"/>
      <c r="I28" s="29"/>
      <c r="J28" s="29"/>
      <c r="K28" s="27"/>
      <c r="L28" s="27"/>
      <c r="M28" s="27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</row>
    <row r="29" spans="1:24" x14ac:dyDescent="0.35">
      <c r="A29" s="17"/>
      <c r="B29" s="24"/>
      <c r="C29" s="18" t="s">
        <v>50</v>
      </c>
      <c r="D29" s="18" t="s">
        <v>50</v>
      </c>
      <c r="E29" s="20"/>
      <c r="F29" s="14"/>
      <c r="G29" s="20"/>
      <c r="H29" s="20"/>
      <c r="I29" s="20"/>
      <c r="J29" s="20"/>
      <c r="K29" s="20"/>
      <c r="L29" s="20"/>
      <c r="M29" s="20"/>
      <c r="N29" s="71"/>
      <c r="O29" s="71"/>
      <c r="P29" s="71"/>
      <c r="Q29" s="71"/>
      <c r="R29" s="71"/>
      <c r="S29" s="71"/>
      <c r="T29" s="71"/>
      <c r="U29" s="71"/>
      <c r="V29" s="71"/>
      <c r="W29" s="71"/>
    </row>
    <row r="30" spans="1:24" ht="13.15" x14ac:dyDescent="0.4">
      <c r="A30" s="17"/>
      <c r="B30" s="21" t="s">
        <v>231</v>
      </c>
      <c r="C30" s="22" t="s">
        <v>2</v>
      </c>
      <c r="D30" s="22" t="s">
        <v>36</v>
      </c>
      <c r="E30" s="12"/>
      <c r="F30" s="23"/>
      <c r="G30" s="12"/>
      <c r="H30" s="12"/>
      <c r="I30" s="12"/>
      <c r="J30" s="12"/>
      <c r="K30" s="12"/>
      <c r="L30" s="12"/>
      <c r="M30" s="12"/>
      <c r="N30" s="71"/>
      <c r="O30" s="71"/>
      <c r="P30" s="71"/>
      <c r="Q30" s="71"/>
      <c r="R30" s="71"/>
      <c r="S30" s="71"/>
      <c r="T30" s="71"/>
      <c r="U30" s="71"/>
      <c r="V30" s="71"/>
      <c r="W30" s="71"/>
    </row>
    <row r="31" spans="1:24" x14ac:dyDescent="0.35">
      <c r="A31" s="17"/>
      <c r="B31" s="24"/>
      <c r="C31" s="24"/>
      <c r="D31" s="24"/>
      <c r="G31" s="48"/>
      <c r="H31" s="48"/>
      <c r="I31" s="48"/>
      <c r="J31" s="48"/>
      <c r="K31" s="48"/>
      <c r="L31" s="48"/>
      <c r="M31" s="48"/>
      <c r="N31" s="71"/>
      <c r="O31" s="71"/>
      <c r="P31" s="71"/>
      <c r="Q31" s="71"/>
      <c r="R31" s="71"/>
      <c r="S31" s="71"/>
      <c r="T31" s="71"/>
      <c r="U31" s="71"/>
      <c r="V31" s="71"/>
      <c r="W31" s="71"/>
    </row>
    <row r="32" spans="1:24" x14ac:dyDescent="0.35">
      <c r="A32" s="17"/>
      <c r="B32" s="25" t="s">
        <v>7</v>
      </c>
      <c r="C32" s="638">
        <v>0.41760000000000003</v>
      </c>
      <c r="D32" s="638">
        <v>0.46439999999999998</v>
      </c>
      <c r="E32" s="26"/>
      <c r="F32" s="27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</row>
    <row r="33" spans="1:32" x14ac:dyDescent="0.35">
      <c r="A33" s="17"/>
      <c r="B33" s="25" t="s">
        <v>8</v>
      </c>
      <c r="C33" s="638">
        <v>0.4123</v>
      </c>
      <c r="D33" s="638">
        <v>0.4642</v>
      </c>
      <c r="E33" s="26"/>
      <c r="F33" s="27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</row>
    <row r="34" spans="1:32" x14ac:dyDescent="0.35">
      <c r="A34" s="17"/>
      <c r="B34" s="25" t="s">
        <v>9</v>
      </c>
      <c r="C34" s="638">
        <v>0.40639999999999998</v>
      </c>
      <c r="D34" s="638">
        <v>0.46279999999999999</v>
      </c>
      <c r="E34" s="26"/>
      <c r="F34" s="27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</row>
    <row r="35" spans="1:32" x14ac:dyDescent="0.35">
      <c r="A35" s="17"/>
      <c r="B35" s="25" t="s">
        <v>10</v>
      </c>
      <c r="C35" s="638">
        <v>0.4173</v>
      </c>
      <c r="D35" s="638">
        <v>0.46860000000000002</v>
      </c>
      <c r="E35" s="26"/>
      <c r="F35" s="27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</row>
    <row r="36" spans="1:32" x14ac:dyDescent="0.35">
      <c r="A36" s="17"/>
      <c r="B36" s="25" t="s">
        <v>11</v>
      </c>
      <c r="C36" s="638">
        <v>0.43830000000000002</v>
      </c>
      <c r="D36" s="638">
        <v>0.48060000000000003</v>
      </c>
      <c r="E36" s="26"/>
      <c r="F36" s="30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</row>
    <row r="37" spans="1:32" x14ac:dyDescent="0.35">
      <c r="A37" s="17"/>
      <c r="B37" s="25" t="s">
        <v>12</v>
      </c>
      <c r="C37" s="638">
        <v>0.47089999999999999</v>
      </c>
      <c r="D37" s="638">
        <v>0.49099999999999999</v>
      </c>
      <c r="E37" s="26"/>
      <c r="F37" s="30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</row>
    <row r="38" spans="1:32" x14ac:dyDescent="0.35">
      <c r="A38" s="17"/>
      <c r="B38" s="25" t="s">
        <v>13</v>
      </c>
      <c r="C38" s="638">
        <v>0.48380000000000001</v>
      </c>
      <c r="D38" s="638">
        <v>0.48530000000000001</v>
      </c>
      <c r="E38" s="26"/>
      <c r="F38" s="30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</row>
    <row r="39" spans="1:32" x14ac:dyDescent="0.35">
      <c r="A39" s="17"/>
      <c r="B39" s="25" t="s">
        <v>14</v>
      </c>
      <c r="C39" s="638">
        <v>0.48620000000000002</v>
      </c>
      <c r="D39" s="638">
        <v>0.48399999999999999</v>
      </c>
      <c r="E39" s="26"/>
      <c r="F39" s="30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</row>
    <row r="40" spans="1:32" x14ac:dyDescent="0.35">
      <c r="A40" s="17"/>
      <c r="B40" s="25" t="s">
        <v>15</v>
      </c>
      <c r="C40" s="638">
        <v>0.4703</v>
      </c>
      <c r="D40" s="638">
        <v>0.48270000000000002</v>
      </c>
      <c r="E40" s="26"/>
      <c r="F40" s="30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</row>
    <row r="41" spans="1:32" x14ac:dyDescent="0.35">
      <c r="A41" s="17"/>
      <c r="B41" s="25" t="s">
        <v>16</v>
      </c>
      <c r="C41" s="638">
        <v>0.44640000000000002</v>
      </c>
      <c r="D41" s="638">
        <v>0.48520000000000002</v>
      </c>
      <c r="E41" s="26"/>
      <c r="F41" s="30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</row>
    <row r="42" spans="1:32" x14ac:dyDescent="0.35">
      <c r="A42" s="17"/>
      <c r="B42" s="25" t="s">
        <v>17</v>
      </c>
      <c r="C42" s="638">
        <v>0.4224</v>
      </c>
      <c r="D42" s="638">
        <v>0.48139999999999999</v>
      </c>
      <c r="E42" s="26"/>
      <c r="F42" s="30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</row>
    <row r="43" spans="1:32" x14ac:dyDescent="0.35">
      <c r="A43" s="17"/>
      <c r="B43" s="25" t="s">
        <v>18</v>
      </c>
      <c r="C43" s="638">
        <v>0.41349999999999998</v>
      </c>
      <c r="D43" s="638">
        <v>0.46650000000000003</v>
      </c>
      <c r="E43" s="26"/>
      <c r="F43" s="30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</row>
    <row r="44" spans="1:32" x14ac:dyDescent="0.35">
      <c r="A44" s="286"/>
      <c r="B44" s="288"/>
      <c r="C44" s="27"/>
      <c r="D44" s="27"/>
      <c r="E44" s="27"/>
      <c r="F44" s="27"/>
      <c r="G44" s="27"/>
      <c r="H44" s="27"/>
      <c r="I44" s="29"/>
      <c r="J44" s="29"/>
      <c r="K44" s="27"/>
      <c r="L44" s="27"/>
      <c r="M44" s="27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</row>
    <row r="45" spans="1:32" x14ac:dyDescent="0.35">
      <c r="A45" s="17"/>
      <c r="B45" s="28"/>
      <c r="C45" s="27"/>
      <c r="D45" s="27"/>
      <c r="E45" s="27"/>
      <c r="F45" s="27"/>
      <c r="G45" s="27"/>
      <c r="H45" s="27"/>
      <c r="I45" s="29"/>
      <c r="J45" s="29"/>
      <c r="K45" s="27"/>
      <c r="L45" s="27"/>
      <c r="M45" s="27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</row>
    <row r="46" spans="1:32" ht="13.15" x14ac:dyDescent="0.4">
      <c r="A46" s="308" t="s">
        <v>75</v>
      </c>
      <c r="B46" s="325" t="s">
        <v>131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N46" s="71"/>
      <c r="O46" s="71"/>
      <c r="P46" s="71"/>
      <c r="Q46" s="71"/>
      <c r="R46" s="71"/>
      <c r="S46" s="71"/>
      <c r="T46" s="71"/>
      <c r="U46" s="71"/>
      <c r="V46" s="71"/>
      <c r="W46" s="71"/>
    </row>
    <row r="47" spans="1:32" ht="13.15" x14ac:dyDescent="0.4">
      <c r="A47" s="312" t="s">
        <v>409</v>
      </c>
      <c r="B47" s="824" t="str">
        <f>"Calendar month sales forecasted for "&amp;"2026"&amp;", less % for LPL-Sec &gt; 500 kW Peak Load Share"</f>
        <v>Calendar month sales forecasted for 2026, less % for LPL-Sec &gt; 500 kW Peak Load Share</v>
      </c>
      <c r="G47" s="31"/>
      <c r="L47" s="12"/>
      <c r="N47" s="71"/>
      <c r="O47" s="71"/>
      <c r="P47" s="71"/>
      <c r="Q47" s="71"/>
      <c r="R47" s="71"/>
      <c r="S47" s="71"/>
      <c r="T47" s="71"/>
      <c r="U47" s="71"/>
      <c r="V47" s="71"/>
      <c r="W47" s="71"/>
      <c r="AB47" s="32"/>
    </row>
    <row r="48" spans="1:32" ht="13.15" x14ac:dyDescent="0.4">
      <c r="A48" s="312"/>
      <c r="B48" s="19" t="s">
        <v>78</v>
      </c>
      <c r="C48" s="22" t="s">
        <v>0</v>
      </c>
      <c r="D48" s="22" t="s">
        <v>1</v>
      </c>
      <c r="E48" s="22" t="s">
        <v>2</v>
      </c>
      <c r="F48" s="22" t="s">
        <v>3</v>
      </c>
      <c r="G48" s="22" t="s">
        <v>4</v>
      </c>
      <c r="H48" s="22" t="s">
        <v>6</v>
      </c>
      <c r="I48" s="22" t="s">
        <v>37</v>
      </c>
      <c r="J48" s="22" t="s">
        <v>38</v>
      </c>
      <c r="K48" s="22" t="s">
        <v>5</v>
      </c>
      <c r="L48" s="22" t="s">
        <v>36</v>
      </c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12"/>
      <c r="Y48" s="12"/>
      <c r="Z48" s="12"/>
      <c r="AB48" s="32"/>
      <c r="AF48" s="32"/>
    </row>
    <row r="49" spans="1:32" ht="13.15" x14ac:dyDescent="0.4">
      <c r="A49" s="312"/>
      <c r="B49" s="24"/>
      <c r="C49" s="22"/>
      <c r="D49" s="22"/>
      <c r="E49" s="22"/>
      <c r="F49" s="22"/>
      <c r="G49" s="22"/>
      <c r="H49" s="22"/>
      <c r="I49" s="22"/>
      <c r="J49" s="22"/>
      <c r="K49" s="22"/>
      <c r="L49" s="22"/>
      <c r="N49" s="71"/>
      <c r="O49" s="71"/>
      <c r="P49" s="71"/>
      <c r="Q49" s="71"/>
      <c r="R49" s="71"/>
      <c r="S49" s="71"/>
      <c r="T49" s="71"/>
      <c r="U49" s="71"/>
      <c r="V49" s="71"/>
      <c r="W49" s="71"/>
      <c r="Y49" s="33"/>
      <c r="AB49" s="32"/>
      <c r="AF49" s="32"/>
    </row>
    <row r="50" spans="1:32" x14ac:dyDescent="0.35">
      <c r="A50" s="312"/>
      <c r="B50" s="25" t="s">
        <v>7</v>
      </c>
      <c r="C50" s="341">
        <v>1259578.8154606405</v>
      </c>
      <c r="D50" s="341">
        <v>11241.525041190031</v>
      </c>
      <c r="E50" s="341">
        <v>14006.913651352903</v>
      </c>
      <c r="F50" s="341">
        <v>22</v>
      </c>
      <c r="G50" s="341">
        <v>1</v>
      </c>
      <c r="H50" s="341">
        <v>1185.3169962633297</v>
      </c>
      <c r="I50" s="341">
        <v>16031</v>
      </c>
      <c r="J50" s="341">
        <v>33689</v>
      </c>
      <c r="K50" s="341">
        <v>435441.05546272121</v>
      </c>
      <c r="L50" s="341">
        <v>368425.74249855289</v>
      </c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33"/>
      <c r="Y50" s="33"/>
      <c r="Z50" s="35"/>
      <c r="AB50" s="72"/>
      <c r="AF50" s="73"/>
    </row>
    <row r="51" spans="1:32" x14ac:dyDescent="0.35">
      <c r="A51" s="312"/>
      <c r="B51" s="25" t="s">
        <v>8</v>
      </c>
      <c r="C51" s="341">
        <v>1010668.2695325891</v>
      </c>
      <c r="D51" s="341">
        <v>8514.3592683337065</v>
      </c>
      <c r="E51" s="341">
        <v>11481.311742461805</v>
      </c>
      <c r="F51" s="341">
        <v>18</v>
      </c>
      <c r="G51" s="341">
        <v>1</v>
      </c>
      <c r="H51" s="341">
        <v>1073.9294625898476</v>
      </c>
      <c r="I51" s="341">
        <v>11344</v>
      </c>
      <c r="J51" s="341">
        <v>27773</v>
      </c>
      <c r="K51" s="341">
        <v>395008.57783855352</v>
      </c>
      <c r="L51" s="341">
        <v>327163.44555222016</v>
      </c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33"/>
      <c r="Y51" s="33"/>
      <c r="Z51" s="35"/>
      <c r="AB51" s="72"/>
      <c r="AD51" s="74"/>
    </row>
    <row r="52" spans="1:32" x14ac:dyDescent="0.35">
      <c r="A52" s="312"/>
      <c r="B52" s="25" t="s">
        <v>9</v>
      </c>
      <c r="C52" s="341">
        <v>987349.66742355551</v>
      </c>
      <c r="D52" s="341">
        <v>7039.9822747071967</v>
      </c>
      <c r="E52" s="341">
        <v>11123.924260840438</v>
      </c>
      <c r="F52" s="341">
        <v>19</v>
      </c>
      <c r="G52" s="341">
        <v>1</v>
      </c>
      <c r="H52" s="341">
        <v>881.11380085161318</v>
      </c>
      <c r="I52" s="341">
        <v>11979</v>
      </c>
      <c r="J52" s="341">
        <v>31037</v>
      </c>
      <c r="K52" s="341">
        <v>422269.34570214618</v>
      </c>
      <c r="L52" s="341">
        <v>357490.45720500138</v>
      </c>
      <c r="M52" s="155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33"/>
      <c r="Y52" s="33"/>
      <c r="Z52" s="37"/>
      <c r="AB52" s="72"/>
    </row>
    <row r="53" spans="1:32" x14ac:dyDescent="0.35">
      <c r="A53" s="312"/>
      <c r="B53" s="25" t="s">
        <v>10</v>
      </c>
      <c r="C53" s="341">
        <v>807598.08993819065</v>
      </c>
      <c r="D53" s="341">
        <v>3688.3406249147256</v>
      </c>
      <c r="E53" s="341">
        <v>9561.5485056240377</v>
      </c>
      <c r="F53" s="341">
        <v>19</v>
      </c>
      <c r="G53" s="341">
        <v>1</v>
      </c>
      <c r="H53" s="341">
        <v>495.4824773751443</v>
      </c>
      <c r="I53" s="341">
        <v>9867</v>
      </c>
      <c r="J53" s="341">
        <v>23847</v>
      </c>
      <c r="K53" s="341">
        <v>360498.03618604899</v>
      </c>
      <c r="L53" s="341">
        <v>302180.62812849187</v>
      </c>
      <c r="M53" s="155"/>
      <c r="N53" s="71"/>
      <c r="O53" s="71"/>
      <c r="P53" s="71"/>
      <c r="Q53" s="71"/>
      <c r="R53" s="71"/>
      <c r="S53" s="71"/>
      <c r="T53" s="71"/>
      <c r="U53" s="71"/>
      <c r="V53" s="71"/>
      <c r="W53" s="71"/>
      <c r="Y53" s="33"/>
      <c r="AB53" s="72"/>
    </row>
    <row r="54" spans="1:32" x14ac:dyDescent="0.35">
      <c r="A54" s="312"/>
      <c r="B54" s="25" t="s">
        <v>11</v>
      </c>
      <c r="C54" s="341">
        <v>910245.47281133384</v>
      </c>
      <c r="D54" s="341">
        <v>2821.1728941155284</v>
      </c>
      <c r="E54" s="341">
        <v>11747.918981425337</v>
      </c>
      <c r="F54" s="341">
        <v>17</v>
      </c>
      <c r="G54" s="341">
        <v>1</v>
      </c>
      <c r="H54" s="341">
        <v>363.3538167417725</v>
      </c>
      <c r="I54" s="341">
        <v>9146</v>
      </c>
      <c r="J54" s="341">
        <v>22335</v>
      </c>
      <c r="K54" s="341">
        <v>378551.48099109065</v>
      </c>
      <c r="L54" s="341">
        <v>348795.64846728387</v>
      </c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33"/>
      <c r="Y54" s="33"/>
      <c r="Z54" s="37"/>
      <c r="AB54" s="72"/>
    </row>
    <row r="55" spans="1:32" x14ac:dyDescent="0.35">
      <c r="A55" s="312"/>
      <c r="B55" s="25" t="s">
        <v>12</v>
      </c>
      <c r="C55" s="341">
        <v>1271300.8216755532</v>
      </c>
      <c r="D55" s="341">
        <v>3359.3157005075082</v>
      </c>
      <c r="E55" s="341">
        <v>17041.840500629532</v>
      </c>
      <c r="F55" s="341">
        <v>16</v>
      </c>
      <c r="G55" s="341">
        <v>1</v>
      </c>
      <c r="H55" s="341">
        <v>416.35891897260188</v>
      </c>
      <c r="I55" s="341">
        <v>8319</v>
      </c>
      <c r="J55" s="341">
        <v>19512</v>
      </c>
      <c r="K55" s="341">
        <v>419121.52408441372</v>
      </c>
      <c r="L55" s="341">
        <v>358323.17289545859</v>
      </c>
      <c r="M55" s="155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33"/>
      <c r="Y55" s="33"/>
      <c r="Z55" s="35"/>
      <c r="AB55" s="72"/>
    </row>
    <row r="56" spans="1:32" x14ac:dyDescent="0.35">
      <c r="A56" s="312"/>
      <c r="B56" s="25" t="s">
        <v>13</v>
      </c>
      <c r="C56" s="341">
        <v>1650928.474354232</v>
      </c>
      <c r="D56" s="341">
        <v>4434.6420569520869</v>
      </c>
      <c r="E56" s="341">
        <v>20695.984162982753</v>
      </c>
      <c r="F56" s="341">
        <v>13</v>
      </c>
      <c r="G56" s="341">
        <v>0</v>
      </c>
      <c r="H56" s="341">
        <v>387.93589313867886</v>
      </c>
      <c r="I56" s="341">
        <v>8472</v>
      </c>
      <c r="J56" s="341">
        <v>18630</v>
      </c>
      <c r="K56" s="341">
        <v>475984.61536412133</v>
      </c>
      <c r="L56" s="341">
        <v>402587.2864574719</v>
      </c>
      <c r="M56" s="155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33"/>
      <c r="Y56" s="33"/>
      <c r="Z56" s="37"/>
      <c r="AB56" s="72"/>
    </row>
    <row r="57" spans="1:32" x14ac:dyDescent="0.35">
      <c r="A57" s="312"/>
      <c r="B57" s="25" t="s">
        <v>14</v>
      </c>
      <c r="C57" s="341">
        <v>1568771.2085088845</v>
      </c>
      <c r="D57" s="341">
        <v>4092.1875437935551</v>
      </c>
      <c r="E57" s="341">
        <v>18883.246054331063</v>
      </c>
      <c r="F57" s="341">
        <v>13</v>
      </c>
      <c r="G57" s="341">
        <v>0</v>
      </c>
      <c r="H57" s="341">
        <v>459.37755266718807</v>
      </c>
      <c r="I57" s="341">
        <v>9673</v>
      </c>
      <c r="J57" s="341">
        <v>19365</v>
      </c>
      <c r="K57" s="341">
        <v>480205.00625473389</v>
      </c>
      <c r="L57" s="341">
        <v>415528.27186151553</v>
      </c>
      <c r="M57" s="155"/>
      <c r="N57" s="71"/>
      <c r="O57" s="71"/>
      <c r="P57" s="71"/>
      <c r="Q57" s="71"/>
      <c r="R57" s="71"/>
      <c r="S57" s="71"/>
      <c r="T57" s="71"/>
      <c r="U57" s="71"/>
      <c r="V57" s="71"/>
      <c r="W57" s="71"/>
      <c r="AB57" s="72"/>
    </row>
    <row r="58" spans="1:32" x14ac:dyDescent="0.35">
      <c r="A58" s="312"/>
      <c r="B58" s="25" t="s">
        <v>15</v>
      </c>
      <c r="C58" s="341">
        <v>1085346.2567848812</v>
      </c>
      <c r="D58" s="341">
        <v>2862.4209167088534</v>
      </c>
      <c r="E58" s="341">
        <v>14247.720189771579</v>
      </c>
      <c r="F58" s="341">
        <v>17</v>
      </c>
      <c r="G58" s="341">
        <v>0</v>
      </c>
      <c r="H58" s="341">
        <v>477.81410996486784</v>
      </c>
      <c r="I58" s="341">
        <v>10729</v>
      </c>
      <c r="J58" s="341">
        <v>22518</v>
      </c>
      <c r="K58" s="341">
        <v>416016.36983144598</v>
      </c>
      <c r="L58" s="341">
        <v>353494.31969748106</v>
      </c>
      <c r="M58" s="155"/>
      <c r="N58" s="71"/>
      <c r="O58" s="71"/>
      <c r="P58" s="71"/>
      <c r="Q58" s="71"/>
      <c r="R58" s="71"/>
      <c r="S58" s="71"/>
      <c r="T58" s="71"/>
      <c r="U58" s="71"/>
      <c r="V58" s="71"/>
      <c r="W58" s="71"/>
      <c r="AB58" s="72"/>
    </row>
    <row r="59" spans="1:32" x14ac:dyDescent="0.35">
      <c r="A59" s="312"/>
      <c r="B59" s="25" t="s">
        <v>16</v>
      </c>
      <c r="C59" s="341">
        <v>854466.82090233476</v>
      </c>
      <c r="D59" s="341">
        <v>3987.6286028011737</v>
      </c>
      <c r="E59" s="341">
        <v>9680.0406118300525</v>
      </c>
      <c r="F59" s="341">
        <v>17</v>
      </c>
      <c r="G59" s="341">
        <v>0</v>
      </c>
      <c r="H59" s="341">
        <v>360.28105719215921</v>
      </c>
      <c r="I59" s="341">
        <v>11841</v>
      </c>
      <c r="J59" s="341">
        <v>24926</v>
      </c>
      <c r="K59" s="341">
        <v>373644.73404314119</v>
      </c>
      <c r="L59" s="341">
        <v>341156.21147526172</v>
      </c>
      <c r="M59" s="155"/>
      <c r="N59" s="71"/>
      <c r="O59" s="71"/>
      <c r="P59" s="71"/>
      <c r="Q59" s="71"/>
      <c r="R59" s="71"/>
      <c r="S59" s="71"/>
      <c r="T59" s="71"/>
      <c r="U59" s="71"/>
      <c r="V59" s="71"/>
      <c r="W59" s="71"/>
      <c r="AB59" s="72"/>
    </row>
    <row r="60" spans="1:32" x14ac:dyDescent="0.35">
      <c r="A60" s="312"/>
      <c r="B60" s="25" t="s">
        <v>17</v>
      </c>
      <c r="C60" s="341">
        <v>895632.27635478729</v>
      </c>
      <c r="D60" s="341">
        <v>6283.1290229366587</v>
      </c>
      <c r="E60" s="341">
        <v>9514.7250120426288</v>
      </c>
      <c r="F60" s="341">
        <v>20</v>
      </c>
      <c r="G60" s="341">
        <v>1</v>
      </c>
      <c r="H60" s="341">
        <v>511.61446501061414</v>
      </c>
      <c r="I60" s="341">
        <v>12952</v>
      </c>
      <c r="J60" s="341">
        <v>25965</v>
      </c>
      <c r="K60" s="341">
        <v>359458.5709030726</v>
      </c>
      <c r="L60" s="341">
        <v>323176.73501478048</v>
      </c>
      <c r="M60" s="155"/>
      <c r="N60" s="71"/>
      <c r="O60" s="71"/>
      <c r="P60" s="71"/>
      <c r="Q60" s="71"/>
      <c r="R60" s="71"/>
      <c r="S60" s="71"/>
      <c r="T60" s="71"/>
      <c r="U60" s="71"/>
      <c r="V60" s="71"/>
      <c r="W60" s="71"/>
      <c r="AB60" s="72"/>
    </row>
    <row r="61" spans="1:32" x14ac:dyDescent="0.35">
      <c r="A61" s="312"/>
      <c r="B61" s="25" t="s">
        <v>18</v>
      </c>
      <c r="C61" s="341">
        <v>1154677.9055923501</v>
      </c>
      <c r="D61" s="341">
        <v>8863.5285758678965</v>
      </c>
      <c r="E61" s="341">
        <v>12127.284837584915</v>
      </c>
      <c r="F61" s="341">
        <v>20</v>
      </c>
      <c r="G61" s="341">
        <v>1</v>
      </c>
      <c r="H61" s="341">
        <v>899.55035814929295</v>
      </c>
      <c r="I61" s="341">
        <v>14352</v>
      </c>
      <c r="J61" s="341">
        <v>31117</v>
      </c>
      <c r="K61" s="341">
        <v>426136.62736711925</v>
      </c>
      <c r="L61" s="341">
        <v>355069.07260428643</v>
      </c>
      <c r="M61" s="155"/>
      <c r="N61" s="71"/>
      <c r="O61" s="71"/>
      <c r="P61" s="71"/>
      <c r="Q61" s="71"/>
      <c r="R61" s="71"/>
      <c r="S61" s="71"/>
      <c r="T61" s="71"/>
      <c r="U61" s="71"/>
      <c r="V61" s="71"/>
      <c r="W61" s="71"/>
      <c r="AB61" s="72"/>
    </row>
    <row r="62" spans="1:32" x14ac:dyDescent="0.35">
      <c r="A62" s="315"/>
      <c r="B62" s="288"/>
      <c r="C62" s="628">
        <f>SUM(C50:C61)</f>
        <v>13456564.079339333</v>
      </c>
      <c r="D62" s="628">
        <f t="shared" ref="D62:L62" si="0">SUM(D50:D61)</f>
        <v>67188.232522828926</v>
      </c>
      <c r="E62" s="628">
        <f t="shared" si="0"/>
        <v>160112.45851087704</v>
      </c>
      <c r="F62" s="628">
        <f t="shared" si="0"/>
        <v>211</v>
      </c>
      <c r="G62" s="628">
        <f t="shared" si="0"/>
        <v>8</v>
      </c>
      <c r="H62" s="628">
        <f t="shared" si="0"/>
        <v>7512.1289089171096</v>
      </c>
      <c r="I62" s="628">
        <f t="shared" si="0"/>
        <v>134705</v>
      </c>
      <c r="J62" s="628">
        <f t="shared" si="0"/>
        <v>300714</v>
      </c>
      <c r="K62" s="628">
        <f t="shared" si="0"/>
        <v>4942335.9440286094</v>
      </c>
      <c r="L62" s="628">
        <f t="shared" si="0"/>
        <v>4253390.9918578053</v>
      </c>
      <c r="M62" s="628">
        <f>SUM(C62:L62)</f>
        <v>23322741.835168369</v>
      </c>
      <c r="N62" s="71"/>
      <c r="O62" s="71"/>
      <c r="P62" s="71"/>
      <c r="Q62" s="71"/>
      <c r="R62" s="71"/>
      <c r="S62" s="71"/>
      <c r="T62" s="71"/>
      <c r="U62" s="71"/>
      <c r="V62" s="71"/>
      <c r="W62" s="71"/>
      <c r="AB62" s="33"/>
    </row>
    <row r="63" spans="1:32" s="210" customFormat="1" ht="11.65" x14ac:dyDescent="0.35">
      <c r="A63" s="315"/>
      <c r="B63" s="209"/>
      <c r="C63" s="303"/>
      <c r="D63" s="303"/>
      <c r="E63" s="303"/>
      <c r="F63" s="303"/>
      <c r="G63" s="303"/>
      <c r="H63" s="303"/>
      <c r="I63" s="303"/>
      <c r="J63" s="303"/>
      <c r="K63" s="303"/>
      <c r="L63" s="303"/>
      <c r="M63" s="304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AB63" s="212"/>
    </row>
    <row r="64" spans="1:32" ht="13.15" x14ac:dyDescent="0.4">
      <c r="A64" s="312" t="s">
        <v>411</v>
      </c>
      <c r="B64" s="13" t="s">
        <v>297</v>
      </c>
      <c r="C64" s="289" t="s">
        <v>195</v>
      </c>
      <c r="D64" s="289" t="s">
        <v>195</v>
      </c>
      <c r="L64" s="33"/>
      <c r="M64" s="213"/>
      <c r="N64" s="71"/>
      <c r="O64" s="71"/>
      <c r="P64" s="71"/>
      <c r="Q64" s="71"/>
      <c r="R64" s="71"/>
      <c r="S64" s="71"/>
      <c r="T64" s="71"/>
      <c r="U64" s="71"/>
      <c r="V64" s="71"/>
      <c r="W64" s="71"/>
      <c r="Y64" s="12"/>
      <c r="Z64" s="12"/>
      <c r="AB64" s="38"/>
    </row>
    <row r="65" spans="1:26" x14ac:dyDescent="0.35">
      <c r="A65" s="312"/>
      <c r="B65" s="342" t="s">
        <v>488</v>
      </c>
      <c r="C65" s="290" t="s">
        <v>194</v>
      </c>
      <c r="D65" s="290" t="s">
        <v>196</v>
      </c>
      <c r="E65" s="78"/>
      <c r="F65" s="78"/>
      <c r="G65" s="78"/>
      <c r="H65" s="78"/>
      <c r="I65" s="78"/>
      <c r="J65" s="78"/>
      <c r="N65" s="71"/>
      <c r="O65" s="71"/>
      <c r="P65" s="71"/>
      <c r="Q65" s="71"/>
      <c r="R65" s="71"/>
      <c r="S65" s="71"/>
      <c r="T65" s="71"/>
      <c r="U65" s="71"/>
      <c r="V65" s="71"/>
      <c r="W65" s="71"/>
    </row>
    <row r="66" spans="1:26" x14ac:dyDescent="0.35">
      <c r="A66" s="17"/>
      <c r="C66" s="656">
        <v>0.29548175433095991</v>
      </c>
      <c r="D66" s="656">
        <v>0.28425341676127119</v>
      </c>
      <c r="E66" s="78"/>
      <c r="F66" s="78"/>
      <c r="G66" s="78"/>
      <c r="H66" s="78"/>
      <c r="I66" s="78"/>
      <c r="J66" s="78"/>
      <c r="N66" s="71"/>
      <c r="O66" s="71"/>
      <c r="P66" s="71"/>
      <c r="Q66" s="71"/>
      <c r="R66" s="71"/>
      <c r="S66" s="71"/>
      <c r="T66" s="71"/>
      <c r="U66" s="71"/>
      <c r="V66" s="71"/>
      <c r="W66" s="71"/>
    </row>
    <row r="67" spans="1:26" x14ac:dyDescent="0.35">
      <c r="A67" s="286"/>
      <c r="B67" s="288"/>
      <c r="C67" s="78"/>
      <c r="D67" s="78"/>
      <c r="E67" s="78"/>
      <c r="F67" s="78"/>
      <c r="G67" s="78"/>
      <c r="H67" s="78"/>
      <c r="I67" s="78"/>
      <c r="J67" s="78"/>
      <c r="K67" s="78"/>
      <c r="N67" s="71"/>
      <c r="O67" s="71"/>
      <c r="P67" s="71"/>
      <c r="Q67" s="71"/>
      <c r="R67" s="71"/>
      <c r="S67" s="71"/>
      <c r="T67" s="71"/>
      <c r="U67" s="71"/>
      <c r="V67" s="71"/>
      <c r="W67" s="71"/>
    </row>
    <row r="68" spans="1:26" x14ac:dyDescent="0.35">
      <c r="A68" s="312"/>
      <c r="B68" s="157"/>
      <c r="C68" s="78"/>
      <c r="D68" s="78"/>
      <c r="E68" s="78"/>
      <c r="F68" s="78"/>
      <c r="G68" s="78"/>
      <c r="H68" s="78"/>
      <c r="I68" s="78"/>
      <c r="J68" s="78"/>
      <c r="K68" s="78"/>
      <c r="N68" s="71"/>
      <c r="O68" s="71"/>
      <c r="P68" s="71"/>
      <c r="Q68" s="71"/>
      <c r="R68" s="71"/>
      <c r="S68" s="71"/>
      <c r="T68" s="71"/>
      <c r="U68" s="71"/>
      <c r="V68" s="71"/>
      <c r="W68" s="71"/>
    </row>
    <row r="69" spans="1:26" ht="13.15" x14ac:dyDescent="0.4">
      <c r="A69" s="312"/>
      <c r="B69" s="309"/>
      <c r="E69" s="157"/>
      <c r="F69" s="157"/>
      <c r="G69" s="157"/>
      <c r="H69" s="157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6" ht="13.15" x14ac:dyDescent="0.4">
      <c r="A70" s="308" t="s">
        <v>76</v>
      </c>
      <c r="B70" s="309" t="s">
        <v>39</v>
      </c>
      <c r="E70" s="326" t="s">
        <v>66</v>
      </c>
      <c r="F70" s="309" t="s">
        <v>178</v>
      </c>
      <c r="G70" s="157"/>
      <c r="H70" s="157"/>
      <c r="N70" s="71"/>
      <c r="O70" s="71"/>
      <c r="P70" s="71"/>
      <c r="Q70" s="71"/>
      <c r="R70" s="71"/>
      <c r="S70" s="71"/>
      <c r="T70" s="71"/>
      <c r="U70" s="71"/>
      <c r="V70" s="71"/>
      <c r="W70" s="71"/>
    </row>
    <row r="71" spans="1:26" ht="27" customHeight="1" x14ac:dyDescent="0.4">
      <c r="A71" s="312"/>
      <c r="B71" s="311" t="s">
        <v>230</v>
      </c>
      <c r="C71" s="640">
        <v>46174</v>
      </c>
      <c r="E71" s="311" t="s">
        <v>410</v>
      </c>
      <c r="F71" s="310" t="s">
        <v>177</v>
      </c>
      <c r="G71" s="317" t="s">
        <v>487</v>
      </c>
      <c r="H71" s="311"/>
      <c r="I71" s="14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34"/>
      <c r="Y71" s="33"/>
      <c r="Z71" s="35"/>
    </row>
    <row r="72" spans="1:26" ht="13.15" x14ac:dyDescent="0.4">
      <c r="A72" s="312"/>
      <c r="B72" s="318" t="s">
        <v>534</v>
      </c>
      <c r="C72" s="12" t="s">
        <v>20</v>
      </c>
      <c r="E72" s="157"/>
      <c r="F72" s="310" t="s">
        <v>175</v>
      </c>
      <c r="G72" s="157"/>
      <c r="H72" s="157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33"/>
      <c r="Y72" s="33"/>
      <c r="Z72" s="37"/>
    </row>
    <row r="73" spans="1:26" ht="13.15" x14ac:dyDescent="0.35">
      <c r="A73" s="17"/>
      <c r="B73" s="25" t="s">
        <v>7</v>
      </c>
      <c r="C73" s="343">
        <v>101.41666666666667</v>
      </c>
      <c r="E73" s="327" t="s">
        <v>53</v>
      </c>
      <c r="F73" s="626">
        <v>0.54899059957335761</v>
      </c>
      <c r="G73" s="157"/>
      <c r="H73" s="157"/>
      <c r="I73" s="51"/>
      <c r="K73" s="14"/>
      <c r="N73" s="71"/>
      <c r="O73" s="71"/>
      <c r="P73" s="71"/>
      <c r="Q73" s="71"/>
      <c r="R73" s="71"/>
      <c r="S73" s="71"/>
      <c r="T73" s="71"/>
      <c r="U73" s="71"/>
      <c r="V73" s="71"/>
      <c r="W73" s="71"/>
      <c r="Y73" s="33"/>
    </row>
    <row r="74" spans="1:26" ht="13.15" x14ac:dyDescent="0.35">
      <c r="A74" s="17"/>
      <c r="B74" s="25" t="s">
        <v>8</v>
      </c>
      <c r="C74" s="343">
        <v>92.2</v>
      </c>
      <c r="D74" s="199"/>
      <c r="E74" s="327" t="s">
        <v>54</v>
      </c>
      <c r="F74" s="626">
        <v>0.80029290029730349</v>
      </c>
      <c r="G74" s="157"/>
      <c r="H74" s="157"/>
      <c r="I74" s="51"/>
      <c r="K74" s="14"/>
      <c r="N74" s="71"/>
      <c r="O74" s="71"/>
      <c r="P74" s="71"/>
      <c r="Q74" s="71"/>
      <c r="R74" s="71"/>
      <c r="S74" s="71"/>
      <c r="T74" s="71"/>
      <c r="U74" s="71"/>
      <c r="V74" s="71"/>
      <c r="W74" s="71"/>
      <c r="Y74" s="33"/>
    </row>
    <row r="75" spans="1:26" x14ac:dyDescent="0.35">
      <c r="A75" s="17"/>
      <c r="B75" s="25" t="s">
        <v>9</v>
      </c>
      <c r="C75" s="343">
        <v>60.133333333333333</v>
      </c>
      <c r="D75" s="199"/>
      <c r="E75" s="328"/>
      <c r="F75" s="157"/>
      <c r="G75" s="157"/>
      <c r="H75" s="329"/>
      <c r="I75" s="291"/>
      <c r="J75" s="14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34"/>
      <c r="Y75" s="33"/>
      <c r="Z75" s="35"/>
    </row>
    <row r="76" spans="1:26" x14ac:dyDescent="0.35">
      <c r="A76" s="17"/>
      <c r="B76" s="25" t="s">
        <v>10</v>
      </c>
      <c r="C76" s="343">
        <v>59.683333333333337</v>
      </c>
      <c r="D76" s="199"/>
      <c r="E76" s="328"/>
      <c r="F76" s="157"/>
      <c r="G76" s="157"/>
      <c r="H76" s="329"/>
      <c r="I76" s="291"/>
      <c r="J76" s="14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33"/>
      <c r="Y76" s="33"/>
      <c r="Z76" s="37"/>
    </row>
    <row r="77" spans="1:26" x14ac:dyDescent="0.35">
      <c r="A77" s="17"/>
      <c r="B77" s="25" t="s">
        <v>11</v>
      </c>
      <c r="C77" s="343">
        <v>61</v>
      </c>
      <c r="D77" s="199"/>
      <c r="E77" s="328"/>
      <c r="F77" s="157"/>
      <c r="G77" s="157"/>
      <c r="H77" s="329"/>
      <c r="I77" s="291"/>
      <c r="N77" s="71"/>
      <c r="O77" s="71"/>
      <c r="P77" s="71"/>
      <c r="Q77" s="71"/>
      <c r="R77" s="71"/>
      <c r="S77" s="71"/>
      <c r="T77" s="71"/>
      <c r="U77" s="71"/>
      <c r="V77" s="71"/>
      <c r="W77" s="71"/>
      <c r="Y77" s="33"/>
    </row>
    <row r="78" spans="1:26" x14ac:dyDescent="0.35">
      <c r="A78" s="17"/>
      <c r="B78" s="25" t="s">
        <v>12</v>
      </c>
      <c r="C78" s="343">
        <v>67.2</v>
      </c>
      <c r="E78" s="311" t="s">
        <v>413</v>
      </c>
      <c r="F78" s="901" t="s">
        <v>320</v>
      </c>
      <c r="G78" s="902"/>
      <c r="H78" s="157"/>
      <c r="I78" s="5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33"/>
      <c r="Y78" s="33"/>
      <c r="Z78" s="35"/>
    </row>
    <row r="79" spans="1:26" ht="13.15" x14ac:dyDescent="0.4">
      <c r="A79" s="17"/>
      <c r="B79" s="25" t="s">
        <v>13</v>
      </c>
      <c r="C79" s="343">
        <v>99.149999999999991</v>
      </c>
      <c r="D79" s="39"/>
      <c r="E79" s="320"/>
      <c r="F79" s="320" t="s">
        <v>20</v>
      </c>
      <c r="G79" s="320" t="s">
        <v>21</v>
      </c>
      <c r="H79" s="329"/>
      <c r="I79" s="5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33"/>
      <c r="Y79" s="33"/>
      <c r="Z79" s="37"/>
    </row>
    <row r="80" spans="1:26" ht="13.15" x14ac:dyDescent="0.35">
      <c r="A80" s="17"/>
      <c r="B80" s="25" t="s">
        <v>14</v>
      </c>
      <c r="C80" s="343">
        <v>84.766666666666666</v>
      </c>
      <c r="D80" s="39"/>
      <c r="E80" s="327" t="s">
        <v>53</v>
      </c>
      <c r="F80" s="627">
        <v>0.76879271050704245</v>
      </c>
      <c r="G80" s="627">
        <v>0.82054449135375929</v>
      </c>
      <c r="H80" s="329"/>
      <c r="I80" s="51"/>
      <c r="N80" s="71"/>
      <c r="O80" s="71"/>
      <c r="P80" s="71"/>
      <c r="Q80" s="71"/>
      <c r="R80" s="71"/>
      <c r="S80" s="71"/>
      <c r="T80" s="71"/>
      <c r="U80" s="71"/>
      <c r="V80" s="71"/>
      <c r="W80" s="71"/>
    </row>
    <row r="81" spans="1:23" ht="13.15" x14ac:dyDescent="0.35">
      <c r="A81" s="17"/>
      <c r="B81" s="25" t="s">
        <v>15</v>
      </c>
      <c r="C81" s="343">
        <v>67.433333333333337</v>
      </c>
      <c r="D81" s="39"/>
      <c r="E81" s="327" t="s">
        <v>54</v>
      </c>
      <c r="F81" s="627">
        <v>0.83431287842398161</v>
      </c>
      <c r="G81" s="627">
        <v>0.85537336294245969</v>
      </c>
      <c r="H81" s="329"/>
      <c r="I81" s="51"/>
      <c r="N81" s="71"/>
      <c r="O81" s="71"/>
      <c r="P81" s="71"/>
      <c r="Q81" s="71"/>
      <c r="R81" s="71"/>
      <c r="S81" s="71"/>
      <c r="T81" s="71"/>
      <c r="U81" s="71"/>
      <c r="V81" s="71"/>
      <c r="W81" s="71"/>
    </row>
    <row r="82" spans="1:23" x14ac:dyDescent="0.35">
      <c r="A82" s="17"/>
      <c r="B82" s="25" t="s">
        <v>16</v>
      </c>
      <c r="C82" s="343">
        <v>64.583333333333343</v>
      </c>
      <c r="D82" s="39"/>
      <c r="E82" s="328"/>
      <c r="F82" s="317"/>
      <c r="G82" s="157"/>
      <c r="H82" s="329"/>
      <c r="I82" s="291"/>
      <c r="N82" s="71"/>
      <c r="O82" s="71"/>
      <c r="P82" s="71"/>
      <c r="Q82" s="71"/>
      <c r="R82" s="71"/>
      <c r="S82" s="71"/>
      <c r="T82" s="71"/>
      <c r="U82" s="71"/>
      <c r="V82" s="71"/>
      <c r="W82" s="71"/>
    </row>
    <row r="83" spans="1:23" x14ac:dyDescent="0.35">
      <c r="A83" s="17"/>
      <c r="B83" s="25" t="s">
        <v>17</v>
      </c>
      <c r="C83" s="343">
        <v>66.850000000000009</v>
      </c>
      <c r="D83" s="199"/>
      <c r="E83" s="328"/>
      <c r="F83" s="157"/>
      <c r="G83" s="157"/>
      <c r="H83" s="329"/>
      <c r="I83" s="291"/>
      <c r="N83" s="71"/>
      <c r="O83" s="71"/>
      <c r="P83" s="71"/>
      <c r="Q83" s="71"/>
      <c r="R83" s="71"/>
      <c r="S83" s="71"/>
      <c r="T83" s="71"/>
      <c r="U83" s="71"/>
      <c r="V83" s="71"/>
      <c r="W83" s="71"/>
    </row>
    <row r="84" spans="1:23" x14ac:dyDescent="0.35">
      <c r="A84" s="17"/>
      <c r="B84" s="25" t="s">
        <v>18</v>
      </c>
      <c r="C84" s="343">
        <v>78.55</v>
      </c>
      <c r="D84" s="199"/>
      <c r="E84" s="328"/>
      <c r="F84" s="157"/>
      <c r="G84" s="157"/>
      <c r="H84" s="329"/>
      <c r="I84" s="291"/>
      <c r="N84" s="71"/>
      <c r="O84" s="71"/>
      <c r="P84" s="71"/>
      <c r="Q84" s="71"/>
      <c r="R84" s="71"/>
      <c r="S84" s="71"/>
      <c r="T84" s="71"/>
      <c r="U84" s="71"/>
      <c r="V84" s="71"/>
      <c r="W84" s="71"/>
    </row>
    <row r="85" spans="1:23" x14ac:dyDescent="0.35">
      <c r="A85" s="17"/>
      <c r="B85" s="28"/>
      <c r="C85" s="40"/>
      <c r="D85" s="40"/>
      <c r="E85" s="157"/>
      <c r="F85" s="157"/>
      <c r="G85" s="329"/>
      <c r="H85" s="157"/>
      <c r="K85" s="29"/>
      <c r="N85" s="71"/>
      <c r="O85" s="71"/>
      <c r="P85" s="71"/>
      <c r="Q85" s="71"/>
      <c r="R85" s="71"/>
      <c r="S85" s="71"/>
      <c r="T85" s="71"/>
      <c r="U85" s="71"/>
      <c r="V85" s="71"/>
      <c r="W85" s="71"/>
    </row>
    <row r="86" spans="1:23" x14ac:dyDescent="0.35">
      <c r="A86" s="17"/>
      <c r="B86" s="41"/>
      <c r="C86" s="41"/>
      <c r="D86" s="40"/>
      <c r="G86" s="29"/>
      <c r="K86" s="29"/>
      <c r="N86" s="71"/>
      <c r="O86" s="71"/>
      <c r="P86" s="71"/>
      <c r="Q86" s="71"/>
      <c r="R86" s="71"/>
      <c r="S86" s="71"/>
      <c r="T86" s="71"/>
      <c r="U86" s="71"/>
      <c r="V86" s="71"/>
      <c r="W86" s="71"/>
    </row>
    <row r="87" spans="1:23" x14ac:dyDescent="0.35">
      <c r="A87" s="312"/>
      <c r="B87" s="157"/>
      <c r="C87" s="157"/>
      <c r="D87" s="157"/>
      <c r="E87" s="330"/>
      <c r="F87" s="330"/>
      <c r="G87" s="330"/>
      <c r="H87" s="44"/>
      <c r="I87" s="44"/>
      <c r="J87" s="44"/>
      <c r="K87" s="44"/>
      <c r="L87" s="44"/>
      <c r="M87" s="44"/>
      <c r="N87" s="71"/>
      <c r="O87" s="71"/>
      <c r="P87" s="71"/>
      <c r="Q87" s="71"/>
      <c r="R87" s="71"/>
      <c r="S87" s="71"/>
      <c r="T87" s="71"/>
      <c r="U87" s="71"/>
      <c r="V87" s="71"/>
      <c r="W87" s="71"/>
    </row>
    <row r="88" spans="1:23" x14ac:dyDescent="0.35">
      <c r="A88" s="308" t="s">
        <v>67</v>
      </c>
      <c r="B88" s="314" t="s">
        <v>291</v>
      </c>
      <c r="C88" s="314" t="s">
        <v>292</v>
      </c>
      <c r="D88" s="642" t="s">
        <v>290</v>
      </c>
      <c r="E88" s="330"/>
      <c r="F88" s="330"/>
      <c r="G88" s="330"/>
      <c r="H88" s="44"/>
      <c r="I88" s="44"/>
      <c r="J88" s="44"/>
      <c r="K88" s="44"/>
      <c r="L88" s="44"/>
      <c r="M88" s="44"/>
      <c r="N88" s="71"/>
      <c r="O88" s="71"/>
      <c r="P88" s="71"/>
      <c r="Q88" s="71"/>
      <c r="R88" s="71"/>
      <c r="S88" s="71"/>
      <c r="T88" s="71"/>
      <c r="U88" s="71"/>
      <c r="V88" s="71"/>
      <c r="W88" s="71"/>
    </row>
    <row r="89" spans="1:23" x14ac:dyDescent="0.35">
      <c r="A89" s="312"/>
      <c r="B89" s="314" t="s">
        <v>288</v>
      </c>
      <c r="C89" s="641">
        <v>5.8326999999999997E-2</v>
      </c>
      <c r="D89" s="645" t="s">
        <v>412</v>
      </c>
      <c r="E89" s="646"/>
      <c r="F89" s="643"/>
      <c r="G89" s="644"/>
      <c r="H89" s="75"/>
      <c r="I89" s="75"/>
      <c r="J89" s="75"/>
      <c r="K89" s="75"/>
      <c r="L89" s="75"/>
      <c r="M89" s="44"/>
      <c r="N89" s="71"/>
      <c r="O89" s="71"/>
      <c r="P89" s="71"/>
      <c r="Q89" s="71"/>
      <c r="R89" s="71"/>
      <c r="S89" s="71"/>
      <c r="T89" s="71"/>
      <c r="U89" s="71"/>
      <c r="V89" s="71"/>
      <c r="W89" s="71"/>
    </row>
    <row r="90" spans="1:23" x14ac:dyDescent="0.35">
      <c r="A90" s="312"/>
      <c r="B90" s="314" t="s">
        <v>289</v>
      </c>
      <c r="C90" s="641">
        <v>4.5599999999999998E-3</v>
      </c>
      <c r="D90" s="645" t="s">
        <v>420</v>
      </c>
      <c r="E90" s="649"/>
      <c r="F90" s="331"/>
      <c r="G90" s="331"/>
      <c r="H90" s="43"/>
      <c r="I90" s="43"/>
      <c r="J90" s="43"/>
      <c r="K90" s="43"/>
      <c r="L90" s="43"/>
      <c r="M90" s="44"/>
      <c r="N90" s="71"/>
      <c r="O90" s="71"/>
      <c r="P90" s="71"/>
      <c r="Q90" s="71"/>
      <c r="R90" s="71"/>
      <c r="S90" s="71"/>
      <c r="T90" s="71"/>
      <c r="U90" s="71"/>
      <c r="V90" s="71"/>
      <c r="W90" s="71"/>
    </row>
    <row r="91" spans="1:23" x14ac:dyDescent="0.35">
      <c r="A91" s="312"/>
      <c r="B91" s="314" t="s">
        <v>295</v>
      </c>
      <c r="C91" s="648">
        <v>1.3988707489735524E-2</v>
      </c>
      <c r="D91" s="650" t="s">
        <v>487</v>
      </c>
      <c r="E91" s="647"/>
      <c r="F91" s="331"/>
      <c r="G91" s="331"/>
      <c r="H91" s="43"/>
      <c r="I91" s="43"/>
      <c r="J91" s="43"/>
      <c r="K91" s="43"/>
      <c r="L91" s="43"/>
      <c r="M91" s="44"/>
      <c r="N91" s="71"/>
      <c r="O91" s="71"/>
      <c r="P91" s="71"/>
      <c r="Q91" s="71"/>
      <c r="R91" s="71"/>
      <c r="S91" s="71"/>
      <c r="T91" s="71"/>
      <c r="U91" s="71"/>
      <c r="V91" s="71"/>
      <c r="W91" s="71"/>
    </row>
    <row r="92" spans="1:23" x14ac:dyDescent="0.35">
      <c r="A92" s="312"/>
      <c r="B92" s="157"/>
      <c r="C92" s="332"/>
      <c r="D92" s="330"/>
      <c r="E92" s="330"/>
      <c r="F92" s="330"/>
      <c r="G92" s="330"/>
      <c r="H92" s="44"/>
      <c r="I92" s="44"/>
      <c r="J92" s="44"/>
      <c r="K92" s="44"/>
      <c r="L92" s="44"/>
      <c r="M92" s="44"/>
      <c r="N92" s="71"/>
      <c r="O92" s="71"/>
      <c r="P92" s="71"/>
      <c r="Q92" s="71"/>
      <c r="R92" s="71"/>
      <c r="S92" s="71"/>
      <c r="T92" s="71"/>
      <c r="U92" s="71"/>
      <c r="V92" s="71"/>
      <c r="W92" s="71"/>
    </row>
    <row r="93" spans="1:23" x14ac:dyDescent="0.35">
      <c r="A93" s="312"/>
      <c r="B93" s="157"/>
      <c r="C93" s="157"/>
      <c r="D93" s="157"/>
      <c r="E93" s="157"/>
      <c r="F93" s="157"/>
      <c r="G93" s="157"/>
      <c r="N93" s="71"/>
      <c r="O93" s="71"/>
      <c r="P93" s="71"/>
      <c r="Q93" s="71"/>
      <c r="R93" s="71"/>
      <c r="S93" s="71"/>
      <c r="T93" s="71"/>
      <c r="U93" s="71"/>
      <c r="V93" s="71"/>
      <c r="W93" s="71"/>
    </row>
    <row r="94" spans="1:23" x14ac:dyDescent="0.35">
      <c r="A94" s="312"/>
      <c r="B94" s="157"/>
      <c r="C94" s="157"/>
      <c r="D94" s="157"/>
      <c r="E94" s="157"/>
      <c r="F94" s="157"/>
      <c r="G94" s="157"/>
      <c r="N94" s="71"/>
      <c r="O94" s="71"/>
      <c r="P94" s="71"/>
      <c r="Q94" s="71"/>
      <c r="R94" s="71"/>
      <c r="S94" s="71"/>
      <c r="T94" s="71"/>
      <c r="U94" s="71"/>
      <c r="V94" s="71"/>
      <c r="W94" s="71"/>
    </row>
    <row r="95" spans="1:23" x14ac:dyDescent="0.35">
      <c r="A95" s="17"/>
      <c r="N95" s="71"/>
      <c r="O95" s="71"/>
      <c r="P95" s="71"/>
      <c r="Q95" s="71"/>
      <c r="R95" s="71"/>
      <c r="S95" s="71"/>
      <c r="T95" s="71"/>
      <c r="U95" s="71"/>
      <c r="V95" s="71"/>
      <c r="W95" s="71"/>
    </row>
    <row r="96" spans="1:23" ht="13.15" x14ac:dyDescent="0.4">
      <c r="A96" s="308" t="s">
        <v>71</v>
      </c>
      <c r="B96" s="309" t="s">
        <v>158</v>
      </c>
      <c r="C96" s="157"/>
      <c r="D96" s="157"/>
      <c r="E96" s="157"/>
      <c r="F96" s="157"/>
      <c r="G96" s="157"/>
      <c r="H96" s="157"/>
      <c r="L96" s="12"/>
      <c r="N96" s="71"/>
      <c r="O96" s="71"/>
      <c r="P96" s="71"/>
      <c r="Q96" s="71"/>
      <c r="R96" s="71"/>
      <c r="S96" s="71"/>
      <c r="T96" s="71"/>
      <c r="U96" s="71"/>
      <c r="V96" s="71"/>
      <c r="W96" s="71"/>
    </row>
    <row r="97" spans="1:23" ht="13.15" x14ac:dyDescent="0.4">
      <c r="A97" s="312"/>
      <c r="B97" s="311" t="s">
        <v>490</v>
      </c>
      <c r="C97" s="157"/>
      <c r="D97" s="157"/>
      <c r="E97" s="157"/>
      <c r="F97" s="157"/>
      <c r="G97" s="157"/>
      <c r="H97" s="157"/>
      <c r="L97" s="12"/>
      <c r="N97" s="71"/>
      <c r="O97" s="71"/>
      <c r="P97" s="71"/>
      <c r="Q97" s="71"/>
      <c r="R97" s="71"/>
      <c r="S97" s="71"/>
      <c r="T97" s="71"/>
      <c r="U97" s="71"/>
      <c r="V97" s="71"/>
      <c r="W97" s="71"/>
    </row>
    <row r="98" spans="1:23" ht="13.15" x14ac:dyDescent="0.4">
      <c r="A98" s="312"/>
      <c r="B98" s="311" t="s">
        <v>77</v>
      </c>
      <c r="C98" s="310"/>
      <c r="D98" s="310"/>
      <c r="E98" s="310"/>
      <c r="F98" s="310"/>
      <c r="G98" s="310"/>
      <c r="H98" s="310"/>
      <c r="I98" s="12"/>
      <c r="J98" s="12"/>
      <c r="K98" s="12"/>
      <c r="L98" s="12"/>
      <c r="M98" s="12"/>
      <c r="N98" s="71"/>
      <c r="O98" s="71"/>
      <c r="P98" s="71"/>
      <c r="Q98" s="71"/>
      <c r="R98" s="71"/>
      <c r="S98" s="71"/>
      <c r="T98" s="71"/>
      <c r="U98" s="71"/>
      <c r="V98" s="71"/>
      <c r="W98" s="71"/>
    </row>
    <row r="99" spans="1:23" ht="12.75" customHeight="1" x14ac:dyDescent="0.4">
      <c r="A99" s="312"/>
      <c r="B99" s="311"/>
      <c r="C99" s="310"/>
      <c r="D99" s="310"/>
      <c r="E99" s="310"/>
      <c r="F99" s="310"/>
      <c r="G99" s="310"/>
      <c r="H99" s="310"/>
      <c r="I99" s="12"/>
      <c r="J99" s="12"/>
      <c r="K99" s="12"/>
      <c r="M99" s="12"/>
      <c r="N99" s="71"/>
      <c r="O99" s="71"/>
      <c r="P99" s="71"/>
      <c r="Q99" s="71"/>
      <c r="R99" s="71"/>
      <c r="S99" s="71"/>
      <c r="T99" s="71"/>
      <c r="U99" s="71"/>
      <c r="V99" s="71"/>
      <c r="W99" s="71"/>
    </row>
    <row r="100" spans="1:23" ht="13.15" x14ac:dyDescent="0.4">
      <c r="A100" s="333" t="s">
        <v>404</v>
      </c>
      <c r="B100" s="24"/>
      <c r="C100" s="22" t="s">
        <v>0</v>
      </c>
      <c r="D100" s="22" t="s">
        <v>1</v>
      </c>
      <c r="E100" s="22" t="s">
        <v>2</v>
      </c>
      <c r="F100" s="22" t="s">
        <v>3</v>
      </c>
      <c r="G100" s="22" t="s">
        <v>4</v>
      </c>
      <c r="H100" s="22" t="s">
        <v>6</v>
      </c>
      <c r="I100" s="22" t="s">
        <v>37</v>
      </c>
      <c r="J100" s="22" t="s">
        <v>38</v>
      </c>
      <c r="K100" s="22" t="s">
        <v>5</v>
      </c>
      <c r="L100" s="22" t="s">
        <v>36</v>
      </c>
      <c r="N100" s="71"/>
      <c r="O100" s="71"/>
      <c r="P100" s="71"/>
      <c r="Q100" s="71"/>
      <c r="R100" s="71"/>
      <c r="S100" s="71"/>
      <c r="T100" s="71"/>
      <c r="U100" s="71"/>
      <c r="V100" s="71"/>
      <c r="W100" s="71"/>
    </row>
    <row r="101" spans="1:23" ht="13.15" x14ac:dyDescent="0.4">
      <c r="A101" s="316"/>
      <c r="B101" s="293" t="s">
        <v>300</v>
      </c>
      <c r="C101" s="344">
        <v>4606.8422739763673</v>
      </c>
      <c r="D101" s="344">
        <v>11.972772726290408</v>
      </c>
      <c r="E101" s="344">
        <v>63.735604211240336</v>
      </c>
      <c r="F101" s="344">
        <v>0</v>
      </c>
      <c r="G101" s="344">
        <v>0</v>
      </c>
      <c r="H101" s="344">
        <v>1.2380232374357087</v>
      </c>
      <c r="I101" s="344">
        <v>0</v>
      </c>
      <c r="J101" s="344">
        <v>0</v>
      </c>
      <c r="K101" s="344">
        <v>1259.9217376251015</v>
      </c>
      <c r="L101" s="344">
        <v>859.37835907617659</v>
      </c>
      <c r="M101" s="294">
        <f>SUM(C101:L101)</f>
        <v>6803.0887708526125</v>
      </c>
      <c r="N101" s="71"/>
      <c r="O101" s="71"/>
      <c r="P101" s="71"/>
      <c r="Q101" s="71"/>
      <c r="R101" s="71"/>
      <c r="S101" s="71"/>
      <c r="T101" s="71"/>
      <c r="U101" s="71"/>
      <c r="V101" s="71"/>
      <c r="W101" s="71"/>
    </row>
    <row r="102" spans="1:23" x14ac:dyDescent="0.35">
      <c r="A102" s="157"/>
      <c r="B102" s="293" t="s">
        <v>284</v>
      </c>
      <c r="C102" s="344">
        <v>5112.8623679353486</v>
      </c>
      <c r="D102" s="344">
        <v>13.084052778376124</v>
      </c>
      <c r="E102" s="344">
        <v>68.669943566750206</v>
      </c>
      <c r="F102" s="344">
        <v>0</v>
      </c>
      <c r="G102" s="344">
        <v>0</v>
      </c>
      <c r="H102" s="344">
        <v>1.1537878254369598</v>
      </c>
      <c r="I102" s="344">
        <v>0</v>
      </c>
      <c r="J102" s="344">
        <v>0</v>
      </c>
      <c r="K102" s="344">
        <v>1202.2769886679371</v>
      </c>
      <c r="L102" s="344">
        <v>853.99082160378123</v>
      </c>
      <c r="M102" s="294">
        <f>SUM(C102:L102)</f>
        <v>7252.0379623776298</v>
      </c>
      <c r="N102" s="71"/>
      <c r="O102" s="71"/>
      <c r="P102" s="71"/>
      <c r="Q102" s="71"/>
      <c r="R102" s="71"/>
      <c r="S102" s="71"/>
      <c r="T102" s="71"/>
      <c r="U102" s="71"/>
      <c r="V102" s="71"/>
      <c r="W102" s="71"/>
    </row>
    <row r="103" spans="1:23" ht="13.15" x14ac:dyDescent="0.4">
      <c r="A103" s="316"/>
      <c r="C103" s="295"/>
      <c r="D103" s="313"/>
      <c r="E103" s="313"/>
      <c r="F103" s="313"/>
      <c r="G103" s="295"/>
      <c r="H103" s="295"/>
      <c r="I103" s="295"/>
      <c r="J103" s="295"/>
      <c r="K103" s="295"/>
      <c r="L103" s="295"/>
      <c r="M103" s="45"/>
      <c r="N103" s="71"/>
      <c r="O103" s="71"/>
      <c r="P103" s="71"/>
      <c r="Q103" s="71"/>
      <c r="R103" s="71"/>
      <c r="S103" s="71"/>
      <c r="T103" s="71"/>
      <c r="U103" s="71"/>
      <c r="V103" s="71"/>
      <c r="W103" s="71"/>
    </row>
    <row r="104" spans="1:23" ht="13.15" x14ac:dyDescent="0.4">
      <c r="A104" s="838" t="s">
        <v>403</v>
      </c>
      <c r="B104" s="839" t="s">
        <v>285</v>
      </c>
      <c r="C104" s="840">
        <v>0.96560504435643157</v>
      </c>
      <c r="D104" s="841" t="s">
        <v>536</v>
      </c>
      <c r="E104" s="842"/>
      <c r="F104" s="313"/>
      <c r="G104" s="47"/>
      <c r="H104" s="47"/>
      <c r="I104" s="47"/>
      <c r="J104" s="47"/>
      <c r="K104" s="47"/>
      <c r="M104" s="47"/>
      <c r="N104" s="71"/>
      <c r="O104" s="71"/>
      <c r="P104" s="71"/>
      <c r="Q104" s="71"/>
      <c r="R104" s="71"/>
      <c r="S104" s="71"/>
      <c r="T104" s="71"/>
      <c r="U104" s="71"/>
      <c r="V104" s="71"/>
      <c r="W104" s="71"/>
    </row>
    <row r="105" spans="1:23" ht="13.15" x14ac:dyDescent="0.4">
      <c r="A105" s="843"/>
      <c r="B105" s="844" t="str">
        <f>"PJM June 1, "&amp;(Inputs!D2-1)&amp;" (through May 31, "&amp;(Inputs!D2)&amp;") Forecast Pool Requirement"</f>
        <v>PJM June 1, 2026 (through May 31, 2027) Forecast Pool Requirement</v>
      </c>
      <c r="C105" s="845">
        <v>0.92910000000000004</v>
      </c>
      <c r="D105" s="841" t="s">
        <v>536</v>
      </c>
      <c r="E105" s="846"/>
      <c r="F105" s="157"/>
      <c r="I105" s="47"/>
      <c r="K105" s="12"/>
      <c r="M105" s="47"/>
      <c r="N105" s="71"/>
      <c r="O105" s="71"/>
      <c r="P105" s="71"/>
      <c r="Q105" s="71"/>
      <c r="R105" s="71"/>
      <c r="S105" s="71"/>
      <c r="T105" s="71"/>
      <c r="U105" s="71"/>
      <c r="V105" s="71"/>
      <c r="W105" s="71"/>
    </row>
    <row r="106" spans="1:23" x14ac:dyDescent="0.35">
      <c r="A106" s="847"/>
      <c r="B106"/>
      <c r="C106"/>
      <c r="D106" s="848"/>
      <c r="E106" s="849"/>
      <c r="F106" s="157"/>
      <c r="G106" s="36"/>
      <c r="H106" s="48"/>
      <c r="I106" s="47"/>
      <c r="M106" s="47"/>
      <c r="N106" s="71"/>
      <c r="O106" s="71"/>
      <c r="P106" s="71"/>
      <c r="Q106" s="71"/>
      <c r="R106" s="71"/>
      <c r="S106" s="71"/>
      <c r="T106" s="71"/>
      <c r="U106" s="71"/>
      <c r="V106" s="71"/>
      <c r="W106" s="71"/>
    </row>
    <row r="107" spans="1:23" x14ac:dyDescent="0.35">
      <c r="A107" s="17"/>
      <c r="B107" s="48"/>
      <c r="D107" s="48"/>
      <c r="G107" s="36"/>
      <c r="H107" s="48"/>
      <c r="I107" s="47"/>
      <c r="M107" s="47"/>
      <c r="N107" s="71"/>
      <c r="O107" s="71"/>
      <c r="P107" s="71"/>
      <c r="Q107" s="71"/>
      <c r="R107" s="71"/>
      <c r="S107" s="71"/>
      <c r="T107" s="71"/>
      <c r="U107" s="71"/>
      <c r="V107" s="71"/>
      <c r="W107" s="71"/>
    </row>
    <row r="108" spans="1:23" ht="13.15" x14ac:dyDescent="0.4">
      <c r="A108" s="17"/>
      <c r="B108" s="95"/>
      <c r="C108" s="85"/>
      <c r="E108" s="86"/>
      <c r="F108" s="36"/>
      <c r="G108" s="36"/>
      <c r="H108" s="48"/>
      <c r="I108" s="47"/>
      <c r="K108" s="71"/>
      <c r="L108" s="71"/>
      <c r="M108" s="71"/>
      <c r="N108" s="71"/>
      <c r="O108" s="71"/>
      <c r="P108" s="71"/>
      <c r="Q108" s="71"/>
      <c r="R108" s="71"/>
      <c r="S108" s="71"/>
      <c r="T108" s="71"/>
    </row>
    <row r="109" spans="1:23" x14ac:dyDescent="0.35">
      <c r="A109" s="17"/>
      <c r="B109" s="17"/>
      <c r="C109" s="48"/>
      <c r="D109" s="48"/>
      <c r="E109" s="296"/>
      <c r="F109" s="77"/>
      <c r="G109" s="77"/>
      <c r="H109" s="48"/>
      <c r="J109" s="86"/>
      <c r="K109" s="71"/>
      <c r="L109" s="71"/>
      <c r="M109" s="71"/>
      <c r="N109" s="71"/>
      <c r="O109" s="71"/>
      <c r="P109" s="71"/>
      <c r="Q109" s="71"/>
      <c r="R109" s="71"/>
      <c r="S109" s="71"/>
      <c r="T109" s="71"/>
    </row>
    <row r="110" spans="1:23" x14ac:dyDescent="0.35">
      <c r="A110" s="17"/>
      <c r="B110" s="48"/>
      <c r="C110" s="48"/>
      <c r="D110" s="48"/>
      <c r="E110" s="296"/>
      <c r="F110" s="297"/>
      <c r="G110" s="297"/>
      <c r="H110" s="48"/>
      <c r="I110" s="47"/>
      <c r="K110" s="71"/>
      <c r="L110" s="71"/>
      <c r="M110" s="71"/>
      <c r="N110" s="71"/>
      <c r="O110" s="71"/>
      <c r="P110" s="71"/>
      <c r="Q110" s="71"/>
      <c r="R110" s="71"/>
      <c r="S110" s="71"/>
      <c r="T110" s="71"/>
    </row>
    <row r="111" spans="1:23" x14ac:dyDescent="0.35">
      <c r="A111" s="17"/>
      <c r="B111" s="48"/>
      <c r="C111" s="48"/>
      <c r="D111" s="48"/>
      <c r="E111" s="296"/>
      <c r="F111" s="77"/>
      <c r="G111" s="77"/>
      <c r="H111" s="48"/>
      <c r="I111" s="47"/>
      <c r="J111" s="76"/>
      <c r="K111" s="71"/>
      <c r="L111" s="71"/>
      <c r="M111" s="71"/>
      <c r="N111" s="71"/>
      <c r="O111" s="71"/>
      <c r="P111" s="71"/>
      <c r="Q111" s="71"/>
      <c r="R111" s="71"/>
      <c r="S111" s="71"/>
      <c r="T111" s="71"/>
    </row>
    <row r="112" spans="1:23" x14ac:dyDescent="0.35">
      <c r="A112" s="17"/>
      <c r="B112" s="48"/>
      <c r="C112" s="77"/>
      <c r="D112" s="48"/>
      <c r="E112" s="903" t="s">
        <v>333</v>
      </c>
      <c r="F112" s="903"/>
      <c r="G112" s="48"/>
      <c r="H112" s="48"/>
      <c r="I112" s="47"/>
      <c r="J112" s="76"/>
      <c r="K112" s="71"/>
      <c r="L112" s="71"/>
      <c r="M112" s="71"/>
      <c r="N112" s="71"/>
      <c r="O112" s="71"/>
      <c r="P112" s="71"/>
      <c r="Q112" s="71"/>
      <c r="R112" s="71"/>
      <c r="S112" s="71"/>
      <c r="T112" s="71"/>
    </row>
    <row r="113" spans="1:23" ht="13.15" x14ac:dyDescent="0.4">
      <c r="A113" s="292" t="s">
        <v>402</v>
      </c>
      <c r="B113" s="48" t="s">
        <v>102</v>
      </c>
      <c r="C113" s="897" t="s">
        <v>150</v>
      </c>
      <c r="D113" s="897"/>
      <c r="E113" s="345">
        <v>333.69</v>
      </c>
      <c r="F113" s="324" t="s">
        <v>98</v>
      </c>
      <c r="G113" s="48"/>
      <c r="H113" s="48"/>
      <c r="I113" s="47"/>
      <c r="J113" s="76"/>
      <c r="K113" s="71"/>
      <c r="L113" s="71"/>
      <c r="M113" s="71"/>
      <c r="N113" s="71"/>
      <c r="O113" s="71"/>
      <c r="P113" s="71"/>
      <c r="Q113" s="71"/>
      <c r="R113" s="71"/>
      <c r="S113" s="71"/>
      <c r="T113" s="71"/>
    </row>
    <row r="114" spans="1:23" x14ac:dyDescent="0.35">
      <c r="A114" s="17"/>
      <c r="B114" s="48"/>
      <c r="C114" s="897" t="s">
        <v>151</v>
      </c>
      <c r="D114" s="897"/>
      <c r="E114" s="345">
        <v>333.69</v>
      </c>
      <c r="F114" s="324" t="s">
        <v>98</v>
      </c>
      <c r="G114" s="48"/>
      <c r="H114" s="48"/>
      <c r="N114" s="71"/>
      <c r="O114" s="71"/>
      <c r="P114" s="71"/>
      <c r="Q114" s="71"/>
      <c r="R114" s="71"/>
      <c r="S114" s="71"/>
      <c r="T114" s="71"/>
      <c r="U114" s="71"/>
      <c r="V114" s="71"/>
      <c r="W114" s="71"/>
    </row>
    <row r="115" spans="1:23" ht="18" customHeight="1" x14ac:dyDescent="0.35">
      <c r="A115" s="17"/>
      <c r="B115" s="48"/>
      <c r="C115" s="48"/>
      <c r="D115" s="48"/>
      <c r="E115" s="227" t="s">
        <v>489</v>
      </c>
      <c r="F115" s="227"/>
      <c r="G115" s="48"/>
      <c r="H115" s="48"/>
      <c r="I115" s="48"/>
      <c r="N115" s="71"/>
      <c r="O115" s="71"/>
      <c r="P115" s="71"/>
      <c r="Q115" s="71"/>
      <c r="R115" s="71"/>
      <c r="S115" s="71"/>
      <c r="T115" s="71"/>
      <c r="U115" s="71"/>
      <c r="V115" s="71"/>
      <c r="W115" s="71"/>
    </row>
    <row r="116" spans="1:23" x14ac:dyDescent="0.35">
      <c r="A116" s="17"/>
      <c r="B116" s="48"/>
      <c r="C116" s="48"/>
      <c r="D116" s="48"/>
      <c r="E116" s="48"/>
      <c r="F116" s="48"/>
      <c r="G116" s="48"/>
      <c r="H116" s="48"/>
      <c r="I116" s="48"/>
      <c r="J116" s="48"/>
      <c r="N116" s="71"/>
      <c r="O116" s="71"/>
      <c r="P116" s="71"/>
      <c r="Q116" s="71"/>
      <c r="R116" s="71"/>
      <c r="S116" s="71"/>
      <c r="T116" s="71"/>
      <c r="U116" s="71"/>
      <c r="V116" s="71"/>
      <c r="W116" s="71"/>
    </row>
    <row r="117" spans="1:23" x14ac:dyDescent="0.35">
      <c r="A117" s="17"/>
      <c r="B117" s="48"/>
      <c r="C117" s="48"/>
      <c r="D117" s="48"/>
      <c r="E117" s="48"/>
      <c r="F117" s="48"/>
      <c r="G117" s="48"/>
      <c r="H117" s="48"/>
      <c r="I117" s="48"/>
      <c r="J117" s="48"/>
      <c r="N117" s="71"/>
      <c r="O117" s="71"/>
      <c r="P117" s="71"/>
      <c r="Q117" s="71"/>
      <c r="R117" s="71"/>
      <c r="S117" s="71"/>
      <c r="T117" s="71"/>
      <c r="U117" s="71"/>
      <c r="V117" s="71"/>
      <c r="W117" s="71"/>
    </row>
    <row r="118" spans="1:23" ht="13.15" x14ac:dyDescent="0.4">
      <c r="A118" s="292" t="s">
        <v>405</v>
      </c>
      <c r="B118" s="69"/>
      <c r="C118" s="22" t="s">
        <v>0</v>
      </c>
      <c r="D118" s="22" t="s">
        <v>1</v>
      </c>
      <c r="E118" s="48"/>
      <c r="F118" s="48"/>
      <c r="G118" s="48"/>
      <c r="H118" s="48"/>
      <c r="I118" s="48"/>
      <c r="J118" s="77"/>
      <c r="N118" s="71"/>
      <c r="O118" s="71"/>
      <c r="P118" s="71"/>
      <c r="Q118" s="71"/>
      <c r="R118" s="71"/>
      <c r="S118" s="71"/>
      <c r="T118" s="71"/>
      <c r="U118" s="71"/>
      <c r="V118" s="71"/>
      <c r="W118" s="71"/>
    </row>
    <row r="119" spans="1:23" x14ac:dyDescent="0.35">
      <c r="A119" s="15"/>
      <c r="B119" s="298" t="s">
        <v>184</v>
      </c>
      <c r="C119" s="850">
        <v>0.86519999999999975</v>
      </c>
      <c r="D119" s="850">
        <v>1.1569000000000003</v>
      </c>
      <c r="E119" s="48" t="s">
        <v>161</v>
      </c>
      <c r="F119" s="852" t="s">
        <v>330</v>
      </c>
      <c r="G119" s="846"/>
      <c r="H119" s="846"/>
      <c r="I119" s="846"/>
      <c r="J119" s="848"/>
      <c r="K119" s="853"/>
      <c r="N119" s="71"/>
      <c r="O119" s="71"/>
      <c r="P119" s="71"/>
      <c r="Q119" s="71"/>
      <c r="R119" s="71"/>
      <c r="S119" s="71"/>
      <c r="T119" s="71"/>
      <c r="U119" s="71"/>
      <c r="V119" s="71"/>
      <c r="W119" s="71"/>
    </row>
    <row r="120" spans="1:23" x14ac:dyDescent="0.35">
      <c r="A120" s="15"/>
      <c r="B120" s="48"/>
      <c r="C120" s="48"/>
      <c r="D120" s="48"/>
      <c r="E120" s="48"/>
      <c r="F120" s="48"/>
      <c r="G120" s="48"/>
      <c r="H120" s="48"/>
      <c r="I120" s="48"/>
      <c r="J120" s="77"/>
      <c r="K120" s="51"/>
      <c r="N120" s="71"/>
      <c r="O120" s="71"/>
      <c r="P120" s="71"/>
      <c r="Q120" s="71"/>
      <c r="R120" s="71"/>
      <c r="S120" s="71"/>
      <c r="T120" s="71"/>
      <c r="U120" s="71"/>
      <c r="V120" s="71"/>
      <c r="W120" s="71"/>
    </row>
    <row r="121" spans="1:23" x14ac:dyDescent="0.35">
      <c r="A121" s="11"/>
      <c r="B121" s="48"/>
      <c r="C121" s="48"/>
      <c r="D121" s="48"/>
      <c r="E121" s="48"/>
      <c r="F121" s="48"/>
      <c r="G121" s="48"/>
      <c r="H121" s="48"/>
      <c r="I121" s="48"/>
      <c r="J121" s="48"/>
      <c r="N121" s="71"/>
      <c r="O121" s="71"/>
      <c r="P121" s="71"/>
      <c r="Q121" s="71"/>
      <c r="R121" s="71"/>
      <c r="S121" s="71"/>
      <c r="T121" s="71"/>
      <c r="U121" s="71"/>
      <c r="V121" s="71"/>
      <c r="W121" s="71"/>
    </row>
    <row r="122" spans="1:23" ht="13.15" x14ac:dyDescent="0.4">
      <c r="A122" s="15" t="s">
        <v>72</v>
      </c>
      <c r="B122" s="13" t="s">
        <v>317</v>
      </c>
      <c r="C122" s="48"/>
      <c r="D122" s="48"/>
      <c r="E122" s="48"/>
      <c r="F122" s="48"/>
      <c r="G122" s="48"/>
      <c r="H122" s="48"/>
      <c r="I122" s="48"/>
      <c r="J122" s="48"/>
      <c r="N122" s="71"/>
      <c r="O122" s="71"/>
      <c r="P122" s="71"/>
      <c r="Q122" s="71"/>
      <c r="R122" s="71"/>
      <c r="S122" s="71"/>
      <c r="T122" s="71"/>
      <c r="U122" s="71"/>
      <c r="V122" s="71"/>
      <c r="W122" s="71"/>
    </row>
    <row r="123" spans="1:23" x14ac:dyDescent="0.35">
      <c r="A123" s="285" t="s">
        <v>406</v>
      </c>
      <c r="B123" s="48" t="s">
        <v>318</v>
      </c>
      <c r="C123" s="634" t="s">
        <v>484</v>
      </c>
      <c r="D123" s="854">
        <v>2</v>
      </c>
      <c r="E123" s="74" t="s">
        <v>142</v>
      </c>
      <c r="F123" s="48"/>
      <c r="G123" s="395" t="s">
        <v>491</v>
      </c>
      <c r="H123" s="10"/>
      <c r="I123" s="10"/>
      <c r="J123" s="395"/>
      <c r="K123"/>
      <c r="N123" s="71"/>
      <c r="O123" s="71"/>
      <c r="P123" s="71"/>
      <c r="Q123" s="71"/>
      <c r="R123" s="71"/>
      <c r="S123" s="71"/>
      <c r="T123" s="71"/>
      <c r="U123" s="71"/>
      <c r="V123" s="71"/>
      <c r="W123" s="71"/>
    </row>
    <row r="124" spans="1:23" x14ac:dyDescent="0.35">
      <c r="A124" s="285" t="s">
        <v>407</v>
      </c>
      <c r="B124" s="48" t="s">
        <v>319</v>
      </c>
      <c r="C124" s="48"/>
      <c r="D124" s="629">
        <v>16.043333333333333</v>
      </c>
      <c r="E124" s="74" t="s">
        <v>142</v>
      </c>
      <c r="F124" s="48"/>
      <c r="G124" s="227" t="s">
        <v>527</v>
      </c>
      <c r="H124" s="48"/>
      <c r="I124" s="48"/>
      <c r="J124" s="48"/>
      <c r="N124" s="71"/>
      <c r="O124" s="71"/>
      <c r="P124" s="71"/>
      <c r="Q124" s="71"/>
      <c r="R124" s="71"/>
      <c r="S124" s="71"/>
      <c r="T124" s="71"/>
      <c r="U124" s="71"/>
      <c r="V124" s="71"/>
      <c r="W124" s="71"/>
    </row>
    <row r="125" spans="1:23" x14ac:dyDescent="0.35">
      <c r="A125" s="17"/>
      <c r="B125" s="14"/>
      <c r="C125" s="48"/>
      <c r="D125" s="48"/>
      <c r="E125" s="74"/>
      <c r="F125" s="48"/>
      <c r="G125" s="48"/>
      <c r="H125" s="48"/>
      <c r="I125" s="48"/>
      <c r="J125" s="48"/>
      <c r="N125" s="71"/>
      <c r="O125" s="71"/>
      <c r="P125" s="71"/>
      <c r="Q125" s="71"/>
      <c r="R125" s="71"/>
      <c r="S125" s="71"/>
      <c r="T125" s="71"/>
      <c r="U125" s="71"/>
      <c r="V125" s="71"/>
      <c r="W125" s="71"/>
    </row>
    <row r="126" spans="1:23" x14ac:dyDescent="0.35">
      <c r="A126" s="17"/>
      <c r="B126" s="14"/>
      <c r="C126" s="48"/>
      <c r="D126" s="48"/>
      <c r="E126" s="48"/>
      <c r="F126" s="74"/>
      <c r="G126" s="48"/>
      <c r="H126" s="48"/>
      <c r="I126" s="48"/>
      <c r="J126" s="48"/>
      <c r="N126" s="71"/>
      <c r="O126" s="71"/>
      <c r="P126" s="71"/>
      <c r="Q126" s="71"/>
      <c r="R126" s="71"/>
      <c r="S126" s="71"/>
      <c r="T126" s="71"/>
      <c r="U126" s="71"/>
      <c r="V126" s="71"/>
      <c r="W126" s="71"/>
    </row>
    <row r="127" spans="1:23" ht="13.15" x14ac:dyDescent="0.4">
      <c r="A127" s="17"/>
      <c r="B127" s="13"/>
      <c r="C127" s="48"/>
      <c r="D127" s="48"/>
      <c r="E127" s="81"/>
      <c r="F127" s="74"/>
      <c r="G127" s="48"/>
      <c r="H127" s="48"/>
      <c r="I127" s="48"/>
      <c r="J127" s="48"/>
      <c r="N127" s="71"/>
      <c r="O127" s="71"/>
      <c r="P127" s="71"/>
      <c r="Q127" s="71"/>
      <c r="R127" s="71"/>
      <c r="S127" s="71"/>
      <c r="T127" s="71"/>
      <c r="U127" s="71"/>
      <c r="V127" s="71"/>
      <c r="W127" s="71"/>
    </row>
    <row r="128" spans="1:23" ht="13.15" x14ac:dyDescent="0.4">
      <c r="A128" s="15"/>
      <c r="B128" s="13"/>
      <c r="C128" s="48"/>
      <c r="D128" s="48"/>
      <c r="E128" s="48"/>
      <c r="F128" s="48"/>
      <c r="G128" s="48"/>
      <c r="H128" s="48"/>
      <c r="I128" s="48"/>
      <c r="J128" s="48"/>
      <c r="N128" s="71"/>
      <c r="O128" s="71"/>
      <c r="P128" s="71"/>
      <c r="Q128" s="71"/>
      <c r="R128" s="71"/>
      <c r="S128" s="71"/>
      <c r="T128" s="71"/>
      <c r="U128" s="71"/>
      <c r="V128" s="71"/>
      <c r="W128" s="71"/>
    </row>
    <row r="129" spans="1:23" ht="13.15" x14ac:dyDescent="0.4">
      <c r="A129" s="287" t="s">
        <v>408</v>
      </c>
      <c r="B129" s="1" t="s">
        <v>309</v>
      </c>
      <c r="C129" s="10"/>
      <c r="D129" s="10"/>
      <c r="E129" s="48"/>
      <c r="F129" s="48"/>
      <c r="H129" s="48"/>
      <c r="I129" s="48"/>
      <c r="J129" s="48"/>
      <c r="N129" s="71"/>
      <c r="O129" s="71"/>
      <c r="P129" s="71"/>
      <c r="Q129" s="71"/>
      <c r="R129" s="71"/>
      <c r="S129" s="71"/>
      <c r="T129" s="71"/>
      <c r="U129" s="71"/>
      <c r="V129" s="71"/>
      <c r="W129" s="71"/>
    </row>
    <row r="130" spans="1:23" ht="13.15" x14ac:dyDescent="0.4">
      <c r="A130" s="15"/>
      <c r="B130" s="1" t="s">
        <v>310</v>
      </c>
      <c r="C130" s="855" t="s">
        <v>484</v>
      </c>
      <c r="D130" s="856">
        <v>677.73</v>
      </c>
      <c r="E130" s="12" t="s">
        <v>141</v>
      </c>
      <c r="F130" s="12"/>
      <c r="G130" s="12"/>
      <c r="H130" s="12"/>
      <c r="I130" s="12"/>
      <c r="J130" s="12"/>
      <c r="N130" s="71"/>
      <c r="O130" s="71"/>
      <c r="P130" s="71"/>
      <c r="Q130" s="71"/>
      <c r="R130" s="71"/>
      <c r="S130" s="71"/>
      <c r="T130" s="71"/>
      <c r="U130" s="71"/>
      <c r="V130" s="71"/>
      <c r="W130" s="71"/>
    </row>
    <row r="131" spans="1:23" ht="13.15" x14ac:dyDescent="0.4">
      <c r="A131" s="15"/>
      <c r="B131" s="13"/>
      <c r="C131" s="48"/>
      <c r="D131" s="346" t="s">
        <v>426</v>
      </c>
      <c r="E131" s="48"/>
      <c r="F131" s="48"/>
      <c r="G131" s="48"/>
      <c r="H131" s="48"/>
      <c r="I131" s="48"/>
      <c r="J131" s="48"/>
      <c r="N131" s="71"/>
      <c r="O131" s="71"/>
      <c r="P131" s="71"/>
      <c r="Q131" s="71"/>
      <c r="R131" s="71"/>
      <c r="S131" s="71"/>
      <c r="T131" s="71"/>
      <c r="U131" s="71"/>
      <c r="V131" s="71"/>
      <c r="W131" s="71"/>
    </row>
    <row r="132" spans="1:23" x14ac:dyDescent="0.35">
      <c r="A132" s="15" t="s">
        <v>311</v>
      </c>
      <c r="B132" s="36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71"/>
      <c r="O132" s="71"/>
      <c r="P132" s="71"/>
      <c r="Q132" s="71"/>
      <c r="R132" s="71"/>
      <c r="S132" s="71"/>
      <c r="T132" s="71"/>
      <c r="U132" s="71"/>
      <c r="V132" s="71"/>
      <c r="W132" s="71"/>
    </row>
    <row r="133" spans="1:23" x14ac:dyDescent="0.35">
      <c r="A133" s="17"/>
      <c r="B133" s="36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71"/>
      <c r="O133" s="71"/>
      <c r="P133" s="71"/>
      <c r="Q133" s="71"/>
      <c r="R133" s="71"/>
      <c r="S133" s="71"/>
      <c r="T133" s="71"/>
      <c r="U133" s="71"/>
      <c r="V133" s="71"/>
      <c r="W133" s="71"/>
    </row>
    <row r="134" spans="1:23" x14ac:dyDescent="0.35">
      <c r="A134" s="17"/>
      <c r="B134" s="36"/>
      <c r="G134" s="49"/>
      <c r="H134" s="49"/>
      <c r="I134" s="49"/>
      <c r="K134" s="49"/>
      <c r="L134" s="49"/>
      <c r="M134" s="49"/>
      <c r="N134" s="71"/>
      <c r="O134" s="71"/>
      <c r="P134" s="71"/>
      <c r="Q134" s="71"/>
      <c r="R134" s="71"/>
      <c r="S134" s="71"/>
      <c r="T134" s="71"/>
      <c r="U134" s="71"/>
      <c r="V134" s="71"/>
      <c r="W134" s="71"/>
    </row>
    <row r="135" spans="1:23" ht="51.4" x14ac:dyDescent="0.4">
      <c r="A135" s="857" t="s">
        <v>485</v>
      </c>
      <c r="B135" s="69" t="s">
        <v>363</v>
      </c>
      <c r="C135" s="87" t="s">
        <v>385</v>
      </c>
      <c r="D135" s="87" t="s">
        <v>395</v>
      </c>
      <c r="E135" s="208" t="s">
        <v>486</v>
      </c>
      <c r="G135" s="49"/>
      <c r="H135" s="49"/>
      <c r="I135" s="49"/>
      <c r="J135" s="78"/>
      <c r="K135" s="87" t="s">
        <v>321</v>
      </c>
      <c r="L135" s="87" t="s">
        <v>327</v>
      </c>
      <c r="M135" s="87" t="s">
        <v>332</v>
      </c>
      <c r="N135" s="87" t="s">
        <v>331</v>
      </c>
      <c r="O135" s="87" t="s">
        <v>334</v>
      </c>
      <c r="P135" s="87" t="s">
        <v>364</v>
      </c>
      <c r="Q135" s="87" t="s">
        <v>369</v>
      </c>
      <c r="R135" s="87" t="s">
        <v>378</v>
      </c>
      <c r="S135" s="87" t="s">
        <v>383</v>
      </c>
      <c r="T135" s="87" t="s">
        <v>385</v>
      </c>
      <c r="U135" s="87" t="s">
        <v>395</v>
      </c>
      <c r="V135" s="71"/>
      <c r="W135" s="71"/>
    </row>
    <row r="136" spans="1:23" ht="13.15" x14ac:dyDescent="0.4">
      <c r="A136" s="17"/>
      <c r="B136" s="69" t="s">
        <v>203</v>
      </c>
      <c r="C136" s="633">
        <v>107.36</v>
      </c>
      <c r="D136" s="633">
        <v>109.38</v>
      </c>
      <c r="E136" s="858">
        <v>109.38</v>
      </c>
      <c r="F136" s="88" t="s">
        <v>483</v>
      </c>
      <c r="G136" s="49"/>
      <c r="H136" s="49"/>
      <c r="I136" s="49"/>
      <c r="J136" s="52"/>
      <c r="K136" s="231">
        <v>96.38</v>
      </c>
      <c r="L136" s="231">
        <v>90.78</v>
      </c>
      <c r="M136" s="231">
        <v>91.77</v>
      </c>
      <c r="N136" s="231">
        <v>98.04</v>
      </c>
      <c r="O136" s="231">
        <v>102.16</v>
      </c>
      <c r="P136" s="231">
        <v>64.8</v>
      </c>
      <c r="Q136" s="231">
        <v>76.3</v>
      </c>
      <c r="R136" s="231">
        <v>93.11</v>
      </c>
      <c r="S136" s="231">
        <v>80.88</v>
      </c>
      <c r="T136" s="231">
        <v>107.36</v>
      </c>
      <c r="U136" s="231">
        <v>109.38</v>
      </c>
      <c r="V136" s="71"/>
      <c r="W136" s="71"/>
    </row>
    <row r="137" spans="1:23" ht="13.15" x14ac:dyDescent="0.4">
      <c r="A137" s="17"/>
      <c r="B137" s="69" t="s">
        <v>337</v>
      </c>
      <c r="C137" s="639">
        <f>'Attach4 P1'!C21</f>
        <v>5.88</v>
      </c>
      <c r="D137" s="633"/>
      <c r="E137" s="826"/>
      <c r="F137" s="88"/>
      <c r="G137" s="49"/>
      <c r="H137" s="49"/>
      <c r="I137" s="49"/>
      <c r="J137" s="52"/>
      <c r="K137" s="231"/>
      <c r="L137" s="231"/>
      <c r="M137" s="231"/>
      <c r="N137" s="231"/>
      <c r="O137" s="231"/>
      <c r="P137" s="231"/>
      <c r="Q137" s="231"/>
      <c r="R137" s="231"/>
      <c r="S137" s="231"/>
      <c r="T137" s="231"/>
      <c r="U137" s="231"/>
      <c r="V137" s="71"/>
      <c r="W137" s="71"/>
    </row>
    <row r="138" spans="1:23" x14ac:dyDescent="0.35">
      <c r="A138" s="17"/>
      <c r="B138" s="69" t="s">
        <v>301</v>
      </c>
      <c r="C138" s="630">
        <v>28</v>
      </c>
      <c r="D138" s="630">
        <v>28</v>
      </c>
      <c r="E138" s="630">
        <v>29</v>
      </c>
      <c r="F138" s="93"/>
      <c r="G138" s="49"/>
      <c r="H138" s="49"/>
      <c r="I138" s="49"/>
      <c r="K138" s="630">
        <v>28</v>
      </c>
      <c r="L138" s="630">
        <v>28</v>
      </c>
      <c r="M138" s="630">
        <v>29</v>
      </c>
      <c r="N138" s="630">
        <v>28</v>
      </c>
      <c r="O138" s="630">
        <v>28</v>
      </c>
      <c r="P138" s="630">
        <v>29</v>
      </c>
      <c r="Q138" s="630">
        <v>28</v>
      </c>
      <c r="R138" s="630">
        <v>28</v>
      </c>
      <c r="S138" s="630">
        <v>29</v>
      </c>
      <c r="T138" s="630">
        <v>28</v>
      </c>
      <c r="U138" s="630">
        <v>28</v>
      </c>
      <c r="V138" s="71"/>
      <c r="W138" s="71"/>
    </row>
    <row r="139" spans="1:23" x14ac:dyDescent="0.35">
      <c r="A139" s="17"/>
      <c r="B139" s="69" t="s">
        <v>326</v>
      </c>
      <c r="C139" s="69"/>
      <c r="D139" s="69"/>
      <c r="E139" s="631" t="s">
        <v>374</v>
      </c>
      <c r="G139" s="49"/>
      <c r="H139" s="49"/>
      <c r="I139" s="49"/>
      <c r="K139" s="69"/>
      <c r="L139" s="69"/>
      <c r="M139" s="631"/>
      <c r="N139" s="631">
        <v>28.28</v>
      </c>
      <c r="O139" s="631">
        <v>37.770000000000003</v>
      </c>
      <c r="P139" s="631"/>
      <c r="Q139" s="631"/>
      <c r="R139" s="631"/>
      <c r="S139" s="631"/>
      <c r="T139" s="631"/>
      <c r="U139" s="631"/>
      <c r="V139" s="71"/>
      <c r="W139" s="71"/>
    </row>
    <row r="140" spans="1:23" ht="13.15" x14ac:dyDescent="0.4">
      <c r="A140" s="17"/>
      <c r="B140" s="13" t="s">
        <v>204</v>
      </c>
      <c r="C140" s="48"/>
      <c r="D140" s="48"/>
      <c r="E140" s="48"/>
      <c r="F140" s="49"/>
      <c r="G140" s="49"/>
      <c r="H140" s="49"/>
      <c r="I140" s="49"/>
      <c r="K140" s="48"/>
      <c r="L140" s="48"/>
      <c r="M140" s="48"/>
      <c r="N140" s="63">
        <f>N136-N139</f>
        <v>69.760000000000005</v>
      </c>
      <c r="O140" s="63">
        <f>O136-O139</f>
        <v>64.389999999999986</v>
      </c>
      <c r="P140" s="48"/>
      <c r="Q140" s="48"/>
      <c r="R140" s="48"/>
      <c r="S140" s="48"/>
      <c r="T140" s="48"/>
      <c r="U140" s="48"/>
      <c r="V140" s="71"/>
      <c r="W140" s="71"/>
    </row>
    <row r="141" spans="1:23" x14ac:dyDescent="0.35">
      <c r="A141" s="15"/>
      <c r="B141" s="92" t="s">
        <v>205</v>
      </c>
      <c r="C141" s="632">
        <v>1</v>
      </c>
      <c r="D141" s="632">
        <v>1</v>
      </c>
      <c r="E141" s="632">
        <v>1</v>
      </c>
      <c r="F141" s="49"/>
      <c r="G141" s="49"/>
      <c r="H141" s="49"/>
      <c r="I141" s="49"/>
      <c r="K141" s="632">
        <v>1</v>
      </c>
      <c r="L141" s="632">
        <v>1</v>
      </c>
      <c r="M141" s="632">
        <v>1</v>
      </c>
      <c r="N141" s="632">
        <v>1</v>
      </c>
      <c r="O141" s="632">
        <v>1</v>
      </c>
      <c r="P141" s="632">
        <v>1</v>
      </c>
      <c r="Q141" s="632">
        <v>1</v>
      </c>
      <c r="R141" s="632">
        <v>1</v>
      </c>
      <c r="S141" s="632">
        <v>1</v>
      </c>
      <c r="T141" s="632">
        <v>1</v>
      </c>
      <c r="U141" s="632">
        <v>1</v>
      </c>
      <c r="V141" s="71"/>
      <c r="W141" s="71"/>
    </row>
    <row r="142" spans="1:23" x14ac:dyDescent="0.35">
      <c r="A142" s="17"/>
      <c r="B142" s="92" t="s">
        <v>206</v>
      </c>
      <c r="C142" s="632">
        <v>1</v>
      </c>
      <c r="D142" s="632">
        <v>1</v>
      </c>
      <c r="E142" s="632">
        <v>1</v>
      </c>
      <c r="F142" s="49"/>
      <c r="G142" s="49"/>
      <c r="H142" s="49"/>
      <c r="I142" s="49"/>
      <c r="K142" s="632">
        <v>1</v>
      </c>
      <c r="L142" s="632">
        <v>1</v>
      </c>
      <c r="M142" s="632">
        <v>1</v>
      </c>
      <c r="N142" s="632">
        <v>1</v>
      </c>
      <c r="O142" s="632">
        <v>1</v>
      </c>
      <c r="P142" s="632">
        <v>1</v>
      </c>
      <c r="Q142" s="632">
        <v>1</v>
      </c>
      <c r="R142" s="632">
        <v>1</v>
      </c>
      <c r="S142" s="632">
        <v>1</v>
      </c>
      <c r="T142" s="632">
        <v>1</v>
      </c>
      <c r="U142" s="632">
        <v>1</v>
      </c>
      <c r="V142" s="71"/>
      <c r="W142" s="71"/>
    </row>
    <row r="143" spans="1:23" ht="13.15" x14ac:dyDescent="0.4">
      <c r="A143" s="17"/>
      <c r="B143" s="13"/>
    </row>
    <row r="144" spans="1:23" x14ac:dyDescent="0.35">
      <c r="A144" s="17"/>
      <c r="B144" s="14"/>
      <c r="G144" s="49"/>
      <c r="O144" s="53"/>
    </row>
    <row r="145" spans="1:11" x14ac:dyDescent="0.35">
      <c r="A145" s="17"/>
      <c r="B145" s="96"/>
      <c r="C145" s="97"/>
      <c r="D145" s="98"/>
      <c r="E145" s="99"/>
      <c r="F145" s="99"/>
      <c r="G145" s="100"/>
      <c r="H145" s="77"/>
    </row>
    <row r="146" spans="1:11" ht="13.15" x14ac:dyDescent="0.4">
      <c r="A146" s="17"/>
      <c r="B146" s="99"/>
      <c r="C146" s="202"/>
      <c r="D146" s="203"/>
      <c r="E146" s="204"/>
      <c r="F146" s="110"/>
      <c r="G146" s="100"/>
      <c r="H146" s="77"/>
      <c r="I146" s="12"/>
      <c r="J146" s="12"/>
    </row>
    <row r="147" spans="1:11" x14ac:dyDescent="0.35">
      <c r="A147" s="17"/>
      <c r="B147" s="99"/>
      <c r="C147" s="103"/>
      <c r="D147" s="104"/>
      <c r="E147" s="105"/>
      <c r="F147" s="110"/>
      <c r="G147" s="100"/>
      <c r="H147" s="77"/>
    </row>
    <row r="148" spans="1:11" x14ac:dyDescent="0.35">
      <c r="A148" s="17"/>
      <c r="B148" s="101"/>
      <c r="C148" s="103"/>
      <c r="D148" s="104"/>
      <c r="E148" s="108"/>
      <c r="F148" s="110"/>
      <c r="G148" s="97"/>
      <c r="H148" s="94"/>
      <c r="I148" s="78"/>
      <c r="J148" s="78"/>
      <c r="K148" s="78"/>
    </row>
    <row r="149" spans="1:11" x14ac:dyDescent="0.35">
      <c r="A149" s="17"/>
      <c r="B149" s="102"/>
      <c r="C149" s="103"/>
      <c r="D149" s="104"/>
      <c r="E149" s="108"/>
      <c r="F149" s="110"/>
      <c r="G149" s="100"/>
      <c r="H149" s="94"/>
      <c r="I149" s="78"/>
      <c r="J149" s="78"/>
    </row>
    <row r="150" spans="1:11" x14ac:dyDescent="0.35">
      <c r="A150" s="17"/>
      <c r="B150" s="102"/>
      <c r="C150" s="106"/>
      <c r="D150" s="104"/>
      <c r="E150" s="109"/>
      <c r="F150" s="111"/>
      <c r="G150" s="97"/>
      <c r="H150" s="94"/>
      <c r="I150" s="78"/>
      <c r="J150" s="78"/>
    </row>
    <row r="151" spans="1:11" x14ac:dyDescent="0.35">
      <c r="A151" s="17"/>
      <c r="B151" s="100"/>
      <c r="C151" s="106"/>
      <c r="D151" s="104"/>
      <c r="E151" s="109"/>
      <c r="F151" s="111"/>
      <c r="G151" s="97"/>
      <c r="H151" s="94"/>
      <c r="I151" s="78"/>
      <c r="J151" s="78"/>
    </row>
    <row r="152" spans="1:11" x14ac:dyDescent="0.35">
      <c r="A152" s="17"/>
      <c r="B152" s="100"/>
      <c r="C152" s="103"/>
      <c r="D152" s="104"/>
      <c r="E152" s="109"/>
      <c r="F152" s="111"/>
      <c r="G152" s="97"/>
      <c r="H152" s="94"/>
      <c r="I152" s="78"/>
      <c r="J152" s="78"/>
    </row>
    <row r="153" spans="1:11" x14ac:dyDescent="0.35">
      <c r="A153" s="17"/>
      <c r="B153" s="100"/>
      <c r="C153" s="103"/>
      <c r="D153" s="107"/>
      <c r="E153" s="109"/>
      <c r="F153" s="111"/>
      <c r="G153" s="97"/>
      <c r="H153" s="94"/>
      <c r="I153" s="78"/>
      <c r="J153" s="78"/>
    </row>
    <row r="154" spans="1:11" x14ac:dyDescent="0.35">
      <c r="A154" s="17"/>
      <c r="B154" s="100"/>
      <c r="C154" s="103"/>
      <c r="D154" s="107"/>
      <c r="E154" s="109"/>
      <c r="F154" s="111"/>
      <c r="G154" s="97"/>
      <c r="H154" s="94"/>
      <c r="I154" s="78"/>
      <c r="J154" s="78"/>
      <c r="K154" s="78"/>
    </row>
    <row r="155" spans="1:11" x14ac:dyDescent="0.35">
      <c r="A155" s="17"/>
      <c r="B155" s="99"/>
      <c r="C155" s="103"/>
      <c r="D155" s="107"/>
      <c r="E155" s="109"/>
      <c r="F155" s="111"/>
      <c r="G155" s="97"/>
      <c r="H155" s="94"/>
      <c r="I155" s="78"/>
      <c r="J155" s="78"/>
    </row>
    <row r="156" spans="1:11" x14ac:dyDescent="0.35">
      <c r="A156" s="17"/>
      <c r="B156" s="101"/>
      <c r="C156" s="103"/>
      <c r="D156" s="107"/>
      <c r="E156" s="109"/>
      <c r="F156" s="111"/>
      <c r="G156" s="97"/>
      <c r="H156" s="94"/>
      <c r="I156" s="78"/>
      <c r="J156" s="78"/>
    </row>
    <row r="157" spans="1:11" x14ac:dyDescent="0.35">
      <c r="A157" s="17"/>
      <c r="B157" s="102"/>
      <c r="C157" s="103"/>
      <c r="D157" s="107"/>
      <c r="E157" s="109"/>
      <c r="F157" s="111"/>
      <c r="G157" s="97"/>
      <c r="H157" s="94"/>
      <c r="I157" s="78"/>
      <c r="J157" s="78"/>
    </row>
    <row r="158" spans="1:11" x14ac:dyDescent="0.35">
      <c r="A158" s="17"/>
      <c r="B158" s="102"/>
      <c r="C158" s="103"/>
      <c r="D158" s="107"/>
      <c r="E158" s="109"/>
      <c r="F158" s="111"/>
      <c r="G158" s="97"/>
      <c r="H158" s="94"/>
      <c r="I158" s="78"/>
      <c r="J158" s="78"/>
      <c r="K158" s="78"/>
    </row>
    <row r="159" spans="1:11" x14ac:dyDescent="0.35">
      <c r="A159" s="17"/>
      <c r="B159" s="99"/>
      <c r="C159" s="103"/>
      <c r="D159" s="107"/>
      <c r="E159" s="109"/>
      <c r="F159" s="111"/>
      <c r="G159" s="97"/>
      <c r="H159" s="94"/>
      <c r="I159" s="78"/>
      <c r="J159" s="78"/>
      <c r="K159" s="78"/>
    </row>
    <row r="160" spans="1:11" x14ac:dyDescent="0.35">
      <c r="A160" s="17"/>
      <c r="B160" s="99"/>
      <c r="C160" s="103"/>
      <c r="D160" s="107"/>
      <c r="E160" s="109"/>
      <c r="F160" s="111"/>
      <c r="G160" s="97"/>
      <c r="H160" s="77"/>
      <c r="I160" s="78"/>
      <c r="J160" s="78"/>
      <c r="K160" s="78"/>
    </row>
    <row r="161" spans="1:15" x14ac:dyDescent="0.35">
      <c r="A161" s="17"/>
      <c r="B161" s="99"/>
      <c r="C161" s="103"/>
      <c r="D161" s="107"/>
      <c r="E161" s="109"/>
      <c r="F161" s="111"/>
      <c r="G161" s="100"/>
      <c r="H161" s="77"/>
    </row>
    <row r="162" spans="1:15" x14ac:dyDescent="0.35">
      <c r="A162" s="17"/>
      <c r="B162" s="99"/>
      <c r="C162" s="103"/>
      <c r="D162" s="107"/>
      <c r="E162" s="109"/>
      <c r="F162" s="111"/>
      <c r="G162" s="100"/>
    </row>
    <row r="163" spans="1:15" customFormat="1" ht="13.15" x14ac:dyDescent="0.4">
      <c r="A163" s="17"/>
      <c r="B163" s="252"/>
      <c r="C163" s="248"/>
      <c r="D163" s="251"/>
      <c r="E163" s="249"/>
      <c r="F163" s="250"/>
      <c r="G163" s="237"/>
    </row>
    <row r="164" spans="1:15" customFormat="1" ht="13.15" x14ac:dyDescent="0.4">
      <c r="A164" s="17"/>
      <c r="B164" s="245"/>
      <c r="C164" s="251"/>
      <c r="D164" s="247"/>
      <c r="E164" s="249"/>
      <c r="F164" s="250"/>
      <c r="H164" s="1"/>
      <c r="I164" s="234"/>
      <c r="J164" s="234"/>
    </row>
    <row r="165" spans="1:15" customFormat="1" x14ac:dyDescent="0.35">
      <c r="A165" s="17"/>
      <c r="B165" s="2"/>
      <c r="C165" s="251"/>
      <c r="D165" s="247"/>
      <c r="E165" s="249"/>
      <c r="F165" s="250"/>
    </row>
    <row r="166" spans="1:15" customFormat="1" x14ac:dyDescent="0.35">
      <c r="A166" s="17"/>
      <c r="C166" s="251"/>
      <c r="D166" s="247"/>
      <c r="E166" s="249"/>
      <c r="F166" s="250"/>
      <c r="H166" s="253"/>
    </row>
    <row r="167" spans="1:15" customFormat="1" x14ac:dyDescent="0.35">
      <c r="A167" s="17"/>
      <c r="C167" s="254"/>
      <c r="D167" s="255"/>
      <c r="E167" s="249"/>
      <c r="F167" s="250"/>
      <c r="H167" s="240"/>
      <c r="I167" s="256"/>
      <c r="J167" s="256"/>
      <c r="K167" s="241"/>
      <c r="O167" s="257"/>
    </row>
    <row r="168" spans="1:15" customFormat="1" x14ac:dyDescent="0.35">
      <c r="A168" s="17"/>
      <c r="B168" s="235"/>
      <c r="C168" s="8"/>
      <c r="D168" s="238"/>
      <c r="E168" s="258"/>
      <c r="F168" s="250"/>
      <c r="H168" s="240"/>
      <c r="I168" s="256"/>
      <c r="J168" s="256"/>
      <c r="K168" s="241"/>
    </row>
    <row r="169" spans="1:15" customFormat="1" ht="13.15" x14ac:dyDescent="0.4">
      <c r="A169" s="17"/>
      <c r="B169" s="259"/>
      <c r="C169" s="8"/>
      <c r="D169" s="238"/>
      <c r="E169" s="260"/>
      <c r="F169" s="250"/>
      <c r="H169" s="240"/>
      <c r="I169" s="256"/>
      <c r="J169" s="256"/>
      <c r="K169" s="241"/>
    </row>
    <row r="170" spans="1:15" customFormat="1" ht="13.15" x14ac:dyDescent="0.4">
      <c r="A170" s="17"/>
      <c r="B170" s="259"/>
      <c r="C170" s="8"/>
      <c r="D170" s="261"/>
      <c r="E170" s="262"/>
      <c r="F170" s="246"/>
    </row>
    <row r="171" spans="1:15" customFormat="1" ht="13.15" x14ac:dyDescent="0.4">
      <c r="A171" s="17"/>
      <c r="C171" s="8"/>
      <c r="D171" s="261"/>
      <c r="E171" s="260"/>
      <c r="F171" s="263"/>
      <c r="H171" s="253"/>
      <c r="I171" s="264"/>
      <c r="J171" s="264"/>
      <c r="K171" s="241"/>
    </row>
    <row r="172" spans="1:15" customFormat="1" x14ac:dyDescent="0.35">
      <c r="A172" s="17"/>
      <c r="B172" s="235"/>
      <c r="C172" s="265"/>
      <c r="D172" s="237"/>
      <c r="E172" s="258"/>
      <c r="H172" s="240"/>
      <c r="I172" s="256"/>
      <c r="J172" s="256"/>
      <c r="K172" s="241"/>
    </row>
    <row r="173" spans="1:15" customFormat="1" ht="13.15" x14ac:dyDescent="0.4">
      <c r="A173" s="17"/>
      <c r="B173" s="259"/>
      <c r="C173" s="265"/>
      <c r="D173" s="237"/>
      <c r="E173" s="260"/>
    </row>
    <row r="174" spans="1:15" customFormat="1" x14ac:dyDescent="0.35">
      <c r="A174" s="17"/>
      <c r="B174" s="259"/>
      <c r="C174" s="265"/>
      <c r="D174" s="237"/>
      <c r="E174" s="258"/>
    </row>
    <row r="175" spans="1:15" customFormat="1" x14ac:dyDescent="0.35">
      <c r="A175" s="17"/>
      <c r="B175" s="259"/>
      <c r="C175" s="265"/>
      <c r="D175" s="237"/>
      <c r="E175" s="258"/>
    </row>
    <row r="176" spans="1:15" customFormat="1" x14ac:dyDescent="0.35">
      <c r="A176" s="17"/>
      <c r="C176" s="265"/>
      <c r="D176" s="237"/>
      <c r="E176" s="258"/>
    </row>
    <row r="177" spans="1:7" customFormat="1" x14ac:dyDescent="0.35">
      <c r="A177" s="17"/>
      <c r="C177" s="265"/>
      <c r="D177" s="237"/>
      <c r="E177" s="258"/>
    </row>
    <row r="178" spans="1:7" customFormat="1" x14ac:dyDescent="0.35">
      <c r="A178" s="17"/>
      <c r="B178" s="266"/>
      <c r="C178" s="265"/>
      <c r="D178" s="237"/>
      <c r="E178" s="258"/>
    </row>
    <row r="179" spans="1:7" customFormat="1" x14ac:dyDescent="0.35">
      <c r="A179" s="17"/>
      <c r="B179" s="235"/>
      <c r="C179" s="265"/>
      <c r="D179" s="237"/>
      <c r="E179" s="258"/>
    </row>
    <row r="180" spans="1:7" customFormat="1" x14ac:dyDescent="0.35">
      <c r="A180" s="17"/>
      <c r="B180" s="259"/>
      <c r="C180" s="265"/>
      <c r="D180" s="237"/>
      <c r="E180" s="258"/>
    </row>
    <row r="181" spans="1:7" customFormat="1" x14ac:dyDescent="0.35">
      <c r="A181" s="17"/>
      <c r="B181" s="259"/>
      <c r="C181" s="265"/>
      <c r="D181" s="237"/>
      <c r="E181" s="258"/>
    </row>
    <row r="182" spans="1:7" customFormat="1" x14ac:dyDescent="0.35">
      <c r="A182" s="17"/>
      <c r="C182" s="265"/>
      <c r="D182" s="237"/>
      <c r="E182" s="258"/>
    </row>
    <row r="183" spans="1:7" customFormat="1" x14ac:dyDescent="0.35">
      <c r="A183" s="17"/>
      <c r="B183" s="235"/>
      <c r="C183" s="237"/>
      <c r="D183" s="237"/>
    </row>
    <row r="184" spans="1:7" customFormat="1" x14ac:dyDescent="0.35">
      <c r="A184" s="17"/>
      <c r="B184" s="259"/>
      <c r="C184" s="237"/>
      <c r="D184" s="237"/>
    </row>
    <row r="185" spans="1:7" customFormat="1" x14ac:dyDescent="0.35">
      <c r="A185" s="17"/>
      <c r="B185" s="259"/>
      <c r="C185" s="237"/>
      <c r="D185" s="237"/>
    </row>
    <row r="186" spans="1:7" customFormat="1" x14ac:dyDescent="0.35">
      <c r="A186" s="17"/>
      <c r="B186" s="259"/>
      <c r="C186" s="237"/>
      <c r="D186" s="237"/>
    </row>
    <row r="187" spans="1:7" customFormat="1" x14ac:dyDescent="0.35">
      <c r="A187" s="17"/>
      <c r="C187" s="237"/>
      <c r="D187" s="237"/>
    </row>
    <row r="188" spans="1:7" customFormat="1" x14ac:dyDescent="0.35">
      <c r="A188" s="17"/>
      <c r="C188" s="237"/>
      <c r="D188" s="237"/>
    </row>
    <row r="189" spans="1:7" customFormat="1" ht="13.15" x14ac:dyDescent="0.4">
      <c r="A189" s="17"/>
      <c r="B189" s="1"/>
      <c r="C189" s="237"/>
      <c r="D189" s="237"/>
    </row>
    <row r="190" spans="1:7" customFormat="1" x14ac:dyDescent="0.35">
      <c r="A190" s="17"/>
      <c r="B190" s="240"/>
      <c r="C190" s="237"/>
      <c r="D190" s="237"/>
    </row>
    <row r="191" spans="1:7" customFormat="1" x14ac:dyDescent="0.35">
      <c r="A191" s="17"/>
      <c r="C191" s="237"/>
      <c r="D191" s="237"/>
    </row>
    <row r="192" spans="1:7" customFormat="1" x14ac:dyDescent="0.35">
      <c r="A192" s="17"/>
      <c r="C192" s="267"/>
      <c r="D192" s="267"/>
      <c r="G192" s="268"/>
    </row>
    <row r="193" spans="1:13" customFormat="1" x14ac:dyDescent="0.35">
      <c r="A193" s="15"/>
      <c r="C193" s="237"/>
      <c r="D193" s="237"/>
    </row>
    <row r="194" spans="1:13" customFormat="1" x14ac:dyDescent="0.35">
      <c r="A194" s="17"/>
      <c r="C194" s="269"/>
    </row>
    <row r="195" spans="1:13" customFormat="1" ht="13.15" x14ac:dyDescent="0.4">
      <c r="A195" s="17"/>
      <c r="B195" s="1"/>
      <c r="C195" s="240"/>
      <c r="D195" s="243"/>
    </row>
    <row r="196" spans="1:13" customFormat="1" ht="13.15" x14ac:dyDescent="0.4">
      <c r="A196" s="17"/>
      <c r="B196" s="1"/>
      <c r="C196" s="240"/>
      <c r="D196" s="243"/>
    </row>
    <row r="197" spans="1:13" customFormat="1" ht="13.15" x14ac:dyDescent="0.4">
      <c r="A197" s="17"/>
      <c r="B197" s="1"/>
    </row>
    <row r="198" spans="1:13" customFormat="1" ht="13.15" x14ac:dyDescent="0.4">
      <c r="A198" s="17"/>
      <c r="B198" s="2"/>
      <c r="E198" s="264"/>
      <c r="H198" s="234"/>
      <c r="I198" s="234"/>
      <c r="J198" s="234"/>
    </row>
    <row r="199" spans="1:13" customFormat="1" ht="13.15" x14ac:dyDescent="0.4">
      <c r="A199" s="17"/>
      <c r="B199" s="1"/>
    </row>
    <row r="200" spans="1:13" customFormat="1" ht="13.15" x14ac:dyDescent="0.4">
      <c r="A200" s="17"/>
      <c r="H200" s="5"/>
      <c r="I200" s="89"/>
      <c r="J200" s="89"/>
      <c r="K200" s="90"/>
      <c r="L200" s="90"/>
      <c r="M200" s="90"/>
    </row>
    <row r="201" spans="1:13" customFormat="1" x14ac:dyDescent="0.35">
      <c r="A201" s="17"/>
      <c r="H201" s="89"/>
      <c r="I201" s="10"/>
      <c r="J201" s="91"/>
      <c r="K201" s="90"/>
      <c r="L201" s="90"/>
      <c r="M201" s="90"/>
    </row>
    <row r="202" spans="1:13" customFormat="1" ht="13.15" x14ac:dyDescent="0.4">
      <c r="A202" s="17"/>
      <c r="B202" s="235"/>
      <c r="G202" s="234"/>
      <c r="H202" s="270"/>
      <c r="I202" s="10"/>
      <c r="J202" s="91"/>
      <c r="K202" s="271"/>
      <c r="L202" s="90"/>
      <c r="M202" s="90"/>
    </row>
    <row r="203" spans="1:13" customFormat="1" ht="13.15" x14ac:dyDescent="0.4">
      <c r="A203" s="17"/>
      <c r="B203" s="259"/>
      <c r="G203" s="234"/>
      <c r="L203" s="90"/>
      <c r="M203" s="90"/>
    </row>
    <row r="204" spans="1:13" customFormat="1" ht="13.15" x14ac:dyDescent="0.4">
      <c r="A204" s="17"/>
      <c r="B204" s="259"/>
      <c r="C204" s="234"/>
      <c r="D204" s="234"/>
      <c r="E204" s="234"/>
      <c r="F204" s="234"/>
      <c r="G204" s="5"/>
      <c r="H204" s="90"/>
      <c r="I204" s="90"/>
      <c r="J204" s="90"/>
      <c r="K204" s="90"/>
      <c r="L204" s="90"/>
      <c r="M204" s="90"/>
    </row>
    <row r="205" spans="1:13" customFormat="1" ht="13.15" x14ac:dyDescent="0.4">
      <c r="A205" s="15"/>
      <c r="C205" s="234"/>
      <c r="D205" s="234"/>
      <c r="E205" s="234"/>
      <c r="F205" s="234"/>
      <c r="G205" s="89"/>
      <c r="H205" s="90"/>
      <c r="I205" s="90"/>
      <c r="J205" s="90"/>
      <c r="K205" s="90"/>
      <c r="L205" s="90"/>
      <c r="M205" s="90"/>
    </row>
    <row r="206" spans="1:13" customFormat="1" ht="13.15" x14ac:dyDescent="0.4">
      <c r="A206" s="15"/>
      <c r="B206" s="272"/>
      <c r="E206" s="89"/>
      <c r="F206" s="5"/>
      <c r="G206" s="89"/>
      <c r="H206" s="90"/>
      <c r="I206" s="90"/>
      <c r="J206" s="90"/>
      <c r="K206" s="90"/>
      <c r="L206" s="90"/>
      <c r="M206" s="90"/>
    </row>
    <row r="207" spans="1:13" customFormat="1" ht="13.15" x14ac:dyDescent="0.4">
      <c r="A207" s="17"/>
      <c r="B207" s="272"/>
      <c r="C207" s="3"/>
      <c r="D207" s="90"/>
      <c r="E207" s="5"/>
      <c r="F207" s="89"/>
      <c r="G207" s="90"/>
      <c r="H207" s="90"/>
      <c r="I207" s="90"/>
      <c r="J207" s="90"/>
      <c r="K207" s="90"/>
      <c r="L207" s="90"/>
      <c r="M207" s="90"/>
    </row>
    <row r="208" spans="1:13" customFormat="1" ht="13.15" x14ac:dyDescent="0.4">
      <c r="A208" s="17"/>
      <c r="B208" s="272"/>
      <c r="C208" s="3"/>
      <c r="D208" s="90"/>
      <c r="E208" s="5"/>
      <c r="F208" s="89"/>
      <c r="G208" s="90"/>
      <c r="H208" s="90"/>
      <c r="I208" s="90"/>
      <c r="J208" s="90"/>
      <c r="K208" s="90"/>
      <c r="L208" s="90"/>
      <c r="M208" s="90"/>
    </row>
    <row r="209" spans="1:13" customFormat="1" ht="13.15" x14ac:dyDescent="0.4">
      <c r="A209" s="17"/>
      <c r="E209" s="3"/>
      <c r="F209" s="90"/>
      <c r="G209" s="90"/>
      <c r="H209" s="90"/>
      <c r="I209" s="90"/>
      <c r="J209" s="90"/>
      <c r="K209" s="90"/>
      <c r="L209" s="90"/>
      <c r="M209" s="90"/>
    </row>
    <row r="210" spans="1:13" customFormat="1" ht="13.15" x14ac:dyDescent="0.4">
      <c r="A210" s="17"/>
      <c r="C210" s="5"/>
      <c r="D210" s="5"/>
      <c r="E210" s="3"/>
      <c r="F210" s="90"/>
      <c r="G210" s="90"/>
      <c r="H210" s="5"/>
      <c r="I210" s="89"/>
      <c r="J210" s="89"/>
      <c r="K210" s="90"/>
      <c r="L210" s="90"/>
      <c r="M210" s="90"/>
    </row>
    <row r="211" spans="1:13" customFormat="1" ht="13.15" x14ac:dyDescent="0.4">
      <c r="A211" s="17"/>
      <c r="C211" s="273"/>
      <c r="D211" s="273"/>
      <c r="E211" s="8"/>
      <c r="F211" s="90"/>
      <c r="G211" s="90"/>
      <c r="H211" s="90"/>
      <c r="J211" s="91"/>
      <c r="K211" s="90"/>
      <c r="L211" s="90"/>
      <c r="M211" s="90"/>
    </row>
    <row r="212" spans="1:13" customFormat="1" ht="13.15" x14ac:dyDescent="0.4">
      <c r="A212" s="17"/>
      <c r="B212" s="235"/>
      <c r="C212" s="273"/>
      <c r="D212" s="273"/>
      <c r="E212" s="8"/>
      <c r="F212" s="90"/>
      <c r="J212" s="91"/>
      <c r="K212" s="271"/>
      <c r="L212" s="90"/>
      <c r="M212" s="90"/>
    </row>
    <row r="213" spans="1:13" customFormat="1" x14ac:dyDescent="0.35">
      <c r="A213" s="17"/>
      <c r="B213" s="259"/>
      <c r="G213" s="90"/>
      <c r="K213" s="90"/>
      <c r="L213" s="90"/>
      <c r="M213" s="90"/>
    </row>
    <row r="214" spans="1:13" customFormat="1" ht="13.15" x14ac:dyDescent="0.4">
      <c r="A214" s="17"/>
      <c r="B214" s="259"/>
      <c r="G214" s="5"/>
      <c r="H214" s="89"/>
      <c r="I214" s="89"/>
      <c r="J214" s="89"/>
      <c r="K214" s="90"/>
      <c r="L214" s="90"/>
      <c r="M214" s="90"/>
    </row>
    <row r="215" spans="1:13" customFormat="1" x14ac:dyDescent="0.35">
      <c r="A215" s="17"/>
      <c r="C215" s="90"/>
      <c r="D215" s="90"/>
      <c r="E215" s="90"/>
      <c r="F215" s="90"/>
      <c r="G215" s="90"/>
    </row>
    <row r="216" spans="1:13" customFormat="1" ht="13.15" x14ac:dyDescent="0.4">
      <c r="A216" s="17"/>
      <c r="C216" s="5"/>
      <c r="D216" s="5"/>
      <c r="E216" s="89"/>
      <c r="F216" s="5"/>
      <c r="G216" s="90"/>
    </row>
    <row r="217" spans="1:13" customFormat="1" ht="13.15" x14ac:dyDescent="0.4">
      <c r="A217" s="17"/>
      <c r="C217" s="90"/>
      <c r="D217" s="90"/>
      <c r="E217" s="5"/>
      <c r="F217" s="90"/>
      <c r="G217" s="90"/>
    </row>
    <row r="218" spans="1:13" customFormat="1" ht="13.15" x14ac:dyDescent="0.4">
      <c r="A218" s="17"/>
      <c r="C218" s="90"/>
      <c r="D218" s="90"/>
      <c r="E218" s="5"/>
      <c r="F218" s="90"/>
      <c r="G218" s="89"/>
    </row>
    <row r="219" spans="1:13" customFormat="1" ht="13.15" x14ac:dyDescent="0.4">
      <c r="A219" s="17"/>
      <c r="B219" s="1"/>
      <c r="C219" s="90"/>
      <c r="D219" s="90"/>
      <c r="E219" s="90"/>
      <c r="F219" s="90"/>
    </row>
    <row r="220" spans="1:13" customFormat="1" ht="13.15" x14ac:dyDescent="0.4">
      <c r="A220" s="17"/>
      <c r="B220" s="2"/>
      <c r="C220" s="89"/>
      <c r="D220" s="89"/>
      <c r="E220" s="89"/>
      <c r="F220" s="89"/>
      <c r="H220" s="1"/>
    </row>
    <row r="221" spans="1:13" customFormat="1" x14ac:dyDescent="0.35">
      <c r="A221" s="17"/>
      <c r="B221" s="10"/>
    </row>
    <row r="222" spans="1:13" customFormat="1" x14ac:dyDescent="0.35">
      <c r="A222" s="17"/>
      <c r="H222" s="253"/>
    </row>
    <row r="223" spans="1:13" customFormat="1" x14ac:dyDescent="0.35">
      <c r="A223" s="17"/>
      <c r="H223" s="240"/>
      <c r="I223" s="274"/>
      <c r="J223" s="274"/>
      <c r="K223" s="241"/>
    </row>
    <row r="224" spans="1:13" customFormat="1" x14ac:dyDescent="0.35">
      <c r="A224" s="17"/>
      <c r="B224" s="235"/>
      <c r="H224" s="240"/>
      <c r="I224" s="274"/>
      <c r="J224" s="274"/>
      <c r="K224" s="241"/>
    </row>
    <row r="225" spans="1:11" customFormat="1" x14ac:dyDescent="0.35">
      <c r="A225" s="17"/>
      <c r="B225" s="259"/>
      <c r="H225" s="240"/>
      <c r="I225" s="274"/>
      <c r="J225" s="274"/>
      <c r="K225" s="241"/>
    </row>
    <row r="226" spans="1:11" customFormat="1" ht="13.15" x14ac:dyDescent="0.4">
      <c r="A226" s="17"/>
      <c r="B226" s="259"/>
      <c r="C226" s="234"/>
      <c r="D226" s="234"/>
      <c r="E226" s="234"/>
      <c r="F226" s="234"/>
    </row>
    <row r="227" spans="1:11" customFormat="1" ht="13.15" x14ac:dyDescent="0.4">
      <c r="A227" s="17"/>
      <c r="C227" s="234"/>
      <c r="D227" s="275"/>
      <c r="E227" s="234"/>
      <c r="F227" s="275"/>
      <c r="H227" s="253"/>
      <c r="I227" s="264"/>
      <c r="J227" s="264"/>
    </row>
    <row r="228" spans="1:11" customFormat="1" ht="13.15" x14ac:dyDescent="0.4">
      <c r="A228" s="17"/>
      <c r="B228" s="235"/>
      <c r="C228" s="5"/>
      <c r="D228" s="271"/>
      <c r="E228" s="270"/>
      <c r="F228" s="270"/>
      <c r="H228" s="240"/>
      <c r="I228" s="274"/>
      <c r="J228" s="274"/>
      <c r="K228" s="241"/>
    </row>
    <row r="229" spans="1:11" customFormat="1" ht="13.15" x14ac:dyDescent="0.4">
      <c r="A229" s="17"/>
      <c r="B229" s="259"/>
      <c r="C229" s="89"/>
      <c r="D229" s="271"/>
      <c r="E229" s="5"/>
      <c r="F229" s="271"/>
    </row>
    <row r="230" spans="1:11" customFormat="1" ht="13.15" x14ac:dyDescent="0.4">
      <c r="A230" s="17"/>
      <c r="B230" s="259"/>
      <c r="C230" s="89"/>
      <c r="D230" s="271"/>
      <c r="E230" s="5"/>
      <c r="F230" s="271"/>
    </row>
    <row r="231" spans="1:11" customFormat="1" ht="13.15" x14ac:dyDescent="0.4">
      <c r="A231" s="17"/>
      <c r="C231" s="89"/>
      <c r="D231" s="271"/>
      <c r="E231" s="89"/>
      <c r="F231" s="271"/>
    </row>
    <row r="232" spans="1:11" customFormat="1" ht="13.15" x14ac:dyDescent="0.4">
      <c r="A232" s="17"/>
      <c r="C232" s="5"/>
      <c r="D232" s="271"/>
      <c r="E232" s="5"/>
      <c r="F232" s="271"/>
    </row>
    <row r="233" spans="1:11" customFormat="1" ht="13.15" x14ac:dyDescent="0.4">
      <c r="A233" s="190"/>
      <c r="C233" s="89"/>
      <c r="D233" s="270"/>
      <c r="E233" s="5"/>
      <c r="F233" s="271"/>
    </row>
    <row r="234" spans="1:11" customFormat="1" ht="13.15" x14ac:dyDescent="0.4">
      <c r="A234" s="13"/>
      <c r="C234" s="89"/>
      <c r="D234" s="270"/>
      <c r="E234" s="5"/>
      <c r="F234" s="271"/>
    </row>
    <row r="235" spans="1:11" customFormat="1" x14ac:dyDescent="0.35">
      <c r="A235" s="17"/>
      <c r="C235" s="89"/>
      <c r="D235" s="270"/>
      <c r="E235" s="89"/>
      <c r="F235" s="270"/>
    </row>
    <row r="236" spans="1:11" customFormat="1" x14ac:dyDescent="0.35">
      <c r="A236" s="17"/>
      <c r="C236" s="89"/>
      <c r="D236" s="270"/>
      <c r="E236" s="89"/>
      <c r="F236" s="270"/>
    </row>
    <row r="237" spans="1:11" customFormat="1" x14ac:dyDescent="0.35">
      <c r="A237" s="17"/>
      <c r="B237" s="240"/>
      <c r="C237" s="90"/>
      <c r="E237" s="90"/>
    </row>
    <row r="238" spans="1:11" customFormat="1" x14ac:dyDescent="0.35">
      <c r="A238" s="17"/>
      <c r="B238" s="240"/>
      <c r="C238" s="90"/>
      <c r="E238" s="90"/>
    </row>
    <row r="239" spans="1:11" customFormat="1" x14ac:dyDescent="0.35">
      <c r="A239" s="17"/>
      <c r="B239" s="240"/>
    </row>
    <row r="240" spans="1:11" customFormat="1" x14ac:dyDescent="0.35">
      <c r="A240" s="17"/>
      <c r="B240" s="240"/>
      <c r="E240" s="238"/>
    </row>
    <row r="241" spans="1:13" customFormat="1" x14ac:dyDescent="0.35">
      <c r="A241" s="17"/>
      <c r="B241" s="240"/>
      <c r="C241" s="244"/>
      <c r="D241" s="241"/>
      <c r="E241" s="233"/>
    </row>
    <row r="242" spans="1:13" customFormat="1" x14ac:dyDescent="0.35">
      <c r="A242" s="17"/>
      <c r="B242" s="240"/>
      <c r="C242" s="244"/>
      <c r="D242" s="241"/>
      <c r="E242" s="233"/>
    </row>
    <row r="243" spans="1:13" customFormat="1" x14ac:dyDescent="0.35">
      <c r="A243" s="17"/>
      <c r="B243" s="240"/>
    </row>
    <row r="244" spans="1:13" customFormat="1" x14ac:dyDescent="0.35">
      <c r="A244" s="17"/>
      <c r="B244" s="240"/>
      <c r="C244" s="244"/>
      <c r="D244" s="241"/>
      <c r="E244" s="242"/>
    </row>
    <row r="245" spans="1:13" customFormat="1" x14ac:dyDescent="0.35">
      <c r="A245" s="17"/>
      <c r="B245" s="240"/>
      <c r="C245" s="258"/>
      <c r="E245" s="242"/>
    </row>
    <row r="246" spans="1:13" customFormat="1" x14ac:dyDescent="0.35">
      <c r="A246" s="17"/>
      <c r="B246" s="240"/>
      <c r="C246" s="258"/>
      <c r="E246" s="242"/>
    </row>
    <row r="247" spans="1:13" customFormat="1" x14ac:dyDescent="0.35">
      <c r="A247" s="17"/>
      <c r="B247" s="240"/>
      <c r="C247" s="276"/>
    </row>
    <row r="248" spans="1:13" customFormat="1" x14ac:dyDescent="0.35">
      <c r="A248" s="190"/>
      <c r="B248" s="240"/>
      <c r="C248" s="10"/>
    </row>
    <row r="249" spans="1:13" customFormat="1" x14ac:dyDescent="0.35">
      <c r="A249" s="190"/>
      <c r="B249" s="240"/>
      <c r="C249" s="8"/>
    </row>
    <row r="250" spans="1:13" customFormat="1" x14ac:dyDescent="0.35">
      <c r="A250" s="17"/>
      <c r="C250" s="233"/>
    </row>
    <row r="251" spans="1:13" customFormat="1" x14ac:dyDescent="0.35">
      <c r="A251" s="17"/>
      <c r="B251" s="240"/>
    </row>
    <row r="252" spans="1:13" customFormat="1" x14ac:dyDescent="0.35">
      <c r="A252" s="17"/>
    </row>
    <row r="253" spans="1:13" customFormat="1" x14ac:dyDescent="0.35">
      <c r="A253" s="15"/>
    </row>
    <row r="254" spans="1:13" customFormat="1" x14ac:dyDescent="0.35">
      <c r="A254" s="17"/>
    </row>
    <row r="255" spans="1:13" customFormat="1" ht="13.15" x14ac:dyDescent="0.4">
      <c r="A255" s="17"/>
      <c r="B255" s="1"/>
      <c r="H255" s="234"/>
      <c r="I255" s="234"/>
      <c r="J255" s="234"/>
      <c r="K255" s="234"/>
      <c r="L255" s="234"/>
      <c r="M255" s="234"/>
    </row>
    <row r="256" spans="1:13" customFormat="1" ht="13.15" x14ac:dyDescent="0.4">
      <c r="A256" s="17"/>
      <c r="B256" s="1"/>
      <c r="C256" s="90"/>
      <c r="E256" s="90"/>
    </row>
    <row r="257" spans="1:13" customFormat="1" x14ac:dyDescent="0.35">
      <c r="A257" s="17"/>
      <c r="C257" s="90"/>
      <c r="E257" s="90"/>
      <c r="H257" s="269"/>
      <c r="I257" s="269"/>
      <c r="J257" s="269"/>
      <c r="K257" s="269"/>
      <c r="L257" s="269"/>
      <c r="M257" s="269"/>
    </row>
    <row r="258" spans="1:13" customFormat="1" x14ac:dyDescent="0.35">
      <c r="A258" s="17"/>
      <c r="C258" s="90"/>
      <c r="E258" s="90"/>
      <c r="H258" s="269"/>
      <c r="I258" s="269"/>
      <c r="J258" s="269"/>
      <c r="K258" s="269"/>
      <c r="L258" s="269"/>
      <c r="M258" s="269"/>
    </row>
    <row r="259" spans="1:13" customFormat="1" ht="13.15" x14ac:dyDescent="0.4">
      <c r="A259" s="17"/>
      <c r="B259" s="236"/>
      <c r="G259" s="234"/>
      <c r="H259" s="268"/>
      <c r="I259" s="268"/>
      <c r="J259" s="269"/>
      <c r="K259" s="269"/>
      <c r="L259" s="269"/>
      <c r="M259" s="269"/>
    </row>
    <row r="260" spans="1:13" customFormat="1" x14ac:dyDescent="0.35">
      <c r="A260" s="17"/>
      <c r="B260" s="236"/>
    </row>
    <row r="261" spans="1:13" customFormat="1" ht="13.15" x14ac:dyDescent="0.4">
      <c r="A261" s="17"/>
      <c r="B261" s="236"/>
      <c r="C261" s="234"/>
      <c r="D261" s="234"/>
      <c r="E261" s="234"/>
      <c r="F261" s="234"/>
      <c r="G261" s="269"/>
    </row>
    <row r="262" spans="1:13" customFormat="1" x14ac:dyDescent="0.35">
      <c r="A262" s="17"/>
      <c r="B262" s="236"/>
      <c r="G262" s="269"/>
      <c r="H262" s="277"/>
      <c r="I262" s="277"/>
      <c r="J262" s="277"/>
      <c r="K262" s="277"/>
      <c r="L262" s="277"/>
      <c r="M262" s="277"/>
    </row>
    <row r="263" spans="1:13" customFormat="1" x14ac:dyDescent="0.35">
      <c r="A263" s="17"/>
      <c r="C263" s="278"/>
      <c r="D263" s="278"/>
      <c r="E263" s="269"/>
      <c r="F263" s="269"/>
      <c r="G263" s="268"/>
      <c r="H263" s="277"/>
      <c r="I263" s="277"/>
      <c r="J263" s="277"/>
      <c r="K263" s="277"/>
      <c r="L263" s="277"/>
      <c r="M263" s="277"/>
    </row>
    <row r="264" spans="1:13" customFormat="1" x14ac:dyDescent="0.35">
      <c r="A264" s="17"/>
      <c r="B264" s="236"/>
      <c r="C264" s="269"/>
      <c r="D264" s="269"/>
      <c r="E264" s="269"/>
      <c r="F264" s="269"/>
    </row>
    <row r="265" spans="1:13" customFormat="1" x14ac:dyDescent="0.35">
      <c r="A265" s="17"/>
      <c r="B265" s="236"/>
      <c r="C265" s="268"/>
      <c r="D265" s="268"/>
      <c r="E265" s="268"/>
      <c r="F265" s="268"/>
    </row>
    <row r="266" spans="1:13" customFormat="1" x14ac:dyDescent="0.35">
      <c r="A266" s="17"/>
      <c r="G266" s="277"/>
    </row>
    <row r="267" spans="1:13" customFormat="1" x14ac:dyDescent="0.35">
      <c r="A267" s="17"/>
      <c r="G267" s="277"/>
    </row>
    <row r="268" spans="1:13" customFormat="1" x14ac:dyDescent="0.35">
      <c r="A268" s="17"/>
      <c r="B268" s="236"/>
      <c r="C268" s="277"/>
      <c r="D268" s="277"/>
      <c r="E268" s="277"/>
      <c r="F268" s="277"/>
    </row>
    <row r="269" spans="1:13" customFormat="1" x14ac:dyDescent="0.35">
      <c r="A269" s="17"/>
      <c r="B269" s="236"/>
      <c r="C269" s="277"/>
      <c r="D269" s="277"/>
      <c r="E269" s="277"/>
      <c r="F269" s="277"/>
      <c r="L269" s="279"/>
    </row>
    <row r="270" spans="1:13" customFormat="1" x14ac:dyDescent="0.35">
      <c r="A270" s="17"/>
      <c r="B270" s="236"/>
      <c r="K270" s="236"/>
    </row>
    <row r="271" spans="1:13" customFormat="1" ht="13.15" x14ac:dyDescent="0.4">
      <c r="A271" s="17"/>
      <c r="K271" s="236"/>
      <c r="L271" s="239"/>
      <c r="M271" s="280"/>
    </row>
    <row r="272" spans="1:13" customFormat="1" ht="13.15" x14ac:dyDescent="0.4">
      <c r="A272" s="17"/>
      <c r="C272" s="281"/>
      <c r="K272" s="236"/>
      <c r="L272" s="239"/>
      <c r="M272" s="280"/>
    </row>
    <row r="273" spans="1:12" customFormat="1" x14ac:dyDescent="0.35">
      <c r="A273" s="17"/>
      <c r="B273" s="236"/>
      <c r="C273" s="281"/>
    </row>
    <row r="274" spans="1:12" customFormat="1" x14ac:dyDescent="0.35">
      <c r="A274" s="17"/>
      <c r="B274" s="236"/>
      <c r="C274" s="268"/>
      <c r="D274" s="257"/>
    </row>
    <row r="275" spans="1:12" customFormat="1" x14ac:dyDescent="0.35">
      <c r="A275" s="15"/>
    </row>
    <row r="276" spans="1:12" customFormat="1" x14ac:dyDescent="0.35">
      <c r="A276" s="17"/>
    </row>
    <row r="277" spans="1:12" customFormat="1" ht="13.15" x14ac:dyDescent="0.4">
      <c r="A277" s="17"/>
      <c r="B277" s="1"/>
      <c r="C277" s="277"/>
      <c r="E277" s="238"/>
    </row>
    <row r="278" spans="1:12" customFormat="1" x14ac:dyDescent="0.35">
      <c r="A278" s="17"/>
      <c r="C278" s="277"/>
      <c r="E278" s="238"/>
    </row>
    <row r="279" spans="1:12" customFormat="1" x14ac:dyDescent="0.35">
      <c r="A279" s="17"/>
      <c r="B279" s="240"/>
    </row>
    <row r="280" spans="1:12" customFormat="1" x14ac:dyDescent="0.35">
      <c r="A280" s="17"/>
      <c r="B280" s="240"/>
      <c r="C280" s="90"/>
      <c r="E280" s="90"/>
    </row>
    <row r="281" spans="1:12" customFormat="1" ht="13.15" x14ac:dyDescent="0.4">
      <c r="A281" s="17"/>
      <c r="B281" s="240"/>
      <c r="C281" s="90"/>
      <c r="E281" s="90"/>
      <c r="H281" s="234"/>
      <c r="I281" s="234"/>
      <c r="J281" s="234"/>
      <c r="K281" s="234"/>
      <c r="L281" s="234"/>
    </row>
    <row r="282" spans="1:12" customFormat="1" x14ac:dyDescent="0.35">
      <c r="A282" s="17"/>
      <c r="C282" s="90"/>
      <c r="E282" s="90"/>
    </row>
    <row r="283" spans="1:12" customFormat="1" x14ac:dyDescent="0.35">
      <c r="A283" s="17"/>
      <c r="C283" s="237"/>
      <c r="E283" s="282"/>
      <c r="H283" s="269"/>
      <c r="I283" s="269"/>
      <c r="J283" s="269"/>
      <c r="K283" s="283"/>
      <c r="L283" s="283"/>
    </row>
    <row r="284" spans="1:12" customFormat="1" x14ac:dyDescent="0.35">
      <c r="A284" s="17"/>
      <c r="C284" s="284"/>
      <c r="E284" s="90"/>
      <c r="H284" s="269"/>
      <c r="I284" s="269"/>
      <c r="J284" s="269"/>
      <c r="K284" s="283"/>
      <c r="L284" s="283"/>
    </row>
    <row r="285" spans="1:12" customFormat="1" ht="13.15" x14ac:dyDescent="0.4">
      <c r="A285" s="17"/>
      <c r="B285" s="236"/>
      <c r="C285" s="284"/>
      <c r="E285" s="90"/>
      <c r="G285" s="234"/>
      <c r="H285" s="268"/>
      <c r="I285" s="268"/>
      <c r="J285" s="268"/>
      <c r="K285" s="268"/>
      <c r="L285" s="268"/>
    </row>
    <row r="286" spans="1:12" customFormat="1" x14ac:dyDescent="0.35">
      <c r="A286" s="17"/>
      <c r="B286" s="236"/>
      <c r="C286" s="90"/>
      <c r="E286" s="90"/>
      <c r="H286" s="268"/>
      <c r="I286" s="268"/>
      <c r="J286" s="268"/>
      <c r="K286" s="268"/>
      <c r="L286" s="268"/>
    </row>
    <row r="287" spans="1:12" customFormat="1" ht="13.15" x14ac:dyDescent="0.4">
      <c r="A287" s="17"/>
      <c r="B287" s="236"/>
      <c r="C287" s="234"/>
      <c r="D287" s="234"/>
      <c r="E287" s="234"/>
      <c r="F287" s="234"/>
      <c r="G287" s="269"/>
      <c r="H287" s="268"/>
      <c r="I287" s="268"/>
      <c r="J287" s="268"/>
      <c r="K287" s="268"/>
      <c r="L287" s="268"/>
    </row>
    <row r="288" spans="1:12" customFormat="1" x14ac:dyDescent="0.35">
      <c r="A288" s="17"/>
      <c r="B288" s="236"/>
      <c r="G288" s="269"/>
    </row>
    <row r="289" spans="1:12" customFormat="1" x14ac:dyDescent="0.35">
      <c r="A289" s="17"/>
      <c r="B289" s="236"/>
      <c r="C289" s="269"/>
      <c r="D289" s="269"/>
      <c r="E289" s="283"/>
      <c r="F289" s="269"/>
      <c r="G289" s="268"/>
    </row>
    <row r="290" spans="1:12" customFormat="1" x14ac:dyDescent="0.35">
      <c r="A290" s="17"/>
      <c r="B290" s="236"/>
      <c r="C290" s="269"/>
      <c r="D290" s="269"/>
      <c r="E290" s="283"/>
      <c r="F290" s="269"/>
      <c r="G290" s="268"/>
    </row>
    <row r="291" spans="1:12" customFormat="1" ht="13.15" x14ac:dyDescent="0.4">
      <c r="A291" s="17"/>
      <c r="B291" s="236"/>
      <c r="C291" s="268"/>
      <c r="D291" s="268"/>
      <c r="E291" s="268"/>
      <c r="F291" s="268"/>
      <c r="G291" s="268"/>
      <c r="H291" s="234"/>
      <c r="I291" s="234"/>
      <c r="J291" s="234"/>
      <c r="K291" s="234"/>
      <c r="L291" s="234"/>
    </row>
    <row r="292" spans="1:12" customFormat="1" x14ac:dyDescent="0.35">
      <c r="A292" s="17"/>
      <c r="B292" s="236"/>
      <c r="C292" s="268"/>
      <c r="D292" s="268"/>
      <c r="E292" s="268"/>
      <c r="F292" s="268"/>
    </row>
    <row r="293" spans="1:12" customFormat="1" x14ac:dyDescent="0.35">
      <c r="A293" s="17"/>
      <c r="C293" s="268"/>
      <c r="D293" s="268"/>
      <c r="E293" s="268"/>
      <c r="F293" s="268"/>
      <c r="H293" s="269"/>
      <c r="I293" s="269"/>
      <c r="J293" s="269"/>
      <c r="K293" s="269"/>
      <c r="L293" s="269"/>
    </row>
    <row r="294" spans="1:12" customFormat="1" x14ac:dyDescent="0.35">
      <c r="A294" s="17"/>
      <c r="C294" s="268"/>
      <c r="E294" s="90"/>
      <c r="H294" s="269"/>
      <c r="I294" s="269"/>
      <c r="J294" s="269"/>
      <c r="K294" s="269"/>
      <c r="L294" s="269"/>
    </row>
    <row r="295" spans="1:12" customFormat="1" ht="13.15" x14ac:dyDescent="0.4">
      <c r="A295" s="17"/>
      <c r="B295" s="236"/>
      <c r="C295" s="268"/>
      <c r="E295" s="90"/>
      <c r="G295" s="234"/>
      <c r="H295" s="268"/>
      <c r="I295" s="268"/>
      <c r="J295" s="269"/>
      <c r="K295" s="269"/>
      <c r="L295" s="269"/>
    </row>
    <row r="296" spans="1:12" customFormat="1" x14ac:dyDescent="0.35">
      <c r="A296" s="17"/>
      <c r="B296" s="236"/>
      <c r="C296" s="90"/>
      <c r="E296" s="90"/>
      <c r="H296" s="90"/>
      <c r="I296" s="90"/>
      <c r="J296" s="90"/>
      <c r="K296" s="90"/>
      <c r="L296" s="90"/>
    </row>
    <row r="297" spans="1:12" customFormat="1" ht="13.15" x14ac:dyDescent="0.4">
      <c r="A297" s="17"/>
      <c r="B297" s="236"/>
      <c r="C297" s="234"/>
      <c r="D297" s="234"/>
      <c r="E297" s="234"/>
      <c r="F297" s="234"/>
      <c r="G297" s="269"/>
    </row>
    <row r="298" spans="1:12" customFormat="1" x14ac:dyDescent="0.35">
      <c r="A298" s="17"/>
      <c r="G298" s="269"/>
    </row>
    <row r="299" spans="1:12" customFormat="1" x14ac:dyDescent="0.35">
      <c r="A299" s="17"/>
      <c r="B299" s="236"/>
      <c r="C299" s="269"/>
      <c r="D299" s="269"/>
      <c r="E299" s="269"/>
      <c r="F299" s="269"/>
      <c r="G299" s="268"/>
    </row>
    <row r="300" spans="1:12" customFormat="1" x14ac:dyDescent="0.35">
      <c r="A300" s="17"/>
      <c r="B300" s="236"/>
      <c r="C300" s="269"/>
      <c r="D300" s="269"/>
      <c r="E300" s="269"/>
      <c r="F300" s="269"/>
      <c r="G300" s="90"/>
    </row>
    <row r="301" spans="1:12" customFormat="1" x14ac:dyDescent="0.35">
      <c r="A301" s="190"/>
      <c r="B301" s="236"/>
      <c r="C301" s="268"/>
      <c r="D301" s="268"/>
      <c r="E301" s="268"/>
      <c r="F301" s="268"/>
    </row>
    <row r="302" spans="1:12" customFormat="1" x14ac:dyDescent="0.35">
      <c r="A302" s="190"/>
      <c r="C302" s="90"/>
      <c r="D302" s="90"/>
      <c r="E302" s="90"/>
      <c r="F302" s="90"/>
    </row>
    <row r="303" spans="1:12" x14ac:dyDescent="0.35">
      <c r="B303" s="36"/>
      <c r="C303" s="56"/>
    </row>
    <row r="304" spans="1:12" x14ac:dyDescent="0.35">
      <c r="C304" s="56"/>
    </row>
    <row r="305" spans="1:10" x14ac:dyDescent="0.35">
      <c r="A305" s="15"/>
      <c r="C305" s="56"/>
    </row>
    <row r="306" spans="1:10" x14ac:dyDescent="0.35">
      <c r="C306" s="80"/>
      <c r="E306" s="80"/>
    </row>
    <row r="307" spans="1:10" ht="13.15" x14ac:dyDescent="0.4">
      <c r="B307" s="13"/>
      <c r="C307" s="56"/>
    </row>
    <row r="308" spans="1:10" x14ac:dyDescent="0.35">
      <c r="B308" s="14"/>
    </row>
    <row r="309" spans="1:10" x14ac:dyDescent="0.35">
      <c r="B309" s="32"/>
    </row>
    <row r="310" spans="1:10" x14ac:dyDescent="0.35">
      <c r="B310" s="32"/>
    </row>
    <row r="311" spans="1:10" ht="13.15" outlineLevel="1" x14ac:dyDescent="0.4">
      <c r="A311" s="61"/>
      <c r="B311" s="32"/>
      <c r="C311" s="50"/>
    </row>
    <row r="312" spans="1:10" outlineLevel="1" x14ac:dyDescent="0.35">
      <c r="A312" s="15"/>
    </row>
    <row r="313" spans="1:10" outlineLevel="1" x14ac:dyDescent="0.35">
      <c r="C313" s="33"/>
    </row>
    <row r="314" spans="1:10" ht="13.15" outlineLevel="1" x14ac:dyDescent="0.4">
      <c r="A314" s="11"/>
      <c r="B314" s="13"/>
      <c r="C314" s="60"/>
    </row>
    <row r="315" spans="1:10" outlineLevel="1" x14ac:dyDescent="0.35">
      <c r="A315" s="11"/>
      <c r="C315" s="33"/>
    </row>
    <row r="316" spans="1:10" outlineLevel="1" x14ac:dyDescent="0.35">
      <c r="A316" s="11"/>
    </row>
    <row r="317" spans="1:10" outlineLevel="1" x14ac:dyDescent="0.35">
      <c r="A317" s="11"/>
    </row>
    <row r="318" spans="1:10" outlineLevel="1" x14ac:dyDescent="0.35">
      <c r="A318" s="11"/>
    </row>
    <row r="319" spans="1:10" outlineLevel="1" x14ac:dyDescent="0.35">
      <c r="A319" s="11"/>
    </row>
    <row r="320" spans="1:10" ht="13.15" outlineLevel="1" x14ac:dyDescent="0.4">
      <c r="A320" s="11"/>
      <c r="C320" s="62"/>
      <c r="D320" s="62"/>
      <c r="E320" s="62"/>
      <c r="G320" s="53"/>
      <c r="H320" s="12"/>
      <c r="I320" s="12"/>
      <c r="J320" s="12"/>
    </row>
    <row r="321" spans="1:10" outlineLevel="1" x14ac:dyDescent="0.35">
      <c r="A321" s="11"/>
      <c r="C321" s="63"/>
      <c r="D321" s="63"/>
      <c r="E321" s="63"/>
      <c r="H321" s="64"/>
      <c r="I321" s="64"/>
      <c r="J321" s="64"/>
    </row>
    <row r="322" spans="1:10" outlineLevel="1" x14ac:dyDescent="0.35">
      <c r="A322" s="11"/>
      <c r="C322" s="53"/>
      <c r="D322" s="53"/>
      <c r="E322" s="53"/>
      <c r="F322" s="53"/>
      <c r="H322" s="33"/>
      <c r="I322" s="33"/>
      <c r="J322" s="33"/>
    </row>
    <row r="323" spans="1:10" outlineLevel="1" x14ac:dyDescent="0.35">
      <c r="A323" s="11"/>
    </row>
    <row r="324" spans="1:10" ht="13.15" outlineLevel="1" x14ac:dyDescent="0.4">
      <c r="A324" s="11"/>
      <c r="C324" s="53"/>
      <c r="D324" s="53"/>
      <c r="E324" s="53"/>
      <c r="F324" s="53"/>
      <c r="G324" s="12"/>
    </row>
    <row r="325" spans="1:10" outlineLevel="1" x14ac:dyDescent="0.35">
      <c r="A325" s="11"/>
      <c r="G325" s="64"/>
    </row>
    <row r="326" spans="1:10" ht="13.15" outlineLevel="1" x14ac:dyDescent="0.4">
      <c r="A326" s="11"/>
      <c r="C326" s="12"/>
      <c r="D326" s="12"/>
      <c r="E326" s="12"/>
      <c r="F326" s="12"/>
      <c r="G326" s="33"/>
    </row>
    <row r="327" spans="1:10" outlineLevel="1" x14ac:dyDescent="0.35">
      <c r="A327" s="11"/>
      <c r="C327" s="64"/>
      <c r="D327" s="64"/>
      <c r="E327" s="64"/>
      <c r="F327" s="64"/>
    </row>
    <row r="328" spans="1:10" outlineLevel="1" x14ac:dyDescent="0.35">
      <c r="A328" s="11"/>
      <c r="C328" s="33"/>
      <c r="D328" s="33"/>
      <c r="E328" s="33"/>
      <c r="F328" s="33"/>
    </row>
    <row r="329" spans="1:10" outlineLevel="1" x14ac:dyDescent="0.35">
      <c r="A329" s="11"/>
    </row>
    <row r="330" spans="1:10" outlineLevel="1" x14ac:dyDescent="0.35"/>
    <row r="331" spans="1:10" outlineLevel="1" x14ac:dyDescent="0.35"/>
    <row r="332" spans="1:10" ht="13.15" outlineLevel="1" x14ac:dyDescent="0.4">
      <c r="C332" s="12"/>
      <c r="D332" s="12"/>
    </row>
    <row r="333" spans="1:10" outlineLevel="1" x14ac:dyDescent="0.35">
      <c r="C333" s="53"/>
      <c r="D333" s="53"/>
    </row>
    <row r="334" spans="1:10" outlineLevel="1" x14ac:dyDescent="0.35">
      <c r="C334" s="55"/>
      <c r="D334" s="55"/>
    </row>
    <row r="335" spans="1:10" outlineLevel="1" x14ac:dyDescent="0.35">
      <c r="C335" s="53"/>
      <c r="D335" s="53"/>
    </row>
    <row r="336" spans="1:10" outlineLevel="1" x14ac:dyDescent="0.35">
      <c r="A336" s="15"/>
      <c r="C336" s="53"/>
      <c r="D336" s="53"/>
    </row>
    <row r="337" spans="1:12" outlineLevel="1" x14ac:dyDescent="0.35">
      <c r="C337" s="55"/>
      <c r="D337" s="55"/>
    </row>
    <row r="338" spans="1:12" ht="13.15" outlineLevel="1" x14ac:dyDescent="0.4">
      <c r="B338" s="13"/>
      <c r="H338" s="12"/>
      <c r="I338" s="12"/>
      <c r="J338" s="12"/>
      <c r="K338" s="12"/>
      <c r="L338" s="12"/>
    </row>
    <row r="339" spans="1:12" ht="13.15" outlineLevel="1" x14ac:dyDescent="0.4">
      <c r="C339" s="55"/>
      <c r="D339" s="55"/>
      <c r="H339" s="12"/>
      <c r="I339" s="12"/>
      <c r="J339" s="12"/>
      <c r="K339" s="12"/>
      <c r="L339" s="12"/>
    </row>
    <row r="340" spans="1:12" outlineLevel="1" x14ac:dyDescent="0.35"/>
    <row r="341" spans="1:12" outlineLevel="1" x14ac:dyDescent="0.35">
      <c r="C341" s="55"/>
      <c r="H341" s="53"/>
      <c r="I341" s="53"/>
      <c r="J341" s="53"/>
    </row>
    <row r="342" spans="1:12" ht="13.15" outlineLevel="1" x14ac:dyDescent="0.4">
      <c r="B342" s="32"/>
      <c r="G342" s="12"/>
    </row>
    <row r="343" spans="1:12" ht="13.15" outlineLevel="1" x14ac:dyDescent="0.4">
      <c r="A343" s="11"/>
      <c r="B343" s="32"/>
      <c r="G343" s="12"/>
    </row>
    <row r="344" spans="1:12" ht="13.15" outlineLevel="1" x14ac:dyDescent="0.4">
      <c r="A344" s="11"/>
      <c r="B344" s="32"/>
      <c r="C344" s="12"/>
      <c r="D344" s="12"/>
      <c r="E344" s="12"/>
      <c r="F344" s="12"/>
    </row>
    <row r="345" spans="1:12" ht="13.15" outlineLevel="1" x14ac:dyDescent="0.4">
      <c r="A345" s="11"/>
      <c r="B345" s="32"/>
      <c r="C345" s="12"/>
      <c r="D345" s="12"/>
      <c r="E345" s="12"/>
      <c r="F345" s="12"/>
      <c r="G345" s="53"/>
    </row>
    <row r="346" spans="1:12" outlineLevel="1" x14ac:dyDescent="0.35">
      <c r="A346" s="11"/>
      <c r="B346" s="32"/>
    </row>
    <row r="347" spans="1:12" outlineLevel="1" x14ac:dyDescent="0.35">
      <c r="A347" s="11"/>
      <c r="B347" s="32"/>
      <c r="C347" s="53"/>
      <c r="D347" s="53"/>
      <c r="E347" s="53"/>
      <c r="F347" s="53"/>
    </row>
    <row r="348" spans="1:12" outlineLevel="1" x14ac:dyDescent="0.35">
      <c r="A348" s="11"/>
      <c r="B348" s="32"/>
    </row>
    <row r="349" spans="1:12" ht="13.15" outlineLevel="1" x14ac:dyDescent="0.4">
      <c r="A349" s="11"/>
      <c r="B349" s="32"/>
      <c r="C349" s="12"/>
      <c r="D349" s="12"/>
    </row>
    <row r="350" spans="1:12" outlineLevel="1" x14ac:dyDescent="0.35">
      <c r="A350" s="11"/>
      <c r="B350" s="32"/>
      <c r="C350" s="45"/>
      <c r="D350" s="45"/>
    </row>
    <row r="351" spans="1:12" outlineLevel="1" x14ac:dyDescent="0.35">
      <c r="A351" s="11"/>
      <c r="B351" s="32"/>
      <c r="C351" s="55"/>
      <c r="D351" s="55"/>
    </row>
    <row r="352" spans="1:12" outlineLevel="1" x14ac:dyDescent="0.35">
      <c r="A352" s="11"/>
      <c r="B352" s="32"/>
      <c r="C352" s="54"/>
      <c r="D352" s="54"/>
    </row>
    <row r="353" spans="1:12" ht="13.15" outlineLevel="1" x14ac:dyDescent="0.4">
      <c r="A353" s="11"/>
      <c r="B353" s="32"/>
      <c r="H353" s="12"/>
      <c r="I353" s="12"/>
      <c r="J353" s="12"/>
      <c r="K353" s="12"/>
      <c r="L353" s="12"/>
    </row>
    <row r="354" spans="1:12" ht="13.15" outlineLevel="1" x14ac:dyDescent="0.4">
      <c r="A354" s="11"/>
      <c r="B354" s="32"/>
      <c r="H354" s="12"/>
      <c r="I354" s="12"/>
      <c r="J354" s="12"/>
      <c r="K354" s="12"/>
      <c r="L354" s="12"/>
    </row>
    <row r="355" spans="1:12" outlineLevel="1" x14ac:dyDescent="0.35">
      <c r="A355" s="11"/>
      <c r="C355" s="53"/>
      <c r="H355" s="45"/>
      <c r="I355" s="45"/>
      <c r="J355" s="45"/>
      <c r="K355" s="45"/>
      <c r="L355" s="45"/>
    </row>
    <row r="356" spans="1:12" outlineLevel="1" x14ac:dyDescent="0.35">
      <c r="A356" s="11"/>
      <c r="C356" s="53"/>
      <c r="H356" s="53"/>
      <c r="I356" s="53"/>
      <c r="J356" s="53"/>
      <c r="K356" s="53"/>
      <c r="L356" s="53"/>
    </row>
    <row r="357" spans="1:12" ht="13.15" outlineLevel="1" x14ac:dyDescent="0.4">
      <c r="A357" s="11"/>
      <c r="B357" s="32"/>
      <c r="C357" s="53"/>
      <c r="G357" s="12"/>
      <c r="H357" s="53"/>
      <c r="I357" s="53"/>
      <c r="J357" s="53"/>
      <c r="K357" s="53"/>
      <c r="L357" s="53"/>
    </row>
    <row r="358" spans="1:12" ht="13.15" outlineLevel="1" x14ac:dyDescent="0.4">
      <c r="A358" s="11"/>
      <c r="B358" s="32"/>
      <c r="C358" s="53"/>
      <c r="G358" s="12"/>
      <c r="H358" s="53"/>
      <c r="I358" s="53"/>
      <c r="J358" s="53"/>
      <c r="K358" s="53"/>
      <c r="L358" s="53"/>
    </row>
    <row r="359" spans="1:12" ht="13.15" outlineLevel="1" x14ac:dyDescent="0.4">
      <c r="B359" s="32"/>
      <c r="C359" s="12"/>
      <c r="D359" s="12"/>
      <c r="E359" s="12"/>
      <c r="F359" s="12"/>
      <c r="G359" s="45"/>
      <c r="H359" s="53"/>
      <c r="I359" s="53"/>
      <c r="J359" s="53"/>
      <c r="K359" s="53"/>
      <c r="L359" s="53"/>
    </row>
    <row r="360" spans="1:12" ht="13.15" outlineLevel="1" x14ac:dyDescent="0.4">
      <c r="B360" s="32"/>
      <c r="C360" s="12"/>
      <c r="D360" s="12"/>
      <c r="E360" s="12"/>
      <c r="F360" s="12"/>
      <c r="G360" s="53"/>
      <c r="H360" s="53"/>
      <c r="I360" s="53"/>
      <c r="J360" s="53"/>
      <c r="K360" s="53"/>
      <c r="L360" s="53"/>
    </row>
    <row r="361" spans="1:12" outlineLevel="1" x14ac:dyDescent="0.35">
      <c r="B361" s="32"/>
      <c r="C361" s="45"/>
      <c r="D361" s="45"/>
      <c r="E361" s="45"/>
      <c r="F361" s="45"/>
      <c r="G361" s="53"/>
      <c r="H361" s="53"/>
      <c r="I361" s="53"/>
      <c r="J361" s="53"/>
      <c r="K361" s="53"/>
      <c r="L361" s="53"/>
    </row>
    <row r="362" spans="1:12" outlineLevel="1" x14ac:dyDescent="0.35">
      <c r="B362" s="32"/>
      <c r="C362" s="53"/>
      <c r="D362" s="53"/>
      <c r="E362" s="53"/>
      <c r="F362" s="53"/>
      <c r="G362" s="53"/>
    </row>
    <row r="363" spans="1:12" outlineLevel="1" x14ac:dyDescent="0.35">
      <c r="B363" s="32"/>
      <c r="C363" s="53"/>
      <c r="D363" s="53"/>
      <c r="E363" s="53"/>
      <c r="F363" s="53"/>
      <c r="G363" s="53"/>
    </row>
    <row r="364" spans="1:12" outlineLevel="1" x14ac:dyDescent="0.35">
      <c r="B364" s="32"/>
      <c r="C364" s="53"/>
      <c r="D364" s="53"/>
      <c r="E364" s="53"/>
      <c r="F364" s="53"/>
      <c r="G364" s="53"/>
    </row>
    <row r="365" spans="1:12" outlineLevel="1" x14ac:dyDescent="0.35">
      <c r="B365" s="32"/>
      <c r="C365" s="53"/>
      <c r="D365" s="53"/>
      <c r="E365" s="53"/>
      <c r="F365" s="53"/>
      <c r="G365" s="53"/>
    </row>
    <row r="366" spans="1:12" outlineLevel="1" x14ac:dyDescent="0.35">
      <c r="C366" s="53"/>
      <c r="D366" s="53"/>
      <c r="E366" s="53"/>
      <c r="F366" s="53"/>
    </row>
    <row r="367" spans="1:12" outlineLevel="1" x14ac:dyDescent="0.35">
      <c r="B367" s="36"/>
      <c r="C367" s="53"/>
      <c r="D367" s="53"/>
      <c r="E367" s="53"/>
      <c r="F367" s="53"/>
    </row>
    <row r="368" spans="1:12" outlineLevel="1" x14ac:dyDescent="0.35">
      <c r="C368" s="53"/>
    </row>
    <row r="369" spans="1:4" outlineLevel="1" x14ac:dyDescent="0.35">
      <c r="C369" s="53"/>
    </row>
    <row r="370" spans="1:4" ht="13.15" outlineLevel="1" x14ac:dyDescent="0.4">
      <c r="A370" s="65"/>
    </row>
    <row r="371" spans="1:4" outlineLevel="1" x14ac:dyDescent="0.35">
      <c r="A371" s="36"/>
      <c r="C371" s="56"/>
    </row>
    <row r="372" spans="1:4" outlineLevel="1" x14ac:dyDescent="0.35">
      <c r="A372" s="36"/>
    </row>
    <row r="373" spans="1:4" outlineLevel="1" x14ac:dyDescent="0.35">
      <c r="A373" s="36"/>
    </row>
    <row r="374" spans="1:4" outlineLevel="1" x14ac:dyDescent="0.35">
      <c r="A374" s="36"/>
    </row>
    <row r="375" spans="1:4" outlineLevel="1" x14ac:dyDescent="0.35">
      <c r="A375" s="36"/>
    </row>
    <row r="376" spans="1:4" outlineLevel="1" x14ac:dyDescent="0.35">
      <c r="A376" s="36"/>
    </row>
    <row r="377" spans="1:4" outlineLevel="1" x14ac:dyDescent="0.35">
      <c r="C377" s="82"/>
    </row>
    <row r="378" spans="1:4" outlineLevel="1" x14ac:dyDescent="0.35">
      <c r="C378" s="83"/>
    </row>
    <row r="379" spans="1:4" outlineLevel="1" x14ac:dyDescent="0.35">
      <c r="A379" s="36"/>
      <c r="C379" s="83"/>
    </row>
    <row r="380" spans="1:4" outlineLevel="1" x14ac:dyDescent="0.35">
      <c r="A380" s="36"/>
      <c r="C380" s="66"/>
      <c r="D380" s="42"/>
    </row>
    <row r="381" spans="1:4" outlineLevel="1" x14ac:dyDescent="0.35">
      <c r="C381" s="47"/>
    </row>
    <row r="382" spans="1:4" outlineLevel="1" x14ac:dyDescent="0.35">
      <c r="A382" s="11"/>
      <c r="C382" s="67"/>
      <c r="D382" s="42"/>
    </row>
    <row r="383" spans="1:4" outlineLevel="1" x14ac:dyDescent="0.35">
      <c r="A383" s="11"/>
    </row>
    <row r="384" spans="1:4" outlineLevel="1" x14ac:dyDescent="0.35">
      <c r="A384" s="11"/>
    </row>
    <row r="385" spans="1:4" outlineLevel="1" x14ac:dyDescent="0.35">
      <c r="A385" s="11"/>
      <c r="C385" s="45"/>
      <c r="D385" s="42"/>
    </row>
    <row r="386" spans="1:4" outlineLevel="1" x14ac:dyDescent="0.35">
      <c r="A386" s="11"/>
      <c r="C386" s="68"/>
      <c r="D386" s="42"/>
    </row>
    <row r="387" spans="1:4" outlineLevel="1" x14ac:dyDescent="0.35">
      <c r="A387" s="11"/>
    </row>
    <row r="388" spans="1:4" x14ac:dyDescent="0.35">
      <c r="A388" s="11"/>
      <c r="C388" s="46"/>
    </row>
    <row r="389" spans="1:4" x14ac:dyDescent="0.35">
      <c r="A389" s="11"/>
      <c r="C389" s="68"/>
      <c r="D389" s="42"/>
    </row>
    <row r="390" spans="1:4" x14ac:dyDescent="0.35">
      <c r="A390" s="11"/>
    </row>
    <row r="391" spans="1:4" x14ac:dyDescent="0.35">
      <c r="A391" s="11"/>
      <c r="C391" s="68"/>
      <c r="D391" s="42"/>
    </row>
    <row r="392" spans="1:4" x14ac:dyDescent="0.35">
      <c r="C392" s="68"/>
    </row>
    <row r="393" spans="1:4" x14ac:dyDescent="0.35">
      <c r="C393" s="68"/>
    </row>
    <row r="394" spans="1:4" x14ac:dyDescent="0.35">
      <c r="A394" s="11"/>
    </row>
    <row r="395" spans="1:4" x14ac:dyDescent="0.35">
      <c r="A395" s="11"/>
    </row>
    <row r="396" spans="1:4" x14ac:dyDescent="0.35">
      <c r="A396" s="11"/>
    </row>
  </sheetData>
  <mergeCells count="5">
    <mergeCell ref="C113:D113"/>
    <mergeCell ref="C114:D114"/>
    <mergeCell ref="B5:L5"/>
    <mergeCell ref="F78:G78"/>
    <mergeCell ref="E112:F112"/>
  </mergeCells>
  <hyperlinks>
    <hyperlink ref="P10" r:id="rId1" display="\\njnwkfp06\PSE&amp;G\Customer Operations\CS\regulato\2015 BGS-RSCP for 2016-2017\2015-07 Initial Filing\BGS-FP Initial Filing Supporting Documents\Table1&amp;2 - OnPeak%\Table 1 - Time period usage for 2016-17 Spreadsheet.xls" xr:uid="{00000000-0004-0000-0200-000000000000}"/>
  </hyperlinks>
  <pageMargins left="0.7" right="0.7" top="0.75" bottom="0.75" header="0.3" footer="0.3"/>
  <pageSetup scale="97" orientation="portrait" r:id="rId2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AP360"/>
  <sheetViews>
    <sheetView showGridLines="0" view="pageBreakPreview" zoomScaleNormal="70" zoomScaleSheetLayoutView="100" workbookViewId="0"/>
  </sheetViews>
  <sheetFormatPr defaultColWidth="9.3984375" defaultRowHeight="12.75" x14ac:dyDescent="0.35"/>
  <cols>
    <col min="1" max="1" width="13.3984375" style="233" customWidth="1"/>
    <col min="2" max="2" width="36.3984375" customWidth="1"/>
    <col min="3" max="9" width="13.3984375" customWidth="1"/>
    <col min="10" max="10" width="14.59765625" customWidth="1"/>
    <col min="11" max="11" width="13.3984375" customWidth="1"/>
    <col min="12" max="12" width="14.3984375" customWidth="1"/>
    <col min="13" max="13" width="16.59765625" customWidth="1"/>
    <col min="14" max="14" width="15.3984375" bestFit="1" customWidth="1"/>
    <col min="15" max="16" width="11.59765625" customWidth="1"/>
    <col min="17" max="17" width="18.3984375" customWidth="1"/>
    <col min="18" max="18" width="29" bestFit="1" customWidth="1"/>
    <col min="19" max="19" width="16.3984375" customWidth="1"/>
    <col min="20" max="20" width="23.59765625" bestFit="1" customWidth="1"/>
    <col min="21" max="21" width="18" bestFit="1" customWidth="1"/>
    <col min="22" max="24" width="11.59765625" customWidth="1"/>
    <col min="25" max="25" width="11.3984375" bestFit="1" customWidth="1"/>
    <col min="26" max="26" width="10.3984375" customWidth="1"/>
    <col min="27" max="27" width="10.59765625" customWidth="1"/>
    <col min="28" max="28" width="12.59765625" bestFit="1" customWidth="1"/>
    <col min="29" max="29" width="11.59765625" customWidth="1"/>
    <col min="30" max="30" width="17.59765625" customWidth="1"/>
    <col min="31" max="31" width="9.86328125" bestFit="1" customWidth="1"/>
    <col min="32" max="32" width="10.86328125" bestFit="1" customWidth="1"/>
    <col min="33" max="33" width="10.59765625" customWidth="1"/>
    <col min="34" max="37" width="9.86328125" bestFit="1" customWidth="1"/>
    <col min="38" max="40" width="11.86328125" bestFit="1" customWidth="1"/>
  </cols>
  <sheetData>
    <row r="1" spans="1:24" ht="13.15" x14ac:dyDescent="0.4">
      <c r="A1" s="233" t="s">
        <v>279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10"/>
    </row>
    <row r="2" spans="1:24" ht="15" x14ac:dyDescent="0.4">
      <c r="B2" s="347" t="str">
        <f>Inputs!B7</f>
        <v>Development of BGS-RSCP Cost and Bid Factors for 2027/2028 BGS Filing</v>
      </c>
      <c r="C2" s="348"/>
      <c r="D2" s="348"/>
      <c r="E2" s="348"/>
      <c r="F2" s="348"/>
    </row>
    <row r="3" spans="1:24" ht="13.15" x14ac:dyDescent="0.4">
      <c r="A3" s="349"/>
      <c r="B3" s="1" t="s">
        <v>91</v>
      </c>
      <c r="C3" s="348"/>
      <c r="D3" s="348"/>
      <c r="E3" s="348"/>
      <c r="F3" s="348"/>
    </row>
    <row r="4" spans="1:24" x14ac:dyDescent="0.35">
      <c r="B4" s="348"/>
      <c r="C4" s="348"/>
      <c r="D4" s="348"/>
      <c r="E4" s="2" t="str">
        <f>+Inputs!E9</f>
        <v>Based on average of year 2023, 2024 &amp; 2025 Load Profile Information</v>
      </c>
      <c r="F4" s="348"/>
    </row>
    <row r="5" spans="1:24" ht="13.15" x14ac:dyDescent="0.4">
      <c r="A5" s="350" t="s">
        <v>64</v>
      </c>
      <c r="B5" s="351" t="s">
        <v>129</v>
      </c>
      <c r="C5" s="352"/>
      <c r="D5" s="348"/>
      <c r="E5" s="2" t="s">
        <v>60</v>
      </c>
      <c r="F5" s="348"/>
      <c r="N5" s="351"/>
      <c r="O5" s="351" t="s">
        <v>173</v>
      </c>
      <c r="P5" s="348"/>
      <c r="Q5" s="348"/>
      <c r="R5" s="348"/>
      <c r="S5" s="348"/>
      <c r="T5" s="348"/>
      <c r="U5" s="348"/>
      <c r="V5" s="348"/>
      <c r="W5" s="348"/>
      <c r="X5" s="348"/>
    </row>
    <row r="6" spans="1:24" ht="25.5" x14ac:dyDescent="0.35">
      <c r="A6" s="353"/>
      <c r="B6" s="348"/>
      <c r="C6" s="354" t="s">
        <v>50</v>
      </c>
      <c r="D6" s="354" t="s">
        <v>50</v>
      </c>
      <c r="E6" s="354" t="s">
        <v>50</v>
      </c>
      <c r="F6" s="354" t="s">
        <v>50</v>
      </c>
      <c r="G6" s="354" t="s">
        <v>50</v>
      </c>
      <c r="H6" s="354" t="s">
        <v>50</v>
      </c>
      <c r="I6" s="2" t="s">
        <v>96</v>
      </c>
      <c r="J6" s="355"/>
      <c r="K6" s="354" t="s">
        <v>50</v>
      </c>
      <c r="L6" s="354" t="s">
        <v>50</v>
      </c>
      <c r="M6" s="354"/>
      <c r="N6" s="2"/>
      <c r="O6" s="354" t="s">
        <v>50</v>
      </c>
      <c r="P6" s="354" t="s">
        <v>50</v>
      </c>
      <c r="Q6" s="354" t="s">
        <v>50</v>
      </c>
      <c r="R6" s="354" t="s">
        <v>50</v>
      </c>
      <c r="S6" s="354" t="s">
        <v>50</v>
      </c>
      <c r="T6" s="354" t="s">
        <v>50</v>
      </c>
      <c r="U6" s="2" t="s">
        <v>43</v>
      </c>
      <c r="V6" s="355"/>
      <c r="W6" s="354" t="s">
        <v>50</v>
      </c>
      <c r="X6" s="354" t="s">
        <v>50</v>
      </c>
    </row>
    <row r="7" spans="1:24" ht="13.15" x14ac:dyDescent="0.4">
      <c r="A7" s="353"/>
      <c r="B7" s="356" t="s">
        <v>231</v>
      </c>
      <c r="C7" s="234" t="s">
        <v>0</v>
      </c>
      <c r="D7" s="234" t="s">
        <v>1</v>
      </c>
      <c r="E7" s="234" t="s">
        <v>2</v>
      </c>
      <c r="F7" s="234" t="s">
        <v>3</v>
      </c>
      <c r="G7" s="234" t="s">
        <v>4</v>
      </c>
      <c r="H7" s="234" t="s">
        <v>6</v>
      </c>
      <c r="I7" s="234" t="s">
        <v>37</v>
      </c>
      <c r="J7" s="234" t="s">
        <v>38</v>
      </c>
      <c r="K7" s="234" t="s">
        <v>5</v>
      </c>
      <c r="L7" s="234" t="s">
        <v>36</v>
      </c>
      <c r="M7" s="357"/>
      <c r="N7" s="358"/>
      <c r="O7" s="234" t="str">
        <f>+C7</f>
        <v>RS</v>
      </c>
      <c r="P7" s="234" t="str">
        <f t="shared" ref="P7:X7" si="0">+D7</f>
        <v>RHS</v>
      </c>
      <c r="Q7" s="234" t="str">
        <f t="shared" si="0"/>
        <v>RLM</v>
      </c>
      <c r="R7" s="234" t="str">
        <f t="shared" si="0"/>
        <v>WH</v>
      </c>
      <c r="S7" s="234" t="str">
        <f t="shared" si="0"/>
        <v>WHS</v>
      </c>
      <c r="T7" s="234" t="str">
        <f t="shared" si="0"/>
        <v>HS</v>
      </c>
      <c r="U7" s="234" t="str">
        <f t="shared" si="0"/>
        <v>PSAL</v>
      </c>
      <c r="V7" s="234" t="str">
        <f t="shared" si="0"/>
        <v>BPL</v>
      </c>
      <c r="W7" s="234" t="str">
        <f t="shared" si="0"/>
        <v>GLP</v>
      </c>
      <c r="X7" s="234" t="str">
        <f t="shared" si="0"/>
        <v>LPL-S</v>
      </c>
    </row>
    <row r="8" spans="1:24" ht="13.15" x14ac:dyDescent="0.4">
      <c r="A8" s="353"/>
      <c r="C8" s="234"/>
      <c r="D8" s="234"/>
      <c r="E8" s="234"/>
      <c r="F8" s="359"/>
      <c r="G8" s="234"/>
      <c r="H8" s="234"/>
      <c r="I8" s="234"/>
      <c r="J8" s="234"/>
      <c r="K8" s="234"/>
      <c r="L8" s="234"/>
      <c r="O8" s="348"/>
      <c r="P8" s="348"/>
      <c r="Q8" s="348"/>
      <c r="R8" s="348"/>
      <c r="S8" s="348"/>
      <c r="T8" s="348"/>
      <c r="U8" s="348"/>
      <c r="V8" s="348"/>
      <c r="W8" s="348"/>
      <c r="X8" s="348"/>
    </row>
    <row r="9" spans="1:24" x14ac:dyDescent="0.35">
      <c r="A9" s="353"/>
      <c r="B9" s="235" t="s">
        <v>7</v>
      </c>
      <c r="C9" s="360">
        <f>Inputs!C14</f>
        <v>0.48139999999999999</v>
      </c>
      <c r="D9" s="360">
        <f>Inputs!D14</f>
        <v>0.47360000000000002</v>
      </c>
      <c r="E9" s="360">
        <f>Inputs!E14</f>
        <v>0.4773</v>
      </c>
      <c r="F9" s="360">
        <f>Inputs!F14</f>
        <v>0.48139999999999999</v>
      </c>
      <c r="G9" s="360">
        <f>Inputs!G14</f>
        <v>0.48139999999999999</v>
      </c>
      <c r="H9" s="360">
        <f>Inputs!H14</f>
        <v>0.47389999999999999</v>
      </c>
      <c r="I9" s="360">
        <f>Inputs!I14</f>
        <v>0.30630000000000002</v>
      </c>
      <c r="J9" s="360">
        <f>Inputs!J14</f>
        <v>0.30630000000000002</v>
      </c>
      <c r="K9" s="360">
        <f>Inputs!K14</f>
        <v>0.52139999999999997</v>
      </c>
      <c r="L9" s="360">
        <f>Inputs!L14</f>
        <v>0.50319999999999998</v>
      </c>
      <c r="M9" s="361"/>
      <c r="N9" s="362"/>
      <c r="O9" s="363">
        <f t="shared" ref="O9:X9" si="1">1-C9</f>
        <v>0.51859999999999995</v>
      </c>
      <c r="P9" s="363">
        <f t="shared" si="1"/>
        <v>0.52639999999999998</v>
      </c>
      <c r="Q9" s="363">
        <f t="shared" si="1"/>
        <v>0.52269999999999994</v>
      </c>
      <c r="R9" s="363">
        <f t="shared" si="1"/>
        <v>0.51859999999999995</v>
      </c>
      <c r="S9" s="363">
        <f t="shared" si="1"/>
        <v>0.51859999999999995</v>
      </c>
      <c r="T9" s="363">
        <f t="shared" si="1"/>
        <v>0.52610000000000001</v>
      </c>
      <c r="U9" s="363">
        <f t="shared" si="1"/>
        <v>0.69369999999999998</v>
      </c>
      <c r="V9" s="363">
        <f t="shared" si="1"/>
        <v>0.69369999999999998</v>
      </c>
      <c r="W9" s="363">
        <f t="shared" si="1"/>
        <v>0.47860000000000003</v>
      </c>
      <c r="X9" s="363">
        <f t="shared" si="1"/>
        <v>0.49680000000000002</v>
      </c>
    </row>
    <row r="10" spans="1:24" x14ac:dyDescent="0.35">
      <c r="A10" s="353"/>
      <c r="B10" s="235" t="s">
        <v>8</v>
      </c>
      <c r="C10" s="360">
        <f>Inputs!C15</f>
        <v>0.49009999999999998</v>
      </c>
      <c r="D10" s="360">
        <f>Inputs!D15</f>
        <v>0.47599999999999998</v>
      </c>
      <c r="E10" s="360">
        <f>Inputs!E15</f>
        <v>0.4793</v>
      </c>
      <c r="F10" s="360">
        <f>Inputs!F15</f>
        <v>0.49009999999999998</v>
      </c>
      <c r="G10" s="360">
        <f>Inputs!G15</f>
        <v>0.49009999999999998</v>
      </c>
      <c r="H10" s="360">
        <f>Inputs!H15</f>
        <v>0.47689999999999999</v>
      </c>
      <c r="I10" s="360">
        <f>Inputs!I15</f>
        <v>0.29449999999999998</v>
      </c>
      <c r="J10" s="360">
        <f>Inputs!J15</f>
        <v>0.29449999999999998</v>
      </c>
      <c r="K10" s="360">
        <f>Inputs!K15</f>
        <v>0.5343</v>
      </c>
      <c r="L10" s="360">
        <f>Inputs!L15</f>
        <v>0.51490000000000002</v>
      </c>
      <c r="M10" s="361"/>
      <c r="N10" s="362"/>
      <c r="O10" s="363">
        <f t="shared" ref="O10:O20" si="2">1-C10</f>
        <v>0.50990000000000002</v>
      </c>
      <c r="P10" s="363">
        <f t="shared" ref="P10:P20" si="3">1-D10</f>
        <v>0.52400000000000002</v>
      </c>
      <c r="Q10" s="363">
        <f t="shared" ref="Q10:Q20" si="4">1-E10</f>
        <v>0.52069999999999994</v>
      </c>
      <c r="R10" s="363">
        <f t="shared" ref="R10:R20" si="5">1-F10</f>
        <v>0.50990000000000002</v>
      </c>
      <c r="S10" s="363">
        <f t="shared" ref="S10:S20" si="6">1-G10</f>
        <v>0.50990000000000002</v>
      </c>
      <c r="T10" s="363">
        <f t="shared" ref="T10:T20" si="7">1-H10</f>
        <v>0.52310000000000001</v>
      </c>
      <c r="U10" s="363">
        <f t="shared" ref="U10:U20" si="8">1-I10</f>
        <v>0.70550000000000002</v>
      </c>
      <c r="V10" s="363">
        <f t="shared" ref="V10:V20" si="9">1-J10</f>
        <v>0.70550000000000002</v>
      </c>
      <c r="W10" s="363">
        <f t="shared" ref="W10:W20" si="10">1-K10</f>
        <v>0.4657</v>
      </c>
      <c r="X10" s="363">
        <f t="shared" ref="X10:X20" si="11">1-L10</f>
        <v>0.48509999999999998</v>
      </c>
    </row>
    <row r="11" spans="1:24" x14ac:dyDescent="0.35">
      <c r="A11" s="353"/>
      <c r="B11" s="235" t="s">
        <v>9</v>
      </c>
      <c r="C11" s="360">
        <f>Inputs!C16</f>
        <v>0.49819999999999998</v>
      </c>
      <c r="D11" s="360">
        <f>Inputs!D16</f>
        <v>0.48930000000000001</v>
      </c>
      <c r="E11" s="360">
        <f>Inputs!E16</f>
        <v>0.47760000000000002</v>
      </c>
      <c r="F11" s="360">
        <f>Inputs!F16</f>
        <v>0.49819999999999998</v>
      </c>
      <c r="G11" s="360">
        <f>Inputs!G16</f>
        <v>0.49819999999999998</v>
      </c>
      <c r="H11" s="360">
        <f>Inputs!H16</f>
        <v>0.49070000000000003</v>
      </c>
      <c r="I11" s="360">
        <f>Inputs!I16</f>
        <v>0.25509999999999999</v>
      </c>
      <c r="J11" s="360">
        <f>Inputs!J16</f>
        <v>0.25509999999999999</v>
      </c>
      <c r="K11" s="360">
        <f>Inputs!K16</f>
        <v>0.54430000000000001</v>
      </c>
      <c r="L11" s="360">
        <f>Inputs!L16</f>
        <v>0.52400000000000002</v>
      </c>
      <c r="M11" s="361"/>
      <c r="N11" s="362"/>
      <c r="O11" s="363">
        <f t="shared" si="2"/>
        <v>0.50180000000000002</v>
      </c>
      <c r="P11" s="363">
        <f t="shared" si="3"/>
        <v>0.51069999999999993</v>
      </c>
      <c r="Q11" s="363">
        <f t="shared" si="4"/>
        <v>0.52239999999999998</v>
      </c>
      <c r="R11" s="363">
        <f t="shared" si="5"/>
        <v>0.50180000000000002</v>
      </c>
      <c r="S11" s="363">
        <f t="shared" si="6"/>
        <v>0.50180000000000002</v>
      </c>
      <c r="T11" s="363">
        <f t="shared" si="7"/>
        <v>0.50929999999999997</v>
      </c>
      <c r="U11" s="363">
        <f t="shared" si="8"/>
        <v>0.74490000000000001</v>
      </c>
      <c r="V11" s="363">
        <f t="shared" si="9"/>
        <v>0.74490000000000001</v>
      </c>
      <c r="W11" s="363">
        <f t="shared" si="10"/>
        <v>0.45569999999999999</v>
      </c>
      <c r="X11" s="363">
        <f t="shared" si="11"/>
        <v>0.47599999999999998</v>
      </c>
    </row>
    <row r="12" spans="1:24" x14ac:dyDescent="0.35">
      <c r="A12" s="353"/>
      <c r="B12" s="235" t="s">
        <v>10</v>
      </c>
      <c r="C12" s="360">
        <f>Inputs!C17</f>
        <v>0.48459999999999998</v>
      </c>
      <c r="D12" s="360">
        <f>Inputs!D17</f>
        <v>0.48139999999999999</v>
      </c>
      <c r="E12" s="360">
        <f>Inputs!E17</f>
        <v>0.4667</v>
      </c>
      <c r="F12" s="360">
        <f>Inputs!F17</f>
        <v>0.48459999999999998</v>
      </c>
      <c r="G12" s="360">
        <f>Inputs!G17</f>
        <v>0.48459999999999998</v>
      </c>
      <c r="H12" s="360">
        <f>Inputs!H17</f>
        <v>0.49559999999999998</v>
      </c>
      <c r="I12" s="360">
        <f>Inputs!I17</f>
        <v>0.2235</v>
      </c>
      <c r="J12" s="360">
        <f>Inputs!J17</f>
        <v>0.2235</v>
      </c>
      <c r="K12" s="360">
        <f>Inputs!K17</f>
        <v>0.5282</v>
      </c>
      <c r="L12" s="360">
        <f>Inputs!L17</f>
        <v>0.50760000000000005</v>
      </c>
      <c r="M12" s="361"/>
      <c r="N12" s="362"/>
      <c r="O12" s="363">
        <f t="shared" si="2"/>
        <v>0.51540000000000008</v>
      </c>
      <c r="P12" s="363">
        <f t="shared" si="3"/>
        <v>0.51859999999999995</v>
      </c>
      <c r="Q12" s="363">
        <f t="shared" si="4"/>
        <v>0.5333</v>
      </c>
      <c r="R12" s="363">
        <f t="shared" si="5"/>
        <v>0.51540000000000008</v>
      </c>
      <c r="S12" s="363">
        <f t="shared" si="6"/>
        <v>0.51540000000000008</v>
      </c>
      <c r="T12" s="363">
        <f t="shared" si="7"/>
        <v>0.50439999999999996</v>
      </c>
      <c r="U12" s="363">
        <f t="shared" si="8"/>
        <v>0.77649999999999997</v>
      </c>
      <c r="V12" s="363">
        <f t="shared" si="9"/>
        <v>0.77649999999999997</v>
      </c>
      <c r="W12" s="363">
        <f t="shared" si="10"/>
        <v>0.4718</v>
      </c>
      <c r="X12" s="363">
        <f t="shared" si="11"/>
        <v>0.49239999999999995</v>
      </c>
    </row>
    <row r="13" spans="1:24" x14ac:dyDescent="0.35">
      <c r="A13" s="353"/>
      <c r="B13" s="235" t="s">
        <v>11</v>
      </c>
      <c r="C13" s="360">
        <f>Inputs!C18</f>
        <v>0.4864</v>
      </c>
      <c r="D13" s="360">
        <f>Inputs!D18</f>
        <v>0.499</v>
      </c>
      <c r="E13" s="360">
        <f>Inputs!E18</f>
        <v>0.48209999999999997</v>
      </c>
      <c r="F13" s="360">
        <f>Inputs!F18</f>
        <v>0.4864</v>
      </c>
      <c r="G13" s="360">
        <f>Inputs!G18</f>
        <v>0.4864</v>
      </c>
      <c r="H13" s="360">
        <f>Inputs!H18</f>
        <v>0.53010000000000002</v>
      </c>
      <c r="I13" s="360">
        <f>Inputs!I18</f>
        <v>0.2089</v>
      </c>
      <c r="J13" s="360">
        <f>Inputs!J18</f>
        <v>0.2089</v>
      </c>
      <c r="K13" s="360">
        <f>Inputs!K18</f>
        <v>0.53669999999999995</v>
      </c>
      <c r="L13" s="360">
        <f>Inputs!L18</f>
        <v>0.51180000000000003</v>
      </c>
      <c r="M13" s="361"/>
      <c r="N13" s="362"/>
      <c r="O13" s="363">
        <f t="shared" si="2"/>
        <v>0.51360000000000006</v>
      </c>
      <c r="P13" s="363">
        <f t="shared" si="3"/>
        <v>0.501</v>
      </c>
      <c r="Q13" s="363">
        <f t="shared" si="4"/>
        <v>0.51790000000000003</v>
      </c>
      <c r="R13" s="363">
        <f t="shared" si="5"/>
        <v>0.51360000000000006</v>
      </c>
      <c r="S13" s="363">
        <f t="shared" si="6"/>
        <v>0.51360000000000006</v>
      </c>
      <c r="T13" s="363">
        <f t="shared" si="7"/>
        <v>0.46989999999999998</v>
      </c>
      <c r="U13" s="363">
        <f t="shared" si="8"/>
        <v>0.79110000000000003</v>
      </c>
      <c r="V13" s="363">
        <f t="shared" si="9"/>
        <v>0.79110000000000003</v>
      </c>
      <c r="W13" s="363">
        <f t="shared" si="10"/>
        <v>0.46330000000000005</v>
      </c>
      <c r="X13" s="363">
        <f t="shared" si="11"/>
        <v>0.48819999999999997</v>
      </c>
    </row>
    <row r="14" spans="1:24" x14ac:dyDescent="0.35">
      <c r="A14" s="353"/>
      <c r="B14" s="235" t="s">
        <v>12</v>
      </c>
      <c r="C14" s="360">
        <f>Inputs!C19</f>
        <v>0.53220000000000001</v>
      </c>
      <c r="D14" s="360">
        <f>Inputs!D19</f>
        <v>0.53820000000000001</v>
      </c>
      <c r="E14" s="360">
        <f>Inputs!E19</f>
        <v>0.53069999999999995</v>
      </c>
      <c r="F14" s="360">
        <f>Inputs!F19</f>
        <v>0.53220000000000001</v>
      </c>
      <c r="G14" s="360">
        <f>Inputs!G19</f>
        <v>0.53220000000000001</v>
      </c>
      <c r="H14" s="360">
        <f>Inputs!H19</f>
        <v>0.57969999999999999</v>
      </c>
      <c r="I14" s="360">
        <f>Inputs!I19</f>
        <v>0.20130000000000001</v>
      </c>
      <c r="J14" s="360">
        <f>Inputs!J19</f>
        <v>0.20130000000000001</v>
      </c>
      <c r="K14" s="360">
        <f>Inputs!K19</f>
        <v>0.56779999999999997</v>
      </c>
      <c r="L14" s="360">
        <f>Inputs!L19</f>
        <v>0.53680000000000005</v>
      </c>
      <c r="M14" s="361"/>
      <c r="N14" s="362"/>
      <c r="O14" s="363">
        <f t="shared" si="2"/>
        <v>0.46779999999999999</v>
      </c>
      <c r="P14" s="363">
        <f t="shared" si="3"/>
        <v>0.46179999999999999</v>
      </c>
      <c r="Q14" s="363">
        <f t="shared" si="4"/>
        <v>0.46930000000000005</v>
      </c>
      <c r="R14" s="363">
        <f t="shared" si="5"/>
        <v>0.46779999999999999</v>
      </c>
      <c r="S14" s="363">
        <f t="shared" si="6"/>
        <v>0.46779999999999999</v>
      </c>
      <c r="T14" s="363">
        <f t="shared" si="7"/>
        <v>0.42030000000000001</v>
      </c>
      <c r="U14" s="363">
        <f t="shared" si="8"/>
        <v>0.79869999999999997</v>
      </c>
      <c r="V14" s="363">
        <f t="shared" si="9"/>
        <v>0.79869999999999997</v>
      </c>
      <c r="W14" s="363">
        <f t="shared" si="10"/>
        <v>0.43220000000000003</v>
      </c>
      <c r="X14" s="363">
        <f t="shared" si="11"/>
        <v>0.46319999999999995</v>
      </c>
    </row>
    <row r="15" spans="1:24" x14ac:dyDescent="0.35">
      <c r="A15" s="353"/>
      <c r="B15" s="235" t="s">
        <v>13</v>
      </c>
      <c r="C15" s="360">
        <f>Inputs!C20</f>
        <v>0.50260000000000005</v>
      </c>
      <c r="D15" s="360">
        <f>Inputs!D20</f>
        <v>0.50560000000000005</v>
      </c>
      <c r="E15" s="360">
        <f>Inputs!E20</f>
        <v>0.50090000000000001</v>
      </c>
      <c r="F15" s="360">
        <f>Inputs!F20</f>
        <v>0.50260000000000005</v>
      </c>
      <c r="G15" s="360">
        <f>Inputs!G20</f>
        <v>0.50260000000000005</v>
      </c>
      <c r="H15" s="360">
        <f>Inputs!H20</f>
        <v>0.54349999999999998</v>
      </c>
      <c r="I15" s="360">
        <f>Inputs!I20</f>
        <v>0.19020000000000001</v>
      </c>
      <c r="J15" s="360">
        <f>Inputs!J20</f>
        <v>0.19020000000000001</v>
      </c>
      <c r="K15" s="360">
        <f>Inputs!K20</f>
        <v>0.52759999999999996</v>
      </c>
      <c r="L15" s="360">
        <f>Inputs!L20</f>
        <v>0.496</v>
      </c>
      <c r="M15" s="361"/>
      <c r="N15" s="362"/>
      <c r="O15" s="363">
        <f t="shared" si="2"/>
        <v>0.49739999999999995</v>
      </c>
      <c r="P15" s="363">
        <f t="shared" si="3"/>
        <v>0.49439999999999995</v>
      </c>
      <c r="Q15" s="363">
        <f t="shared" si="4"/>
        <v>0.49909999999999999</v>
      </c>
      <c r="R15" s="363">
        <f t="shared" si="5"/>
        <v>0.49739999999999995</v>
      </c>
      <c r="S15" s="363">
        <f t="shared" si="6"/>
        <v>0.49739999999999995</v>
      </c>
      <c r="T15" s="363">
        <f t="shared" si="7"/>
        <v>0.45650000000000002</v>
      </c>
      <c r="U15" s="363">
        <f t="shared" si="8"/>
        <v>0.80979999999999996</v>
      </c>
      <c r="V15" s="363">
        <f t="shared" si="9"/>
        <v>0.80979999999999996</v>
      </c>
      <c r="W15" s="363">
        <f t="shared" si="10"/>
        <v>0.47240000000000004</v>
      </c>
      <c r="X15" s="363">
        <f t="shared" si="11"/>
        <v>0.504</v>
      </c>
    </row>
    <row r="16" spans="1:24" x14ac:dyDescent="0.35">
      <c r="A16" s="353"/>
      <c r="B16" s="235" t="s">
        <v>14</v>
      </c>
      <c r="C16" s="360">
        <f>Inputs!C21</f>
        <v>0.52769999999999995</v>
      </c>
      <c r="D16" s="360">
        <f>Inputs!D21</f>
        <v>0.53690000000000004</v>
      </c>
      <c r="E16" s="360">
        <f>Inputs!E21</f>
        <v>0.52910000000000001</v>
      </c>
      <c r="F16" s="360">
        <f>Inputs!F21</f>
        <v>0.52769999999999995</v>
      </c>
      <c r="G16" s="360">
        <f>Inputs!G21</f>
        <v>0.52769999999999995</v>
      </c>
      <c r="H16" s="360">
        <f>Inputs!H21</f>
        <v>0.58130000000000004</v>
      </c>
      <c r="I16" s="360">
        <f>Inputs!I21</f>
        <v>0.21490000000000001</v>
      </c>
      <c r="J16" s="360">
        <f>Inputs!J21</f>
        <v>0.21490000000000001</v>
      </c>
      <c r="K16" s="360">
        <f>Inputs!K21</f>
        <v>0.56540000000000001</v>
      </c>
      <c r="L16" s="360">
        <f>Inputs!L21</f>
        <v>0.53110000000000002</v>
      </c>
      <c r="M16" s="361"/>
      <c r="N16" s="362"/>
      <c r="O16" s="363">
        <f t="shared" si="2"/>
        <v>0.47230000000000005</v>
      </c>
      <c r="P16" s="363">
        <f t="shared" si="3"/>
        <v>0.46309999999999996</v>
      </c>
      <c r="Q16" s="363">
        <f t="shared" si="4"/>
        <v>0.47089999999999999</v>
      </c>
      <c r="R16" s="363">
        <f t="shared" si="5"/>
        <v>0.47230000000000005</v>
      </c>
      <c r="S16" s="363">
        <f t="shared" si="6"/>
        <v>0.47230000000000005</v>
      </c>
      <c r="T16" s="363">
        <f t="shared" si="7"/>
        <v>0.41869999999999996</v>
      </c>
      <c r="U16" s="363">
        <f t="shared" si="8"/>
        <v>0.78510000000000002</v>
      </c>
      <c r="V16" s="363">
        <f t="shared" si="9"/>
        <v>0.78510000000000002</v>
      </c>
      <c r="W16" s="363">
        <f t="shared" si="10"/>
        <v>0.43459999999999999</v>
      </c>
      <c r="X16" s="363">
        <f t="shared" si="11"/>
        <v>0.46889999999999998</v>
      </c>
    </row>
    <row r="17" spans="1:24" x14ac:dyDescent="0.35">
      <c r="A17" s="353"/>
      <c r="B17" s="235" t="s">
        <v>15</v>
      </c>
      <c r="C17" s="360">
        <f>Inputs!C22</f>
        <v>0.48949999999999999</v>
      </c>
      <c r="D17" s="360">
        <f>Inputs!D22</f>
        <v>0.50370000000000004</v>
      </c>
      <c r="E17" s="360">
        <f>Inputs!E22</f>
        <v>0.48930000000000001</v>
      </c>
      <c r="F17" s="360">
        <f>Inputs!F22</f>
        <v>0.48949999999999999</v>
      </c>
      <c r="G17" s="360">
        <f>Inputs!G22</f>
        <v>0.48949999999999999</v>
      </c>
      <c r="H17" s="360">
        <f>Inputs!H22</f>
        <v>0.5454</v>
      </c>
      <c r="I17" s="360">
        <f>Inputs!I22</f>
        <v>0.23330000000000001</v>
      </c>
      <c r="J17" s="360">
        <f>Inputs!J22</f>
        <v>0.23330000000000001</v>
      </c>
      <c r="K17" s="360">
        <f>Inputs!K22</f>
        <v>0.5363</v>
      </c>
      <c r="L17" s="360">
        <f>Inputs!L22</f>
        <v>0.50790000000000002</v>
      </c>
      <c r="M17" s="361"/>
      <c r="N17" s="362"/>
      <c r="O17" s="363">
        <f t="shared" si="2"/>
        <v>0.51049999999999995</v>
      </c>
      <c r="P17" s="363">
        <f t="shared" si="3"/>
        <v>0.49629999999999996</v>
      </c>
      <c r="Q17" s="363">
        <f t="shared" si="4"/>
        <v>0.51069999999999993</v>
      </c>
      <c r="R17" s="363">
        <f t="shared" si="5"/>
        <v>0.51049999999999995</v>
      </c>
      <c r="S17" s="363">
        <f t="shared" si="6"/>
        <v>0.51049999999999995</v>
      </c>
      <c r="T17" s="363">
        <f t="shared" si="7"/>
        <v>0.4546</v>
      </c>
      <c r="U17" s="363">
        <f t="shared" si="8"/>
        <v>0.76669999999999994</v>
      </c>
      <c r="V17" s="363">
        <f t="shared" si="9"/>
        <v>0.76669999999999994</v>
      </c>
      <c r="W17" s="363">
        <f t="shared" si="10"/>
        <v>0.4637</v>
      </c>
      <c r="X17" s="363">
        <f t="shared" si="11"/>
        <v>0.49209999999999998</v>
      </c>
    </row>
    <row r="18" spans="1:24" x14ac:dyDescent="0.35">
      <c r="A18" s="353"/>
      <c r="B18" s="235" t="s">
        <v>16</v>
      </c>
      <c r="C18" s="360">
        <f>Inputs!C23</f>
        <v>0.50029999999999997</v>
      </c>
      <c r="D18" s="360">
        <f>Inputs!D23</f>
        <v>0.50460000000000005</v>
      </c>
      <c r="E18" s="360">
        <f>Inputs!E23</f>
        <v>0.49049999999999999</v>
      </c>
      <c r="F18" s="360">
        <f>Inputs!F23</f>
        <v>0.50029999999999997</v>
      </c>
      <c r="G18" s="360">
        <f>Inputs!G23</f>
        <v>0.50029999999999997</v>
      </c>
      <c r="H18" s="360">
        <f>Inputs!H23</f>
        <v>0.53580000000000005</v>
      </c>
      <c r="I18" s="360">
        <f>Inputs!I23</f>
        <v>0.27210000000000001</v>
      </c>
      <c r="J18" s="360">
        <f>Inputs!J23</f>
        <v>0.27210000000000001</v>
      </c>
      <c r="K18" s="360">
        <f>Inputs!K23</f>
        <v>0.54979999999999996</v>
      </c>
      <c r="L18" s="360">
        <f>Inputs!L23</f>
        <v>0.52459999999999996</v>
      </c>
      <c r="M18" s="361"/>
      <c r="N18" s="362"/>
      <c r="O18" s="363">
        <f t="shared" si="2"/>
        <v>0.49970000000000003</v>
      </c>
      <c r="P18" s="363">
        <f t="shared" si="3"/>
        <v>0.49539999999999995</v>
      </c>
      <c r="Q18" s="363">
        <f t="shared" si="4"/>
        <v>0.50950000000000006</v>
      </c>
      <c r="R18" s="363">
        <f t="shared" si="5"/>
        <v>0.49970000000000003</v>
      </c>
      <c r="S18" s="363">
        <f t="shared" si="6"/>
        <v>0.49970000000000003</v>
      </c>
      <c r="T18" s="363">
        <f t="shared" si="7"/>
        <v>0.46419999999999995</v>
      </c>
      <c r="U18" s="363">
        <f t="shared" si="8"/>
        <v>0.72789999999999999</v>
      </c>
      <c r="V18" s="363">
        <f t="shared" si="9"/>
        <v>0.72789999999999999</v>
      </c>
      <c r="W18" s="363">
        <f t="shared" si="10"/>
        <v>0.45020000000000004</v>
      </c>
      <c r="X18" s="363">
        <f t="shared" si="11"/>
        <v>0.47540000000000004</v>
      </c>
    </row>
    <row r="19" spans="1:24" x14ac:dyDescent="0.35">
      <c r="A19" s="353"/>
      <c r="B19" s="235" t="s">
        <v>17</v>
      </c>
      <c r="C19" s="360">
        <f>Inputs!C24</f>
        <v>0.47660000000000002</v>
      </c>
      <c r="D19" s="360">
        <f>Inputs!D24</f>
        <v>0.47070000000000001</v>
      </c>
      <c r="E19" s="360">
        <f>Inputs!E24</f>
        <v>0.47</v>
      </c>
      <c r="F19" s="360">
        <f>Inputs!F24</f>
        <v>0.47660000000000002</v>
      </c>
      <c r="G19" s="360">
        <f>Inputs!G24</f>
        <v>0.47660000000000002</v>
      </c>
      <c r="H19" s="360">
        <f>Inputs!H24</f>
        <v>0.47720000000000001</v>
      </c>
      <c r="I19" s="360">
        <f>Inputs!I24</f>
        <v>0.30559999999999998</v>
      </c>
      <c r="J19" s="360">
        <f>Inputs!J24</f>
        <v>0.30559999999999998</v>
      </c>
      <c r="K19" s="360">
        <f>Inputs!K24</f>
        <v>0.52280000000000004</v>
      </c>
      <c r="L19" s="360">
        <f>Inputs!L24</f>
        <v>0.50260000000000005</v>
      </c>
      <c r="M19" s="361"/>
      <c r="N19" s="362"/>
      <c r="O19" s="363">
        <f t="shared" si="2"/>
        <v>0.52339999999999998</v>
      </c>
      <c r="P19" s="363">
        <f t="shared" si="3"/>
        <v>0.52929999999999999</v>
      </c>
      <c r="Q19" s="363">
        <f t="shared" si="4"/>
        <v>0.53</v>
      </c>
      <c r="R19" s="363">
        <f t="shared" si="5"/>
        <v>0.52339999999999998</v>
      </c>
      <c r="S19" s="363">
        <f t="shared" si="6"/>
        <v>0.52339999999999998</v>
      </c>
      <c r="T19" s="363">
        <f t="shared" si="7"/>
        <v>0.52279999999999993</v>
      </c>
      <c r="U19" s="363">
        <f t="shared" si="8"/>
        <v>0.69440000000000002</v>
      </c>
      <c r="V19" s="363">
        <f t="shared" si="9"/>
        <v>0.69440000000000002</v>
      </c>
      <c r="W19" s="363">
        <f t="shared" si="10"/>
        <v>0.47719999999999996</v>
      </c>
      <c r="X19" s="363">
        <f t="shared" si="11"/>
        <v>0.49739999999999995</v>
      </c>
    </row>
    <row r="20" spans="1:24" x14ac:dyDescent="0.35">
      <c r="A20" s="353"/>
      <c r="B20" s="235" t="s">
        <v>18</v>
      </c>
      <c r="C20" s="360">
        <f>Inputs!C25</f>
        <v>0.46410000000000001</v>
      </c>
      <c r="D20" s="360">
        <f>Inputs!D25</f>
        <v>0.45989999999999998</v>
      </c>
      <c r="E20" s="360">
        <f>Inputs!E25</f>
        <v>0.4612</v>
      </c>
      <c r="F20" s="360">
        <f>Inputs!F25</f>
        <v>0.46410000000000001</v>
      </c>
      <c r="G20" s="360">
        <f>Inputs!G25</f>
        <v>0.46410000000000001</v>
      </c>
      <c r="H20" s="360">
        <f>Inputs!H25</f>
        <v>0.45779999999999998</v>
      </c>
      <c r="I20" s="360">
        <f>Inputs!I25</f>
        <v>0.3054</v>
      </c>
      <c r="J20" s="360">
        <f>Inputs!J25</f>
        <v>0.3054</v>
      </c>
      <c r="K20" s="360">
        <f>Inputs!K25</f>
        <v>0.50560000000000005</v>
      </c>
      <c r="L20" s="360">
        <f>Inputs!L25</f>
        <v>0.48720000000000002</v>
      </c>
      <c r="M20" s="361"/>
      <c r="N20" s="362"/>
      <c r="O20" s="363">
        <f t="shared" si="2"/>
        <v>0.53590000000000004</v>
      </c>
      <c r="P20" s="363">
        <f t="shared" si="3"/>
        <v>0.54010000000000002</v>
      </c>
      <c r="Q20" s="363">
        <f t="shared" si="4"/>
        <v>0.53879999999999995</v>
      </c>
      <c r="R20" s="363">
        <f t="shared" si="5"/>
        <v>0.53590000000000004</v>
      </c>
      <c r="S20" s="363">
        <f t="shared" si="6"/>
        <v>0.53590000000000004</v>
      </c>
      <c r="T20" s="363">
        <f t="shared" si="7"/>
        <v>0.54220000000000002</v>
      </c>
      <c r="U20" s="363">
        <f t="shared" si="8"/>
        <v>0.6946</v>
      </c>
      <c r="V20" s="363">
        <f t="shared" si="9"/>
        <v>0.6946</v>
      </c>
      <c r="W20" s="363">
        <f t="shared" si="10"/>
        <v>0.49439999999999995</v>
      </c>
      <c r="X20" s="363">
        <f t="shared" si="11"/>
        <v>0.51279999999999992</v>
      </c>
    </row>
    <row r="21" spans="1:24" x14ac:dyDescent="0.35">
      <c r="A21" s="353"/>
      <c r="B21" s="235"/>
      <c r="C21" s="362"/>
      <c r="D21" s="362"/>
      <c r="E21" s="362"/>
      <c r="F21" s="362"/>
      <c r="G21" s="362"/>
      <c r="H21" s="362"/>
      <c r="I21" s="362"/>
      <c r="J21" s="362"/>
      <c r="K21" s="362"/>
      <c r="L21" s="362"/>
      <c r="M21" s="362"/>
      <c r="N21" s="362"/>
      <c r="O21" s="363"/>
      <c r="P21" s="363"/>
      <c r="Q21" s="363"/>
      <c r="R21" s="363"/>
      <c r="S21" s="363"/>
      <c r="T21" s="363"/>
      <c r="U21" s="363"/>
      <c r="V21" s="363"/>
      <c r="W21" s="363"/>
      <c r="X21" s="363"/>
    </row>
    <row r="22" spans="1:24" x14ac:dyDescent="0.35">
      <c r="A22" s="353"/>
      <c r="B22" s="235"/>
      <c r="C22" s="362"/>
      <c r="D22" s="362"/>
      <c r="E22" s="2" t="str">
        <f>+Inputs!E9</f>
        <v>Based on average of year 2023, 2024 &amp; 2025 Load Profile Information</v>
      </c>
      <c r="K22" s="362"/>
      <c r="L22" s="362"/>
      <c r="M22" s="362"/>
      <c r="N22" s="362"/>
      <c r="O22" s="363"/>
      <c r="P22" s="363"/>
      <c r="Q22" s="363"/>
      <c r="R22" s="363"/>
      <c r="S22" s="363"/>
      <c r="T22" s="363"/>
      <c r="U22" s="363"/>
      <c r="V22" s="363"/>
      <c r="W22" s="363"/>
      <c r="X22" s="363"/>
    </row>
    <row r="23" spans="1:24" ht="13.15" x14ac:dyDescent="0.4">
      <c r="A23" s="350" t="s">
        <v>65</v>
      </c>
      <c r="B23" s="351" t="s">
        <v>130</v>
      </c>
      <c r="C23" s="362"/>
      <c r="D23" s="362"/>
      <c r="E23" s="364" t="str">
        <f>Inputs!E28</f>
        <v>On-Peak periods as defined in specified rate schedule (average of %s for 2023, 2024 &amp; 2025)</v>
      </c>
      <c r="G23" s="362"/>
      <c r="H23" s="362"/>
      <c r="I23" s="365"/>
      <c r="J23" s="365"/>
      <c r="K23" s="362"/>
      <c r="L23" s="362"/>
      <c r="M23" s="362"/>
      <c r="N23" s="362"/>
      <c r="O23" s="363"/>
      <c r="P23" s="363"/>
      <c r="Q23" s="363"/>
      <c r="R23" s="363"/>
      <c r="S23" s="363"/>
      <c r="T23" s="363"/>
      <c r="U23" s="363"/>
      <c r="V23" s="363"/>
      <c r="W23" s="363"/>
      <c r="X23" s="363"/>
    </row>
    <row r="24" spans="1:24" ht="25.5" x14ac:dyDescent="0.35">
      <c r="A24" s="353"/>
      <c r="C24" s="354" t="s">
        <v>79</v>
      </c>
      <c r="D24" s="354" t="s">
        <v>79</v>
      </c>
      <c r="E24" s="354" t="s">
        <v>50</v>
      </c>
      <c r="F24" s="354" t="s">
        <v>79</v>
      </c>
      <c r="G24" s="354" t="s">
        <v>79</v>
      </c>
      <c r="H24" s="354" t="s">
        <v>79</v>
      </c>
      <c r="I24" s="354" t="s">
        <v>79</v>
      </c>
      <c r="J24" s="354" t="s">
        <v>79</v>
      </c>
      <c r="K24" s="354" t="s">
        <v>79</v>
      </c>
      <c r="L24" s="354" t="s">
        <v>50</v>
      </c>
      <c r="M24" s="354"/>
      <c r="N24" s="2"/>
      <c r="O24" s="354" t="s">
        <v>79</v>
      </c>
      <c r="P24" s="354" t="s">
        <v>79</v>
      </c>
      <c r="Q24" s="354" t="s">
        <v>219</v>
      </c>
      <c r="R24" s="354" t="s">
        <v>79</v>
      </c>
      <c r="S24" s="354" t="s">
        <v>79</v>
      </c>
      <c r="T24" s="354" t="s">
        <v>79</v>
      </c>
      <c r="U24" s="354" t="s">
        <v>79</v>
      </c>
      <c r="V24" s="354" t="s">
        <v>79</v>
      </c>
      <c r="W24" s="354" t="s">
        <v>79</v>
      </c>
      <c r="X24" s="354" t="s">
        <v>219</v>
      </c>
    </row>
    <row r="25" spans="1:24" ht="13.15" x14ac:dyDescent="0.4">
      <c r="A25" s="353"/>
      <c r="B25" s="356" t="s">
        <v>231</v>
      </c>
      <c r="C25" s="234" t="str">
        <f>+C7</f>
        <v>RS</v>
      </c>
      <c r="D25" s="234" t="str">
        <f t="shared" ref="D25:L25" si="12">+D7</f>
        <v>RHS</v>
      </c>
      <c r="E25" s="234" t="str">
        <f t="shared" si="12"/>
        <v>RLM</v>
      </c>
      <c r="F25" s="234" t="str">
        <f t="shared" si="12"/>
        <v>WH</v>
      </c>
      <c r="G25" s="234" t="str">
        <f t="shared" si="12"/>
        <v>WHS</v>
      </c>
      <c r="H25" s="234" t="str">
        <f t="shared" si="12"/>
        <v>HS</v>
      </c>
      <c r="I25" s="234" t="str">
        <f t="shared" si="12"/>
        <v>PSAL</v>
      </c>
      <c r="J25" s="234" t="str">
        <f t="shared" si="12"/>
        <v>BPL</v>
      </c>
      <c r="K25" s="234" t="str">
        <f t="shared" si="12"/>
        <v>GLP</v>
      </c>
      <c r="L25" s="234" t="str">
        <f t="shared" si="12"/>
        <v>LPL-S</v>
      </c>
      <c r="M25" s="234"/>
      <c r="N25" s="358"/>
      <c r="O25" s="234" t="str">
        <f>+C7</f>
        <v>RS</v>
      </c>
      <c r="P25" s="234" t="str">
        <f t="shared" ref="P25:X25" si="13">+D7</f>
        <v>RHS</v>
      </c>
      <c r="Q25" s="234" t="str">
        <f t="shared" si="13"/>
        <v>RLM</v>
      </c>
      <c r="R25" s="234" t="str">
        <f t="shared" si="13"/>
        <v>WH</v>
      </c>
      <c r="S25" s="234" t="str">
        <f t="shared" si="13"/>
        <v>WHS</v>
      </c>
      <c r="T25" s="234" t="str">
        <f t="shared" si="13"/>
        <v>HS</v>
      </c>
      <c r="U25" s="234" t="str">
        <f t="shared" si="13"/>
        <v>PSAL</v>
      </c>
      <c r="V25" s="234" t="str">
        <f t="shared" si="13"/>
        <v>BPL</v>
      </c>
      <c r="W25" s="234" t="str">
        <f t="shared" si="13"/>
        <v>GLP</v>
      </c>
      <c r="X25" s="234" t="str">
        <f t="shared" si="13"/>
        <v>LPL-S</v>
      </c>
    </row>
    <row r="26" spans="1:24" x14ac:dyDescent="0.35">
      <c r="A26" s="353"/>
      <c r="O26" s="348"/>
      <c r="P26" s="348"/>
      <c r="Q26" s="348"/>
      <c r="R26" s="348"/>
      <c r="S26" s="348"/>
      <c r="T26" s="348"/>
      <c r="U26" s="348"/>
      <c r="V26" s="348"/>
      <c r="W26" s="348"/>
      <c r="X26" s="348"/>
    </row>
    <row r="27" spans="1:24" x14ac:dyDescent="0.35">
      <c r="A27" s="353"/>
      <c r="B27" s="235" t="s">
        <v>7</v>
      </c>
      <c r="C27" s="366">
        <v>0</v>
      </c>
      <c r="D27" s="366">
        <v>0</v>
      </c>
      <c r="E27" s="366">
        <f>Inputs!C32</f>
        <v>0.41760000000000003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f>Inputs!D32</f>
        <v>0.46439999999999998</v>
      </c>
      <c r="M27" s="361"/>
      <c r="N27" s="362"/>
      <c r="O27" s="363"/>
      <c r="P27" s="363"/>
      <c r="Q27" s="363">
        <f t="shared" ref="Q27:Q38" si="14">1-E27</f>
        <v>0.58240000000000003</v>
      </c>
      <c r="R27" s="363"/>
      <c r="S27" s="363"/>
      <c r="T27" s="363"/>
      <c r="U27" s="363"/>
      <c r="V27" s="363"/>
      <c r="W27" s="363"/>
      <c r="X27" s="363">
        <f t="shared" ref="X27:X38" si="15">1-L27</f>
        <v>0.53560000000000008</v>
      </c>
    </row>
    <row r="28" spans="1:24" x14ac:dyDescent="0.35">
      <c r="A28" s="353"/>
      <c r="B28" s="235" t="s">
        <v>8</v>
      </c>
      <c r="C28" s="366">
        <v>0</v>
      </c>
      <c r="D28" s="366">
        <v>0</v>
      </c>
      <c r="E28" s="366">
        <f>Inputs!C33</f>
        <v>0.4123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f>Inputs!D33</f>
        <v>0.4642</v>
      </c>
      <c r="M28" s="361"/>
      <c r="N28" s="362"/>
      <c r="O28" s="363"/>
      <c r="P28" s="363"/>
      <c r="Q28" s="363">
        <f t="shared" si="14"/>
        <v>0.5877</v>
      </c>
      <c r="R28" s="363"/>
      <c r="S28" s="363"/>
      <c r="T28" s="363"/>
      <c r="U28" s="363"/>
      <c r="V28" s="363"/>
      <c r="W28" s="363"/>
      <c r="X28" s="363">
        <f t="shared" si="15"/>
        <v>0.53580000000000005</v>
      </c>
    </row>
    <row r="29" spans="1:24" x14ac:dyDescent="0.35">
      <c r="A29" s="353"/>
      <c r="B29" s="235" t="s">
        <v>9</v>
      </c>
      <c r="C29" s="366">
        <v>0</v>
      </c>
      <c r="D29" s="366">
        <v>0</v>
      </c>
      <c r="E29" s="366">
        <f>Inputs!C34</f>
        <v>0.40639999999999998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f>Inputs!D34</f>
        <v>0.46279999999999999</v>
      </c>
      <c r="M29" s="361"/>
      <c r="N29" s="362"/>
      <c r="O29" s="363"/>
      <c r="P29" s="363"/>
      <c r="Q29" s="363">
        <f t="shared" si="14"/>
        <v>0.59360000000000002</v>
      </c>
      <c r="R29" s="363"/>
      <c r="S29" s="363"/>
      <c r="T29" s="363"/>
      <c r="U29" s="363"/>
      <c r="V29" s="363"/>
      <c r="W29" s="363"/>
      <c r="X29" s="363">
        <f t="shared" si="15"/>
        <v>0.53720000000000001</v>
      </c>
    </row>
    <row r="30" spans="1:24" x14ac:dyDescent="0.35">
      <c r="A30" s="353"/>
      <c r="B30" s="235" t="s">
        <v>10</v>
      </c>
      <c r="C30" s="366">
        <v>0</v>
      </c>
      <c r="D30" s="366">
        <v>0</v>
      </c>
      <c r="E30" s="366">
        <f>Inputs!C35</f>
        <v>0.4173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f>Inputs!D35</f>
        <v>0.46860000000000002</v>
      </c>
      <c r="M30" s="361"/>
      <c r="N30" s="362"/>
      <c r="O30" s="363"/>
      <c r="P30" s="363"/>
      <c r="Q30" s="363">
        <f t="shared" si="14"/>
        <v>0.5827</v>
      </c>
      <c r="R30" s="363"/>
      <c r="S30" s="363"/>
      <c r="T30" s="363"/>
      <c r="U30" s="363"/>
      <c r="V30" s="363"/>
      <c r="W30" s="363"/>
      <c r="X30" s="363">
        <f t="shared" si="15"/>
        <v>0.53139999999999998</v>
      </c>
    </row>
    <row r="31" spans="1:24" x14ac:dyDescent="0.35">
      <c r="A31" s="353"/>
      <c r="B31" s="235" t="s">
        <v>11</v>
      </c>
      <c r="C31" s="366">
        <v>0</v>
      </c>
      <c r="D31" s="366">
        <v>0</v>
      </c>
      <c r="E31" s="366">
        <f>Inputs!C36</f>
        <v>0.43830000000000002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f>Inputs!D36</f>
        <v>0.48060000000000003</v>
      </c>
      <c r="M31" s="361"/>
      <c r="N31" s="367"/>
      <c r="O31" s="363"/>
      <c r="P31" s="363"/>
      <c r="Q31" s="363">
        <f t="shared" si="14"/>
        <v>0.56169999999999998</v>
      </c>
      <c r="R31" s="363"/>
      <c r="S31" s="363"/>
      <c r="T31" s="363"/>
      <c r="U31" s="363"/>
      <c r="V31" s="363"/>
      <c r="W31" s="363"/>
      <c r="X31" s="363">
        <f t="shared" si="15"/>
        <v>0.51939999999999997</v>
      </c>
    </row>
    <row r="32" spans="1:24" x14ac:dyDescent="0.35">
      <c r="A32" s="353"/>
      <c r="B32" s="235" t="s">
        <v>12</v>
      </c>
      <c r="C32" s="366">
        <v>0</v>
      </c>
      <c r="D32" s="366">
        <v>0</v>
      </c>
      <c r="E32" s="366">
        <f>Inputs!C37</f>
        <v>0.47089999999999999</v>
      </c>
      <c r="F32" s="366">
        <v>0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f>Inputs!D37</f>
        <v>0.49099999999999999</v>
      </c>
      <c r="M32" s="361"/>
      <c r="N32" s="367"/>
      <c r="O32" s="363"/>
      <c r="P32" s="363"/>
      <c r="Q32" s="363">
        <f t="shared" si="14"/>
        <v>0.52910000000000001</v>
      </c>
      <c r="R32" s="363"/>
      <c r="S32" s="363"/>
      <c r="T32" s="363"/>
      <c r="U32" s="363"/>
      <c r="V32" s="363"/>
      <c r="W32" s="363"/>
      <c r="X32" s="363">
        <f t="shared" si="15"/>
        <v>0.50900000000000001</v>
      </c>
    </row>
    <row r="33" spans="1:32" x14ac:dyDescent="0.35">
      <c r="A33" s="353"/>
      <c r="B33" s="235" t="s">
        <v>13</v>
      </c>
      <c r="C33" s="366">
        <v>0</v>
      </c>
      <c r="D33" s="366">
        <v>0</v>
      </c>
      <c r="E33" s="366">
        <f>Inputs!C38</f>
        <v>0.48380000000000001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f>Inputs!D38</f>
        <v>0.48530000000000001</v>
      </c>
      <c r="M33" s="361"/>
      <c r="N33" s="367"/>
      <c r="O33" s="363"/>
      <c r="P33" s="363"/>
      <c r="Q33" s="363">
        <f t="shared" si="14"/>
        <v>0.51619999999999999</v>
      </c>
      <c r="R33" s="363"/>
      <c r="S33" s="363"/>
      <c r="T33" s="363"/>
      <c r="U33" s="363"/>
      <c r="V33" s="363"/>
      <c r="W33" s="363"/>
      <c r="X33" s="363">
        <f t="shared" si="15"/>
        <v>0.51469999999999994</v>
      </c>
    </row>
    <row r="34" spans="1:32" x14ac:dyDescent="0.35">
      <c r="A34" s="353"/>
      <c r="B34" s="235" t="s">
        <v>14</v>
      </c>
      <c r="C34" s="366">
        <v>0</v>
      </c>
      <c r="D34" s="366">
        <v>0</v>
      </c>
      <c r="E34" s="366">
        <f>Inputs!C39</f>
        <v>0.48620000000000002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f>Inputs!D39</f>
        <v>0.48399999999999999</v>
      </c>
      <c r="M34" s="361"/>
      <c r="N34" s="367"/>
      <c r="O34" s="363"/>
      <c r="P34" s="363"/>
      <c r="Q34" s="363">
        <f t="shared" si="14"/>
        <v>0.51380000000000003</v>
      </c>
      <c r="R34" s="363"/>
      <c r="S34" s="363"/>
      <c r="T34" s="363"/>
      <c r="U34" s="363"/>
      <c r="V34" s="363"/>
      <c r="W34" s="363"/>
      <c r="X34" s="363">
        <f t="shared" si="15"/>
        <v>0.51600000000000001</v>
      </c>
    </row>
    <row r="35" spans="1:32" x14ac:dyDescent="0.35">
      <c r="A35" s="353"/>
      <c r="B35" s="235" t="s">
        <v>15</v>
      </c>
      <c r="C35" s="366">
        <v>0</v>
      </c>
      <c r="D35" s="366">
        <v>0</v>
      </c>
      <c r="E35" s="366">
        <f>Inputs!C40</f>
        <v>0.4703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f>Inputs!D40</f>
        <v>0.48270000000000002</v>
      </c>
      <c r="M35" s="361"/>
      <c r="N35" s="367"/>
      <c r="O35" s="363"/>
      <c r="P35" s="363"/>
      <c r="Q35" s="363">
        <f t="shared" si="14"/>
        <v>0.52970000000000006</v>
      </c>
      <c r="R35" s="363"/>
      <c r="S35" s="363"/>
      <c r="T35" s="363"/>
      <c r="U35" s="363"/>
      <c r="V35" s="363"/>
      <c r="W35" s="363"/>
      <c r="X35" s="363">
        <f t="shared" si="15"/>
        <v>0.51729999999999998</v>
      </c>
    </row>
    <row r="36" spans="1:32" x14ac:dyDescent="0.35">
      <c r="A36" s="353"/>
      <c r="B36" s="235" t="s">
        <v>16</v>
      </c>
      <c r="C36" s="366">
        <v>0</v>
      </c>
      <c r="D36" s="366">
        <v>0</v>
      </c>
      <c r="E36" s="366">
        <f>Inputs!C41</f>
        <v>0.44640000000000002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f>Inputs!D41</f>
        <v>0.48520000000000002</v>
      </c>
      <c r="M36" s="361"/>
      <c r="N36" s="367"/>
      <c r="O36" s="363"/>
      <c r="P36" s="363"/>
      <c r="Q36" s="363">
        <f t="shared" si="14"/>
        <v>0.55359999999999998</v>
      </c>
      <c r="R36" s="363"/>
      <c r="S36" s="363"/>
      <c r="T36" s="363"/>
      <c r="U36" s="363"/>
      <c r="V36" s="363"/>
      <c r="W36" s="363"/>
      <c r="X36" s="363">
        <f t="shared" si="15"/>
        <v>0.51479999999999992</v>
      </c>
    </row>
    <row r="37" spans="1:32" x14ac:dyDescent="0.35">
      <c r="A37" s="353"/>
      <c r="B37" s="235" t="s">
        <v>17</v>
      </c>
      <c r="C37" s="366">
        <v>0</v>
      </c>
      <c r="D37" s="366">
        <v>0</v>
      </c>
      <c r="E37" s="366">
        <f>Inputs!C42</f>
        <v>0.4224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f>Inputs!D42</f>
        <v>0.48139999999999999</v>
      </c>
      <c r="M37" s="361"/>
      <c r="N37" s="367"/>
      <c r="O37" s="363"/>
      <c r="P37" s="363"/>
      <c r="Q37" s="363">
        <f t="shared" si="14"/>
        <v>0.5776</v>
      </c>
      <c r="R37" s="363"/>
      <c r="S37" s="363"/>
      <c r="T37" s="363"/>
      <c r="U37" s="363"/>
      <c r="V37" s="363"/>
      <c r="W37" s="363"/>
      <c r="X37" s="363">
        <f t="shared" si="15"/>
        <v>0.51859999999999995</v>
      </c>
    </row>
    <row r="38" spans="1:32" x14ac:dyDescent="0.35">
      <c r="A38" s="353"/>
      <c r="B38" s="235" t="s">
        <v>18</v>
      </c>
      <c r="C38" s="366">
        <v>0</v>
      </c>
      <c r="D38" s="366">
        <v>0</v>
      </c>
      <c r="E38" s="366">
        <f>Inputs!C43</f>
        <v>0.41349999999999998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f>Inputs!D43</f>
        <v>0.46650000000000003</v>
      </c>
      <c r="M38" s="361"/>
      <c r="N38" s="367"/>
      <c r="O38" s="363"/>
      <c r="P38" s="363"/>
      <c r="Q38" s="363">
        <f t="shared" si="14"/>
        <v>0.58650000000000002</v>
      </c>
      <c r="R38" s="363"/>
      <c r="S38" s="363"/>
      <c r="T38" s="363"/>
      <c r="U38" s="363"/>
      <c r="V38" s="363"/>
      <c r="W38" s="363"/>
      <c r="X38" s="363">
        <f t="shared" si="15"/>
        <v>0.53349999999999997</v>
      </c>
    </row>
    <row r="39" spans="1:32" x14ac:dyDescent="0.35">
      <c r="A39" s="353"/>
      <c r="B39" s="235"/>
      <c r="C39" s="362"/>
      <c r="D39" s="362"/>
      <c r="E39" s="362"/>
      <c r="F39" s="362"/>
      <c r="G39" s="362"/>
      <c r="H39" s="362"/>
      <c r="I39" s="365"/>
      <c r="J39" s="365"/>
      <c r="K39" s="362"/>
      <c r="L39" s="362"/>
      <c r="M39" s="362"/>
      <c r="N39" s="367"/>
      <c r="O39" s="363"/>
      <c r="P39" s="363"/>
      <c r="Q39" s="363"/>
      <c r="R39" s="363"/>
      <c r="S39" s="363"/>
      <c r="T39" s="363"/>
      <c r="U39" s="363"/>
      <c r="V39" s="363"/>
      <c r="W39" s="363"/>
      <c r="X39" s="363"/>
    </row>
    <row r="40" spans="1:32" x14ac:dyDescent="0.35">
      <c r="A40" s="353"/>
      <c r="B40" s="235"/>
      <c r="C40" s="362"/>
      <c r="D40" s="362"/>
      <c r="E40" s="362"/>
      <c r="F40" s="362"/>
      <c r="G40" s="362"/>
      <c r="H40" s="362"/>
      <c r="I40" s="365"/>
      <c r="J40" s="365"/>
      <c r="K40" s="362"/>
      <c r="L40" s="362"/>
      <c r="M40" s="362"/>
      <c r="N40" s="367"/>
      <c r="O40" s="363"/>
      <c r="P40" s="363"/>
      <c r="Q40" s="363"/>
      <c r="R40" s="363"/>
      <c r="S40" s="363"/>
      <c r="T40" s="363"/>
      <c r="U40" s="363"/>
      <c r="V40" s="363"/>
      <c r="W40" s="363"/>
      <c r="X40" s="363"/>
    </row>
    <row r="41" spans="1:32" ht="13.15" x14ac:dyDescent="0.4">
      <c r="A41" s="350" t="s">
        <v>75</v>
      </c>
      <c r="B41" s="368" t="s">
        <v>131</v>
      </c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O41" s="1" t="s">
        <v>188</v>
      </c>
    </row>
    <row r="42" spans="1:32" ht="13.15" x14ac:dyDescent="0.4">
      <c r="A42" s="353"/>
      <c r="B42" s="369" t="str">
        <f>Inputs!B47</f>
        <v>Calendar month sales forecasted for 2026, less % for LPL-Sec &gt; 500 kW Peak Load Share</v>
      </c>
      <c r="G42" s="370"/>
      <c r="L42" s="234" t="s">
        <v>298</v>
      </c>
      <c r="AB42" s="236" t="s">
        <v>19</v>
      </c>
      <c r="AD42" s="1" t="s">
        <v>297</v>
      </c>
    </row>
    <row r="43" spans="1:32" ht="13.15" x14ac:dyDescent="0.4">
      <c r="A43" s="353"/>
      <c r="B43" s="2" t="s">
        <v>78</v>
      </c>
      <c r="C43" s="234" t="str">
        <f>+C7</f>
        <v>RS</v>
      </c>
      <c r="D43" s="234" t="str">
        <f t="shared" ref="D43:L43" si="16">+D7</f>
        <v>RHS</v>
      </c>
      <c r="E43" s="234" t="str">
        <f t="shared" si="16"/>
        <v>RLM</v>
      </c>
      <c r="F43" s="234" t="str">
        <f t="shared" si="16"/>
        <v>WH</v>
      </c>
      <c r="G43" s="234" t="str">
        <f t="shared" si="16"/>
        <v>WHS</v>
      </c>
      <c r="H43" s="234" t="str">
        <f t="shared" si="16"/>
        <v>HS</v>
      </c>
      <c r="I43" s="234" t="str">
        <f t="shared" si="16"/>
        <v>PSAL</v>
      </c>
      <c r="J43" s="234" t="str">
        <f t="shared" si="16"/>
        <v>BPL</v>
      </c>
      <c r="K43" s="234" t="str">
        <f t="shared" si="16"/>
        <v>GLP</v>
      </c>
      <c r="L43" s="234" t="str">
        <f t="shared" si="16"/>
        <v>LPL-S</v>
      </c>
      <c r="M43" s="234"/>
      <c r="N43" s="234"/>
      <c r="O43" s="234" t="str">
        <f>+C7</f>
        <v>RS</v>
      </c>
      <c r="P43" s="234" t="str">
        <f t="shared" ref="P43:X43" si="17">+D7</f>
        <v>RHS</v>
      </c>
      <c r="Q43" s="234" t="str">
        <f t="shared" si="17"/>
        <v>RLM</v>
      </c>
      <c r="R43" s="234" t="str">
        <f t="shared" si="17"/>
        <v>WH</v>
      </c>
      <c r="S43" s="234" t="str">
        <f t="shared" si="17"/>
        <v>WHS</v>
      </c>
      <c r="T43" s="234" t="str">
        <f t="shared" si="17"/>
        <v>HS</v>
      </c>
      <c r="U43" s="234" t="str">
        <f t="shared" si="17"/>
        <v>PSAL</v>
      </c>
      <c r="V43" s="234" t="str">
        <f t="shared" si="17"/>
        <v>BPL</v>
      </c>
      <c r="W43" s="234" t="str">
        <f t="shared" si="17"/>
        <v>GLP</v>
      </c>
      <c r="X43" s="234" t="str">
        <f t="shared" si="17"/>
        <v>LPL-S</v>
      </c>
      <c r="Y43" s="234"/>
      <c r="Z43" s="234" t="s">
        <v>193</v>
      </c>
      <c r="AB43" s="236" t="s">
        <v>36</v>
      </c>
      <c r="AD43" s="371" t="s">
        <v>195</v>
      </c>
      <c r="AE43" s="371" t="s">
        <v>195</v>
      </c>
      <c r="AF43" s="236" t="s">
        <v>195</v>
      </c>
    </row>
    <row r="44" spans="1:32" ht="13.15" x14ac:dyDescent="0.4">
      <c r="A44" s="353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Y44" s="372"/>
      <c r="AB44" s="236"/>
      <c r="AD44" s="236" t="s">
        <v>194</v>
      </c>
      <c r="AE44" s="236" t="s">
        <v>196</v>
      </c>
      <c r="AF44" s="236" t="s">
        <v>197</v>
      </c>
    </row>
    <row r="45" spans="1:32" x14ac:dyDescent="0.35">
      <c r="A45" s="353"/>
      <c r="B45" s="235" t="s">
        <v>7</v>
      </c>
      <c r="C45" s="373">
        <f>Inputs!C50</f>
        <v>1259578.8154606405</v>
      </c>
      <c r="D45" s="373">
        <f>Inputs!D50</f>
        <v>11241.525041190031</v>
      </c>
      <c r="E45" s="373">
        <f>Inputs!E50</f>
        <v>14006.913651352903</v>
      </c>
      <c r="F45" s="373">
        <f>Inputs!F50</f>
        <v>22</v>
      </c>
      <c r="G45" s="373">
        <f>Inputs!G50</f>
        <v>1</v>
      </c>
      <c r="H45" s="373">
        <f>Inputs!H50</f>
        <v>1185.3169962633297</v>
      </c>
      <c r="I45" s="373">
        <f>Inputs!I50</f>
        <v>16031</v>
      </c>
      <c r="J45" s="373">
        <f>Inputs!J50</f>
        <v>33689</v>
      </c>
      <c r="K45" s="373">
        <f>Inputs!K50</f>
        <v>435441.05546272121</v>
      </c>
      <c r="L45" s="374">
        <f>AB45*$M$45</f>
        <v>259562.65776439398</v>
      </c>
      <c r="M45" s="375">
        <f>(1-AD45)</f>
        <v>0.70451824566904009</v>
      </c>
      <c r="N45" s="240" t="s">
        <v>61</v>
      </c>
      <c r="O45" s="376">
        <f>SUM(C45:C49,C54:C56)</f>
        <v>7880217.3180157812</v>
      </c>
      <c r="P45" s="372">
        <f t="shared" ref="P45:X45" si="18">SUM(D45:D49,D54:D56)</f>
        <v>52439.666304866914</v>
      </c>
      <c r="Q45" s="372">
        <f t="shared" si="18"/>
        <v>89243.667603162132</v>
      </c>
      <c r="R45" s="372">
        <f t="shared" si="18"/>
        <v>152</v>
      </c>
      <c r="S45" s="372">
        <f t="shared" si="18"/>
        <v>7</v>
      </c>
      <c r="T45" s="372">
        <f t="shared" si="18"/>
        <v>5770.6424341737738</v>
      </c>
      <c r="U45" s="372">
        <f t="shared" si="18"/>
        <v>97512</v>
      </c>
      <c r="V45" s="372">
        <f t="shared" si="18"/>
        <v>220689</v>
      </c>
      <c r="W45" s="372">
        <f t="shared" si="18"/>
        <v>3151008.4284938937</v>
      </c>
      <c r="X45" s="372">
        <f t="shared" si="18"/>
        <v>1918725.8107086066</v>
      </c>
      <c r="Y45" s="372">
        <f>SUM(O45:X45)</f>
        <v>13415765.533560485</v>
      </c>
      <c r="Z45" s="377">
        <f>+Y45/(Y45+Y49)</f>
        <v>0.60798516050295615</v>
      </c>
      <c r="AB45" s="378">
        <f>Inputs!L50</f>
        <v>368425.74249855289</v>
      </c>
      <c r="AD45" s="379">
        <f>Inputs!C66</f>
        <v>0.29548175433095991</v>
      </c>
      <c r="AE45" s="380">
        <f>Inputs!D66</f>
        <v>0.28425341676127119</v>
      </c>
      <c r="AF45" s="381">
        <f>AE45</f>
        <v>0.28425341676127119</v>
      </c>
    </row>
    <row r="46" spans="1:32" x14ac:dyDescent="0.35">
      <c r="A46" s="353"/>
      <c r="B46" s="235" t="s">
        <v>8</v>
      </c>
      <c r="C46" s="373">
        <f>Inputs!C51</f>
        <v>1010668.2695325891</v>
      </c>
      <c r="D46" s="373">
        <f>Inputs!D51</f>
        <v>8514.3592683337065</v>
      </c>
      <c r="E46" s="373">
        <f>Inputs!E51</f>
        <v>11481.311742461805</v>
      </c>
      <c r="F46" s="373">
        <f>Inputs!F51</f>
        <v>18</v>
      </c>
      <c r="G46" s="373">
        <f>Inputs!G51</f>
        <v>1</v>
      </c>
      <c r="H46" s="373">
        <f>Inputs!H51</f>
        <v>1073.9294625898476</v>
      </c>
      <c r="I46" s="373">
        <f>Inputs!I51</f>
        <v>11344</v>
      </c>
      <c r="J46" s="373">
        <f>Inputs!J51</f>
        <v>27773</v>
      </c>
      <c r="K46" s="373">
        <f>Inputs!K51</f>
        <v>395008.57783855352</v>
      </c>
      <c r="L46" s="374">
        <f t="shared" ref="L46:L56" si="19">AB46*$M$45</f>
        <v>230492.61670748866</v>
      </c>
      <c r="M46" s="382"/>
      <c r="N46" s="240" t="s">
        <v>119</v>
      </c>
      <c r="O46" s="372"/>
      <c r="P46" s="372"/>
      <c r="Q46" s="635">
        <f>SUMPRODUCT(E27:E31,E45:E49)+SUMPRODUCT(E36:E38,E54:E56)</f>
        <v>37597.764127332266</v>
      </c>
      <c r="R46" s="372"/>
      <c r="X46" s="372">
        <f>SUMPRODUCT(L27:L31,L45:L49)+SUMPRODUCT(L36:L38,L54:L56)</f>
        <v>904877.45574629004</v>
      </c>
      <c r="Y46" s="372"/>
      <c r="Z46" s="377"/>
      <c r="AB46" s="378">
        <f>Inputs!L51</f>
        <v>327163.44555222016</v>
      </c>
      <c r="AD46" s="383"/>
    </row>
    <row r="47" spans="1:32" x14ac:dyDescent="0.35">
      <c r="A47" s="353"/>
      <c r="B47" s="235" t="s">
        <v>9</v>
      </c>
      <c r="C47" s="373">
        <f>Inputs!C52</f>
        <v>987349.66742355551</v>
      </c>
      <c r="D47" s="373">
        <f>Inputs!D52</f>
        <v>7039.9822747071967</v>
      </c>
      <c r="E47" s="373">
        <f>Inputs!E52</f>
        <v>11123.924260840438</v>
      </c>
      <c r="F47" s="373">
        <f>Inputs!F52</f>
        <v>19</v>
      </c>
      <c r="G47" s="373">
        <f>Inputs!G52</f>
        <v>1</v>
      </c>
      <c r="H47" s="373">
        <f>Inputs!H52</f>
        <v>881.11380085161318</v>
      </c>
      <c r="I47" s="373">
        <f>Inputs!I52</f>
        <v>11979</v>
      </c>
      <c r="J47" s="373">
        <f>Inputs!J52</f>
        <v>31037</v>
      </c>
      <c r="K47" s="373">
        <f>Inputs!K52</f>
        <v>422269.34570214618</v>
      </c>
      <c r="L47" s="374">
        <f t="shared" si="19"/>
        <v>251858.54975349063</v>
      </c>
      <c r="M47" s="382"/>
      <c r="N47" s="240" t="s">
        <v>120</v>
      </c>
      <c r="O47" s="372">
        <f>+O45-O46</f>
        <v>7880217.3180157812</v>
      </c>
      <c r="P47" s="372">
        <f>+P45-P46</f>
        <v>52439.666304866914</v>
      </c>
      <c r="Q47" s="635">
        <f>+Q45-Q46</f>
        <v>51645.903475829866</v>
      </c>
      <c r="R47" s="372">
        <f>+R45-R46</f>
        <v>152</v>
      </c>
      <c r="X47" s="372">
        <f>+X45-X46</f>
        <v>1013848.3549623166</v>
      </c>
      <c r="Y47" s="372"/>
      <c r="Z47" s="384"/>
      <c r="AB47" s="378">
        <f>Inputs!L52</f>
        <v>357490.45720500138</v>
      </c>
    </row>
    <row r="48" spans="1:32" x14ac:dyDescent="0.35">
      <c r="A48" s="353"/>
      <c r="B48" s="235" t="s">
        <v>10</v>
      </c>
      <c r="C48" s="373">
        <f>Inputs!C53</f>
        <v>807598.08993819065</v>
      </c>
      <c r="D48" s="373">
        <f>Inputs!D53</f>
        <v>3688.3406249147256</v>
      </c>
      <c r="E48" s="373">
        <f>Inputs!E53</f>
        <v>9561.5485056240377</v>
      </c>
      <c r="F48" s="373">
        <f>Inputs!F53</f>
        <v>19</v>
      </c>
      <c r="G48" s="373">
        <f>Inputs!G53</f>
        <v>1</v>
      </c>
      <c r="H48" s="373">
        <f>Inputs!H53</f>
        <v>495.4824773751443</v>
      </c>
      <c r="I48" s="373">
        <f>Inputs!I53</f>
        <v>9867</v>
      </c>
      <c r="J48" s="373">
        <f>Inputs!J53</f>
        <v>23847</v>
      </c>
      <c r="K48" s="373">
        <f>Inputs!K53</f>
        <v>360498.03618604899</v>
      </c>
      <c r="L48" s="374">
        <f t="shared" si="19"/>
        <v>212891.76600425367</v>
      </c>
      <c r="M48" s="382"/>
      <c r="Y48" s="372"/>
      <c r="AB48" s="378">
        <f>Inputs!L53</f>
        <v>302180.62812849187</v>
      </c>
    </row>
    <row r="49" spans="1:28" x14ac:dyDescent="0.35">
      <c r="A49" s="353"/>
      <c r="B49" s="235" t="s">
        <v>11</v>
      </c>
      <c r="C49" s="373">
        <f>Inputs!C54</f>
        <v>910245.47281133384</v>
      </c>
      <c r="D49" s="373">
        <f>Inputs!D54</f>
        <v>2821.1728941155284</v>
      </c>
      <c r="E49" s="373">
        <f>Inputs!E54</f>
        <v>11747.918981425337</v>
      </c>
      <c r="F49" s="373">
        <f>Inputs!F54</f>
        <v>17</v>
      </c>
      <c r="G49" s="373">
        <f>Inputs!G54</f>
        <v>1</v>
      </c>
      <c r="H49" s="373">
        <f>Inputs!H54</f>
        <v>363.3538167417725</v>
      </c>
      <c r="I49" s="373">
        <f>Inputs!I54</f>
        <v>9146</v>
      </c>
      <c r="J49" s="373">
        <f>Inputs!J54</f>
        <v>22335</v>
      </c>
      <c r="K49" s="373">
        <f>Inputs!K54</f>
        <v>378551.48099109065</v>
      </c>
      <c r="L49" s="374">
        <f t="shared" si="19"/>
        <v>245732.89835516605</v>
      </c>
      <c r="N49" s="240" t="s">
        <v>62</v>
      </c>
      <c r="O49" s="376">
        <f>SUM(C50:C53)</f>
        <v>5576346.7613235516</v>
      </c>
      <c r="P49" s="372">
        <f t="shared" ref="P49:X49" si="20">+SUM(D50:D53)</f>
        <v>14748.566217962003</v>
      </c>
      <c r="Q49" s="372">
        <f t="shared" si="20"/>
        <v>70868.790907714923</v>
      </c>
      <c r="R49" s="372">
        <f t="shared" si="20"/>
        <v>59</v>
      </c>
      <c r="S49" s="372">
        <f t="shared" si="20"/>
        <v>1</v>
      </c>
      <c r="T49" s="372">
        <f t="shared" si="20"/>
        <v>1741.4864747433367</v>
      </c>
      <c r="U49" s="372">
        <f t="shared" si="20"/>
        <v>37193</v>
      </c>
      <c r="V49" s="372">
        <f t="shared" si="20"/>
        <v>80025</v>
      </c>
      <c r="W49" s="372">
        <f t="shared" si="20"/>
        <v>1791327.5155347148</v>
      </c>
      <c r="X49" s="372">
        <f t="shared" si="20"/>
        <v>1077865.7490195532</v>
      </c>
      <c r="Y49" s="372">
        <f>SUM(O49:X49)</f>
        <v>8650176.8694782387</v>
      </c>
      <c r="Z49" s="384">
        <f>1-Z45</f>
        <v>0.39201483949704385</v>
      </c>
      <c r="AB49" s="378">
        <f>Inputs!L54</f>
        <v>348795.64846728387</v>
      </c>
    </row>
    <row r="50" spans="1:28" x14ac:dyDescent="0.35">
      <c r="A50" s="353"/>
      <c r="B50" s="235" t="s">
        <v>12</v>
      </c>
      <c r="C50" s="373">
        <f>Inputs!C55</f>
        <v>1271300.8216755532</v>
      </c>
      <c r="D50" s="373">
        <f>Inputs!D55</f>
        <v>3359.3157005075082</v>
      </c>
      <c r="E50" s="373">
        <f>Inputs!E55</f>
        <v>17041.840500629532</v>
      </c>
      <c r="F50" s="373">
        <f>Inputs!F55</f>
        <v>16</v>
      </c>
      <c r="G50" s="373">
        <f>Inputs!G55</f>
        <v>1</v>
      </c>
      <c r="H50" s="373">
        <f>Inputs!H55</f>
        <v>416.35891897260188</v>
      </c>
      <c r="I50" s="373">
        <f>Inputs!I55</f>
        <v>8319</v>
      </c>
      <c r="J50" s="373">
        <f>Inputs!J55</f>
        <v>19512</v>
      </c>
      <c r="K50" s="373">
        <f>Inputs!K55</f>
        <v>419121.52408441372</v>
      </c>
      <c r="L50" s="374">
        <f t="shared" si="19"/>
        <v>252445.21315087262</v>
      </c>
      <c r="M50" s="382"/>
      <c r="N50" s="240" t="s">
        <v>119</v>
      </c>
      <c r="O50" s="376"/>
      <c r="Q50" s="372">
        <f>+SUMPRODUCT(E32:E35,E50:E53)</f>
        <v>33919.45686666284</v>
      </c>
      <c r="X50" s="372">
        <f>+SUMPRODUCT(L32:L35,L50:L53)</f>
        <v>523499.10197558114</v>
      </c>
      <c r="Y50" s="372"/>
      <c r="Z50" s="377"/>
      <c r="AB50" s="378">
        <f>Inputs!L55</f>
        <v>358323.17289545859</v>
      </c>
    </row>
    <row r="51" spans="1:28" x14ac:dyDescent="0.35">
      <c r="A51" s="353"/>
      <c r="B51" s="235" t="s">
        <v>13</v>
      </c>
      <c r="C51" s="373">
        <f>Inputs!C56</f>
        <v>1650928.474354232</v>
      </c>
      <c r="D51" s="373">
        <f>Inputs!D56</f>
        <v>4434.6420569520869</v>
      </c>
      <c r="E51" s="373">
        <f>Inputs!E56</f>
        <v>20695.984162982753</v>
      </c>
      <c r="F51" s="373">
        <f>Inputs!F56</f>
        <v>13</v>
      </c>
      <c r="G51" s="373">
        <f>Inputs!G56</f>
        <v>0</v>
      </c>
      <c r="H51" s="373">
        <f>Inputs!H56</f>
        <v>387.93589313867886</v>
      </c>
      <c r="I51" s="373">
        <f>Inputs!I56</f>
        <v>8472</v>
      </c>
      <c r="J51" s="373">
        <f>Inputs!J56</f>
        <v>18630</v>
      </c>
      <c r="K51" s="373">
        <f>Inputs!K56</f>
        <v>475984.61536412133</v>
      </c>
      <c r="L51" s="374">
        <f t="shared" si="19"/>
        <v>283630.08878367738</v>
      </c>
      <c r="M51" s="382"/>
      <c r="N51" s="240" t="s">
        <v>120</v>
      </c>
      <c r="O51" s="376"/>
      <c r="Q51" s="372">
        <f>+Q49-Q50</f>
        <v>36949.334041052083</v>
      </c>
      <c r="X51" s="372">
        <f>+X49-X50</f>
        <v>554366.64704397204</v>
      </c>
      <c r="Y51" s="372"/>
      <c r="Z51" s="384"/>
      <c r="AB51" s="378">
        <f>Inputs!L56</f>
        <v>402587.2864574719</v>
      </c>
    </row>
    <row r="52" spans="1:28" x14ac:dyDescent="0.35">
      <c r="A52" s="353"/>
      <c r="B52" s="235" t="s">
        <v>14</v>
      </c>
      <c r="C52" s="373">
        <f>Inputs!C57</f>
        <v>1568771.2085088845</v>
      </c>
      <c r="D52" s="373">
        <f>Inputs!D57</f>
        <v>4092.1875437935551</v>
      </c>
      <c r="E52" s="373">
        <f>Inputs!E57</f>
        <v>18883.246054331063</v>
      </c>
      <c r="F52" s="373">
        <f>Inputs!F57</f>
        <v>13</v>
      </c>
      <c r="G52" s="373">
        <f>Inputs!G57</f>
        <v>0</v>
      </c>
      <c r="H52" s="373">
        <f>Inputs!H57</f>
        <v>459.37755266718807</v>
      </c>
      <c r="I52" s="373">
        <f>Inputs!I57</f>
        <v>9673</v>
      </c>
      <c r="J52" s="373">
        <f>Inputs!J57</f>
        <v>19365</v>
      </c>
      <c r="K52" s="373">
        <f>Inputs!K57</f>
        <v>480205.00625473389</v>
      </c>
      <c r="L52" s="374">
        <f t="shared" si="19"/>
        <v>292747.2491177629</v>
      </c>
      <c r="M52" s="382"/>
      <c r="AB52" s="378">
        <f>Inputs!L57</f>
        <v>415528.27186151553</v>
      </c>
    </row>
    <row r="53" spans="1:28" x14ac:dyDescent="0.35">
      <c r="A53" s="353"/>
      <c r="B53" s="235" t="s">
        <v>15</v>
      </c>
      <c r="C53" s="373">
        <f>Inputs!C58</f>
        <v>1085346.2567848812</v>
      </c>
      <c r="D53" s="373">
        <f>Inputs!D58</f>
        <v>2862.4209167088534</v>
      </c>
      <c r="E53" s="373">
        <f>Inputs!E58</f>
        <v>14247.720189771579</v>
      </c>
      <c r="F53" s="373">
        <f>Inputs!F58</f>
        <v>17</v>
      </c>
      <c r="G53" s="373">
        <f>Inputs!G58</f>
        <v>0</v>
      </c>
      <c r="H53" s="373">
        <f>Inputs!H58</f>
        <v>477.81410996486784</v>
      </c>
      <c r="I53" s="373">
        <f>Inputs!I58</f>
        <v>10729</v>
      </c>
      <c r="J53" s="373">
        <f>Inputs!J58</f>
        <v>22518</v>
      </c>
      <c r="K53" s="373">
        <f>Inputs!K58</f>
        <v>416016.36983144598</v>
      </c>
      <c r="L53" s="374">
        <f t="shared" si="19"/>
        <v>249043.19796724015</v>
      </c>
      <c r="M53" s="382"/>
      <c r="N53" s="240" t="s">
        <v>162</v>
      </c>
      <c r="O53" s="376">
        <f>+O49*C169</f>
        <v>3585590.9675310436</v>
      </c>
      <c r="P53" s="376">
        <f>+P49*D169</f>
        <v>9999.5278957782393</v>
      </c>
      <c r="AB53" s="378">
        <f>Inputs!L58</f>
        <v>353494.31969748106</v>
      </c>
    </row>
    <row r="54" spans="1:28" x14ac:dyDescent="0.35">
      <c r="A54" s="353"/>
      <c r="B54" s="235" t="s">
        <v>16</v>
      </c>
      <c r="C54" s="373">
        <f>Inputs!C59</f>
        <v>854466.82090233476</v>
      </c>
      <c r="D54" s="373">
        <f>Inputs!D59</f>
        <v>3987.6286028011737</v>
      </c>
      <c r="E54" s="373">
        <f>Inputs!E59</f>
        <v>9680.0406118300525</v>
      </c>
      <c r="F54" s="373">
        <f>Inputs!F59</f>
        <v>17</v>
      </c>
      <c r="G54" s="373">
        <f>Inputs!G59</f>
        <v>0</v>
      </c>
      <c r="H54" s="373">
        <f>Inputs!H59</f>
        <v>360.28105719215921</v>
      </c>
      <c r="I54" s="373">
        <f>Inputs!I59</f>
        <v>11841</v>
      </c>
      <c r="J54" s="373">
        <f>Inputs!J59</f>
        <v>24926</v>
      </c>
      <c r="K54" s="373">
        <f>Inputs!K59</f>
        <v>373644.73404314119</v>
      </c>
      <c r="L54" s="374">
        <f t="shared" si="19"/>
        <v>240350.77560764743</v>
      </c>
      <c r="M54" s="382"/>
      <c r="N54" s="240" t="s">
        <v>163</v>
      </c>
      <c r="O54" s="372">
        <f>+O49-O53</f>
        <v>1990755.7937925081</v>
      </c>
      <c r="P54" s="372">
        <f>+P49-P53</f>
        <v>4749.0383221837637</v>
      </c>
      <c r="AB54" s="378">
        <f>Inputs!L59</f>
        <v>341156.21147526172</v>
      </c>
    </row>
    <row r="55" spans="1:28" x14ac:dyDescent="0.35">
      <c r="A55" s="353"/>
      <c r="B55" s="235" t="s">
        <v>17</v>
      </c>
      <c r="C55" s="373">
        <f>Inputs!C60</f>
        <v>895632.27635478729</v>
      </c>
      <c r="D55" s="373">
        <f>Inputs!D60</f>
        <v>6283.1290229366587</v>
      </c>
      <c r="E55" s="373">
        <f>Inputs!E60</f>
        <v>9514.7250120426288</v>
      </c>
      <c r="F55" s="373">
        <f>Inputs!F60</f>
        <v>20</v>
      </c>
      <c r="G55" s="373">
        <f>Inputs!G60</f>
        <v>1</v>
      </c>
      <c r="H55" s="373">
        <f>Inputs!H60</f>
        <v>511.61446501061414</v>
      </c>
      <c r="I55" s="373">
        <f>Inputs!I60</f>
        <v>12952</v>
      </c>
      <c r="J55" s="373">
        <f>Inputs!J60</f>
        <v>25965</v>
      </c>
      <c r="K55" s="373">
        <f>Inputs!K60</f>
        <v>359458.5709030726</v>
      </c>
      <c r="L55" s="374">
        <f t="shared" si="19"/>
        <v>227683.9063936614</v>
      </c>
      <c r="M55" s="382"/>
      <c r="AB55" s="378">
        <f>Inputs!L60</f>
        <v>323176.73501478048</v>
      </c>
    </row>
    <row r="56" spans="1:28" x14ac:dyDescent="0.35">
      <c r="A56" s="353"/>
      <c r="B56" s="235" t="s">
        <v>18</v>
      </c>
      <c r="C56" s="373">
        <f>Inputs!C61</f>
        <v>1154677.9055923501</v>
      </c>
      <c r="D56" s="373">
        <f>Inputs!D61</f>
        <v>8863.5285758678965</v>
      </c>
      <c r="E56" s="373">
        <f>Inputs!E61</f>
        <v>12127.284837584915</v>
      </c>
      <c r="F56" s="373">
        <f>Inputs!F61</f>
        <v>20</v>
      </c>
      <c r="G56" s="373">
        <f>Inputs!G61</f>
        <v>1</v>
      </c>
      <c r="H56" s="373">
        <f>Inputs!H61</f>
        <v>899.55035814929295</v>
      </c>
      <c r="I56" s="373">
        <f>Inputs!I61</f>
        <v>14352</v>
      </c>
      <c r="J56" s="373">
        <f>Inputs!J61</f>
        <v>31117</v>
      </c>
      <c r="K56" s="373">
        <f>Inputs!K61</f>
        <v>426136.62736711925</v>
      </c>
      <c r="L56" s="374">
        <f t="shared" si="19"/>
        <v>250152.6401225049</v>
      </c>
      <c r="M56" s="382"/>
      <c r="AB56" s="378">
        <f>Inputs!L61</f>
        <v>355069.07260428643</v>
      </c>
    </row>
    <row r="57" spans="1:28" ht="13.15" x14ac:dyDescent="0.4">
      <c r="A57" s="353"/>
      <c r="B57" s="385" t="s">
        <v>19</v>
      </c>
      <c r="C57" s="372">
        <f>SUM(C45:C56)</f>
        <v>13456564.079339333</v>
      </c>
      <c r="D57" s="372">
        <f>SUM(D45:D56)</f>
        <v>67188.232522828926</v>
      </c>
      <c r="E57" s="372">
        <f t="shared" ref="E57:K57" si="21">SUM(E45:E56)</f>
        <v>160112.45851087704</v>
      </c>
      <c r="F57" s="372">
        <f t="shared" si="21"/>
        <v>211</v>
      </c>
      <c r="G57" s="372">
        <f t="shared" si="21"/>
        <v>8</v>
      </c>
      <c r="H57" s="372">
        <f>SUM(H45:H56)</f>
        <v>7512.1289089171096</v>
      </c>
      <c r="I57" s="372">
        <f>SUM(I45:I56)</f>
        <v>134705</v>
      </c>
      <c r="J57" s="372">
        <f>SUM(J45:J56)</f>
        <v>300714</v>
      </c>
      <c r="K57" s="372">
        <f t="shared" si="21"/>
        <v>4942335.9440286094</v>
      </c>
      <c r="L57" s="372">
        <f>SUM(L45:L56)</f>
        <v>2996591.5597281596</v>
      </c>
      <c r="M57" s="372"/>
      <c r="O57" s="1" t="s">
        <v>189</v>
      </c>
      <c r="AB57" s="372">
        <f>SUM(AB45:AB56)</f>
        <v>4253390.9918578053</v>
      </c>
    </row>
    <row r="58" spans="1:28" x14ac:dyDescent="0.35">
      <c r="A58" s="353"/>
      <c r="B58" s="235"/>
      <c r="C58" s="798"/>
      <c r="D58" s="798"/>
      <c r="E58" s="798"/>
      <c r="F58" s="798"/>
      <c r="G58" s="798"/>
      <c r="H58" s="798"/>
      <c r="I58" s="798"/>
      <c r="J58" s="798"/>
      <c r="K58" s="798"/>
      <c r="L58" s="798"/>
      <c r="O58" s="2" t="s">
        <v>190</v>
      </c>
      <c r="AB58" s="386"/>
    </row>
    <row r="59" spans="1:28" ht="13.15" x14ac:dyDescent="0.4">
      <c r="A59" s="353"/>
      <c r="C59" s="799"/>
      <c r="D59" s="799"/>
      <c r="E59" s="799"/>
      <c r="F59" s="799"/>
      <c r="G59" s="799"/>
      <c r="H59" s="799"/>
      <c r="I59" s="799"/>
      <c r="J59" s="799"/>
      <c r="K59" s="799"/>
      <c r="L59" s="799"/>
      <c r="Y59" s="234" t="s">
        <v>19</v>
      </c>
      <c r="Z59" s="234" t="s">
        <v>193</v>
      </c>
      <c r="AB59" s="386"/>
    </row>
    <row r="60" spans="1:28" ht="13.15" x14ac:dyDescent="0.4">
      <c r="A60" s="350" t="s">
        <v>76</v>
      </c>
      <c r="B60" s="1" t="s">
        <v>39</v>
      </c>
      <c r="G60" s="387" t="s">
        <v>66</v>
      </c>
      <c r="H60" s="1" t="s">
        <v>178</v>
      </c>
      <c r="N60" s="236" t="s">
        <v>54</v>
      </c>
    </row>
    <row r="61" spans="1:28" ht="13.15" x14ac:dyDescent="0.4">
      <c r="A61" s="353"/>
      <c r="B61" s="2" t="s">
        <v>230</v>
      </c>
      <c r="D61" s="234" t="s">
        <v>177</v>
      </c>
      <c r="E61" s="234" t="s">
        <v>176</v>
      </c>
      <c r="G61" s="348"/>
      <c r="N61" s="240" t="s">
        <v>119</v>
      </c>
      <c r="O61" s="376">
        <f>SUMPRODUCT(C9:C13,C45:C49)+SUMPRODUCT(C18:C20,C54:C56)</f>
        <v>3817926.9067241088</v>
      </c>
      <c r="P61" s="376">
        <f t="shared" ref="P61:X61" si="22">SUMPRODUCT(D9:D13,D45:D49)+SUMPRODUCT(D18:D20,D54:D56)</f>
        <v>25050.780065357678</v>
      </c>
      <c r="Q61" s="376">
        <f t="shared" si="22"/>
        <v>42440.40970230681</v>
      </c>
      <c r="R61" s="376">
        <f t="shared" si="22"/>
        <v>73.673699999999997</v>
      </c>
      <c r="S61" s="376">
        <f t="shared" si="22"/>
        <v>3.3814000000000002</v>
      </c>
      <c r="T61" s="376">
        <f t="shared" si="22"/>
        <v>2793.4113684654822</v>
      </c>
      <c r="U61" s="376">
        <f t="shared" si="22"/>
        <v>26985.9882</v>
      </c>
      <c r="V61" s="376">
        <f t="shared" si="22"/>
        <v>60631.614300000001</v>
      </c>
      <c r="W61" s="376">
        <f t="shared" si="22"/>
        <v>1670326.3913263304</v>
      </c>
      <c r="X61" s="376">
        <f t="shared" si="22"/>
        <v>977492.73010740173</v>
      </c>
      <c r="Y61" s="372">
        <f>SUM(O61:X61)</f>
        <v>6623725.2868939703</v>
      </c>
      <c r="Z61" s="377">
        <f>+Y61/(Y61+Y62)</f>
        <v>0.49372697147428923</v>
      </c>
    </row>
    <row r="62" spans="1:28" ht="13.15" x14ac:dyDescent="0.4">
      <c r="A62" s="353"/>
      <c r="C62" s="234" t="s">
        <v>20</v>
      </c>
      <c r="D62" s="234" t="s">
        <v>175</v>
      </c>
      <c r="E62" s="234" t="s">
        <v>21</v>
      </c>
      <c r="G62" s="234"/>
      <c r="H62" s="234" t="s">
        <v>20</v>
      </c>
      <c r="I62" s="234" t="s">
        <v>21</v>
      </c>
      <c r="N62" s="240" t="s">
        <v>120</v>
      </c>
      <c r="O62" s="372">
        <f>+O45-O61</f>
        <v>4062290.4112916724</v>
      </c>
      <c r="P62" s="372">
        <f t="shared" ref="P62:X62" si="23">+P45-P61</f>
        <v>27388.886239509236</v>
      </c>
      <c r="Q62" s="372">
        <f t="shared" si="23"/>
        <v>46803.257900855322</v>
      </c>
      <c r="R62" s="372">
        <f t="shared" si="23"/>
        <v>78.326300000000003</v>
      </c>
      <c r="S62" s="372">
        <f t="shared" si="23"/>
        <v>3.6185999999999998</v>
      </c>
      <c r="T62" s="372">
        <f t="shared" si="23"/>
        <v>2977.2310657082917</v>
      </c>
      <c r="U62" s="372">
        <f t="shared" si="23"/>
        <v>70526.011800000007</v>
      </c>
      <c r="V62" s="372">
        <f t="shared" si="23"/>
        <v>160057.38569999998</v>
      </c>
      <c r="W62" s="372">
        <f t="shared" si="23"/>
        <v>1480682.0371675633</v>
      </c>
      <c r="X62" s="372">
        <f t="shared" si="23"/>
        <v>941233.08060120489</v>
      </c>
      <c r="Y62" s="372">
        <f t="shared" ref="Y62:Y69" si="24">SUM(O62:X62)</f>
        <v>6792040.2466665134</v>
      </c>
      <c r="Z62" s="384">
        <f>1-Z61</f>
        <v>0.50627302852571077</v>
      </c>
    </row>
    <row r="63" spans="1:28" x14ac:dyDescent="0.35">
      <c r="A63" s="353"/>
      <c r="B63" s="235" t="s">
        <v>7</v>
      </c>
      <c r="C63" s="388">
        <f>Inputs!C73</f>
        <v>101.41666666666667</v>
      </c>
      <c r="D63" s="7">
        <f>Inputs!F74</f>
        <v>0.80029290029730349</v>
      </c>
      <c r="E63" s="389">
        <f>ROUND(+C63*D63,3)</f>
        <v>81.162999999999997</v>
      </c>
      <c r="H63" s="365">
        <f>Inputs!F81</f>
        <v>0.83431287842398161</v>
      </c>
      <c r="I63" s="365">
        <f>Inputs!G81</f>
        <v>0.85537336294245969</v>
      </c>
      <c r="J63" s="390" t="s">
        <v>537</v>
      </c>
      <c r="K63" s="805">
        <v>46174</v>
      </c>
      <c r="L63" s="392" t="s">
        <v>414</v>
      </c>
      <c r="Y63" s="372"/>
    </row>
    <row r="64" spans="1:28" x14ac:dyDescent="0.35">
      <c r="A64" s="353"/>
      <c r="B64" s="235" t="s">
        <v>8</v>
      </c>
      <c r="C64" s="388">
        <f>Inputs!C74</f>
        <v>92.2</v>
      </c>
      <c r="D64" s="393">
        <f>+$D$63</f>
        <v>0.80029290029730349</v>
      </c>
      <c r="E64" s="389">
        <f>ROUND(+C64*D64,3)</f>
        <v>73.787000000000006</v>
      </c>
      <c r="H64" s="394">
        <f>+$H$63</f>
        <v>0.83431287842398161</v>
      </c>
      <c r="I64" s="394">
        <f>+$I$63</f>
        <v>0.85537336294245969</v>
      </c>
      <c r="J64" s="2"/>
      <c r="N64" s="236" t="s">
        <v>53</v>
      </c>
      <c r="Y64" s="372"/>
    </row>
    <row r="65" spans="1:26" x14ac:dyDescent="0.35">
      <c r="A65" s="353"/>
      <c r="B65" s="235" t="s">
        <v>9</v>
      </c>
      <c r="C65" s="388">
        <f>Inputs!C75</f>
        <v>60.133333333333333</v>
      </c>
      <c r="D65" s="393">
        <f>+$D$63</f>
        <v>0.80029290029730349</v>
      </c>
      <c r="E65" s="389">
        <f t="shared" ref="E65:E74" si="25">ROUND(+C65*D65,3)</f>
        <v>48.124000000000002</v>
      </c>
      <c r="H65" s="394">
        <f>+$H$63</f>
        <v>0.83431287842398161</v>
      </c>
      <c r="I65" s="394">
        <f>+$I$63</f>
        <v>0.85537336294245969</v>
      </c>
      <c r="J65" s="395" t="s">
        <v>315</v>
      </c>
      <c r="N65" s="240" t="s">
        <v>119</v>
      </c>
      <c r="O65" s="376">
        <f>SUMPRODUCT(C14:C17,C50:C53)</f>
        <v>2865460.5079325037</v>
      </c>
      <c r="P65" s="376">
        <f t="shared" ref="P65:X65" si="26">SUMPRODUCT(D14:D17,D50:D53)</f>
        <v>7689.0356420171256</v>
      </c>
      <c r="Q65" s="376">
        <f t="shared" si="26"/>
        <v>36373.258197123956</v>
      </c>
      <c r="R65" s="376">
        <f t="shared" si="26"/>
        <v>30.230599999999999</v>
      </c>
      <c r="S65" s="376">
        <f t="shared" si="26"/>
        <v>0.53220000000000001</v>
      </c>
      <c r="T65" s="376">
        <f t="shared" si="26"/>
        <v>979.84241018956459</v>
      </c>
      <c r="U65" s="376">
        <f t="shared" si="26"/>
        <v>7867.7924999999996</v>
      </c>
      <c r="V65" s="376">
        <f t="shared" si="26"/>
        <v>16886.179500000002</v>
      </c>
      <c r="W65" s="376">
        <f t="shared" si="26"/>
        <v>983724.17411827156</v>
      </c>
      <c r="X65" s="376">
        <f t="shared" si="26"/>
        <v>558160.2187100976</v>
      </c>
      <c r="Y65" s="372">
        <f t="shared" si="24"/>
        <v>4477171.7718102038</v>
      </c>
      <c r="Z65" s="377">
        <f>+Y65/(Y65+Y66)</f>
        <v>0.51758152918325895</v>
      </c>
    </row>
    <row r="66" spans="1:26" ht="13.35" customHeight="1" x14ac:dyDescent="0.35">
      <c r="A66" s="353"/>
      <c r="B66" s="235" t="s">
        <v>10</v>
      </c>
      <c r="C66" s="388">
        <f>Inputs!C76</f>
        <v>59.683333333333337</v>
      </c>
      <c r="D66" s="393">
        <f>+$D$63</f>
        <v>0.80029290029730349</v>
      </c>
      <c r="E66" s="389">
        <f t="shared" si="25"/>
        <v>47.764000000000003</v>
      </c>
      <c r="H66" s="394">
        <f>+$H$63</f>
        <v>0.83431287842398161</v>
      </c>
      <c r="I66" s="396">
        <f>+$I$63</f>
        <v>0.85537336294245969</v>
      </c>
      <c r="J66" s="390" t="s">
        <v>415</v>
      </c>
      <c r="K66" s="391" t="s">
        <v>538</v>
      </c>
      <c r="L66" s="397"/>
      <c r="M66" s="398"/>
      <c r="N66" s="240" t="s">
        <v>120</v>
      </c>
      <c r="O66" s="372">
        <f>+O49-O65</f>
        <v>2710886.2533910479</v>
      </c>
      <c r="P66" s="372">
        <f t="shared" ref="P66:X66" si="27">+P49-P65</f>
        <v>7059.5305759448775</v>
      </c>
      <c r="Q66" s="372">
        <f t="shared" si="27"/>
        <v>34495.532710590967</v>
      </c>
      <c r="R66" s="372">
        <f t="shared" si="27"/>
        <v>28.769400000000001</v>
      </c>
      <c r="S66" s="372">
        <f t="shared" si="27"/>
        <v>0.46779999999999999</v>
      </c>
      <c r="T66" s="372">
        <f t="shared" si="27"/>
        <v>761.64406455377207</v>
      </c>
      <c r="U66" s="372">
        <f t="shared" si="27"/>
        <v>29325.2075</v>
      </c>
      <c r="V66" s="372">
        <f t="shared" si="27"/>
        <v>63138.820500000002</v>
      </c>
      <c r="W66" s="372">
        <f t="shared" si="27"/>
        <v>807603.34141644323</v>
      </c>
      <c r="X66" s="372">
        <f t="shared" si="27"/>
        <v>519705.53030945559</v>
      </c>
      <c r="Y66" s="372">
        <f t="shared" si="24"/>
        <v>4173005.0976680364</v>
      </c>
      <c r="Z66" s="384">
        <f>1-Z65</f>
        <v>0.48241847081674105</v>
      </c>
    </row>
    <row r="67" spans="1:26" ht="13.35" customHeight="1" x14ac:dyDescent="0.35">
      <c r="A67" s="353"/>
      <c r="B67" s="235" t="s">
        <v>11</v>
      </c>
      <c r="C67" s="388">
        <f>Inputs!C77</f>
        <v>61</v>
      </c>
      <c r="D67" s="200">
        <f>+$D$63</f>
        <v>0.80029290029730349</v>
      </c>
      <c r="E67" s="389">
        <f t="shared" si="25"/>
        <v>48.817999999999998</v>
      </c>
      <c r="H67" s="394">
        <f>+$H$63</f>
        <v>0.83431287842398161</v>
      </c>
      <c r="I67" s="396">
        <f>+$I$63</f>
        <v>0.85537336294245969</v>
      </c>
      <c r="J67" s="390" t="s">
        <v>416</v>
      </c>
      <c r="K67" s="391" t="s">
        <v>539</v>
      </c>
      <c r="L67" s="397"/>
      <c r="Y67" s="372"/>
    </row>
    <row r="68" spans="1:26" x14ac:dyDescent="0.35">
      <c r="A68" s="353"/>
      <c r="B68" s="235" t="s">
        <v>12</v>
      </c>
      <c r="C68" s="388">
        <f>Inputs!C78</f>
        <v>67.2</v>
      </c>
      <c r="D68" s="201">
        <f>Inputs!F73</f>
        <v>0.54899059957335761</v>
      </c>
      <c r="E68" s="389">
        <f t="shared" si="25"/>
        <v>36.892000000000003</v>
      </c>
      <c r="H68" s="399">
        <f>Inputs!F80</f>
        <v>0.76879271050704245</v>
      </c>
      <c r="I68" s="399">
        <f>Inputs!G80</f>
        <v>0.82054449135375929</v>
      </c>
      <c r="N68" s="240" t="s">
        <v>191</v>
      </c>
      <c r="O68" s="372">
        <f>+O61+O65</f>
        <v>6683387.414656613</v>
      </c>
      <c r="P68" s="372">
        <f t="shared" ref="P68:X68" si="28">+P61+P65</f>
        <v>32739.815707374804</v>
      </c>
      <c r="Q68" s="372">
        <f t="shared" si="28"/>
        <v>78813.667899430759</v>
      </c>
      <c r="R68" s="372">
        <f t="shared" si="28"/>
        <v>103.90429999999999</v>
      </c>
      <c r="S68" s="372">
        <f t="shared" si="28"/>
        <v>3.9136000000000002</v>
      </c>
      <c r="T68" s="372">
        <f t="shared" si="28"/>
        <v>3773.2537786550465</v>
      </c>
      <c r="U68" s="372">
        <f t="shared" si="28"/>
        <v>34853.780700000003</v>
      </c>
      <c r="V68" s="372">
        <f t="shared" si="28"/>
        <v>77517.793799999999</v>
      </c>
      <c r="W68" s="372">
        <f t="shared" si="28"/>
        <v>2654050.5654446017</v>
      </c>
      <c r="X68" s="372">
        <f t="shared" si="28"/>
        <v>1535652.9488174994</v>
      </c>
      <c r="Y68" s="372">
        <f t="shared" si="24"/>
        <v>11100897.058704173</v>
      </c>
      <c r="Z68" s="377">
        <f>+Y68/(Y68+Y69)</f>
        <v>0.50307831208584397</v>
      </c>
    </row>
    <row r="69" spans="1:26" x14ac:dyDescent="0.35">
      <c r="A69" s="353"/>
      <c r="B69" s="235" t="s">
        <v>13</v>
      </c>
      <c r="C69" s="388">
        <f>Inputs!C79</f>
        <v>99.149999999999991</v>
      </c>
      <c r="D69" s="400">
        <f>+$D$68</f>
        <v>0.54899059957335761</v>
      </c>
      <c r="E69" s="389">
        <f t="shared" si="25"/>
        <v>54.432000000000002</v>
      </c>
      <c r="H69" s="401">
        <f>+$H$68</f>
        <v>0.76879271050704245</v>
      </c>
      <c r="I69" s="401">
        <f>+$I$68</f>
        <v>0.82054449135375929</v>
      </c>
      <c r="N69" s="240" t="s">
        <v>192</v>
      </c>
      <c r="O69" s="372">
        <f>+O62+O66</f>
        <v>6773176.6646827199</v>
      </c>
      <c r="P69" s="372">
        <f t="shared" ref="P69:X69" si="29">+P62+P66</f>
        <v>34448.416815454111</v>
      </c>
      <c r="Q69" s="372">
        <f t="shared" si="29"/>
        <v>81298.790611446282</v>
      </c>
      <c r="R69" s="372">
        <f t="shared" si="29"/>
        <v>107.09570000000001</v>
      </c>
      <c r="S69" s="372">
        <f t="shared" si="29"/>
        <v>4.0863999999999994</v>
      </c>
      <c r="T69" s="372">
        <f t="shared" si="29"/>
        <v>3738.875130262064</v>
      </c>
      <c r="U69" s="372">
        <f t="shared" si="29"/>
        <v>99851.219300000012</v>
      </c>
      <c r="V69" s="372">
        <f t="shared" si="29"/>
        <v>223196.20619999999</v>
      </c>
      <c r="W69" s="372">
        <f t="shared" si="29"/>
        <v>2288285.3785840068</v>
      </c>
      <c r="X69" s="372">
        <f t="shared" si="29"/>
        <v>1460938.6109106606</v>
      </c>
      <c r="Y69" s="372">
        <f t="shared" si="24"/>
        <v>10965045.34433455</v>
      </c>
      <c r="Z69" s="384">
        <f>1-Z68</f>
        <v>0.49692168791415603</v>
      </c>
    </row>
    <row r="70" spans="1:26" x14ac:dyDescent="0.35">
      <c r="A70" s="353"/>
      <c r="B70" s="235" t="s">
        <v>14</v>
      </c>
      <c r="C70" s="388">
        <f>Inputs!C80</f>
        <v>84.766666666666666</v>
      </c>
      <c r="D70" s="400">
        <f>+$D$68</f>
        <v>0.54899059957335761</v>
      </c>
      <c r="E70" s="389">
        <f t="shared" si="25"/>
        <v>46.536000000000001</v>
      </c>
      <c r="H70" s="401">
        <f>+$H$68</f>
        <v>0.76879271050704245</v>
      </c>
      <c r="I70" s="401">
        <f>+$I$68</f>
        <v>0.82054449135375929</v>
      </c>
    </row>
    <row r="71" spans="1:26" x14ac:dyDescent="0.35">
      <c r="A71" s="353"/>
      <c r="B71" s="235" t="s">
        <v>15</v>
      </c>
      <c r="C71" s="388">
        <f>Inputs!C81</f>
        <v>67.433333333333337</v>
      </c>
      <c r="D71" s="402">
        <f>+$D$68</f>
        <v>0.54899059957335761</v>
      </c>
      <c r="E71" s="389">
        <f t="shared" si="25"/>
        <v>37.020000000000003</v>
      </c>
      <c r="H71" s="403">
        <f>+$H$68</f>
        <v>0.76879271050704245</v>
      </c>
      <c r="I71" s="403">
        <f>+$I$68</f>
        <v>0.82054449135375929</v>
      </c>
    </row>
    <row r="72" spans="1:26" x14ac:dyDescent="0.35">
      <c r="A72" s="353"/>
      <c r="B72" s="235" t="s">
        <v>16</v>
      </c>
      <c r="C72" s="388">
        <f>Inputs!C82</f>
        <v>64.583333333333343</v>
      </c>
      <c r="D72" s="239">
        <f>+$D$63</f>
        <v>0.80029290029730349</v>
      </c>
      <c r="E72" s="389">
        <f t="shared" si="25"/>
        <v>51.686</v>
      </c>
      <c r="H72" s="394">
        <f>+$H$63</f>
        <v>0.83431287842398161</v>
      </c>
      <c r="I72" s="394">
        <f>+$I$63</f>
        <v>0.85537336294245969</v>
      </c>
    </row>
    <row r="73" spans="1:26" x14ac:dyDescent="0.35">
      <c r="A73" s="353"/>
      <c r="B73" s="235" t="s">
        <v>17</v>
      </c>
      <c r="C73" s="388">
        <f>Inputs!C83</f>
        <v>66.850000000000009</v>
      </c>
      <c r="D73" s="393">
        <f>+$D$63</f>
        <v>0.80029290029730349</v>
      </c>
      <c r="E73" s="389">
        <f t="shared" si="25"/>
        <v>53.5</v>
      </c>
      <c r="H73" s="394">
        <f>+$H$63</f>
        <v>0.83431287842398161</v>
      </c>
      <c r="I73" s="394">
        <f>+$I$63</f>
        <v>0.85537336294245969</v>
      </c>
    </row>
    <row r="74" spans="1:26" x14ac:dyDescent="0.35">
      <c r="A74" s="353"/>
      <c r="B74" s="235" t="s">
        <v>18</v>
      </c>
      <c r="C74" s="388">
        <f>Inputs!C84</f>
        <v>78.55</v>
      </c>
      <c r="D74" s="393">
        <f>+$D$63</f>
        <v>0.80029290029730349</v>
      </c>
      <c r="E74" s="389">
        <f t="shared" si="25"/>
        <v>62.863</v>
      </c>
      <c r="H74" s="394">
        <f>+$H$63</f>
        <v>0.83431287842398161</v>
      </c>
      <c r="I74" s="394">
        <f>+$I$63</f>
        <v>0.85537336294245969</v>
      </c>
    </row>
    <row r="75" spans="1:26" x14ac:dyDescent="0.35">
      <c r="A75" s="353"/>
      <c r="B75" s="235"/>
      <c r="C75" s="404"/>
      <c r="D75" s="404"/>
      <c r="G75" s="365"/>
      <c r="K75" s="365"/>
    </row>
    <row r="76" spans="1:26" x14ac:dyDescent="0.35">
      <c r="A76" s="353"/>
      <c r="B76" s="405"/>
      <c r="C76" s="405"/>
      <c r="D76" s="404"/>
      <c r="G76" s="365"/>
      <c r="K76" s="365"/>
    </row>
    <row r="77" spans="1:26" ht="13.15" x14ac:dyDescent="0.4">
      <c r="A77" s="350" t="s">
        <v>67</v>
      </c>
      <c r="B77" s="368" t="s">
        <v>42</v>
      </c>
      <c r="C77" s="234" t="str">
        <f>+C7</f>
        <v>RS</v>
      </c>
      <c r="D77" s="234" t="str">
        <f t="shared" ref="D77:L77" si="30">+D7</f>
        <v>RHS</v>
      </c>
      <c r="E77" s="234" t="str">
        <f t="shared" si="30"/>
        <v>RLM</v>
      </c>
      <c r="F77" s="234" t="str">
        <f t="shared" si="30"/>
        <v>WH</v>
      </c>
      <c r="G77" s="234" t="str">
        <f t="shared" si="30"/>
        <v>WHS</v>
      </c>
      <c r="H77" s="234" t="str">
        <f t="shared" si="30"/>
        <v>HS</v>
      </c>
      <c r="I77" s="234" t="str">
        <f t="shared" si="30"/>
        <v>PSAL</v>
      </c>
      <c r="J77" s="234" t="str">
        <f t="shared" si="30"/>
        <v>BPL</v>
      </c>
      <c r="K77" s="234" t="str">
        <f t="shared" si="30"/>
        <v>GLP</v>
      </c>
      <c r="L77" s="234" t="str">
        <f t="shared" si="30"/>
        <v>LPL-S</v>
      </c>
      <c r="M77" s="234"/>
      <c r="P77" s="406" t="s">
        <v>291</v>
      </c>
      <c r="Q77" s="406" t="s">
        <v>292</v>
      </c>
      <c r="R77" s="406" t="s">
        <v>290</v>
      </c>
    </row>
    <row r="78" spans="1:26" x14ac:dyDescent="0.35">
      <c r="A78" s="353"/>
      <c r="B78" s="369" t="s">
        <v>277</v>
      </c>
      <c r="C78" s="407"/>
      <c r="D78" s="236"/>
      <c r="E78" s="236"/>
      <c r="F78" s="236"/>
      <c r="P78" t="s">
        <v>288</v>
      </c>
      <c r="Q78" s="408">
        <f>Inputs!C89</f>
        <v>5.8326999999999997E-2</v>
      </c>
      <c r="R78" s="10" t="s">
        <v>328</v>
      </c>
    </row>
    <row r="79" spans="1:26" x14ac:dyDescent="0.35">
      <c r="A79" s="353"/>
      <c r="B79" s="235" t="s">
        <v>261</v>
      </c>
      <c r="C79" s="409">
        <f>1-((1-$Q$78)*(1-$Q$79))</f>
        <v>6.2621028879999985E-2</v>
      </c>
      <c r="D79" s="410">
        <f>+$C79</f>
        <v>6.2621028879999985E-2</v>
      </c>
      <c r="E79" s="410">
        <f t="shared" ref="E79:L79" si="31">+$C79</f>
        <v>6.2621028879999985E-2</v>
      </c>
      <c r="F79" s="410">
        <f t="shared" si="31"/>
        <v>6.2621028879999985E-2</v>
      </c>
      <c r="G79" s="410">
        <f t="shared" si="31"/>
        <v>6.2621028879999985E-2</v>
      </c>
      <c r="H79" s="410">
        <f t="shared" si="31"/>
        <v>6.2621028879999985E-2</v>
      </c>
      <c r="I79" s="410">
        <f t="shared" si="31"/>
        <v>6.2621028879999985E-2</v>
      </c>
      <c r="J79" s="410">
        <f t="shared" si="31"/>
        <v>6.2621028879999985E-2</v>
      </c>
      <c r="K79" s="410">
        <f t="shared" si="31"/>
        <v>6.2621028879999985E-2</v>
      </c>
      <c r="L79" s="410">
        <f t="shared" si="31"/>
        <v>6.2621028879999985E-2</v>
      </c>
      <c r="M79" s="405"/>
      <c r="N79" s="241"/>
      <c r="P79" t="s">
        <v>289</v>
      </c>
      <c r="Q79" s="408">
        <f>Inputs!C90</f>
        <v>4.5599999999999998E-3</v>
      </c>
      <c r="R79" t="s">
        <v>293</v>
      </c>
    </row>
    <row r="80" spans="1:26" x14ac:dyDescent="0.35">
      <c r="A80" s="353"/>
      <c r="B80" t="s">
        <v>262</v>
      </c>
      <c r="C80" s="411">
        <f>ROUND(1/(1-C79),6)</f>
        <v>1.0668040000000001</v>
      </c>
      <c r="D80" s="411">
        <f t="shared" ref="D80:L80" si="32">ROUND(1/(1-D79),6)</f>
        <v>1.0668040000000001</v>
      </c>
      <c r="E80" s="411">
        <f t="shared" si="32"/>
        <v>1.0668040000000001</v>
      </c>
      <c r="F80" s="411">
        <f t="shared" si="32"/>
        <v>1.0668040000000001</v>
      </c>
      <c r="G80" s="411">
        <f t="shared" si="32"/>
        <v>1.0668040000000001</v>
      </c>
      <c r="H80" s="411">
        <f t="shared" si="32"/>
        <v>1.0668040000000001</v>
      </c>
      <c r="I80" s="411">
        <f t="shared" si="32"/>
        <v>1.0668040000000001</v>
      </c>
      <c r="J80" s="411">
        <f t="shared" si="32"/>
        <v>1.0668040000000001</v>
      </c>
      <c r="K80" s="411">
        <f t="shared" si="32"/>
        <v>1.0668040000000001</v>
      </c>
      <c r="L80" s="411">
        <f t="shared" si="32"/>
        <v>1.0668040000000001</v>
      </c>
      <c r="M80" s="412"/>
      <c r="P80" t="s">
        <v>295</v>
      </c>
      <c r="Q80" s="413">
        <f>+Inputs!C91</f>
        <v>1.3988707489735524E-2</v>
      </c>
      <c r="R80" t="s">
        <v>294</v>
      </c>
    </row>
    <row r="81" spans="1:17" x14ac:dyDescent="0.35">
      <c r="A81" s="353"/>
      <c r="B81" t="s">
        <v>263</v>
      </c>
      <c r="C81" s="411">
        <f>1/C80</f>
        <v>0.93737931241352668</v>
      </c>
      <c r="D81" s="411">
        <f t="shared" ref="D81:L81" si="33">1/D80</f>
        <v>0.93737931241352668</v>
      </c>
      <c r="E81" s="411">
        <f t="shared" si="33"/>
        <v>0.93737931241352668</v>
      </c>
      <c r="F81" s="411">
        <f t="shared" si="33"/>
        <v>0.93737931241352668</v>
      </c>
      <c r="G81" s="411">
        <f t="shared" si="33"/>
        <v>0.93737931241352668</v>
      </c>
      <c r="H81" s="411">
        <f t="shared" si="33"/>
        <v>0.93737931241352668</v>
      </c>
      <c r="I81" s="411">
        <f t="shared" si="33"/>
        <v>0.93737931241352668</v>
      </c>
      <c r="J81" s="411">
        <f t="shared" si="33"/>
        <v>0.93737931241352668</v>
      </c>
      <c r="K81" s="411">
        <f t="shared" si="33"/>
        <v>0.93737931241352668</v>
      </c>
      <c r="L81" s="411">
        <f t="shared" si="33"/>
        <v>0.93737931241352668</v>
      </c>
      <c r="M81" s="412"/>
      <c r="P81" t="s">
        <v>296</v>
      </c>
      <c r="Q81" s="414">
        <f>ROUND(1-((1-Q80)/(1-Q79)),7)</f>
        <v>9.4719000000000001E-3</v>
      </c>
    </row>
    <row r="82" spans="1:17" x14ac:dyDescent="0.35">
      <c r="A82" s="353"/>
      <c r="C82" s="412"/>
      <c r="D82" s="412"/>
      <c r="E82" s="412"/>
      <c r="F82" s="412"/>
      <c r="G82" s="412"/>
      <c r="H82" s="412"/>
      <c r="I82" s="412"/>
      <c r="J82" s="412"/>
      <c r="K82" s="412"/>
      <c r="L82" s="412"/>
      <c r="M82" s="412"/>
    </row>
    <row r="83" spans="1:17" x14ac:dyDescent="0.35">
      <c r="A83" s="353"/>
      <c r="B83" s="369" t="s">
        <v>276</v>
      </c>
      <c r="C83" s="412"/>
      <c r="D83" s="412"/>
      <c r="E83" s="412"/>
      <c r="F83" s="412"/>
      <c r="G83" s="412"/>
      <c r="H83" s="412"/>
      <c r="I83" s="412"/>
      <c r="J83" s="412"/>
      <c r="K83" s="412"/>
      <c r="L83" s="412"/>
      <c r="M83" s="412"/>
    </row>
    <row r="84" spans="1:17" x14ac:dyDescent="0.35">
      <c r="A84" s="353"/>
      <c r="B84" s="235" t="s">
        <v>261</v>
      </c>
      <c r="C84" s="409">
        <f>1-((1-$Q$78)/((1-$Q$80)/(1-$Q$79)))</f>
        <v>4.9322276285956645E-2</v>
      </c>
      <c r="D84" s="410">
        <f>+$C84</f>
        <v>4.9322276285956645E-2</v>
      </c>
      <c r="E84" s="410">
        <f t="shared" ref="E84:L84" si="34">+$C84</f>
        <v>4.9322276285956645E-2</v>
      </c>
      <c r="F84" s="410">
        <f t="shared" si="34"/>
        <v>4.9322276285956645E-2</v>
      </c>
      <c r="G84" s="410">
        <f t="shared" si="34"/>
        <v>4.9322276285956645E-2</v>
      </c>
      <c r="H84" s="410">
        <f t="shared" si="34"/>
        <v>4.9322276285956645E-2</v>
      </c>
      <c r="I84" s="410">
        <f t="shared" si="34"/>
        <v>4.9322276285956645E-2</v>
      </c>
      <c r="J84" s="410">
        <f t="shared" si="34"/>
        <v>4.9322276285956645E-2</v>
      </c>
      <c r="K84" s="410">
        <f t="shared" si="34"/>
        <v>4.9322276285956645E-2</v>
      </c>
      <c r="L84" s="410">
        <f t="shared" si="34"/>
        <v>4.9322276285956645E-2</v>
      </c>
      <c r="M84" s="412"/>
      <c r="P84" s="10" t="s">
        <v>386</v>
      </c>
    </row>
    <row r="85" spans="1:17" x14ac:dyDescent="0.35">
      <c r="A85" s="353"/>
      <c r="B85" t="s">
        <v>262</v>
      </c>
      <c r="C85" s="411">
        <f>ROUND(1/(1-C84),6)</f>
        <v>1.0518810000000001</v>
      </c>
      <c r="D85" s="411">
        <f>+$C$85</f>
        <v>1.0518810000000001</v>
      </c>
      <c r="E85" s="411">
        <f t="shared" ref="E85:L85" si="35">+$C$85</f>
        <v>1.0518810000000001</v>
      </c>
      <c r="F85" s="411">
        <f t="shared" si="35"/>
        <v>1.0518810000000001</v>
      </c>
      <c r="G85" s="411">
        <f t="shared" si="35"/>
        <v>1.0518810000000001</v>
      </c>
      <c r="H85" s="411">
        <f t="shared" si="35"/>
        <v>1.0518810000000001</v>
      </c>
      <c r="I85" s="411">
        <f t="shared" si="35"/>
        <v>1.0518810000000001</v>
      </c>
      <c r="J85" s="411">
        <f t="shared" si="35"/>
        <v>1.0518810000000001</v>
      </c>
      <c r="K85" s="411">
        <f t="shared" si="35"/>
        <v>1.0518810000000001</v>
      </c>
      <c r="L85" s="411">
        <f t="shared" si="35"/>
        <v>1.0518810000000001</v>
      </c>
      <c r="M85" s="412"/>
      <c r="Q85" s="10" t="s">
        <v>389</v>
      </c>
    </row>
    <row r="86" spans="1:17" x14ac:dyDescent="0.35">
      <c r="A86" s="353"/>
      <c r="B86" t="s">
        <v>263</v>
      </c>
      <c r="C86" s="411">
        <f>1/C85</f>
        <v>0.95067788086294924</v>
      </c>
      <c r="D86" s="411">
        <f t="shared" ref="D86:L86" si="36">1/D85</f>
        <v>0.95067788086294924</v>
      </c>
      <c r="E86" s="411">
        <f t="shared" si="36"/>
        <v>0.95067788086294924</v>
      </c>
      <c r="F86" s="411">
        <f t="shared" si="36"/>
        <v>0.95067788086294924</v>
      </c>
      <c r="G86" s="411">
        <f t="shared" si="36"/>
        <v>0.95067788086294924</v>
      </c>
      <c r="H86" s="411">
        <f t="shared" si="36"/>
        <v>0.95067788086294924</v>
      </c>
      <c r="I86" s="411">
        <f t="shared" si="36"/>
        <v>0.95067788086294924</v>
      </c>
      <c r="J86" s="411">
        <f t="shared" si="36"/>
        <v>0.95067788086294924</v>
      </c>
      <c r="K86" s="411">
        <f t="shared" si="36"/>
        <v>0.95067788086294924</v>
      </c>
      <c r="L86" s="411">
        <f t="shared" si="36"/>
        <v>0.95067788086294924</v>
      </c>
      <c r="M86" s="412"/>
      <c r="P86" s="10" t="s">
        <v>387</v>
      </c>
      <c r="Q86" s="10" t="s">
        <v>388</v>
      </c>
    </row>
    <row r="87" spans="1:17" x14ac:dyDescent="0.35">
      <c r="A87" s="353"/>
      <c r="C87" s="411"/>
      <c r="D87" s="411"/>
      <c r="E87" s="411"/>
      <c r="F87" s="411"/>
      <c r="G87" s="411"/>
      <c r="H87" s="411"/>
      <c r="I87" s="411"/>
      <c r="J87" s="411"/>
      <c r="K87" s="411"/>
      <c r="L87" s="411"/>
      <c r="M87" s="412"/>
      <c r="P87" s="10"/>
      <c r="Q87" s="10"/>
    </row>
    <row r="88" spans="1:17" ht="13.15" x14ac:dyDescent="0.4">
      <c r="A88" s="353"/>
      <c r="B88" s="415" t="s">
        <v>291</v>
      </c>
      <c r="C88" s="416" t="s">
        <v>292</v>
      </c>
      <c r="D88" s="416" t="s">
        <v>290</v>
      </c>
      <c r="E88" s="411"/>
      <c r="F88" s="411"/>
      <c r="G88" s="411"/>
      <c r="H88" s="411"/>
      <c r="I88" s="411"/>
      <c r="J88" s="411"/>
      <c r="K88" s="411"/>
      <c r="L88" s="411"/>
      <c r="M88" s="412"/>
      <c r="P88" s="10" t="s">
        <v>390</v>
      </c>
    </row>
    <row r="89" spans="1:17" x14ac:dyDescent="0.35">
      <c r="A89" s="353"/>
      <c r="B89" t="s">
        <v>288</v>
      </c>
      <c r="C89" s="417">
        <f>Inputs!C89</f>
        <v>5.8326999999999997E-2</v>
      </c>
      <c r="D89" s="411" t="s">
        <v>328</v>
      </c>
      <c r="E89" s="411"/>
      <c r="F89" s="411"/>
      <c r="G89" s="411"/>
      <c r="H89" s="411"/>
      <c r="I89" s="411"/>
      <c r="J89" s="411"/>
      <c r="K89" s="411"/>
      <c r="L89" s="411"/>
      <c r="M89" s="412"/>
      <c r="Q89" s="10" t="s">
        <v>391</v>
      </c>
    </row>
    <row r="90" spans="1:17" x14ac:dyDescent="0.35">
      <c r="A90" s="353"/>
      <c r="B90" t="s">
        <v>289</v>
      </c>
      <c r="C90" s="417">
        <f>Inputs!C90</f>
        <v>4.5599999999999998E-3</v>
      </c>
      <c r="D90" s="411" t="s">
        <v>293</v>
      </c>
      <c r="E90" s="411"/>
      <c r="F90" s="411"/>
      <c r="G90" s="411"/>
      <c r="H90" s="411"/>
      <c r="I90" s="411"/>
      <c r="J90" s="411"/>
      <c r="K90" s="411"/>
      <c r="L90" s="411"/>
      <c r="M90" s="412"/>
      <c r="Q90" s="10" t="s">
        <v>392</v>
      </c>
    </row>
    <row r="91" spans="1:17" x14ac:dyDescent="0.35">
      <c r="A91" s="353"/>
      <c r="B91" t="s">
        <v>295</v>
      </c>
      <c r="C91" s="417">
        <f>+Inputs!C91</f>
        <v>1.3988707489735524E-2</v>
      </c>
      <c r="D91" s="411" t="s">
        <v>294</v>
      </c>
      <c r="E91" s="411"/>
      <c r="F91" s="411"/>
      <c r="G91" s="411"/>
      <c r="H91" s="411"/>
      <c r="I91" s="411"/>
      <c r="J91" s="411"/>
      <c r="K91" s="411"/>
      <c r="L91" s="411"/>
      <c r="M91" s="412"/>
      <c r="P91" s="10"/>
      <c r="Q91" s="10"/>
    </row>
    <row r="92" spans="1:17" x14ac:dyDescent="0.35">
      <c r="A92" s="353"/>
      <c r="B92" t="s">
        <v>296</v>
      </c>
      <c r="C92" s="418">
        <f>ROUND(1-((1-C91)/(1-C90)),7)</f>
        <v>9.4719000000000001E-3</v>
      </c>
      <c r="D92" s="412"/>
      <c r="E92" s="412"/>
      <c r="F92" s="412"/>
      <c r="G92" s="412"/>
      <c r="H92" s="412"/>
      <c r="I92" s="412"/>
      <c r="J92" s="412"/>
      <c r="K92" s="412"/>
      <c r="L92" s="412"/>
      <c r="M92" s="412"/>
    </row>
    <row r="93" spans="1:17" x14ac:dyDescent="0.35">
      <c r="A93" s="353"/>
      <c r="C93" s="419"/>
      <c r="D93" s="412"/>
      <c r="E93" s="412"/>
      <c r="F93" s="412"/>
      <c r="G93" s="412"/>
      <c r="H93" s="412"/>
      <c r="I93" s="412"/>
      <c r="J93" s="412"/>
      <c r="K93" s="412"/>
      <c r="L93" s="412"/>
      <c r="M93" s="412"/>
    </row>
    <row r="94" spans="1:17" x14ac:dyDescent="0.35">
      <c r="A94" s="353"/>
    </row>
    <row r="95" spans="1:17" ht="13.15" x14ac:dyDescent="0.4">
      <c r="A95" s="350" t="s">
        <v>68</v>
      </c>
      <c r="B95" s="1" t="s">
        <v>138</v>
      </c>
    </row>
    <row r="96" spans="1:17" x14ac:dyDescent="0.35">
      <c r="B96" s="2" t="s">
        <v>232</v>
      </c>
    </row>
    <row r="97" spans="1:13" x14ac:dyDescent="0.35">
      <c r="A97" s="353"/>
      <c r="B97" s="2" t="s">
        <v>40</v>
      </c>
    </row>
    <row r="98" spans="1:13" ht="13.15" x14ac:dyDescent="0.4">
      <c r="A98" s="353"/>
      <c r="B98" s="1"/>
      <c r="C98" s="234" t="str">
        <f>+C7</f>
        <v>RS</v>
      </c>
      <c r="D98" s="234" t="str">
        <f t="shared" ref="D98:L98" si="37">+D7</f>
        <v>RHS</v>
      </c>
      <c r="E98" s="234" t="str">
        <f t="shared" si="37"/>
        <v>RLM</v>
      </c>
      <c r="F98" s="234" t="str">
        <f t="shared" si="37"/>
        <v>WH</v>
      </c>
      <c r="G98" s="234" t="str">
        <f t="shared" si="37"/>
        <v>WHS</v>
      </c>
      <c r="H98" s="234" t="str">
        <f t="shared" si="37"/>
        <v>HS</v>
      </c>
      <c r="I98" s="234" t="str">
        <f t="shared" si="37"/>
        <v>PSAL</v>
      </c>
      <c r="J98" s="234" t="str">
        <f t="shared" si="37"/>
        <v>BPL</v>
      </c>
      <c r="K98" s="234" t="str">
        <f t="shared" si="37"/>
        <v>GLP</v>
      </c>
      <c r="L98" s="234" t="str">
        <f t="shared" si="37"/>
        <v>LPL-S</v>
      </c>
      <c r="M98" s="234"/>
    </row>
    <row r="99" spans="1:13" x14ac:dyDescent="0.35">
      <c r="A99" s="353"/>
    </row>
    <row r="100" spans="1:13" x14ac:dyDescent="0.35">
      <c r="A100" s="353"/>
      <c r="B100" s="235" t="s">
        <v>23</v>
      </c>
      <c r="C100" s="420">
        <f t="shared" ref="C100:L100" si="38">(SUMPRODUCT(C14:C17,C50:C53,$C68:$C71,$H68:$H71)*C80+SUMPRODUCT(O14:O17,C50:C53,$E68:$E71,$I68:$I71)*C80)/SUM(C50:C53)</f>
        <v>53.470271803075377</v>
      </c>
      <c r="D100" s="420">
        <f t="shared" si="38"/>
        <v>53.717590900092127</v>
      </c>
      <c r="E100" s="420">
        <f t="shared" si="38"/>
        <v>53.197957037872911</v>
      </c>
      <c r="F100" s="420">
        <f t="shared" si="38"/>
        <v>51.168334141414441</v>
      </c>
      <c r="G100" s="420">
        <f t="shared" si="38"/>
        <v>44.438787421627318</v>
      </c>
      <c r="H100" s="420">
        <f t="shared" si="38"/>
        <v>53.051650429498601</v>
      </c>
      <c r="I100" s="420">
        <f t="shared" si="38"/>
        <v>43.655256118562889</v>
      </c>
      <c r="J100" s="420">
        <f t="shared" si="38"/>
        <v>43.553771477591738</v>
      </c>
      <c r="K100" s="420">
        <f t="shared" si="38"/>
        <v>53.629759726927233</v>
      </c>
      <c r="L100" s="420">
        <f t="shared" si="38"/>
        <v>52.75588540430109</v>
      </c>
      <c r="M100" s="420"/>
    </row>
    <row r="101" spans="1:13" x14ac:dyDescent="0.35">
      <c r="A101" s="353"/>
      <c r="B101" s="259" t="s">
        <v>80</v>
      </c>
      <c r="C101" s="420">
        <f t="shared" ref="C101:L101" si="39">(SUMPRODUCT(C14:C17,C50:C53,$C68:$C71,$H68:$H71)*C80)/SUMPRODUCT(C14:C17,C50:C53)</f>
        <v>66.899849007897274</v>
      </c>
      <c r="D101" s="420">
        <f t="shared" si="39"/>
        <v>66.907992293392752</v>
      </c>
      <c r="E101" s="420">
        <f t="shared" si="39"/>
        <v>66.576549080025146</v>
      </c>
      <c r="F101" s="420">
        <f t="shared" si="39"/>
        <v>64.099711502138021</v>
      </c>
      <c r="G101" s="420">
        <f t="shared" si="39"/>
        <v>55.114156523311536</v>
      </c>
      <c r="H101" s="420">
        <f t="shared" si="39"/>
        <v>64.730034110785866</v>
      </c>
      <c r="I101" s="420">
        <f t="shared" si="39"/>
        <v>64.348269875049766</v>
      </c>
      <c r="J101" s="420">
        <f t="shared" si="39"/>
        <v>64.222984107918492</v>
      </c>
      <c r="K101" s="420">
        <f t="shared" si="39"/>
        <v>65.823410447970318</v>
      </c>
      <c r="L101" s="420">
        <f t="shared" si="39"/>
        <v>65.77524753409854</v>
      </c>
      <c r="M101" s="420"/>
    </row>
    <row r="102" spans="1:13" x14ac:dyDescent="0.35">
      <c r="A102" s="353"/>
      <c r="B102" s="259" t="s">
        <v>81</v>
      </c>
      <c r="C102" s="420">
        <f t="shared" ref="C102:L102" si="40">(SUMPRODUCT(O14:O17,C50:C53,$E68:$E71,$I68:$I71)*C80)/SUMPRODUCT(O14:O17,C50:C53)</f>
        <v>39.274942482079098</v>
      </c>
      <c r="D102" s="420">
        <f t="shared" si="40"/>
        <v>39.350988849923056</v>
      </c>
      <c r="E102" s="420">
        <f t="shared" si="40"/>
        <v>39.091116400105733</v>
      </c>
      <c r="F102" s="420">
        <f t="shared" si="40"/>
        <v>37.580171147362051</v>
      </c>
      <c r="G102" s="420">
        <f t="shared" si="40"/>
        <v>32.293786489783919</v>
      </c>
      <c r="H102" s="420">
        <f t="shared" si="40"/>
        <v>38.027604230050891</v>
      </c>
      <c r="I102" s="420">
        <f t="shared" si="40"/>
        <v>38.103433904323346</v>
      </c>
      <c r="J102" s="420">
        <f t="shared" si="40"/>
        <v>38.025888127294365</v>
      </c>
      <c r="K102" s="420">
        <f t="shared" si="40"/>
        <v>38.776937345079979</v>
      </c>
      <c r="L102" s="420">
        <f t="shared" si="40"/>
        <v>38.773178679000942</v>
      </c>
      <c r="M102" s="420"/>
    </row>
    <row r="103" spans="1:13" x14ac:dyDescent="0.35">
      <c r="A103" s="353"/>
      <c r="C103" s="421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</row>
    <row r="104" spans="1:13" x14ac:dyDescent="0.35">
      <c r="A104" s="353"/>
      <c r="B104" s="235" t="s">
        <v>24</v>
      </c>
      <c r="C104" s="420">
        <f t="shared" ref="C104:L104" si="41">(SUMPRODUCT(C9:C13,C45:C49,$C63:$C67,$H63:$H67)*C80+SUMPRODUCT(O9:O13,C45:C49,$E63:$E67,$I63:$I67)*C80+SUMPRODUCT(C18:C20,C54:C56,$C72:$C74,$H72:$H74)*C80+SUMPRODUCT(O18:O20,C54:C56,$E72:$E74,$I72:$I74)*C80)/SUM(C45:C49,C54:C56)</f>
        <v>60.441832624915335</v>
      </c>
      <c r="D104" s="420">
        <f t="shared" si="41"/>
        <v>63.271243295054539</v>
      </c>
      <c r="E104" s="420">
        <f t="shared" si="41"/>
        <v>60.069982678711192</v>
      </c>
      <c r="F104" s="420">
        <f t="shared" si="41"/>
        <v>59.562641998647507</v>
      </c>
      <c r="G104" s="420">
        <f t="shared" si="41"/>
        <v>59.957996996020483</v>
      </c>
      <c r="H104" s="420">
        <f t="shared" si="41"/>
        <v>63.2389453908551</v>
      </c>
      <c r="I104" s="420">
        <f t="shared" si="41"/>
        <v>58.013481762735651</v>
      </c>
      <c r="J104" s="420">
        <f t="shared" si="41"/>
        <v>57.658653326299898</v>
      </c>
      <c r="K104" s="420">
        <f t="shared" si="41"/>
        <v>60.045588926578361</v>
      </c>
      <c r="L104" s="420">
        <f t="shared" si="41"/>
        <v>59.555922632266366</v>
      </c>
      <c r="M104" s="420"/>
    </row>
    <row r="105" spans="1:13" x14ac:dyDescent="0.35">
      <c r="A105" s="353"/>
      <c r="B105" s="259" t="s">
        <v>80</v>
      </c>
      <c r="C105" s="420">
        <f t="shared" ref="C105:L105" si="42">(SUMPRODUCT(C9:C13,C45:C49,$C63:$C67,$H63:$H67)*C80+SUMPRODUCT(C18:C20,C54:C56,$C72:$C74,$H72:$H74)*C80)/(SUMPRODUCT(C9:C13,C45:C49)+SUMPRODUCT(C18:C20,C54:C56))</f>
        <v>66.521089539234325</v>
      </c>
      <c r="D105" s="420">
        <f t="shared" si="42"/>
        <v>69.654388731064017</v>
      </c>
      <c r="E105" s="420">
        <f t="shared" si="42"/>
        <v>66.304555696113951</v>
      </c>
      <c r="F105" s="420">
        <f t="shared" si="42"/>
        <v>65.553554413847095</v>
      </c>
      <c r="G105" s="420">
        <f t="shared" si="42"/>
        <v>66.035388432703556</v>
      </c>
      <c r="H105" s="420">
        <f t="shared" si="42"/>
        <v>69.373897739933156</v>
      </c>
      <c r="I105" s="420">
        <f t="shared" si="42"/>
        <v>67.774705808592344</v>
      </c>
      <c r="J105" s="420">
        <f t="shared" si="42"/>
        <v>67.443964568282894</v>
      </c>
      <c r="K105" s="420">
        <f t="shared" si="42"/>
        <v>65.444522703764605</v>
      </c>
      <c r="L105" s="420">
        <f t="shared" si="42"/>
        <v>65.205997444149915</v>
      </c>
      <c r="M105" s="420"/>
    </row>
    <row r="106" spans="1:13" x14ac:dyDescent="0.35">
      <c r="A106" s="353"/>
      <c r="B106" s="259" t="s">
        <v>81</v>
      </c>
      <c r="C106" s="420">
        <f t="shared" ref="C106:L106" si="43">(SUMPRODUCT(O9:O13,C45:C49,$E63:$E67,$I63:$I67)*C80+SUMPRODUCT(O18:O20,C54:C56,$E72:$E74,$I72:$I74)*C80)/(SUMPRODUCT(O9:O13,C45:C49)+SUMPRODUCT(O18:O20,C54:C56))</f>
        <v>54.728268060070008</v>
      </c>
      <c r="D106" s="420">
        <f t="shared" si="43"/>
        <v>57.433007630984285</v>
      </c>
      <c r="E106" s="420">
        <f t="shared" si="43"/>
        <v>54.416576376568187</v>
      </c>
      <c r="F106" s="420">
        <f t="shared" si="43"/>
        <v>53.92759114084253</v>
      </c>
      <c r="G106" s="420">
        <f t="shared" si="43"/>
        <v>54.278979861216932</v>
      </c>
      <c r="H106" s="420">
        <f t="shared" si="43"/>
        <v>57.482776232774796</v>
      </c>
      <c r="I106" s="420">
        <f t="shared" si="43"/>
        <v>54.278458752132835</v>
      </c>
      <c r="J106" s="420">
        <f t="shared" si="43"/>
        <v>53.951862699709231</v>
      </c>
      <c r="K106" s="420">
        <f t="shared" si="43"/>
        <v>53.955164820192842</v>
      </c>
      <c r="L106" s="420">
        <f t="shared" si="43"/>
        <v>53.688186821651414</v>
      </c>
      <c r="M106" s="420"/>
    </row>
    <row r="107" spans="1:13" x14ac:dyDescent="0.35">
      <c r="A107" s="353"/>
      <c r="C107" s="421"/>
      <c r="D107" s="421"/>
      <c r="E107" s="421"/>
      <c r="F107" s="421"/>
      <c r="G107" s="421"/>
      <c r="H107" s="421"/>
      <c r="I107" s="421"/>
      <c r="J107" s="421"/>
      <c r="K107" s="421"/>
      <c r="L107" s="421"/>
      <c r="M107" s="421"/>
    </row>
    <row r="108" spans="1:13" x14ac:dyDescent="0.35">
      <c r="A108" s="353"/>
      <c r="B108" t="s">
        <v>22</v>
      </c>
      <c r="C108" s="420">
        <f t="shared" ref="C108:L108" si="44">(C100*SUM(C50:C53)+C104*SUM(C45:C49,C54:C56))/C57</f>
        <v>57.552845482207346</v>
      </c>
      <c r="D108" s="422">
        <f t="shared" si="44"/>
        <v>61.174110066812233</v>
      </c>
      <c r="E108" s="422">
        <f t="shared" si="44"/>
        <v>57.028294650293724</v>
      </c>
      <c r="F108" s="422">
        <f t="shared" si="44"/>
        <v>57.215418474587075</v>
      </c>
      <c r="G108" s="422">
        <f t="shared" si="44"/>
        <v>58.018095799221335</v>
      </c>
      <c r="H108" s="422">
        <f t="shared" si="44"/>
        <v>60.877293107656904</v>
      </c>
      <c r="I108" s="422">
        <f t="shared" si="44"/>
        <v>54.049074455035729</v>
      </c>
      <c r="J108" s="422">
        <f t="shared" si="44"/>
        <v>53.905109527398388</v>
      </c>
      <c r="K108" s="422">
        <f t="shared" si="44"/>
        <v>57.720200383496419</v>
      </c>
      <c r="L108" s="422">
        <f t="shared" si="44"/>
        <v>57.109967928734285</v>
      </c>
      <c r="M108" s="422"/>
    </row>
    <row r="109" spans="1:13" x14ac:dyDescent="0.35">
      <c r="A109" s="353"/>
      <c r="C109" s="420"/>
      <c r="D109" s="422"/>
      <c r="E109" s="422"/>
      <c r="F109" s="422"/>
      <c r="G109" s="422"/>
      <c r="H109" s="422"/>
      <c r="I109" s="422"/>
      <c r="J109" s="422"/>
      <c r="K109" s="422"/>
      <c r="L109" s="422"/>
      <c r="M109" s="422"/>
    </row>
    <row r="110" spans="1:13" x14ac:dyDescent="0.35">
      <c r="A110" s="353"/>
      <c r="B110" t="s">
        <v>83</v>
      </c>
      <c r="C110" s="420">
        <f>SUMPRODUCT(C108:L108,C57:L57)/SUM(C57:L57)</f>
        <v>57.467434478283614</v>
      </c>
      <c r="D110" s="422"/>
      <c r="E110" s="422"/>
      <c r="F110" s="422"/>
      <c r="G110" s="422"/>
      <c r="H110" s="422"/>
      <c r="I110" s="422"/>
      <c r="J110" s="422"/>
      <c r="K110" s="422"/>
      <c r="L110" s="422"/>
      <c r="M110" s="422"/>
    </row>
    <row r="111" spans="1:13" x14ac:dyDescent="0.35">
      <c r="A111" s="353"/>
      <c r="C111" s="420"/>
      <c r="D111" s="422"/>
      <c r="E111" s="422"/>
      <c r="F111" s="422"/>
      <c r="G111" s="422"/>
      <c r="H111" s="422"/>
      <c r="I111" s="422"/>
      <c r="J111" s="422"/>
      <c r="K111" s="422"/>
      <c r="L111" s="422"/>
      <c r="M111" s="422"/>
    </row>
    <row r="112" spans="1:13" x14ac:dyDescent="0.35">
      <c r="A112" s="353"/>
      <c r="C112" s="422"/>
      <c r="D112" s="422"/>
      <c r="E112" s="422"/>
      <c r="F112" s="422"/>
      <c r="G112" s="422"/>
      <c r="H112" s="422"/>
      <c r="I112" s="422"/>
      <c r="J112" s="422"/>
      <c r="K112" s="422"/>
      <c r="L112" s="422"/>
      <c r="M112" s="422"/>
    </row>
    <row r="113" spans="1:13" ht="13.15" x14ac:dyDescent="0.4">
      <c r="A113" s="350" t="s">
        <v>69</v>
      </c>
      <c r="B113" s="1" t="s">
        <v>132</v>
      </c>
      <c r="C113" s="422"/>
      <c r="D113" s="422"/>
      <c r="E113" s="422"/>
      <c r="F113" s="422"/>
      <c r="G113" s="422"/>
      <c r="H113" s="422"/>
      <c r="I113" s="422"/>
      <c r="J113" s="422"/>
      <c r="K113" s="422"/>
      <c r="L113" s="422"/>
      <c r="M113" s="422"/>
    </row>
    <row r="114" spans="1:13" x14ac:dyDescent="0.35">
      <c r="A114" s="353"/>
      <c r="B114" s="2" t="s">
        <v>233</v>
      </c>
      <c r="C114" s="422"/>
      <c r="D114" s="422"/>
      <c r="E114" s="422"/>
      <c r="F114" s="422"/>
      <c r="G114" s="422"/>
      <c r="H114" s="422"/>
      <c r="I114" s="422"/>
      <c r="J114" s="422"/>
      <c r="K114" s="422"/>
      <c r="L114" s="422"/>
      <c r="M114" s="422"/>
    </row>
    <row r="115" spans="1:13" x14ac:dyDescent="0.35">
      <c r="A115" s="353"/>
      <c r="B115" s="2" t="s">
        <v>82</v>
      </c>
      <c r="C115" s="422"/>
      <c r="D115" s="422"/>
      <c r="E115" s="422"/>
      <c r="F115" s="422"/>
      <c r="G115" s="422"/>
      <c r="H115" s="422"/>
      <c r="I115" s="422"/>
      <c r="J115" s="422"/>
      <c r="K115" s="422"/>
      <c r="L115" s="422"/>
      <c r="M115" s="422"/>
    </row>
    <row r="116" spans="1:13" ht="13.15" x14ac:dyDescent="0.4">
      <c r="A116" s="353"/>
      <c r="B116" s="1"/>
      <c r="C116" s="234" t="str">
        <f>+C7</f>
        <v>RS</v>
      </c>
      <c r="D116" s="234" t="str">
        <f t="shared" ref="D116:L116" si="45">+D7</f>
        <v>RHS</v>
      </c>
      <c r="E116" s="234" t="str">
        <f t="shared" si="45"/>
        <v>RLM</v>
      </c>
      <c r="F116" s="234" t="str">
        <f t="shared" si="45"/>
        <v>WH</v>
      </c>
      <c r="G116" s="234" t="str">
        <f t="shared" si="45"/>
        <v>WHS</v>
      </c>
      <c r="H116" s="234" t="str">
        <f t="shared" si="45"/>
        <v>HS</v>
      </c>
      <c r="I116" s="234" t="str">
        <f t="shared" si="45"/>
        <v>PSAL</v>
      </c>
      <c r="J116" s="234" t="str">
        <f t="shared" si="45"/>
        <v>BPL</v>
      </c>
      <c r="K116" s="234" t="str">
        <f t="shared" si="45"/>
        <v>GLP</v>
      </c>
      <c r="L116" s="234" t="str">
        <f t="shared" si="45"/>
        <v>LPL-S</v>
      </c>
      <c r="M116" s="234"/>
    </row>
    <row r="117" spans="1:13" x14ac:dyDescent="0.35">
      <c r="A117" s="353"/>
      <c r="C117" s="268"/>
    </row>
    <row r="118" spans="1:13" x14ac:dyDescent="0.35">
      <c r="A118" s="353"/>
      <c r="B118" s="235" t="s">
        <v>23</v>
      </c>
      <c r="C118" s="423">
        <f t="shared" ref="C118:L118" si="46">SUM(C50:C53)*C100/1000</f>
        <v>298168.77699616941</v>
      </c>
      <c r="D118" s="423">
        <f t="shared" si="46"/>
        <v>792.25744645940188</v>
      </c>
      <c r="E118" s="423">
        <f t="shared" si="46"/>
        <v>3770.0748940346166</v>
      </c>
      <c r="F118" s="423">
        <f t="shared" si="46"/>
        <v>3.0189317143434518</v>
      </c>
      <c r="G118" s="423">
        <f t="shared" si="46"/>
        <v>4.4438787421627317E-2</v>
      </c>
      <c r="H118" s="423">
        <f t="shared" si="46"/>
        <v>92.388731685783341</v>
      </c>
      <c r="I118" s="423">
        <f t="shared" si="46"/>
        <v>1623.6699408177096</v>
      </c>
      <c r="J118" s="423">
        <f t="shared" si="46"/>
        <v>3485.390562494279</v>
      </c>
      <c r="K118" s="423">
        <f t="shared" si="46"/>
        <v>96068.464250360266</v>
      </c>
      <c r="L118" s="423">
        <f t="shared" si="46"/>
        <v>56863.761936496703</v>
      </c>
      <c r="M118" s="423"/>
    </row>
    <row r="119" spans="1:13" x14ac:dyDescent="0.35">
      <c r="A119" s="353"/>
      <c r="B119" s="259" t="s">
        <v>80</v>
      </c>
      <c r="C119" s="423">
        <f t="shared" ref="C119:L119" si="47">SUMPRODUCT(C50:C53,C14:C17)*C101/1000</f>
        <v>191698.87531877711</v>
      </c>
      <c r="D119" s="423">
        <f t="shared" si="47"/>
        <v>514.45793747970401</v>
      </c>
      <c r="E119" s="423">
        <f t="shared" si="47"/>
        <v>2421.6060095612502</v>
      </c>
      <c r="F119" s="423">
        <f t="shared" si="47"/>
        <v>1.9377727385365335</v>
      </c>
      <c r="G119" s="423">
        <f t="shared" si="47"/>
        <v>2.9331754101706398E-2</v>
      </c>
      <c r="H119" s="423">
        <f t="shared" si="47"/>
        <v>63.425232634765152</v>
      </c>
      <c r="I119" s="423">
        <f t="shared" si="47"/>
        <v>506.27883511089249</v>
      </c>
      <c r="J119" s="423">
        <f t="shared" si="47"/>
        <v>1084.4808376719591</v>
      </c>
      <c r="K119" s="423">
        <f t="shared" si="47"/>
        <v>64752.080080577609</v>
      </c>
      <c r="L119" s="423">
        <f t="shared" si="47"/>
        <v>36713.126549343251</v>
      </c>
      <c r="M119" s="423"/>
    </row>
    <row r="120" spans="1:13" x14ac:dyDescent="0.35">
      <c r="A120" s="353"/>
      <c r="B120" s="259" t="s">
        <v>81</v>
      </c>
      <c r="C120" s="423">
        <f t="shared" ref="C120:L120" si="48">SUMPRODUCT(C50:C53,O14:O17)*C102/1000</f>
        <v>106469.90167739228</v>
      </c>
      <c r="D120" s="423">
        <f t="shared" si="48"/>
        <v>277.79950897969775</v>
      </c>
      <c r="E120" s="423">
        <f t="shared" si="48"/>
        <v>1348.4688844733666</v>
      </c>
      <c r="F120" s="423">
        <f t="shared" si="48"/>
        <v>1.0811589758069178</v>
      </c>
      <c r="G120" s="423">
        <f t="shared" si="48"/>
        <v>1.5107033319920918E-2</v>
      </c>
      <c r="H120" s="423">
        <f t="shared" si="48"/>
        <v>28.963499051018179</v>
      </c>
      <c r="I120" s="423">
        <f t="shared" si="48"/>
        <v>1117.3911057068171</v>
      </c>
      <c r="J120" s="423">
        <f t="shared" si="48"/>
        <v>2400.9097248223202</v>
      </c>
      <c r="K120" s="423">
        <f t="shared" si="48"/>
        <v>31316.384169782657</v>
      </c>
      <c r="L120" s="423">
        <f t="shared" si="48"/>
        <v>20150.635387153459</v>
      </c>
      <c r="M120" s="423"/>
    </row>
    <row r="121" spans="1:13" x14ac:dyDescent="0.35">
      <c r="A121" s="353"/>
      <c r="C121" s="424"/>
      <c r="D121" s="424"/>
      <c r="E121" s="424"/>
      <c r="F121" s="424"/>
      <c r="G121" s="424"/>
      <c r="H121" s="424"/>
      <c r="I121" s="424"/>
      <c r="J121" s="424"/>
      <c r="K121" s="424"/>
      <c r="L121" s="424"/>
      <c r="M121" s="424"/>
    </row>
    <row r="122" spans="1:13" x14ac:dyDescent="0.35">
      <c r="A122" s="353"/>
      <c r="B122" s="235" t="s">
        <v>24</v>
      </c>
      <c r="C122" s="424">
        <f t="shared" ref="C122:L122" si="49">SUM(C45:C49,C54:C56)*C104/1000</f>
        <v>476294.77618346905</v>
      </c>
      <c r="D122" s="424">
        <f t="shared" si="49"/>
        <v>3317.9228850867084</v>
      </c>
      <c r="E122" s="424">
        <f t="shared" si="49"/>
        <v>5360.8655671066081</v>
      </c>
      <c r="F122" s="424">
        <f t="shared" si="49"/>
        <v>9.0535215837944207</v>
      </c>
      <c r="G122" s="424">
        <f t="shared" si="49"/>
        <v>0.4197059789721434</v>
      </c>
      <c r="H122" s="424">
        <f t="shared" si="49"/>
        <v>364.92934176486642</v>
      </c>
      <c r="I122" s="424">
        <f t="shared" si="49"/>
        <v>5657.0106336478784</v>
      </c>
      <c r="J122" s="424">
        <f t="shared" si="49"/>
        <v>12724.630543927798</v>
      </c>
      <c r="K122" s="424">
        <f t="shared" si="49"/>
        <v>189204.15680152804</v>
      </c>
      <c r="L122" s="424">
        <f t="shared" si="49"/>
        <v>114271.48593509434</v>
      </c>
      <c r="M122" s="424"/>
    </row>
    <row r="123" spans="1:13" x14ac:dyDescent="0.35">
      <c r="A123" s="353"/>
      <c r="B123" s="259" t="s">
        <v>80</v>
      </c>
      <c r="C123" s="423">
        <f t="shared" ref="C123:L123" si="50">(SUMPRODUCT(C45:C49,C9:C13)+SUMPRODUCT(C54:C56,C18:C20))*C105/1000</f>
        <v>253972.65761644638</v>
      </c>
      <c r="D123" s="423">
        <f t="shared" si="50"/>
        <v>1744.8967726888131</v>
      </c>
      <c r="E123" s="423">
        <f t="shared" si="50"/>
        <v>2813.9925088724967</v>
      </c>
      <c r="F123" s="423">
        <f t="shared" si="50"/>
        <v>4.8295729018194464</v>
      </c>
      <c r="G123" s="423">
        <f t="shared" si="50"/>
        <v>0.22329206244634381</v>
      </c>
      <c r="H123" s="423">
        <f t="shared" si="50"/>
        <v>193.78983462149108</v>
      </c>
      <c r="I123" s="423">
        <f t="shared" si="50"/>
        <v>1828.9674112091443</v>
      </c>
      <c r="J123" s="423">
        <f t="shared" si="50"/>
        <v>4089.2364465669943</v>
      </c>
      <c r="K123" s="423">
        <f t="shared" si="50"/>
        <v>109313.71343985324</v>
      </c>
      <c r="L123" s="423">
        <f t="shared" si="50"/>
        <v>63738.388461058363</v>
      </c>
      <c r="M123" s="423"/>
    </row>
    <row r="124" spans="1:13" x14ac:dyDescent="0.35">
      <c r="A124" s="353"/>
      <c r="B124" s="259" t="s">
        <v>81</v>
      </c>
      <c r="C124" s="423">
        <f t="shared" ref="C124:L124" si="51">+(SUMPRODUCT(C45:C49,O9:O13)+SUMPRODUCT(C54:C56,O18:O20))*C106/1000</f>
        <v>222322.1185670227</v>
      </c>
      <c r="D124" s="423">
        <f t="shared" si="51"/>
        <v>1573.0261123978948</v>
      </c>
      <c r="E124" s="423">
        <f t="shared" si="51"/>
        <v>2546.8730582341109</v>
      </c>
      <c r="F124" s="423">
        <f t="shared" si="51"/>
        <v>4.2239486819749743</v>
      </c>
      <c r="G124" s="423">
        <f t="shared" si="51"/>
        <v>0.19641391652579962</v>
      </c>
      <c r="H124" s="423">
        <f t="shared" si="51"/>
        <v>171.13950714337534</v>
      </c>
      <c r="I124" s="423">
        <f t="shared" si="51"/>
        <v>3828.0432224387341</v>
      </c>
      <c r="J124" s="423">
        <f t="shared" si="51"/>
        <v>8635.3940973608023</v>
      </c>
      <c r="K124" s="423">
        <f t="shared" si="51"/>
        <v>79890.443361674785</v>
      </c>
      <c r="L124" s="423">
        <f t="shared" si="51"/>
        <v>50533.097474035982</v>
      </c>
      <c r="M124" s="423"/>
    </row>
    <row r="125" spans="1:13" x14ac:dyDescent="0.35">
      <c r="A125" s="353"/>
      <c r="C125" s="421"/>
      <c r="D125" s="421"/>
      <c r="E125" s="421"/>
      <c r="F125" s="421"/>
      <c r="G125" s="421"/>
      <c r="H125" s="421"/>
      <c r="I125" s="421"/>
      <c r="J125" s="421"/>
      <c r="K125" s="421"/>
      <c r="L125" s="421"/>
      <c r="M125" s="421"/>
    </row>
    <row r="126" spans="1:13" x14ac:dyDescent="0.35">
      <c r="A126" s="353"/>
      <c r="B126" t="s">
        <v>22</v>
      </c>
      <c r="C126" s="424">
        <f>+C118+C122</f>
        <v>774463.55317963846</v>
      </c>
      <c r="D126" s="424">
        <f t="shared" ref="D126:L126" si="52">+D118+D122</f>
        <v>4110.1803315461102</v>
      </c>
      <c r="E126" s="424">
        <f t="shared" si="52"/>
        <v>9130.9404611412247</v>
      </c>
      <c r="F126" s="424">
        <f t="shared" si="52"/>
        <v>12.072453298137873</v>
      </c>
      <c r="G126" s="424">
        <f t="shared" si="52"/>
        <v>0.46414476639377072</v>
      </c>
      <c r="H126" s="424">
        <f t="shared" si="52"/>
        <v>457.31807345064976</v>
      </c>
      <c r="I126" s="424">
        <f t="shared" si="52"/>
        <v>7280.6805744655885</v>
      </c>
      <c r="J126" s="424">
        <f t="shared" si="52"/>
        <v>16210.021106422078</v>
      </c>
      <c r="K126" s="424">
        <f t="shared" si="52"/>
        <v>285272.62105188833</v>
      </c>
      <c r="L126" s="424">
        <f t="shared" si="52"/>
        <v>171135.24787159104</v>
      </c>
      <c r="M126" s="424"/>
    </row>
    <row r="127" spans="1:13" x14ac:dyDescent="0.35">
      <c r="A127" s="353"/>
    </row>
    <row r="128" spans="1:13" x14ac:dyDescent="0.35">
      <c r="A128" s="353"/>
      <c r="B128" t="s">
        <v>83</v>
      </c>
      <c r="C128" s="423">
        <f>SUM(C126:L126)</f>
        <v>1268073.0992482079</v>
      </c>
      <c r="E128" s="425"/>
      <c r="F128" s="420"/>
    </row>
    <row r="129" spans="1:30" x14ac:dyDescent="0.35">
      <c r="A129" s="353"/>
    </row>
    <row r="130" spans="1:30" x14ac:dyDescent="0.35">
      <c r="A130" s="353"/>
    </row>
    <row r="131" spans="1:30" ht="13.15" x14ac:dyDescent="0.4">
      <c r="A131" s="350" t="s">
        <v>70</v>
      </c>
      <c r="B131" s="1" t="s">
        <v>133</v>
      </c>
      <c r="C131" s="422"/>
      <c r="Q131" t="s">
        <v>144</v>
      </c>
      <c r="T131" t="s">
        <v>143</v>
      </c>
      <c r="W131" t="s">
        <v>145</v>
      </c>
      <c r="Z131" t="s">
        <v>147</v>
      </c>
    </row>
    <row r="132" spans="1:30" x14ac:dyDescent="0.35">
      <c r="A132" s="353"/>
      <c r="B132" s="2" t="s">
        <v>234</v>
      </c>
      <c r="C132" s="422"/>
      <c r="W132" t="s">
        <v>146</v>
      </c>
      <c r="Z132" t="s">
        <v>148</v>
      </c>
      <c r="AC132" t="s">
        <v>149</v>
      </c>
    </row>
    <row r="133" spans="1:30" x14ac:dyDescent="0.35">
      <c r="A133" s="353"/>
      <c r="B133" s="2" t="s">
        <v>40</v>
      </c>
      <c r="C133" s="422"/>
    </row>
    <row r="134" spans="1:30" ht="13.15" x14ac:dyDescent="0.4">
      <c r="A134" s="353"/>
      <c r="B134" s="1"/>
      <c r="C134" s="234" t="str">
        <f>+C7</f>
        <v>RS</v>
      </c>
      <c r="D134" s="234" t="str">
        <f t="shared" ref="D134:L134" si="53">+D7</f>
        <v>RHS</v>
      </c>
      <c r="E134" s="234" t="str">
        <f t="shared" si="53"/>
        <v>RLM</v>
      </c>
      <c r="F134" s="234" t="str">
        <f t="shared" si="53"/>
        <v>WH</v>
      </c>
      <c r="G134" s="234" t="str">
        <f t="shared" si="53"/>
        <v>WHS</v>
      </c>
      <c r="H134" s="234" t="str">
        <f t="shared" si="53"/>
        <v>HS</v>
      </c>
      <c r="I134" s="234" t="str">
        <f t="shared" si="53"/>
        <v>PSAL</v>
      </c>
      <c r="J134" s="234" t="str">
        <f t="shared" si="53"/>
        <v>BPL</v>
      </c>
      <c r="K134" s="234" t="str">
        <f t="shared" si="53"/>
        <v>GLP</v>
      </c>
      <c r="L134" s="234" t="str">
        <f t="shared" si="53"/>
        <v>LPL-S</v>
      </c>
      <c r="M134" s="234"/>
      <c r="O134" s="234"/>
      <c r="P134" s="234"/>
      <c r="Q134" s="234" t="str">
        <f>+E134</f>
        <v>RLM</v>
      </c>
      <c r="R134" s="234" t="str">
        <f>+L134</f>
        <v>LPL-S</v>
      </c>
      <c r="S134" s="234"/>
      <c r="T134" s="234" t="str">
        <f>+E134</f>
        <v>RLM</v>
      </c>
      <c r="U134" s="234" t="str">
        <f>+L134</f>
        <v>LPL-S</v>
      </c>
      <c r="V134" s="234"/>
      <c r="W134" s="234" t="str">
        <f>+E134</f>
        <v>RLM</v>
      </c>
      <c r="X134" s="234" t="str">
        <f>+L134</f>
        <v>LPL-S</v>
      </c>
      <c r="Z134" s="234" t="str">
        <f>+E134</f>
        <v>RLM</v>
      </c>
      <c r="AA134" s="234" t="str">
        <f>+L134</f>
        <v>LPL-S</v>
      </c>
      <c r="AC134" s="426" t="str">
        <f>+E134</f>
        <v>RLM</v>
      </c>
      <c r="AD134" s="234" t="str">
        <f>+L134</f>
        <v>LPL-S</v>
      </c>
    </row>
    <row r="135" spans="1:30" x14ac:dyDescent="0.35">
      <c r="A135" s="353"/>
      <c r="C135" s="268"/>
    </row>
    <row r="136" spans="1:30" x14ac:dyDescent="0.35">
      <c r="A136" s="353"/>
      <c r="B136" s="235" t="s">
        <v>23</v>
      </c>
      <c r="C136" s="420">
        <f t="shared" ref="C136:L136" si="54">+C118/SUM(C50:C53)*1000</f>
        <v>53.470271803075377</v>
      </c>
      <c r="D136" s="420">
        <f t="shared" si="54"/>
        <v>53.717590900092127</v>
      </c>
      <c r="E136" s="420">
        <f t="shared" si="54"/>
        <v>53.197957037872911</v>
      </c>
      <c r="F136" s="420">
        <f t="shared" si="54"/>
        <v>51.168334141414441</v>
      </c>
      <c r="G136" s="420">
        <f t="shared" si="54"/>
        <v>44.438787421627318</v>
      </c>
      <c r="H136" s="420">
        <f t="shared" si="54"/>
        <v>53.051650429498601</v>
      </c>
      <c r="I136" s="420">
        <f t="shared" si="54"/>
        <v>43.655256118562889</v>
      </c>
      <c r="J136" s="420">
        <f t="shared" si="54"/>
        <v>43.553771477591745</v>
      </c>
      <c r="K136" s="420">
        <f t="shared" si="54"/>
        <v>53.629759726927233</v>
      </c>
      <c r="L136" s="420">
        <f t="shared" si="54"/>
        <v>52.75588540430109</v>
      </c>
      <c r="M136" s="420"/>
    </row>
    <row r="137" spans="1:30" x14ac:dyDescent="0.35">
      <c r="A137" s="353"/>
      <c r="B137" s="259" t="s">
        <v>84</v>
      </c>
      <c r="C137" s="423"/>
      <c r="E137" s="420">
        <f>+(E119*1000-W137*AVERAGE(E$101,E$102))/Q137</f>
        <v>67.570724658121918</v>
      </c>
      <c r="F137" s="420"/>
      <c r="G137" s="423"/>
      <c r="H137" s="423"/>
      <c r="I137" s="423"/>
      <c r="J137" s="423"/>
      <c r="K137" s="423"/>
      <c r="L137" s="420">
        <f>+(L119*1000-X137*AVERAGE(L$101,L$102))/R137</f>
        <v>66.6691572439032</v>
      </c>
      <c r="M137" s="420"/>
      <c r="N137" s="420"/>
      <c r="Q137" s="372">
        <f>SUMPRODUCT(E50:E53,E32:E35)</f>
        <v>33919.45686666284</v>
      </c>
      <c r="R137" s="372">
        <f>SUMPRODUCT(L50:L53,L32:L35)</f>
        <v>523499.10197558114</v>
      </c>
      <c r="T137" s="372">
        <f>SUMPRODUCT(E50:E53,E14:E17)</f>
        <v>36373.258197123956</v>
      </c>
      <c r="U137" s="372">
        <f>SUMPRODUCT(L50:L53,L14:L17)</f>
        <v>558160.2187100976</v>
      </c>
      <c r="W137" s="372">
        <f>+T137-Q137</f>
        <v>2453.8013304611159</v>
      </c>
      <c r="X137" s="372">
        <f>+U137-R137</f>
        <v>34661.116734516458</v>
      </c>
      <c r="Z137" s="427">
        <f>+E137*Q137/1000</f>
        <v>2291.9622804903174</v>
      </c>
      <c r="AA137" s="427">
        <f>+L137*R137/1000</f>
        <v>34901.243946652139</v>
      </c>
    </row>
    <row r="138" spans="1:30" ht="15" x14ac:dyDescent="0.65">
      <c r="A138" s="353"/>
      <c r="B138" s="259" t="s">
        <v>85</v>
      </c>
      <c r="C138" s="420"/>
      <c r="D138" s="420"/>
      <c r="E138" s="420">
        <f>+(E120*1000-W138*AVERAGE(E$101,E$102))/Q138</f>
        <v>40.003768725630103</v>
      </c>
      <c r="F138" s="423"/>
      <c r="G138" s="423"/>
      <c r="H138" s="423"/>
      <c r="I138" s="423"/>
      <c r="J138" s="423"/>
      <c r="K138" s="423"/>
      <c r="L138" s="420">
        <f>+(L120*1000-X138*AVERAGE(L$101,L$102))/R138</f>
        <v>39.617314834783919</v>
      </c>
      <c r="M138" s="420"/>
      <c r="N138" s="420"/>
      <c r="Q138" s="372">
        <f>SUMPRODUCT(E50:E53,Q32:Q35)</f>
        <v>36949.33404105209</v>
      </c>
      <c r="R138" s="372">
        <f>SUMPRODUCT(L50:L53,X32:X35)</f>
        <v>554366.64704397193</v>
      </c>
      <c r="T138" s="372">
        <f>SUMPRODUCT(E50:E53,Q14:Q17)</f>
        <v>34495.532710590975</v>
      </c>
      <c r="U138" s="372">
        <f>SUMPRODUCT(L50:L53,X14:X17)</f>
        <v>519705.53030945547</v>
      </c>
      <c r="W138" s="372">
        <f>+T138-Q138</f>
        <v>-2453.8013304611159</v>
      </c>
      <c r="X138" s="372">
        <f>+U138-R138</f>
        <v>-34661.116734516458</v>
      </c>
      <c r="Z138" s="428">
        <f>+E138*Q138/1000</f>
        <v>1478.1126135442992</v>
      </c>
      <c r="AA138" s="428">
        <f>+L138*R138/1000</f>
        <v>21962.517989844568</v>
      </c>
    </row>
    <row r="139" spans="1:30" x14ac:dyDescent="0.35">
      <c r="A139" s="353"/>
      <c r="C139" s="420"/>
      <c r="D139" s="420"/>
      <c r="E139" s="424"/>
      <c r="F139" s="424"/>
      <c r="G139" s="424"/>
      <c r="H139" s="424"/>
      <c r="I139" s="424"/>
      <c r="J139" s="424"/>
      <c r="K139" s="424"/>
      <c r="L139" s="424"/>
      <c r="M139" s="424"/>
      <c r="Q139" s="372"/>
      <c r="R139" s="372"/>
      <c r="T139" s="372"/>
      <c r="U139" s="372"/>
      <c r="W139" s="372"/>
      <c r="X139" s="372"/>
      <c r="Z139" s="427">
        <f>+Z138+Z137</f>
        <v>3770.0748940346166</v>
      </c>
      <c r="AA139" s="427">
        <f>+AA138+AA137</f>
        <v>56863.76193649671</v>
      </c>
      <c r="AC139" s="268">
        <f>+E118</f>
        <v>3770.0748940346166</v>
      </c>
      <c r="AD139" s="268">
        <f>+L118</f>
        <v>56863.761936496703</v>
      </c>
    </row>
    <row r="140" spans="1:30" x14ac:dyDescent="0.35">
      <c r="A140" s="353"/>
      <c r="B140" s="235" t="s">
        <v>24</v>
      </c>
      <c r="C140" s="422">
        <f t="shared" ref="C140:L140" si="55">+C122/SUM(C45:C49,C54:C56)*1000</f>
        <v>60.441832624915335</v>
      </c>
      <c r="D140" s="422">
        <f t="shared" si="55"/>
        <v>63.271243295054539</v>
      </c>
      <c r="E140" s="422">
        <f t="shared" si="55"/>
        <v>60.069982678711185</v>
      </c>
      <c r="F140" s="422">
        <f t="shared" si="55"/>
        <v>59.562641998647507</v>
      </c>
      <c r="G140" s="422">
        <f t="shared" si="55"/>
        <v>59.957996996020491</v>
      </c>
      <c r="H140" s="422">
        <f t="shared" si="55"/>
        <v>63.2389453908551</v>
      </c>
      <c r="I140" s="422">
        <f t="shared" si="55"/>
        <v>58.013481762735644</v>
      </c>
      <c r="J140" s="422">
        <f t="shared" si="55"/>
        <v>57.658653326299898</v>
      </c>
      <c r="K140" s="422">
        <f t="shared" si="55"/>
        <v>60.045588926578368</v>
      </c>
      <c r="L140" s="422">
        <f t="shared" si="55"/>
        <v>59.555922632266366</v>
      </c>
      <c r="M140" s="422"/>
      <c r="Q140" s="372"/>
      <c r="R140" s="372"/>
      <c r="T140" s="372"/>
      <c r="U140" s="372"/>
      <c r="W140" s="372"/>
      <c r="X140" s="372"/>
      <c r="Z140" s="427"/>
      <c r="AA140" s="427"/>
      <c r="AC140" s="268"/>
    </row>
    <row r="141" spans="1:30" x14ac:dyDescent="0.35">
      <c r="A141" s="353"/>
      <c r="B141" s="259" t="s">
        <v>84</v>
      </c>
      <c r="C141" s="423"/>
      <c r="D141" s="423"/>
      <c r="E141" s="420">
        <f>+(E123*1000-W141*AVERAGE(E$105,E$106))/Q141</f>
        <v>67.07015003108846</v>
      </c>
      <c r="F141" s="420"/>
      <c r="G141" s="420"/>
      <c r="H141" s="423"/>
      <c r="I141" s="423"/>
      <c r="J141" s="423"/>
      <c r="K141" s="423"/>
      <c r="L141" s="420">
        <f>+(L123*1000-X141*AVERAGE(L$105,L$106))/R141</f>
        <v>65.668142330775623</v>
      </c>
      <c r="M141" s="420"/>
      <c r="N141" s="420"/>
      <c r="Q141" s="372">
        <f>SUMPRODUCT(E45:E49,E27:E31)+SUMPRODUCT(E54:E56,E36:E38)</f>
        <v>37597.764127332266</v>
      </c>
      <c r="R141" s="372">
        <f>SUMPRODUCT(L45:L49,L27:L31)+SUMPRODUCT(L54:L56,L36:L38)</f>
        <v>904877.45574629004</v>
      </c>
      <c r="T141" s="372">
        <f>SUMPRODUCT(E45:E49,E9:E13)+SUMPRODUCT(E54:E56,E18:E20)</f>
        <v>42440.40970230681</v>
      </c>
      <c r="U141" s="372">
        <f>SUMPRODUCT(L45:L49,L9:L13)+SUMPRODUCT(L54:L56,L18:L20)</f>
        <v>977492.73010740173</v>
      </c>
      <c r="W141" s="372">
        <f>+T141-Q141</f>
        <v>4842.6455749745437</v>
      </c>
      <c r="X141" s="372">
        <f>+U141-R141</f>
        <v>72615.274361111689</v>
      </c>
      <c r="Z141" s="427">
        <f>+E141*Q141/1000</f>
        <v>2521.6876808536508</v>
      </c>
      <c r="AA141" s="427">
        <f>+L141*R141/1000</f>
        <v>59421.621555857491</v>
      </c>
      <c r="AC141" s="268"/>
    </row>
    <row r="142" spans="1:30" ht="15" x14ac:dyDescent="0.65">
      <c r="A142" s="353"/>
      <c r="B142" s="259" t="s">
        <v>85</v>
      </c>
      <c r="C142" s="423"/>
      <c r="D142" s="423"/>
      <c r="E142" s="420">
        <f>+(E124*1000-W142*AVERAGE(E$105,E$106))/Q142</f>
        <v>54.973922328257558</v>
      </c>
      <c r="F142" s="420"/>
      <c r="G142" s="420"/>
      <c r="H142" s="423"/>
      <c r="I142" s="423"/>
      <c r="J142" s="423"/>
      <c r="K142" s="423"/>
      <c r="L142" s="420">
        <f>+(L124*1000-X142*AVERAGE(L$105,L$106))/R142</f>
        <v>54.100659246298761</v>
      </c>
      <c r="M142" s="420"/>
      <c r="N142" s="420"/>
      <c r="Q142" s="372">
        <f>SUMPRODUCT(E45:E49,Q27:Q31)+SUMPRODUCT(E54:E56,Q36:Q38)</f>
        <v>51645.903475829844</v>
      </c>
      <c r="R142" s="372">
        <f>SUMPRODUCT(L45:L49,X27:X31)+SUMPRODUCT(L54:L56,X36:X38)</f>
        <v>1013848.3549623167</v>
      </c>
      <c r="T142" s="372">
        <f>SUMPRODUCT(E45:E49,Q9:Q13)+SUMPRODUCT(E54:E56,Q18:Q20)</f>
        <v>46803.2579008553</v>
      </c>
      <c r="U142" s="372">
        <f>SUMPRODUCT(L45:L49,X9:X13)+SUMPRODUCT(L54:L56,X18:X20)</f>
        <v>941233.080601205</v>
      </c>
      <c r="W142" s="372">
        <f>+T142-Q142</f>
        <v>-4842.6455749745437</v>
      </c>
      <c r="X142" s="372">
        <f>+U142-R142</f>
        <v>-72615.274361111689</v>
      </c>
      <c r="Z142" s="428">
        <f>+E142*Q142/1000</f>
        <v>2839.1778862529568</v>
      </c>
      <c r="AA142" s="428">
        <f>+L142*R142/1000</f>
        <v>54849.864379236846</v>
      </c>
      <c r="AC142" s="268"/>
    </row>
    <row r="143" spans="1:30" x14ac:dyDescent="0.35">
      <c r="A143" s="353"/>
      <c r="C143" s="421"/>
      <c r="D143" s="421"/>
      <c r="E143" s="421"/>
      <c r="F143" s="421"/>
      <c r="G143" s="421"/>
      <c r="H143" s="421"/>
      <c r="I143" s="421"/>
      <c r="J143" s="421"/>
      <c r="K143" s="421"/>
      <c r="L143" s="421"/>
      <c r="M143" s="421"/>
      <c r="Z143" s="427">
        <f>+Z142+Z141</f>
        <v>5360.8655671066081</v>
      </c>
      <c r="AA143" s="427">
        <f>+AA142+AA141</f>
        <v>114271.48593509433</v>
      </c>
      <c r="AC143" s="268">
        <f>+E122</f>
        <v>5360.8655671066081</v>
      </c>
      <c r="AD143" s="268">
        <f>+L122</f>
        <v>114271.48593509434</v>
      </c>
    </row>
    <row r="144" spans="1:30" x14ac:dyDescent="0.35">
      <c r="A144" s="353"/>
      <c r="B144" t="s">
        <v>86</v>
      </c>
      <c r="C144" s="420">
        <f t="shared" ref="C144:L144" si="56">(C136*SUM(C50:C53)+C140*SUM(C45:C49,C54:C56))/C57</f>
        <v>57.552845482207346</v>
      </c>
      <c r="D144" s="420">
        <f t="shared" si="56"/>
        <v>61.174110066812233</v>
      </c>
      <c r="E144" s="420">
        <f t="shared" si="56"/>
        <v>57.028294650293724</v>
      </c>
      <c r="F144" s="420">
        <f t="shared" si="56"/>
        <v>57.215418474587075</v>
      </c>
      <c r="G144" s="420">
        <f t="shared" si="56"/>
        <v>58.018095799221342</v>
      </c>
      <c r="H144" s="420">
        <f t="shared" si="56"/>
        <v>60.877293107656904</v>
      </c>
      <c r="I144" s="420">
        <f t="shared" si="56"/>
        <v>54.049074455035729</v>
      </c>
      <c r="J144" s="420">
        <f t="shared" si="56"/>
        <v>53.905109527398388</v>
      </c>
      <c r="K144" s="420">
        <f t="shared" si="56"/>
        <v>57.720200383496419</v>
      </c>
      <c r="L144" s="420">
        <f t="shared" si="56"/>
        <v>57.109967928734285</v>
      </c>
      <c r="M144" s="420"/>
      <c r="AC144" s="268"/>
    </row>
    <row r="145" spans="1:42" x14ac:dyDescent="0.35">
      <c r="A145" s="353"/>
      <c r="B145" t="s">
        <v>87</v>
      </c>
      <c r="C145" s="420">
        <f>+C128/SUM(C57:L57)*1000</f>
        <v>57.467434478283607</v>
      </c>
      <c r="T145" s="372"/>
      <c r="U145" s="372"/>
    </row>
    <row r="146" spans="1:42" x14ac:dyDescent="0.35">
      <c r="A146" s="353"/>
      <c r="T146" s="372"/>
      <c r="U146" s="372"/>
    </row>
    <row r="147" spans="1:42" x14ac:dyDescent="0.35">
      <c r="A147" s="353"/>
      <c r="T147" s="372"/>
      <c r="U147" s="372"/>
    </row>
    <row r="148" spans="1:42" ht="13.15" x14ac:dyDescent="0.4">
      <c r="A148" s="350" t="s">
        <v>71</v>
      </c>
      <c r="B148" s="1" t="s">
        <v>158</v>
      </c>
      <c r="L148" s="234" t="s">
        <v>198</v>
      </c>
      <c r="T148" s="372"/>
      <c r="U148" s="372"/>
    </row>
    <row r="149" spans="1:42" ht="13.15" x14ac:dyDescent="0.4">
      <c r="A149" s="353"/>
      <c r="B149" s="2" t="str">
        <f>Inputs!B97</f>
        <v>Obligations - Peak Load shares eff 6/1/26, scaling factors eff 6/8/2026, Transmission Loads eff 6/8/26; costs are market estimates</v>
      </c>
      <c r="L149" s="234" t="s">
        <v>299</v>
      </c>
      <c r="T149" s="372"/>
      <c r="U149" s="372"/>
    </row>
    <row r="150" spans="1:42" ht="13.15" x14ac:dyDescent="0.4">
      <c r="A150" s="353"/>
      <c r="B150" s="2" t="s">
        <v>77</v>
      </c>
      <c r="C150" s="234" t="str">
        <f>+C7</f>
        <v>RS</v>
      </c>
      <c r="D150" s="234" t="str">
        <f t="shared" ref="D150:L150" si="57">+D7</f>
        <v>RHS</v>
      </c>
      <c r="E150" s="234" t="str">
        <f t="shared" si="57"/>
        <v>RLM</v>
      </c>
      <c r="F150" s="234" t="str">
        <f t="shared" si="57"/>
        <v>WH</v>
      </c>
      <c r="G150" s="234" t="str">
        <f t="shared" si="57"/>
        <v>WHS</v>
      </c>
      <c r="H150" s="234" t="str">
        <f t="shared" si="57"/>
        <v>HS</v>
      </c>
      <c r="I150" s="234" t="str">
        <f t="shared" si="57"/>
        <v>PSAL</v>
      </c>
      <c r="J150" s="234" t="str">
        <f t="shared" si="57"/>
        <v>BPL</v>
      </c>
      <c r="K150" s="234" t="str">
        <f t="shared" si="57"/>
        <v>GLP</v>
      </c>
      <c r="L150" s="234" t="str">
        <f t="shared" si="57"/>
        <v>LPL-S</v>
      </c>
      <c r="M150" s="234"/>
      <c r="T150" s="372"/>
      <c r="U150" s="372"/>
      <c r="AD150" s="234" t="s">
        <v>0</v>
      </c>
      <c r="AE150" s="234" t="s">
        <v>1</v>
      </c>
      <c r="AF150" s="234" t="s">
        <v>2</v>
      </c>
      <c r="AG150" s="234" t="s">
        <v>3</v>
      </c>
      <c r="AH150" s="234" t="s">
        <v>4</v>
      </c>
      <c r="AI150" s="234" t="s">
        <v>6</v>
      </c>
      <c r="AJ150" s="234" t="s">
        <v>37</v>
      </c>
      <c r="AK150" s="234" t="s">
        <v>38</v>
      </c>
      <c r="AL150" s="234" t="s">
        <v>5</v>
      </c>
      <c r="AM150" s="234" t="s">
        <v>36</v>
      </c>
    </row>
    <row r="151" spans="1:42" ht="13.15" x14ac:dyDescent="0.4">
      <c r="A151" s="353"/>
      <c r="B151" s="2"/>
      <c r="C151" s="234"/>
      <c r="D151" s="234"/>
      <c r="E151" s="234"/>
      <c r="F151" s="234"/>
      <c r="G151" s="234"/>
      <c r="H151" s="234"/>
      <c r="I151" s="234"/>
      <c r="J151" s="234"/>
      <c r="K151" s="234"/>
      <c r="M151" s="234"/>
      <c r="R151" s="904"/>
      <c r="S151" s="904"/>
      <c r="T151" s="904"/>
      <c r="U151" s="904"/>
      <c r="V151" s="904"/>
      <c r="AC151" s="9" t="s">
        <v>300</v>
      </c>
      <c r="AD151" s="429">
        <f>Inputs!C101</f>
        <v>4606.8422739763673</v>
      </c>
      <c r="AE151" s="429">
        <f>Inputs!D101</f>
        <v>11.972772726290408</v>
      </c>
      <c r="AF151" s="429">
        <f>Inputs!E101</f>
        <v>63.735604211240336</v>
      </c>
      <c r="AG151" s="429">
        <f>Inputs!F101</f>
        <v>0</v>
      </c>
      <c r="AH151" s="429">
        <f>Inputs!G101</f>
        <v>0</v>
      </c>
      <c r="AI151" s="429">
        <f>Inputs!H101</f>
        <v>1.2380232374357087</v>
      </c>
      <c r="AJ151" s="429">
        <f>Inputs!I101</f>
        <v>0</v>
      </c>
      <c r="AK151" s="429">
        <f>Inputs!J101</f>
        <v>0</v>
      </c>
      <c r="AL151" s="429">
        <f>Inputs!K101</f>
        <v>1259.9217376251015</v>
      </c>
      <c r="AM151" s="429">
        <f>Inputs!L101</f>
        <v>859.37835907617659</v>
      </c>
      <c r="AN151">
        <f>SUM(AD151:AM151)</f>
        <v>6803.0887708526125</v>
      </c>
    </row>
    <row r="152" spans="1:42" x14ac:dyDescent="0.35">
      <c r="A152" s="353"/>
      <c r="T152" s="348"/>
      <c r="AC152" s="240" t="s">
        <v>284</v>
      </c>
      <c r="AD152" s="429">
        <f>Inputs!C102</f>
        <v>5112.8623679353486</v>
      </c>
      <c r="AE152" s="429">
        <f>Inputs!D102</f>
        <v>13.084052778376124</v>
      </c>
      <c r="AF152" s="429">
        <f>Inputs!E102</f>
        <v>68.669943566750206</v>
      </c>
      <c r="AG152" s="429">
        <f>Inputs!F102</f>
        <v>0</v>
      </c>
      <c r="AH152" s="429">
        <f>Inputs!G102</f>
        <v>0</v>
      </c>
      <c r="AI152" s="429">
        <f>Inputs!H102</f>
        <v>1.1537878254369598</v>
      </c>
      <c r="AJ152" s="429">
        <f>Inputs!I102</f>
        <v>0</v>
      </c>
      <c r="AK152" s="429">
        <f>Inputs!J102</f>
        <v>0</v>
      </c>
      <c r="AL152" s="429">
        <f>Inputs!K102</f>
        <v>1202.2769886679371</v>
      </c>
      <c r="AM152" s="429">
        <f>Inputs!L102</f>
        <v>853.99082160378123</v>
      </c>
    </row>
    <row r="153" spans="1:42" ht="13.15" x14ac:dyDescent="0.4">
      <c r="A153" s="430"/>
      <c r="B153" t="s">
        <v>25</v>
      </c>
      <c r="C153" s="431">
        <f>ROUND(AD151*$AD$154*$AD$155,1)</f>
        <v>4133</v>
      </c>
      <c r="D153" s="431">
        <f t="shared" ref="D153:K153" si="58">ROUND(AE151*$AD$154*$AD$155,1)</f>
        <v>10.7</v>
      </c>
      <c r="E153" s="431">
        <f t="shared" si="58"/>
        <v>57.2</v>
      </c>
      <c r="F153" s="431">
        <f t="shared" si="58"/>
        <v>0</v>
      </c>
      <c r="G153" s="431">
        <f t="shared" si="58"/>
        <v>0</v>
      </c>
      <c r="H153" s="431">
        <f t="shared" si="58"/>
        <v>1.1000000000000001</v>
      </c>
      <c r="I153" s="431">
        <f t="shared" si="58"/>
        <v>0</v>
      </c>
      <c r="J153" s="431">
        <f t="shared" si="58"/>
        <v>0</v>
      </c>
      <c r="K153" s="431">
        <f t="shared" si="58"/>
        <v>1130.3</v>
      </c>
      <c r="L153" s="431">
        <f>ROUND(AM151*$AD$154*$AD$155*(1-AE45),1)</f>
        <v>551.79999999999995</v>
      </c>
      <c r="M153" s="432">
        <f>SUM(C153:L153)</f>
        <v>5884.1</v>
      </c>
      <c r="R153" s="433"/>
      <c r="S153" s="9"/>
      <c r="T153" s="433"/>
      <c r="U153" s="434"/>
      <c r="V153" s="435"/>
    </row>
    <row r="154" spans="1:42" x14ac:dyDescent="0.35">
      <c r="A154"/>
      <c r="C154" s="436">
        <v>4208.6000000000004</v>
      </c>
      <c r="D154" s="348">
        <v>11</v>
      </c>
      <c r="E154" s="348">
        <v>58.5</v>
      </c>
      <c r="F154" s="348">
        <v>0</v>
      </c>
      <c r="G154" s="348">
        <v>0</v>
      </c>
      <c r="H154" s="348">
        <v>1.3</v>
      </c>
      <c r="I154" s="348">
        <v>0</v>
      </c>
      <c r="J154" s="348">
        <v>0</v>
      </c>
      <c r="K154" s="348">
        <v>1333.4</v>
      </c>
      <c r="L154" s="348">
        <v>890.6</v>
      </c>
      <c r="R154" s="433"/>
      <c r="S154" s="9"/>
      <c r="T154" s="433"/>
      <c r="U154" s="434"/>
      <c r="V154" s="435"/>
      <c r="AC154" s="240" t="s">
        <v>285</v>
      </c>
      <c r="AD154" s="437">
        <f>Inputs!C104</f>
        <v>0.96560504435643157</v>
      </c>
    </row>
    <row r="155" spans="1:42" ht="13.15" x14ac:dyDescent="0.4">
      <c r="A155" s="430"/>
      <c r="B155" t="s">
        <v>26</v>
      </c>
      <c r="C155" s="431">
        <f>ROUND(AD152,1)</f>
        <v>5112.8999999999996</v>
      </c>
      <c r="D155" s="431">
        <f t="shared" ref="D155:K155" si="59">ROUND(AE152,1)</f>
        <v>13.1</v>
      </c>
      <c r="E155" s="431">
        <f t="shared" si="59"/>
        <v>68.7</v>
      </c>
      <c r="F155" s="431">
        <f t="shared" si="59"/>
        <v>0</v>
      </c>
      <c r="G155" s="431">
        <f t="shared" si="59"/>
        <v>0</v>
      </c>
      <c r="H155" s="431">
        <f t="shared" si="59"/>
        <v>1.2</v>
      </c>
      <c r="I155" s="431">
        <f t="shared" si="59"/>
        <v>0</v>
      </c>
      <c r="J155" s="431">
        <f t="shared" si="59"/>
        <v>0</v>
      </c>
      <c r="K155" s="431">
        <f t="shared" si="59"/>
        <v>1202.3</v>
      </c>
      <c r="L155" s="431">
        <f>ROUND(AM152*(1-AF45),1)</f>
        <v>611.20000000000005</v>
      </c>
      <c r="M155" s="432"/>
      <c r="R155" s="433"/>
      <c r="S155" s="9"/>
      <c r="T155" s="433"/>
      <c r="U155" s="434"/>
      <c r="V155" s="438"/>
      <c r="X155" t="str">
        <f>+Inputs!B105</f>
        <v>PJM June 1, 2026 (through May 31, 2027) Forecast Pool Requirement</v>
      </c>
      <c r="AD155" s="437">
        <f>Inputs!C105</f>
        <v>0.92910000000000004</v>
      </c>
    </row>
    <row r="156" spans="1:42" x14ac:dyDescent="0.35">
      <c r="A156"/>
      <c r="C156" s="379"/>
      <c r="D156" s="379"/>
      <c r="E156" s="379"/>
      <c r="F156" s="379"/>
      <c r="G156" s="379"/>
      <c r="H156" s="379"/>
      <c r="I156" s="379"/>
      <c r="J156" s="379"/>
      <c r="K156" s="379"/>
      <c r="L156" s="379"/>
      <c r="M156" s="439"/>
      <c r="V156" s="435"/>
    </row>
    <row r="157" spans="1:42" ht="15" x14ac:dyDescent="0.4">
      <c r="A157" s="353"/>
      <c r="B157" t="s">
        <v>110</v>
      </c>
      <c r="C157" s="799"/>
      <c r="D157" s="799"/>
      <c r="E157" s="799"/>
      <c r="F157" s="799"/>
      <c r="G157" s="799"/>
      <c r="H157" s="799"/>
      <c r="I157" s="799"/>
      <c r="J157" s="799"/>
      <c r="K157" s="799"/>
      <c r="L157" s="799"/>
      <c r="M157" s="439"/>
      <c r="AD157" s="440">
        <f>AD151*$AD$154*$AD$155</f>
        <v>4132.9992775001374</v>
      </c>
      <c r="AE157" s="440">
        <f t="shared" ref="AE157:AM157" si="60">AE151*$AD$154*$AD$155</f>
        <v>10.741296984912889</v>
      </c>
      <c r="AF157" s="440">
        <f t="shared" si="60"/>
        <v>57.179992387436855</v>
      </c>
      <c r="AG157" s="440">
        <f t="shared" si="60"/>
        <v>0</v>
      </c>
      <c r="AH157" s="440">
        <f t="shared" si="60"/>
        <v>0</v>
      </c>
      <c r="AI157" s="440">
        <f t="shared" si="60"/>
        <v>1.110684681946724</v>
      </c>
      <c r="AJ157" s="440">
        <f t="shared" si="60"/>
        <v>0</v>
      </c>
      <c r="AK157" s="440">
        <f t="shared" si="60"/>
        <v>0</v>
      </c>
      <c r="AL157" s="440">
        <f t="shared" si="60"/>
        <v>1130.3307822641495</v>
      </c>
      <c r="AM157" s="440">
        <f t="shared" si="60"/>
        <v>770.98583496659796</v>
      </c>
      <c r="AN157" s="440">
        <f>SUM(AD157:AM157)</f>
        <v>6103.3478687851812</v>
      </c>
      <c r="AO157" s="440"/>
      <c r="AP157" s="440"/>
    </row>
    <row r="158" spans="1:42" ht="15" x14ac:dyDescent="0.4">
      <c r="A158" s="353"/>
      <c r="D158" s="240" t="s">
        <v>103</v>
      </c>
      <c r="E158" s="441">
        <v>122</v>
      </c>
      <c r="G158" s="240" t="s">
        <v>105</v>
      </c>
      <c r="H158" s="348">
        <v>4</v>
      </c>
      <c r="I158" s="439"/>
      <c r="M158" s="439"/>
      <c r="AD158" s="440"/>
      <c r="AE158" s="440"/>
      <c r="AF158" s="440"/>
      <c r="AG158" s="440"/>
      <c r="AH158" s="440"/>
      <c r="AI158" s="440"/>
      <c r="AJ158" s="440"/>
      <c r="AK158" s="440"/>
      <c r="AL158" s="440"/>
      <c r="AM158" s="440"/>
      <c r="AN158" s="440"/>
      <c r="AO158" s="440"/>
      <c r="AP158" s="440"/>
    </row>
    <row r="159" spans="1:42" x14ac:dyDescent="0.35">
      <c r="A159" s="353"/>
      <c r="D159" s="442" t="s">
        <v>104</v>
      </c>
      <c r="E159" s="443">
        <v>244</v>
      </c>
      <c r="G159" s="442" t="s">
        <v>106</v>
      </c>
      <c r="H159" s="348">
        <v>8</v>
      </c>
      <c r="I159" s="439"/>
      <c r="K159" s="6"/>
      <c r="L159" s="6"/>
      <c r="M159" s="439"/>
    </row>
    <row r="160" spans="1:42" x14ac:dyDescent="0.35">
      <c r="A160" s="353"/>
      <c r="G160" s="240" t="s">
        <v>111</v>
      </c>
      <c r="H160">
        <f>+H158+H159</f>
        <v>12</v>
      </c>
      <c r="I160" s="439"/>
      <c r="J160" s="444"/>
      <c r="K160" s="6"/>
      <c r="L160" s="6"/>
      <c r="M160" s="439"/>
    </row>
    <row r="161" spans="1:40" x14ac:dyDescent="0.35">
      <c r="A161" s="353"/>
      <c r="B161" s="348" t="s">
        <v>101</v>
      </c>
      <c r="C161" s="240" t="s">
        <v>179</v>
      </c>
      <c r="D161" s="445">
        <v>0</v>
      </c>
      <c r="E161" s="241" t="s">
        <v>30</v>
      </c>
      <c r="K161" s="446"/>
      <c r="L161" s="447"/>
    </row>
    <row r="162" spans="1:40" x14ac:dyDescent="0.35">
      <c r="A162" s="353"/>
      <c r="B162" s="348"/>
      <c r="C162" s="240"/>
      <c r="D162" s="445"/>
      <c r="E162" s="241"/>
      <c r="K162" s="446"/>
      <c r="L162" s="447"/>
    </row>
    <row r="163" spans="1:40" ht="25.5" x14ac:dyDescent="0.35">
      <c r="A163" s="353"/>
      <c r="B163" s="348"/>
      <c r="D163" s="448" t="s">
        <v>304</v>
      </c>
      <c r="E163" s="448" t="s">
        <v>370</v>
      </c>
      <c r="F163" t="s">
        <v>305</v>
      </c>
      <c r="I163" s="6"/>
      <c r="K163" s="446"/>
      <c r="L163" s="447"/>
    </row>
    <row r="164" spans="1:40" x14ac:dyDescent="0.35">
      <c r="A164" s="353"/>
      <c r="B164" s="348" t="s">
        <v>102</v>
      </c>
      <c r="C164" s="240" t="s">
        <v>150</v>
      </c>
      <c r="D164" s="6">
        <f>Inputs!E113</f>
        <v>333.69</v>
      </c>
      <c r="E164" s="6">
        <v>0</v>
      </c>
      <c r="F164" s="449">
        <f>SUM(D164:E164)</f>
        <v>333.69</v>
      </c>
      <c r="G164" s="241" t="s">
        <v>98</v>
      </c>
      <c r="K164" s="450"/>
    </row>
    <row r="165" spans="1:40" ht="13.15" x14ac:dyDescent="0.4">
      <c r="A165" s="353"/>
      <c r="C165" s="240" t="s">
        <v>151</v>
      </c>
      <c r="D165" s="6">
        <f>Inputs!E114</f>
        <v>333.69</v>
      </c>
      <c r="E165" s="6">
        <v>0</v>
      </c>
      <c r="F165" s="449">
        <f>SUM(D165:E165)</f>
        <v>333.69</v>
      </c>
      <c r="G165" s="241" t="s">
        <v>98</v>
      </c>
      <c r="Q165" s="240" t="s">
        <v>100</v>
      </c>
      <c r="AD165" s="234" t="s">
        <v>0</v>
      </c>
      <c r="AE165" s="234" t="s">
        <v>1</v>
      </c>
      <c r="AF165" s="234" t="s">
        <v>2</v>
      </c>
      <c r="AG165" s="234" t="s">
        <v>3</v>
      </c>
      <c r="AH165" s="234" t="s">
        <v>4</v>
      </c>
      <c r="AI165" s="234" t="s">
        <v>6</v>
      </c>
      <c r="AJ165" s="234" t="s">
        <v>37</v>
      </c>
      <c r="AK165" s="234" t="s">
        <v>38</v>
      </c>
      <c r="AL165" s="234" t="s">
        <v>5</v>
      </c>
      <c r="AM165" s="234" t="s">
        <v>36</v>
      </c>
    </row>
    <row r="166" spans="1:40" ht="13.5" x14ac:dyDescent="0.35">
      <c r="A166" s="353"/>
      <c r="E166" s="244"/>
      <c r="F166" s="348"/>
      <c r="G166" s="348"/>
      <c r="H166" s="348"/>
      <c r="I166" s="348"/>
      <c r="J166" s="348"/>
      <c r="P166" s="240" t="s">
        <v>107</v>
      </c>
      <c r="Q166" s="451">
        <f>(F164*E158+F165*E159)/1000</f>
        <v>122.13054000000001</v>
      </c>
      <c r="R166" t="s">
        <v>99</v>
      </c>
      <c r="AC166" s="9" t="s">
        <v>300</v>
      </c>
      <c r="AD166" s="452">
        <v>4680.3329243739163</v>
      </c>
      <c r="AE166" s="452">
        <v>12.207796715536208</v>
      </c>
      <c r="AF166" s="452">
        <v>65.221381366400621</v>
      </c>
      <c r="AG166" s="452">
        <v>0</v>
      </c>
      <c r="AH166" s="452">
        <v>0</v>
      </c>
      <c r="AI166" s="452">
        <v>1.4192105456271642</v>
      </c>
      <c r="AJ166" s="452">
        <v>0</v>
      </c>
      <c r="AK166" s="452">
        <v>0</v>
      </c>
      <c r="AL166" s="452">
        <v>1484.2850217289522</v>
      </c>
      <c r="AM166" s="452">
        <v>1380.6054652049215</v>
      </c>
      <c r="AN166">
        <v>7624.0717999353537</v>
      </c>
    </row>
    <row r="167" spans="1:40" ht="13.9" x14ac:dyDescent="0.4">
      <c r="A167" s="350"/>
      <c r="C167" s="234" t="str">
        <f>+C7</f>
        <v>RS</v>
      </c>
      <c r="D167" s="234" t="str">
        <f>+D7</f>
        <v>RHS</v>
      </c>
      <c r="F167" s="348"/>
      <c r="G167" s="348"/>
      <c r="H167" s="348"/>
      <c r="I167" s="348"/>
      <c r="J167" s="453"/>
      <c r="AC167" s="240" t="s">
        <v>284</v>
      </c>
      <c r="AD167" s="452">
        <v>5196.0362236634937</v>
      </c>
      <c r="AE167" s="452">
        <v>13.372219571627173</v>
      </c>
      <c r="AF167" s="452">
        <v>70.231917353748798</v>
      </c>
      <c r="AG167" s="452">
        <v>0</v>
      </c>
      <c r="AH167" s="452">
        <v>0</v>
      </c>
      <c r="AI167" s="452">
        <v>1.3651706321212296</v>
      </c>
      <c r="AJ167" s="452">
        <v>0</v>
      </c>
      <c r="AK167" s="452">
        <v>0</v>
      </c>
      <c r="AL167" s="452">
        <v>1426.6528307798797</v>
      </c>
      <c r="AM167" s="452">
        <v>1393.8172430001689</v>
      </c>
    </row>
    <row r="168" spans="1:40" x14ac:dyDescent="0.35">
      <c r="A168" s="350"/>
      <c r="B168" s="454" t="s">
        <v>186</v>
      </c>
      <c r="C168" s="454"/>
      <c r="D168" s="454"/>
      <c r="F168" s="348"/>
      <c r="G168" s="348"/>
      <c r="H168" s="348"/>
      <c r="I168" s="348"/>
      <c r="J168" s="453"/>
      <c r="K168" s="421"/>
    </row>
    <row r="169" spans="1:40" ht="13.15" x14ac:dyDescent="0.4">
      <c r="A169" s="350"/>
      <c r="B169" s="453" t="s">
        <v>160</v>
      </c>
      <c r="C169" s="381">
        <f>ROUND(Q171/Q173,3)</f>
        <v>0.64300000000000002</v>
      </c>
      <c r="D169" s="381">
        <f>ROUND(R171/R173,3)</f>
        <v>0.67800000000000005</v>
      </c>
      <c r="G169" s="455"/>
      <c r="H169" s="456"/>
      <c r="I169" s="456"/>
      <c r="J169" s="453"/>
      <c r="K169" s="421"/>
      <c r="N169" s="2" t="s">
        <v>329</v>
      </c>
      <c r="P169" s="10" t="s">
        <v>535</v>
      </c>
      <c r="AC169" s="240" t="s">
        <v>285</v>
      </c>
      <c r="AD169" s="457">
        <v>0.99540154727012264</v>
      </c>
    </row>
    <row r="170" spans="1:40" x14ac:dyDescent="0.35">
      <c r="A170" s="350"/>
      <c r="B170" s="453" t="s">
        <v>185</v>
      </c>
      <c r="C170" s="381">
        <f>1-C169</f>
        <v>0.35699999999999998</v>
      </c>
      <c r="D170" s="381">
        <f>1-D169</f>
        <v>0.32199999999999995</v>
      </c>
      <c r="F170" s="348"/>
      <c r="H170" s="348"/>
      <c r="I170" s="348"/>
      <c r="J170" s="453"/>
      <c r="K170" s="421"/>
      <c r="N170" s="433"/>
      <c r="Q170" t="s">
        <v>0</v>
      </c>
      <c r="R170" t="s">
        <v>1</v>
      </c>
      <c r="X170" t="s">
        <v>428</v>
      </c>
      <c r="AD170">
        <v>0.91700000000000004</v>
      </c>
    </row>
    <row r="171" spans="1:40" x14ac:dyDescent="0.35">
      <c r="A171" s="350"/>
      <c r="F171" s="348"/>
      <c r="H171" s="348"/>
      <c r="I171" s="348"/>
      <c r="J171" s="453"/>
      <c r="K171" s="421"/>
      <c r="P171" t="s">
        <v>281</v>
      </c>
      <c r="Q171" s="458">
        <v>3331905.2977172905</v>
      </c>
      <c r="R171" s="458">
        <v>12462.247811532896</v>
      </c>
    </row>
    <row r="172" spans="1:40" ht="13.9" x14ac:dyDescent="0.4">
      <c r="A172" s="350"/>
      <c r="B172" s="453" t="s">
        <v>184</v>
      </c>
      <c r="C172" s="7">
        <f>Inputs!C119</f>
        <v>0.86519999999999975</v>
      </c>
      <c r="D172" s="7">
        <f>Inputs!D119</f>
        <v>1.1569000000000003</v>
      </c>
      <c r="E172" s="348" t="s">
        <v>161</v>
      </c>
      <c r="F172" s="356" t="s">
        <v>187</v>
      </c>
      <c r="I172" s="348"/>
      <c r="J172" s="453"/>
      <c r="K172" s="421"/>
      <c r="P172" t="s">
        <v>282</v>
      </c>
      <c r="Q172" s="459">
        <v>1850957.9814376221</v>
      </c>
      <c r="R172" s="459">
        <v>5914.182049040558</v>
      </c>
      <c r="AD172" s="460">
        <v>4272.1293519842229</v>
      </c>
      <c r="AE172" s="460">
        <v>11.143071981033343</v>
      </c>
      <c r="AF172" s="460">
        <v>59.532982421251504</v>
      </c>
      <c r="AG172" s="460">
        <v>0</v>
      </c>
      <c r="AH172" s="460">
        <v>0</v>
      </c>
      <c r="AI172" s="460">
        <v>1.295431570058748</v>
      </c>
      <c r="AJ172" s="460">
        <v>0</v>
      </c>
      <c r="AK172" s="460">
        <v>0</v>
      </c>
      <c r="AL172" s="460">
        <v>1354.8304598197008</v>
      </c>
      <c r="AM172" s="460">
        <v>1260.1935004870973</v>
      </c>
      <c r="AN172" s="460">
        <v>5698.9312977762675</v>
      </c>
    </row>
    <row r="173" spans="1:40" x14ac:dyDescent="0.35">
      <c r="A173" s="350"/>
      <c r="F173" s="348"/>
      <c r="H173" s="348"/>
      <c r="I173" s="348"/>
      <c r="J173" s="453"/>
      <c r="K173" s="421"/>
      <c r="P173" t="s">
        <v>283</v>
      </c>
      <c r="Q173" s="458">
        <f>SUM(Q171:Q172)</f>
        <v>5182863.2791549126</v>
      </c>
      <c r="R173" s="458">
        <f>SUM(R171:R172)</f>
        <v>18376.429860573455</v>
      </c>
    </row>
    <row r="174" spans="1:40" ht="15.4" thickBot="1" x14ac:dyDescent="0.45">
      <c r="A174" s="350" t="s">
        <v>72</v>
      </c>
      <c r="B174" s="1" t="s">
        <v>317</v>
      </c>
      <c r="D174" s="6"/>
      <c r="F174" s="348"/>
      <c r="H174" s="348"/>
      <c r="I174" s="348"/>
      <c r="J174" s="453"/>
      <c r="K174" s="421"/>
      <c r="Q174" s="458"/>
      <c r="R174" s="458"/>
      <c r="AC174" s="461" t="s">
        <v>429</v>
      </c>
      <c r="AD174" s="462">
        <f>+AD157-AD172</f>
        <v>-139.13007448408553</v>
      </c>
      <c r="AE174" s="462">
        <f t="shared" ref="AE174:AN174" si="61">+AE157-AE172</f>
        <v>-0.40177499612045331</v>
      </c>
      <c r="AF174" s="462">
        <f t="shared" si="61"/>
        <v>-2.352990033814649</v>
      </c>
      <c r="AG174" s="462">
        <f t="shared" si="61"/>
        <v>0</v>
      </c>
      <c r="AH174" s="462">
        <f t="shared" si="61"/>
        <v>0</v>
      </c>
      <c r="AI174" s="462">
        <f t="shared" si="61"/>
        <v>-0.184746888112024</v>
      </c>
      <c r="AJ174" s="462">
        <f t="shared" si="61"/>
        <v>0</v>
      </c>
      <c r="AK174" s="462">
        <f t="shared" si="61"/>
        <v>0</v>
      </c>
      <c r="AL174" s="462">
        <f t="shared" si="61"/>
        <v>-224.49967755555122</v>
      </c>
      <c r="AM174" s="462">
        <f t="shared" si="61"/>
        <v>-489.20766552049929</v>
      </c>
      <c r="AN174" s="462">
        <f t="shared" si="61"/>
        <v>404.41657100891371</v>
      </c>
    </row>
    <row r="175" spans="1:40" ht="15.4" thickTop="1" x14ac:dyDescent="0.4">
      <c r="A175"/>
      <c r="B175" s="463" t="s">
        <v>318</v>
      </c>
      <c r="C175" s="348"/>
      <c r="D175" s="6">
        <f>+Inputs!D123</f>
        <v>2</v>
      </c>
      <c r="E175" s="348"/>
      <c r="F175" s="348"/>
      <c r="G175" s="348"/>
      <c r="H175" s="348"/>
      <c r="I175" s="348"/>
      <c r="J175" s="348"/>
      <c r="AD175" s="347"/>
      <c r="AE175" s="347"/>
      <c r="AF175" s="347"/>
      <c r="AG175" s="347"/>
      <c r="AH175" s="347"/>
      <c r="AI175" s="347"/>
      <c r="AJ175" s="347"/>
      <c r="AK175" s="347"/>
      <c r="AL175" s="347"/>
      <c r="AM175" s="347"/>
      <c r="AN175" s="464">
        <f>SUM(AD174:AL174)</f>
        <v>-366.56926395768386</v>
      </c>
    </row>
    <row r="176" spans="1:40" ht="15" x14ac:dyDescent="0.4">
      <c r="A176" s="350"/>
      <c r="B176" s="463" t="s">
        <v>319</v>
      </c>
      <c r="D176" s="636">
        <f>+Inputs!D124</f>
        <v>16.043333333333333</v>
      </c>
      <c r="I176" s="348"/>
      <c r="J176" s="348"/>
      <c r="AD176" s="347"/>
      <c r="AE176" s="347"/>
      <c r="AF176" s="347"/>
      <c r="AG176" s="347"/>
      <c r="AH176" s="347"/>
      <c r="AI176" s="347"/>
      <c r="AJ176" s="347"/>
      <c r="AK176" s="347"/>
      <c r="AL176" s="347"/>
      <c r="AM176" s="347"/>
      <c r="AN176" s="347"/>
    </row>
    <row r="177" spans="1:40" ht="15" x14ac:dyDescent="0.4">
      <c r="A177" s="353"/>
      <c r="B177" s="8" t="s">
        <v>425</v>
      </c>
      <c r="D177" s="226">
        <f>SUM(D175:D176)</f>
        <v>18.043333333333333</v>
      </c>
      <c r="E177" s="241" t="s">
        <v>142</v>
      </c>
      <c r="N177" t="s">
        <v>329</v>
      </c>
      <c r="P177" t="s">
        <v>335</v>
      </c>
      <c r="AD177" s="347"/>
      <c r="AE177" s="347"/>
      <c r="AF177" s="347"/>
      <c r="AG177" s="347"/>
      <c r="AH177" s="347"/>
      <c r="AI177" s="347"/>
      <c r="AJ177" s="347"/>
      <c r="AK177" s="347"/>
      <c r="AL177" s="347"/>
      <c r="AM177" s="347"/>
      <c r="AN177" s="347"/>
    </row>
    <row r="178" spans="1:40" ht="15" x14ac:dyDescent="0.4">
      <c r="A178" s="353"/>
      <c r="B178" s="2"/>
      <c r="F178" s="241"/>
      <c r="Q178" t="s">
        <v>0</v>
      </c>
      <c r="R178" t="s">
        <v>1</v>
      </c>
      <c r="AD178" s="347"/>
      <c r="AE178" s="347"/>
      <c r="AF178" s="347"/>
      <c r="AG178" s="347"/>
      <c r="AH178" s="347"/>
      <c r="AI178" s="347"/>
      <c r="AJ178" s="347"/>
      <c r="AK178" s="347"/>
      <c r="AL178" s="347"/>
      <c r="AM178" s="347"/>
      <c r="AN178" s="347"/>
    </row>
    <row r="179" spans="1:40" ht="13.15" x14ac:dyDescent="0.4">
      <c r="A179" s="353"/>
      <c r="B179" s="1"/>
      <c r="E179" s="465"/>
      <c r="F179" s="241"/>
      <c r="P179" t="s">
        <v>281</v>
      </c>
      <c r="Q179" s="802">
        <v>3528124</v>
      </c>
      <c r="R179" s="802">
        <v>19973</v>
      </c>
    </row>
    <row r="180" spans="1:40" ht="13.15" x14ac:dyDescent="0.4">
      <c r="A180" s="350" t="s">
        <v>74</v>
      </c>
      <c r="B180" s="1" t="s">
        <v>139</v>
      </c>
      <c r="P180" t="s">
        <v>282</v>
      </c>
      <c r="Q180" s="802">
        <v>1931618</v>
      </c>
      <c r="R180" s="802">
        <v>10227</v>
      </c>
    </row>
    <row r="181" spans="1:40" ht="13.15" x14ac:dyDescent="0.4">
      <c r="A181" s="350"/>
      <c r="B181" s="1"/>
      <c r="P181" t="s">
        <v>283</v>
      </c>
      <c r="Q181" s="802">
        <v>5459742</v>
      </c>
      <c r="R181" s="802">
        <v>30200</v>
      </c>
    </row>
    <row r="182" spans="1:40" ht="13.15" x14ac:dyDescent="0.4">
      <c r="A182" s="350"/>
      <c r="B182" s="1"/>
      <c r="C182" s="234" t="str">
        <f t="shared" ref="C182:J182" si="62">+C7</f>
        <v>RS</v>
      </c>
      <c r="D182" s="234" t="str">
        <f t="shared" si="62"/>
        <v>RHS</v>
      </c>
      <c r="E182" s="234" t="str">
        <f t="shared" si="62"/>
        <v>RLM</v>
      </c>
      <c r="F182" s="234" t="str">
        <f t="shared" si="62"/>
        <v>WH</v>
      </c>
      <c r="G182" s="234" t="str">
        <f t="shared" si="62"/>
        <v>WHS</v>
      </c>
      <c r="H182" s="234" t="str">
        <f t="shared" si="62"/>
        <v>HS</v>
      </c>
      <c r="I182" s="234" t="str">
        <f t="shared" si="62"/>
        <v>PSAL</v>
      </c>
      <c r="J182" s="234" t="str">
        <f t="shared" si="62"/>
        <v>BPL</v>
      </c>
    </row>
    <row r="183" spans="1:40" ht="13.15" x14ac:dyDescent="0.4">
      <c r="A183" s="350"/>
      <c r="B183" s="1"/>
    </row>
    <row r="184" spans="1:40" x14ac:dyDescent="0.35">
      <c r="A184" s="353"/>
      <c r="B184" s="240" t="s">
        <v>118</v>
      </c>
      <c r="C184" s="451">
        <f>(+$D$161*C155*$H$160/12)/C57</f>
        <v>0</v>
      </c>
      <c r="D184" s="451">
        <f>(+$D$161*D155*$H$160/12)/D57</f>
        <v>0</v>
      </c>
      <c r="E184" s="451">
        <f>(+$D$161*E155*$H$160/12)/SUMPRODUCT(E27:E38,E45:E56)</f>
        <v>0</v>
      </c>
      <c r="F184" s="451">
        <f>(+$D$161*F155*$H$160/12)/F57</f>
        <v>0</v>
      </c>
      <c r="G184" s="451">
        <f>(+$D$161*G155*$H$160/12)/G57</f>
        <v>0</v>
      </c>
      <c r="H184" s="451">
        <f>(+$D$161*H155*$H$160/12)/H57</f>
        <v>0</v>
      </c>
      <c r="I184" s="451">
        <f>(+$D$161*I155*$H$160/12)/I57</f>
        <v>0</v>
      </c>
      <c r="J184" s="451">
        <f>(+$D$161*J155*$H$160/12)/J57</f>
        <v>0</v>
      </c>
      <c r="K184" s="451"/>
      <c r="L184" s="451"/>
      <c r="M184" s="451"/>
    </row>
    <row r="185" spans="1:40" x14ac:dyDescent="0.35">
      <c r="A185" s="353"/>
      <c r="B185" s="240"/>
      <c r="C185" s="451"/>
      <c r="D185" s="451"/>
      <c r="E185" s="451"/>
      <c r="F185" s="451"/>
      <c r="G185" s="451"/>
      <c r="H185" s="451"/>
      <c r="I185" s="451"/>
      <c r="J185" s="451"/>
      <c r="K185" s="451"/>
      <c r="L185" s="451"/>
      <c r="M185" s="451"/>
    </row>
    <row r="186" spans="1:40" x14ac:dyDescent="0.35">
      <c r="A186" s="353"/>
      <c r="B186" s="240" t="s">
        <v>152</v>
      </c>
      <c r="K186" s="451"/>
      <c r="L186" s="451"/>
      <c r="M186" s="451"/>
    </row>
    <row r="187" spans="1:40" x14ac:dyDescent="0.35">
      <c r="A187" s="350"/>
      <c r="B187" s="453" t="s">
        <v>153</v>
      </c>
      <c r="C187" s="420">
        <f>((+$Q$166*C153*1000)/C57)</f>
        <v>37.510728507212086</v>
      </c>
      <c r="D187" s="420">
        <f>((+$Q$166*D153*1000)/D57)</f>
        <v>19.449786501765505</v>
      </c>
      <c r="E187" s="420">
        <f>(+$Q$166*E153*1000)/SUMPRODUCT(E45:E56,E27:E38)</f>
        <v>97.680905254785628</v>
      </c>
      <c r="F187" s="420">
        <f>((+$Q$166*F153*1000)/F57)</f>
        <v>0</v>
      </c>
      <c r="G187" s="420">
        <f>((+$Q$166*G153*1000)/G57)</f>
        <v>0</v>
      </c>
      <c r="H187" s="420">
        <f>((+$Q$166*H153*1000)/H57)</f>
        <v>17.883558126981868</v>
      </c>
      <c r="I187" s="420">
        <f>((+$Q$166*I153*1000)/I57)</f>
        <v>0</v>
      </c>
      <c r="J187" s="420">
        <f>((+$Q$166*J153*1000)/J57)</f>
        <v>0</v>
      </c>
      <c r="K187" s="451"/>
      <c r="L187" s="451"/>
      <c r="M187" s="451"/>
    </row>
    <row r="188" spans="1:40" x14ac:dyDescent="0.35">
      <c r="A188" s="353"/>
      <c r="B188" s="240" t="s">
        <v>154</v>
      </c>
      <c r="C188" s="466">
        <f>(C153*$F$164*$E$158)/SUM(C50:C53)</f>
        <v>30.173011317550213</v>
      </c>
      <c r="D188" s="466">
        <f>(D153*$F$164*$E$158)/SUM(D50:D53)</f>
        <v>29.535001542691802</v>
      </c>
      <c r="E188" s="466">
        <f>(E153*$F$164*$E$158)/SUMPRODUCT(E50:E53,E32:E35)</f>
        <v>68.651520723158953</v>
      </c>
      <c r="F188" s="466">
        <f>(F153*$F$164*$E$158)/SUM(F50:F53)</f>
        <v>0</v>
      </c>
      <c r="G188" s="466">
        <f>(G153*$F$164*$E$158)/SUM(G50:G53)</f>
        <v>0</v>
      </c>
      <c r="H188" s="466">
        <f>(H153*$F$164*$E$158)/SUM(H50:H53)</f>
        <v>25.714353025107435</v>
      </c>
      <c r="I188" s="466">
        <f>(I153*$F$164*$E$158)/SUM(I50:I53)</f>
        <v>0</v>
      </c>
      <c r="J188" s="466">
        <f>(J153*$F$164*$E$158)/SUM(J50:J53)</f>
        <v>0</v>
      </c>
      <c r="K188" s="451"/>
      <c r="L188" s="451"/>
      <c r="M188" s="451"/>
    </row>
    <row r="189" spans="1:40" x14ac:dyDescent="0.35">
      <c r="A189" s="353"/>
      <c r="B189" s="240" t="s">
        <v>155</v>
      </c>
      <c r="C189" s="451">
        <f>(C153*$F$165*$E$159)/SUM(C45:C49,C54:C56)</f>
        <v>42.703181181395699</v>
      </c>
      <c r="D189" s="451">
        <f>(D153*$F$165*$E$159)/SUM(D45:D49,D54:D56)</f>
        <v>16.613337066928366</v>
      </c>
      <c r="E189" s="451">
        <f>(E153*$F$165*$E$159)/(SUMPRODUCT(E45:E49,E27:E31)+SUMPRODUCT(E54:E56,E36:E38))</f>
        <v>123.87025399242678</v>
      </c>
      <c r="F189" s="451">
        <f>(F153*$F$165*$E$159)/SUM(F45:F49,F54:F56)</f>
        <v>0</v>
      </c>
      <c r="G189" s="451">
        <f>(G153*$F$165*$E$159)/SUM(G45:G49,G54:G56)</f>
        <v>0</v>
      </c>
      <c r="H189" s="451">
        <f>(H153*$F$165*$E$159)/SUM(H45:H49,H54:H56)</f>
        <v>15.520350987198764</v>
      </c>
      <c r="I189" s="451">
        <f>(I153*$F$165*$E$159)/SUM(I45:I49,I54:I56)</f>
        <v>0</v>
      </c>
      <c r="J189" s="451">
        <f>(J153*$F$165*$E$159)/SUM(J45:J49,J54:J56)</f>
        <v>0</v>
      </c>
      <c r="K189" s="451"/>
      <c r="L189" s="451"/>
      <c r="M189" s="451"/>
    </row>
    <row r="190" spans="1:40" x14ac:dyDescent="0.35">
      <c r="A190" s="353"/>
      <c r="E190" s="467" t="s">
        <v>156</v>
      </c>
      <c r="F190" s="451"/>
      <c r="G190" s="451"/>
      <c r="H190" s="451"/>
      <c r="K190" s="451"/>
      <c r="L190" s="451"/>
      <c r="M190" s="451"/>
    </row>
    <row r="191" spans="1:40" x14ac:dyDescent="0.35">
      <c r="A191" s="353"/>
      <c r="E191" s="467" t="s">
        <v>157</v>
      </c>
      <c r="F191" s="451"/>
      <c r="G191" s="451"/>
      <c r="H191" s="451"/>
      <c r="K191" s="451"/>
      <c r="L191" s="451"/>
      <c r="M191" s="451"/>
    </row>
    <row r="192" spans="1:40" x14ac:dyDescent="0.35">
      <c r="A192" s="353"/>
    </row>
    <row r="193" spans="1:11" ht="13.15" x14ac:dyDescent="0.4">
      <c r="A193" s="350" t="s">
        <v>73</v>
      </c>
      <c r="B193" s="1" t="s">
        <v>134</v>
      </c>
    </row>
    <row r="194" spans="1:11" ht="13.15" x14ac:dyDescent="0.4">
      <c r="A194" s="353"/>
      <c r="B194" s="1"/>
      <c r="K194" s="468"/>
    </row>
    <row r="195" spans="1:11" ht="13.15" x14ac:dyDescent="0.4">
      <c r="A195" s="353"/>
      <c r="B195" s="1" t="s">
        <v>41</v>
      </c>
    </row>
    <row r="196" spans="1:11" x14ac:dyDescent="0.35">
      <c r="A196" s="353"/>
      <c r="B196" s="2" t="s">
        <v>342</v>
      </c>
    </row>
    <row r="197" spans="1:11" x14ac:dyDescent="0.35">
      <c r="A197" s="353"/>
      <c r="B197" s="2" t="s">
        <v>40</v>
      </c>
    </row>
    <row r="198" spans="1:11" ht="13.15" x14ac:dyDescent="0.4">
      <c r="A198" s="353"/>
      <c r="C198" s="234" t="str">
        <f t="shared" ref="C198:J198" si="63">+C7</f>
        <v>RS</v>
      </c>
      <c r="D198" s="234" t="str">
        <f t="shared" si="63"/>
        <v>RHS</v>
      </c>
      <c r="E198" s="234" t="str">
        <f t="shared" si="63"/>
        <v>RLM</v>
      </c>
      <c r="F198" s="234" t="str">
        <f t="shared" si="63"/>
        <v>WH</v>
      </c>
      <c r="G198" s="234" t="str">
        <f t="shared" si="63"/>
        <v>WHS</v>
      </c>
      <c r="H198" s="234" t="str">
        <f t="shared" si="63"/>
        <v>HS</v>
      </c>
      <c r="I198" s="234" t="str">
        <f t="shared" si="63"/>
        <v>PSAL</v>
      </c>
      <c r="J198" s="234" t="str">
        <f t="shared" si="63"/>
        <v>BPL</v>
      </c>
    </row>
    <row r="199" spans="1:11" ht="13.15" x14ac:dyDescent="0.4">
      <c r="A199" s="353"/>
      <c r="C199" s="234"/>
      <c r="D199" s="234"/>
      <c r="E199" s="420"/>
      <c r="F199" s="234"/>
      <c r="G199" s="234"/>
    </row>
    <row r="200" spans="1:11" x14ac:dyDescent="0.35">
      <c r="A200" s="353"/>
      <c r="B200" s="235" t="s">
        <v>23</v>
      </c>
      <c r="C200" s="420">
        <f>+C136+($D$177*C80)+C$184+C187</f>
        <v>110.2297004836208</v>
      </c>
      <c r="D200" s="420">
        <f>+D136+($D$177*D80)+D$184+D187</f>
        <v>92.416077575190954</v>
      </c>
      <c r="E200" s="420"/>
      <c r="F200" s="420">
        <f>+F136+($D$177*F80)+F$184+F187</f>
        <v>70.417034314747781</v>
      </c>
      <c r="G200" s="420">
        <f>+G136+($D$177*G80)+G$184+G187</f>
        <v>63.68748759496065</v>
      </c>
      <c r="H200" s="420">
        <f>+H136+($D$177*H80)+H$184+H187</f>
        <v>90.183908729813808</v>
      </c>
      <c r="I200" s="420">
        <f>+I136+($D$177*I80)+I$184+I187</f>
        <v>62.903956291896222</v>
      </c>
      <c r="J200" s="420">
        <f>+J136+($D$177*J80)+J$184+J187</f>
        <v>62.802471650925078</v>
      </c>
      <c r="K200" s="420"/>
    </row>
    <row r="201" spans="1:11" x14ac:dyDescent="0.35">
      <c r="A201" s="353"/>
      <c r="B201" s="259" t="s">
        <v>84</v>
      </c>
      <c r="C201" s="420"/>
      <c r="D201" s="420"/>
      <c r="E201" s="420">
        <f>+E137+($D$177*E80)+E$184+E187</f>
        <v>184.50033008624087</v>
      </c>
      <c r="F201" s="420"/>
      <c r="G201" s="420"/>
      <c r="H201" s="420"/>
      <c r="I201" s="420"/>
      <c r="J201" s="420"/>
    </row>
    <row r="202" spans="1:11" x14ac:dyDescent="0.35">
      <c r="A202" s="353"/>
      <c r="B202" s="259" t="s">
        <v>85</v>
      </c>
      <c r="C202" s="420"/>
      <c r="D202" s="420"/>
      <c r="E202" s="420">
        <f>+E138+($D$177*E80)</f>
        <v>59.252468898963436</v>
      </c>
      <c r="F202" s="420"/>
      <c r="G202" s="420"/>
      <c r="H202" s="420"/>
      <c r="I202" s="420"/>
      <c r="J202" s="420"/>
    </row>
    <row r="203" spans="1:11" x14ac:dyDescent="0.35">
      <c r="A203" s="353"/>
      <c r="B203" s="453" t="s">
        <v>160</v>
      </c>
      <c r="C203" s="420">
        <f>(C200*SUM(C50:C53)-C172*10*C170*SUM(C50:C53))/SUM(C50:C53)</f>
        <v>107.14093648362081</v>
      </c>
      <c r="D203" s="420">
        <f>(D200*SUM(D50:D53)-D172*10*D170*SUM(D50:D53))/SUM(D50:D53)</f>
        <v>88.690859575190942</v>
      </c>
      <c r="E203" s="420"/>
      <c r="F203" s="420"/>
      <c r="G203" s="420"/>
      <c r="H203" s="420"/>
      <c r="I203" s="420"/>
      <c r="J203" s="420"/>
    </row>
    <row r="204" spans="1:11" x14ac:dyDescent="0.35">
      <c r="A204" s="353"/>
      <c r="B204" s="453" t="s">
        <v>159</v>
      </c>
      <c r="C204" s="420">
        <f>+C203+C172*10</f>
        <v>115.79293648362081</v>
      </c>
      <c r="D204" s="420">
        <f>+D203+D172*10</f>
        <v>100.25985957519094</v>
      </c>
      <c r="E204" s="420"/>
      <c r="F204" s="420"/>
      <c r="G204" s="420"/>
      <c r="H204" s="420"/>
      <c r="I204" s="420"/>
      <c r="J204" s="420"/>
    </row>
    <row r="205" spans="1:11" x14ac:dyDescent="0.35">
      <c r="A205" s="353"/>
      <c r="C205" s="420"/>
      <c r="D205" s="420"/>
      <c r="E205" s="420"/>
      <c r="F205" s="420"/>
      <c r="G205" s="420"/>
      <c r="H205" s="420"/>
      <c r="I205" s="420"/>
      <c r="J205" s="420"/>
    </row>
    <row r="206" spans="1:11" x14ac:dyDescent="0.35">
      <c r="A206" s="353"/>
      <c r="B206" s="235" t="s">
        <v>24</v>
      </c>
      <c r="C206" s="420">
        <f>+C140+($D$177*C80)+C$184+C187</f>
        <v>117.20126130546075</v>
      </c>
      <c r="D206" s="420">
        <f>+D140+($D$177*D80)+D$184+D187</f>
        <v>101.96972997015338</v>
      </c>
      <c r="E206" s="420"/>
      <c r="F206" s="420">
        <f>+F140+($D$177*F80)+F$184+F187</f>
        <v>78.81134217198084</v>
      </c>
      <c r="G206" s="420">
        <f>+G140+($D$177*G80)+G$184+G187</f>
        <v>79.206697169353816</v>
      </c>
      <c r="H206" s="420">
        <f>+H140+($D$177*H80)+H$184+H187</f>
        <v>100.37120369117029</v>
      </c>
      <c r="I206" s="420">
        <f>+I140+($D$177*I80)+I$184+I187</f>
        <v>77.26218193606897</v>
      </c>
      <c r="J206" s="420">
        <f>+J140+($D$177*J80)+J$184+J187</f>
        <v>76.907353499633231</v>
      </c>
      <c r="K206" s="420"/>
    </row>
    <row r="207" spans="1:11" x14ac:dyDescent="0.35">
      <c r="A207" s="353"/>
      <c r="B207" s="259" t="s">
        <v>84</v>
      </c>
      <c r="C207" s="420"/>
      <c r="D207" s="420"/>
      <c r="E207" s="420">
        <f>+E141+($D$177*E80)+E$184+E187</f>
        <v>183.99975545920742</v>
      </c>
      <c r="F207" s="420"/>
      <c r="G207" s="420"/>
      <c r="H207" s="420"/>
      <c r="I207" s="420"/>
      <c r="J207" s="420"/>
    </row>
    <row r="208" spans="1:11" x14ac:dyDescent="0.35">
      <c r="A208" s="353"/>
      <c r="B208" s="259" t="s">
        <v>85</v>
      </c>
      <c r="C208" s="420"/>
      <c r="D208" s="420"/>
      <c r="E208" s="420">
        <f>+E142+($D$177*E80)</f>
        <v>74.222622501590891</v>
      </c>
      <c r="F208" s="420"/>
      <c r="G208" s="420"/>
      <c r="H208" s="420"/>
      <c r="I208" s="420"/>
      <c r="J208" s="420"/>
    </row>
    <row r="209" spans="1:15" x14ac:dyDescent="0.35">
      <c r="A209" s="353"/>
      <c r="C209" s="420"/>
      <c r="D209" s="420"/>
      <c r="E209" s="420"/>
      <c r="F209" s="420"/>
      <c r="G209" s="420"/>
      <c r="H209" s="420"/>
      <c r="I209" s="420"/>
      <c r="J209" s="420"/>
    </row>
    <row r="210" spans="1:15" x14ac:dyDescent="0.35">
      <c r="A210" s="353"/>
      <c r="B210" t="s">
        <v>112</v>
      </c>
      <c r="C210" s="420">
        <f>+C144+($D$177*C80)+C$184+C187</f>
        <v>114.31227416275277</v>
      </c>
      <c r="D210" s="420">
        <f>+D144+($D$177*D80)+D$184+D187</f>
        <v>99.872596741911067</v>
      </c>
      <c r="E210" s="420">
        <f>((E201*SUMPRODUCT(E32:E35,E50:E53)+E202*SUMPRODUCT(Q32:Q35,E50:E53))+(E207*(SUMPRODUCT(E27:E31,E45:E49)+SUMPRODUCT(E36:E38,E54:E56))+E208*(SUMPRODUCT(Q27:Q31,E45:E49)+SUMPRODUCT(Q36:Q38,E54:E56))))/E57</f>
        <v>119.90799613965159</v>
      </c>
      <c r="F210" s="420">
        <f>+F144+($D$177*F80)+F$184+F187</f>
        <v>76.464118647920401</v>
      </c>
      <c r="G210" s="420">
        <f>+G144+($D$177*G80)+G$184+G187</f>
        <v>77.266795972554675</v>
      </c>
      <c r="H210" s="420">
        <f>+H144+($D$177*H80)+H$184+H187</f>
        <v>98.009551407972097</v>
      </c>
      <c r="I210" s="420">
        <f>+I144+($D$177*I80)+I$184+I187</f>
        <v>73.297774628369069</v>
      </c>
      <c r="J210" s="420">
        <f>+J144+($D$177*J80)+J$184+J187</f>
        <v>73.153809700731728</v>
      </c>
      <c r="K210" s="420"/>
    </row>
    <row r="211" spans="1:15" x14ac:dyDescent="0.35">
      <c r="A211" s="353"/>
      <c r="C211" s="420"/>
      <c r="D211" s="420"/>
      <c r="E211" s="420"/>
      <c r="F211" s="420"/>
      <c r="G211" s="420"/>
      <c r="H211" s="420"/>
      <c r="I211" s="420"/>
      <c r="J211" s="420"/>
      <c r="K211" s="420"/>
    </row>
    <row r="212" spans="1:15" ht="13.15" x14ac:dyDescent="0.4">
      <c r="A212" s="353"/>
      <c r="B212" s="1" t="s">
        <v>32</v>
      </c>
    </row>
    <row r="213" spans="1:15" x14ac:dyDescent="0.35">
      <c r="A213" s="353"/>
      <c r="B213" s="2" t="s">
        <v>89</v>
      </c>
    </row>
    <row r="214" spans="1:15" x14ac:dyDescent="0.35">
      <c r="A214" s="353"/>
      <c r="B214" s="2" t="s">
        <v>40</v>
      </c>
    </row>
    <row r="215" spans="1:15" ht="13.15" x14ac:dyDescent="0.4">
      <c r="A215" s="353"/>
      <c r="C215" s="234" t="str">
        <f>+K7</f>
        <v>GLP</v>
      </c>
      <c r="D215" s="234" t="str">
        <f>+L7</f>
        <v>LPL-S</v>
      </c>
      <c r="E215" s="234"/>
      <c r="H215" s="1" t="s">
        <v>31</v>
      </c>
      <c r="I215" s="234" t="str">
        <f>+C215</f>
        <v>GLP</v>
      </c>
      <c r="J215" s="234" t="str">
        <f>+D215</f>
        <v>LPL-S</v>
      </c>
    </row>
    <row r="216" spans="1:15" ht="13.15" x14ac:dyDescent="0.4">
      <c r="A216" s="353"/>
      <c r="C216" s="234"/>
      <c r="D216" s="234"/>
      <c r="F216" s="1"/>
    </row>
    <row r="217" spans="1:15" x14ac:dyDescent="0.35">
      <c r="A217" s="353"/>
      <c r="B217" s="235" t="s">
        <v>23</v>
      </c>
      <c r="C217" s="420">
        <f>+K136+($D$177*K80)</f>
        <v>72.878459900260566</v>
      </c>
      <c r="D217" s="420">
        <f>+L136+($D$177*L$80)</f>
        <v>72.00458557763443</v>
      </c>
      <c r="E217" s="244"/>
      <c r="H217" s="253" t="s">
        <v>28</v>
      </c>
    </row>
    <row r="218" spans="1:15" x14ac:dyDescent="0.35">
      <c r="A218" s="353"/>
      <c r="B218" s="259" t="s">
        <v>84</v>
      </c>
      <c r="C218" s="420"/>
      <c r="D218" s="420">
        <f>+L137+($D$177*L$80)</f>
        <v>85.917857417236533</v>
      </c>
      <c r="H218" s="240" t="s">
        <v>47</v>
      </c>
      <c r="I218" s="469">
        <f>+$F164*$E158/$H158/1000</f>
        <v>10.177545</v>
      </c>
      <c r="J218" s="469">
        <f>+$F164*$E158/$H158/1000</f>
        <v>10.177545</v>
      </c>
      <c r="K218" s="241" t="s">
        <v>51</v>
      </c>
      <c r="O218" s="257"/>
    </row>
    <row r="219" spans="1:15" x14ac:dyDescent="0.35">
      <c r="A219" s="353"/>
      <c r="B219" s="259" t="s">
        <v>85</v>
      </c>
      <c r="C219" s="420"/>
      <c r="D219" s="420">
        <f>+L138+($D$177*L$80)</f>
        <v>58.866015008117252</v>
      </c>
      <c r="H219" s="240" t="s">
        <v>48</v>
      </c>
      <c r="I219" s="469">
        <f>+$F165*$E159/$H159/1000</f>
        <v>10.177545</v>
      </c>
      <c r="J219" s="469">
        <f>+$F165*$E159/$H159/1000</f>
        <v>10.177545</v>
      </c>
      <c r="K219" s="241" t="s">
        <v>51</v>
      </c>
    </row>
    <row r="220" spans="1:15" x14ac:dyDescent="0.35">
      <c r="A220" s="353"/>
      <c r="C220" s="420"/>
      <c r="D220" s="420"/>
      <c r="H220" s="240" t="s">
        <v>287</v>
      </c>
      <c r="I220" s="469">
        <f>($F$164*$E$158+$F$165*$E$159)/$H$160/1000</f>
        <v>10.177545</v>
      </c>
      <c r="J220" s="469">
        <f>($F$164*$E$158+$F$165*$E$159)/$H$160/1000</f>
        <v>10.177545</v>
      </c>
      <c r="K220" s="241" t="s">
        <v>51</v>
      </c>
    </row>
    <row r="221" spans="1:15" x14ac:dyDescent="0.35">
      <c r="A221" s="353"/>
      <c r="B221" s="235" t="s">
        <v>24</v>
      </c>
      <c r="C221" s="420">
        <f>+K140+($D$177*K80)</f>
        <v>79.294289099911708</v>
      </c>
      <c r="D221" s="420">
        <f>+L140+($D$177*L$80)</f>
        <v>78.804622805599706</v>
      </c>
    </row>
    <row r="222" spans="1:15" x14ac:dyDescent="0.35">
      <c r="A222" s="353"/>
      <c r="B222" s="259" t="s">
        <v>84</v>
      </c>
      <c r="C222" s="420"/>
      <c r="D222" s="420">
        <f>+L141+($D$177*L$80)</f>
        <v>84.916842504108956</v>
      </c>
      <c r="H222" s="253" t="s">
        <v>29</v>
      </c>
      <c r="I222" s="264"/>
      <c r="J222" s="264"/>
      <c r="K222" s="241"/>
    </row>
    <row r="223" spans="1:15" x14ac:dyDescent="0.35">
      <c r="A223" s="353"/>
      <c r="B223" s="259" t="s">
        <v>85</v>
      </c>
      <c r="C223" s="420"/>
      <c r="D223" s="420">
        <f>+L142+($D$177*L$80)</f>
        <v>73.349359419632094</v>
      </c>
      <c r="H223" s="240" t="s">
        <v>49</v>
      </c>
      <c r="I223" s="469">
        <f>+$D161/1000/12</f>
        <v>0</v>
      </c>
      <c r="J223" s="469">
        <f>+$D161/1000/12</f>
        <v>0</v>
      </c>
      <c r="K223" s="241" t="s">
        <v>52</v>
      </c>
    </row>
    <row r="224" spans="1:15" x14ac:dyDescent="0.35">
      <c r="A224" s="353"/>
      <c r="B224" s="259"/>
      <c r="C224" s="420"/>
      <c r="D224" s="420"/>
    </row>
    <row r="225" spans="1:7" x14ac:dyDescent="0.35">
      <c r="A225" s="353"/>
      <c r="B225" t="s">
        <v>114</v>
      </c>
      <c r="C225" s="420">
        <f>+K144+($D$177*K80)</f>
        <v>76.968900556829752</v>
      </c>
      <c r="D225" s="420">
        <f>+L144+($D$177*L$80)</f>
        <v>76.358668102067611</v>
      </c>
    </row>
    <row r="226" spans="1:7" x14ac:dyDescent="0.35">
      <c r="A226" s="353"/>
      <c r="C226" s="420"/>
      <c r="D226" s="420"/>
    </row>
    <row r="227" spans="1:7" x14ac:dyDescent="0.35">
      <c r="A227" s="353"/>
      <c r="B227" s="266" t="s">
        <v>343</v>
      </c>
      <c r="C227" s="420"/>
      <c r="D227" s="420"/>
    </row>
    <row r="228" spans="1:7" x14ac:dyDescent="0.35">
      <c r="A228" s="353"/>
      <c r="B228" s="235" t="s">
        <v>23</v>
      </c>
      <c r="C228" s="420">
        <f>(C217*W49+((I220*$H158)*K153*1000)+(I223*$H158*K155*1000))/W49</f>
        <v>98.565954819504597</v>
      </c>
      <c r="D228" s="420">
        <f>(D217*X49+((J220*$H158)*L153*1000)+(J223*$H158*L155*1000))/X49</f>
        <v>92.845657245820902</v>
      </c>
      <c r="F228" t="s">
        <v>121</v>
      </c>
    </row>
    <row r="229" spans="1:7" x14ac:dyDescent="0.35">
      <c r="A229" s="353"/>
      <c r="B229" s="259" t="s">
        <v>84</v>
      </c>
      <c r="C229" s="420"/>
      <c r="D229" s="420">
        <f>(D218*X50+((J220*$H158)*L153*1000)+(J223*$H158*L155*1000))/X50</f>
        <v>128.82887147480761</v>
      </c>
    </row>
    <row r="230" spans="1:7" x14ac:dyDescent="0.35">
      <c r="A230" s="353"/>
      <c r="B230" s="259" t="s">
        <v>85</v>
      </c>
      <c r="C230" s="420"/>
      <c r="D230" s="420">
        <f>+D219</f>
        <v>58.866015008117252</v>
      </c>
    </row>
    <row r="231" spans="1:7" x14ac:dyDescent="0.35">
      <c r="A231" s="353"/>
      <c r="C231" s="420"/>
      <c r="D231" s="420"/>
    </row>
    <row r="232" spans="1:7" x14ac:dyDescent="0.35">
      <c r="A232" s="353"/>
      <c r="B232" s="235" t="s">
        <v>24</v>
      </c>
      <c r="C232" s="420">
        <f>(C221*W45+((I220*$H159)*K153*1000)+(I223*$H159*K155*1000))/W45</f>
        <v>108.50063208389028</v>
      </c>
      <c r="D232" s="420">
        <f>(D221*X45+((J220*$H159)*L153*1000)+(J223*$H159*L155*1000))/X45</f>
        <v>102.22003442786151</v>
      </c>
    </row>
    <row r="233" spans="1:7" x14ac:dyDescent="0.35">
      <c r="A233" s="353"/>
      <c r="B233" s="259" t="s">
        <v>84</v>
      </c>
      <c r="C233" s="420"/>
      <c r="D233" s="420">
        <f>(D222*X46+((J220*$H159)*L153*1000)+(J223*$H159*L155*1000))/X46</f>
        <v>134.5674933880413</v>
      </c>
    </row>
    <row r="234" spans="1:7" x14ac:dyDescent="0.35">
      <c r="A234" s="353"/>
      <c r="B234" s="259" t="s">
        <v>85</v>
      </c>
      <c r="C234" s="420"/>
      <c r="D234" s="420">
        <f>+D223</f>
        <v>73.349359419632094</v>
      </c>
    </row>
    <row r="235" spans="1:7" x14ac:dyDescent="0.35">
      <c r="A235" s="353"/>
      <c r="B235" s="259"/>
      <c r="C235" s="420"/>
      <c r="D235" s="420"/>
    </row>
    <row r="236" spans="1:7" x14ac:dyDescent="0.35">
      <c r="A236" s="353"/>
      <c r="B236" s="10" t="s">
        <v>344</v>
      </c>
      <c r="C236" s="420">
        <f>(C225*K57+((I220*$H158+I220*$H159)*K153*1000)+(I223*$H160*K155*1000))/K57</f>
        <v>104.89985282825246</v>
      </c>
      <c r="D236" s="420">
        <f>(D225*L57+((J220*$H158+J220*$H159)*L153*1000)+(J223*$H160*L155*1000))/L57</f>
        <v>98.84809671746207</v>
      </c>
    </row>
    <row r="237" spans="1:7" x14ac:dyDescent="0.35">
      <c r="A237" s="353"/>
      <c r="C237" s="423"/>
      <c r="D237" s="423"/>
    </row>
    <row r="238" spans="1:7" ht="13.15" x14ac:dyDescent="0.4">
      <c r="A238" s="353"/>
      <c r="B238" s="1" t="s">
        <v>108</v>
      </c>
      <c r="C238" s="420"/>
      <c r="D238" s="420"/>
    </row>
    <row r="239" spans="1:7" x14ac:dyDescent="0.35">
      <c r="A239" s="353"/>
      <c r="B239" s="240" t="s">
        <v>59</v>
      </c>
      <c r="C239" s="427">
        <f>(+SUMPRODUCT(C210:J210,C57:J57)+SUMPRODUCT(C236:D236,K57:L57))/1000</f>
        <v>2411442.1190203428</v>
      </c>
      <c r="G239" s="268"/>
    </row>
    <row r="240" spans="1:7" x14ac:dyDescent="0.35">
      <c r="A240" s="353"/>
      <c r="C240" s="240" t="s">
        <v>140</v>
      </c>
      <c r="D240" s="451">
        <f>+C239/SUM(C57:L57)*1000</f>
        <v>109.28344119525393</v>
      </c>
      <c r="E240" t="s">
        <v>44</v>
      </c>
    </row>
    <row r="241" spans="1:13" x14ac:dyDescent="0.35">
      <c r="A241" s="353"/>
      <c r="C241" s="240" t="s">
        <v>278</v>
      </c>
      <c r="D241" s="451">
        <f>+C239/SUMPRODUCT(C57:L57,C85:L85)*1000</f>
        <v>103.89335028891473</v>
      </c>
      <c r="E241" t="s">
        <v>264</v>
      </c>
    </row>
    <row r="242" spans="1:13" x14ac:dyDescent="0.35">
      <c r="A242" s="353"/>
    </row>
    <row r="243" spans="1:13" x14ac:dyDescent="0.35">
      <c r="A243" s="353"/>
      <c r="E243" s="264"/>
    </row>
    <row r="244" spans="1:13" ht="13.15" x14ac:dyDescent="0.4">
      <c r="A244" s="350" t="s">
        <v>92</v>
      </c>
      <c r="B244" s="1" t="s">
        <v>265</v>
      </c>
    </row>
    <row r="245" spans="1:13" ht="13.15" x14ac:dyDescent="0.4">
      <c r="A245" s="353"/>
      <c r="B245" s="1"/>
    </row>
    <row r="246" spans="1:13" ht="13.15" x14ac:dyDescent="0.4">
      <c r="A246" s="353"/>
      <c r="B246" s="1" t="s">
        <v>41</v>
      </c>
    </row>
    <row r="247" spans="1:13" x14ac:dyDescent="0.35">
      <c r="A247" s="353"/>
      <c r="B247" s="2" t="s">
        <v>342</v>
      </c>
    </row>
    <row r="248" spans="1:13" ht="13.15" x14ac:dyDescent="0.4">
      <c r="A248" s="353"/>
      <c r="B248" s="1"/>
    </row>
    <row r="249" spans="1:13" ht="13.15" x14ac:dyDescent="0.4">
      <c r="A249" s="353"/>
      <c r="C249" s="234" t="str">
        <f t="shared" ref="C249:J249" si="64">+C7</f>
        <v>RS</v>
      </c>
      <c r="D249" s="234" t="str">
        <f t="shared" si="64"/>
        <v>RHS</v>
      </c>
      <c r="E249" s="234" t="str">
        <f t="shared" si="64"/>
        <v>RLM</v>
      </c>
      <c r="F249" s="234" t="str">
        <f t="shared" si="64"/>
        <v>WH</v>
      </c>
      <c r="G249" s="234" t="str">
        <f t="shared" si="64"/>
        <v>WHS</v>
      </c>
      <c r="H249" s="234" t="str">
        <f t="shared" si="64"/>
        <v>HS</v>
      </c>
      <c r="I249" s="234" t="str">
        <f t="shared" si="64"/>
        <v>PSAL</v>
      </c>
      <c r="J249" s="234" t="str">
        <f t="shared" si="64"/>
        <v>BPL</v>
      </c>
    </row>
    <row r="250" spans="1:13" ht="13.15" x14ac:dyDescent="0.4">
      <c r="A250" s="353"/>
      <c r="C250" s="234"/>
      <c r="D250" s="234"/>
      <c r="E250" s="234"/>
      <c r="F250" s="234"/>
      <c r="G250" s="234"/>
    </row>
    <row r="251" spans="1:13" ht="13.15" x14ac:dyDescent="0.4">
      <c r="A251" s="353"/>
      <c r="B251" s="235" t="s">
        <v>23</v>
      </c>
      <c r="E251" s="470"/>
      <c r="F251" s="5">
        <f>ROUND(+F200/$D$241,3)</f>
        <v>0.67800000000000005</v>
      </c>
      <c r="G251" s="5">
        <f>ROUND(+G200/$D$241,3)</f>
        <v>0.61299999999999999</v>
      </c>
      <c r="H251" s="5">
        <f>ROUND(+H200/$D$241,3)</f>
        <v>0.86799999999999999</v>
      </c>
      <c r="I251" s="470">
        <f>ROUND(+I200/$D$241,3)</f>
        <v>0.60499999999999998</v>
      </c>
      <c r="J251" s="470">
        <f>ROUND(+J200/$D$241,3)</f>
        <v>0.60399999999999998</v>
      </c>
      <c r="K251" s="471"/>
      <c r="L251" s="471"/>
      <c r="M251" s="471"/>
    </row>
    <row r="252" spans="1:13" ht="13.15" x14ac:dyDescent="0.4">
      <c r="A252" s="353"/>
      <c r="B252" s="259" t="s">
        <v>84</v>
      </c>
      <c r="C252" s="3"/>
      <c r="D252" s="472"/>
      <c r="E252" s="5">
        <f>ROUND(+E201/$D$241,3)</f>
        <v>1.776</v>
      </c>
      <c r="F252" s="470"/>
      <c r="G252" s="470"/>
      <c r="H252" s="470"/>
      <c r="I252" s="348"/>
      <c r="J252" s="473" t="s">
        <v>167</v>
      </c>
      <c r="K252" s="471"/>
      <c r="L252" s="471"/>
      <c r="M252" s="471"/>
    </row>
    <row r="253" spans="1:13" ht="13.15" x14ac:dyDescent="0.4">
      <c r="A253" s="353"/>
      <c r="B253" s="259" t="s">
        <v>85</v>
      </c>
      <c r="C253" s="3"/>
      <c r="D253" s="472"/>
      <c r="E253" s="5">
        <f>ROUND(+E202/$D$241,3)</f>
        <v>0.56999999999999995</v>
      </c>
      <c r="F253" s="470"/>
      <c r="G253" s="470"/>
      <c r="H253" s="270"/>
      <c r="I253" s="348"/>
      <c r="J253" s="473" t="s">
        <v>168</v>
      </c>
      <c r="K253" s="271">
        <f>ROUND((I251*U49+J251*V49)/(U49+V49),3)</f>
        <v>0.60399999999999998</v>
      </c>
      <c r="L253" s="471"/>
      <c r="M253" s="471"/>
    </row>
    <row r="254" spans="1:13" ht="13.15" x14ac:dyDescent="0.4">
      <c r="A254" s="353"/>
      <c r="E254" s="3"/>
      <c r="F254" s="472"/>
      <c r="G254" s="472"/>
      <c r="L254" s="471"/>
      <c r="M254" s="471"/>
    </row>
    <row r="255" spans="1:13" ht="13.15" x14ac:dyDescent="0.4">
      <c r="A255" s="353"/>
      <c r="B255" s="272" t="s">
        <v>164</v>
      </c>
      <c r="C255" s="5">
        <f>ROUND(+C200/$D$241,3)</f>
        <v>1.0609999999999999</v>
      </c>
      <c r="D255" s="5">
        <f>ROUND(+D200/$D$241,3)</f>
        <v>0.89</v>
      </c>
      <c r="E255" s="3"/>
      <c r="F255" s="472"/>
      <c r="G255" s="472"/>
      <c r="H255" s="472"/>
      <c r="I255" s="472"/>
      <c r="J255" s="472"/>
      <c r="K255" s="471"/>
      <c r="L255" s="471"/>
      <c r="M255" s="471"/>
    </row>
    <row r="256" spans="1:13" ht="13.15" x14ac:dyDescent="0.4">
      <c r="A256" s="350"/>
      <c r="B256" s="272" t="s">
        <v>172</v>
      </c>
      <c r="C256" s="273">
        <f>ROUND(+C203-C200,3)</f>
        <v>-3.089</v>
      </c>
      <c r="D256" s="273">
        <f>ROUND(D203-D200,3)</f>
        <v>-3.7250000000000001</v>
      </c>
      <c r="E256" s="463" t="s">
        <v>165</v>
      </c>
      <c r="F256" s="472"/>
      <c r="G256" s="472"/>
      <c r="H256" s="472"/>
      <c r="I256" s="472"/>
      <c r="J256" s="472"/>
      <c r="K256" s="471"/>
      <c r="L256" s="471"/>
      <c r="M256" s="471"/>
    </row>
    <row r="257" spans="1:13" ht="13.15" x14ac:dyDescent="0.4">
      <c r="A257" s="350"/>
      <c r="B257" s="272" t="s">
        <v>172</v>
      </c>
      <c r="C257" s="273">
        <f>ROUND(+C204-C200,3)</f>
        <v>5.5629999999999997</v>
      </c>
      <c r="D257" s="273">
        <f>ROUND(D204-D200,3)</f>
        <v>7.8440000000000003</v>
      </c>
      <c r="E257" s="463" t="s">
        <v>166</v>
      </c>
      <c r="F257" s="472"/>
      <c r="G257" s="472"/>
      <c r="H257" s="472"/>
      <c r="I257" s="472"/>
      <c r="J257" s="472"/>
      <c r="K257" s="471"/>
      <c r="L257" s="471"/>
      <c r="M257" s="471"/>
    </row>
    <row r="258" spans="1:13" x14ac:dyDescent="0.35">
      <c r="A258" s="353"/>
      <c r="G258" s="472"/>
      <c r="H258" s="472"/>
      <c r="I258" s="472"/>
      <c r="J258" s="472"/>
      <c r="K258" s="471"/>
      <c r="L258" s="471"/>
      <c r="M258" s="471"/>
    </row>
    <row r="259" spans="1:13" x14ac:dyDescent="0.35">
      <c r="A259" s="353"/>
      <c r="H259" s="472"/>
      <c r="I259" s="472"/>
      <c r="J259" s="472"/>
      <c r="K259" s="471"/>
      <c r="L259" s="471"/>
      <c r="M259" s="471"/>
    </row>
    <row r="260" spans="1:13" x14ac:dyDescent="0.35">
      <c r="A260" s="353"/>
      <c r="C260" s="472"/>
      <c r="D260" s="472"/>
      <c r="E260" s="472"/>
      <c r="F260" s="472"/>
      <c r="G260" s="472"/>
      <c r="H260" s="472"/>
      <c r="I260" s="472"/>
      <c r="J260" s="472"/>
      <c r="K260" s="471"/>
      <c r="L260" s="471"/>
      <c r="M260" s="471"/>
    </row>
    <row r="261" spans="1:13" ht="13.15" x14ac:dyDescent="0.4">
      <c r="A261" s="353"/>
      <c r="B261" s="235" t="s">
        <v>24</v>
      </c>
      <c r="C261" s="5">
        <f>ROUND(+C206/$D$241,3)</f>
        <v>1.1279999999999999</v>
      </c>
      <c r="D261" s="5">
        <f>ROUND(+D206/$D$241,3)</f>
        <v>0.98099999999999998</v>
      </c>
      <c r="E261" s="470"/>
      <c r="F261" s="5">
        <f>ROUND(+F206/$D$241,3)</f>
        <v>0.75900000000000001</v>
      </c>
      <c r="G261" s="5">
        <f>ROUND(+G206/$D$241,3)</f>
        <v>0.76200000000000001</v>
      </c>
      <c r="H261" s="5">
        <f>ROUND(+H206/$D$241,3)</f>
        <v>0.96599999999999997</v>
      </c>
      <c r="I261" s="470">
        <f>ROUND(+I206/$D$241,3)</f>
        <v>0.74399999999999999</v>
      </c>
      <c r="J261" s="470">
        <f>ROUND(+J206/$D$241,3)</f>
        <v>0.74</v>
      </c>
      <c r="K261" s="471"/>
      <c r="L261" s="471"/>
      <c r="M261" s="471"/>
    </row>
    <row r="262" spans="1:13" ht="13.15" x14ac:dyDescent="0.4">
      <c r="A262" s="353"/>
      <c r="B262" s="259" t="s">
        <v>84</v>
      </c>
      <c r="C262" s="472"/>
      <c r="D262" s="472"/>
      <c r="E262" s="5">
        <f>ROUND(+E207/$D$241,3)</f>
        <v>1.7709999999999999</v>
      </c>
      <c r="F262" s="472"/>
      <c r="G262" s="472"/>
      <c r="H262" s="472"/>
      <c r="J262" s="473" t="s">
        <v>167</v>
      </c>
      <c r="K262" s="471"/>
      <c r="L262" s="471"/>
      <c r="M262" s="471"/>
    </row>
    <row r="263" spans="1:13" ht="13.15" x14ac:dyDescent="0.4">
      <c r="A263" s="353"/>
      <c r="B263" s="259" t="s">
        <v>85</v>
      </c>
      <c r="C263" s="472"/>
      <c r="D263" s="472"/>
      <c r="E263" s="5">
        <f>ROUND(+E208/$D$241,3)</f>
        <v>0.71399999999999997</v>
      </c>
      <c r="F263" s="472"/>
      <c r="G263" s="472"/>
      <c r="J263" s="473" t="s">
        <v>168</v>
      </c>
      <c r="K263" s="271">
        <f>ROUND((I261*U45+J261*V45)/(U45+V45),3)</f>
        <v>0.74099999999999999</v>
      </c>
      <c r="L263" s="471"/>
      <c r="M263" s="471"/>
    </row>
    <row r="264" spans="1:13" x14ac:dyDescent="0.35">
      <c r="A264" s="353"/>
      <c r="C264" s="471"/>
      <c r="D264" s="471"/>
      <c r="E264" s="471"/>
      <c r="F264" s="471"/>
      <c r="G264" s="471"/>
      <c r="K264" s="471"/>
      <c r="L264" s="471"/>
      <c r="M264" s="471"/>
    </row>
    <row r="265" spans="1:13" x14ac:dyDescent="0.35">
      <c r="A265" s="353"/>
      <c r="B265" t="s">
        <v>113</v>
      </c>
      <c r="C265" s="474">
        <f>ROUND(+C210/$D$241,3)</f>
        <v>1.1000000000000001</v>
      </c>
      <c r="D265" s="474">
        <f t="shared" ref="D265:J265" si="65">ROUND(+D210/$D$241,3)</f>
        <v>0.96099999999999997</v>
      </c>
      <c r="E265" s="474">
        <f t="shared" si="65"/>
        <v>1.1539999999999999</v>
      </c>
      <c r="F265" s="474">
        <f t="shared" si="65"/>
        <v>0.73599999999999999</v>
      </c>
      <c r="G265" s="474">
        <f t="shared" si="65"/>
        <v>0.74399999999999999</v>
      </c>
      <c r="H265" s="474">
        <f t="shared" si="65"/>
        <v>0.94299999999999995</v>
      </c>
      <c r="I265" s="474">
        <f t="shared" si="65"/>
        <v>0.70599999999999996</v>
      </c>
      <c r="J265" s="474">
        <f t="shared" si="65"/>
        <v>0.70399999999999996</v>
      </c>
      <c r="K265" s="471"/>
      <c r="L265" s="471"/>
      <c r="M265" s="471"/>
    </row>
    <row r="266" spans="1:13" x14ac:dyDescent="0.35">
      <c r="A266" s="353"/>
    </row>
    <row r="267" spans="1:13" x14ac:dyDescent="0.35">
      <c r="A267" s="353"/>
    </row>
    <row r="268" spans="1:13" ht="13.15" x14ac:dyDescent="0.4">
      <c r="A268" s="353"/>
      <c r="B268" s="1" t="s">
        <v>32</v>
      </c>
    </row>
    <row r="269" spans="1:13" x14ac:dyDescent="0.35">
      <c r="A269" s="353"/>
      <c r="B269" s="2" t="s">
        <v>89</v>
      </c>
    </row>
    <row r="270" spans="1:13" x14ac:dyDescent="0.35">
      <c r="A270" s="353"/>
      <c r="B270" s="348"/>
    </row>
    <row r="271" spans="1:13" ht="13.15" x14ac:dyDescent="0.4">
      <c r="A271" s="353"/>
      <c r="C271" s="234" t="str">
        <f>+K7</f>
        <v>GLP</v>
      </c>
      <c r="D271" s="234" t="str">
        <f>+C271</f>
        <v>GLP</v>
      </c>
      <c r="E271" s="234" t="str">
        <f>+L7</f>
        <v>LPL-S</v>
      </c>
      <c r="F271" s="234" t="str">
        <f>+E271</f>
        <v>LPL-S</v>
      </c>
      <c r="H271" s="1" t="s">
        <v>31</v>
      </c>
    </row>
    <row r="272" spans="1:13" ht="26.25" x14ac:dyDescent="0.4">
      <c r="A272" s="353"/>
      <c r="C272" s="234" t="s">
        <v>122</v>
      </c>
      <c r="D272" s="275" t="s">
        <v>172</v>
      </c>
      <c r="E272" s="234" t="s">
        <v>122</v>
      </c>
      <c r="F272" s="275" t="s">
        <v>172</v>
      </c>
    </row>
    <row r="273" spans="1:11" ht="13.15" x14ac:dyDescent="0.4">
      <c r="A273" s="353"/>
      <c r="B273" s="235" t="s">
        <v>23</v>
      </c>
      <c r="C273" s="5">
        <f>ROUND(+C228/$D$241,3)</f>
        <v>0.94899999999999995</v>
      </c>
      <c r="D273" s="271">
        <f>ROUND(+C217-C228,3)</f>
        <v>-25.687000000000001</v>
      </c>
      <c r="E273" s="270"/>
      <c r="F273" s="270"/>
      <c r="H273" s="253" t="s">
        <v>28</v>
      </c>
    </row>
    <row r="274" spans="1:11" ht="13.15" x14ac:dyDescent="0.4">
      <c r="A274" s="353"/>
      <c r="B274" s="259" t="s">
        <v>84</v>
      </c>
      <c r="C274" s="470"/>
      <c r="D274" s="271"/>
      <c r="E274" s="5">
        <f>ROUND(D229/$D$241,3)</f>
        <v>1.24</v>
      </c>
      <c r="F274" s="271">
        <f>ROUND(+D218-D229,3)</f>
        <v>-42.911000000000001</v>
      </c>
      <c r="H274" s="240" t="s">
        <v>47</v>
      </c>
      <c r="I274" s="475">
        <f t="shared" ref="I274:J276" si="66">ROUND(+I218,4)</f>
        <v>10.1775</v>
      </c>
      <c r="J274" s="475">
        <f t="shared" si="66"/>
        <v>10.1775</v>
      </c>
      <c r="K274" s="241" t="s">
        <v>51</v>
      </c>
    </row>
    <row r="275" spans="1:11" ht="13.15" x14ac:dyDescent="0.4">
      <c r="A275" s="353"/>
      <c r="B275" s="259" t="s">
        <v>85</v>
      </c>
      <c r="C275" s="470"/>
      <c r="D275" s="271"/>
      <c r="E275" s="5">
        <f>ROUND(D230/$D$241,3)</f>
        <v>0.56699999999999995</v>
      </c>
      <c r="F275" s="271">
        <f>ROUND(+D219-D230,3)</f>
        <v>0</v>
      </c>
      <c r="H275" s="240" t="s">
        <v>48</v>
      </c>
      <c r="I275" s="475">
        <f t="shared" si="66"/>
        <v>10.1775</v>
      </c>
      <c r="J275" s="475">
        <f t="shared" si="66"/>
        <v>10.1775</v>
      </c>
      <c r="K275" s="241" t="s">
        <v>51</v>
      </c>
    </row>
    <row r="276" spans="1:11" ht="13.15" x14ac:dyDescent="0.4">
      <c r="A276" s="353"/>
      <c r="C276" s="470"/>
      <c r="D276" s="271"/>
      <c r="E276" s="470"/>
      <c r="F276" s="271"/>
      <c r="H276" s="240" t="s">
        <v>287</v>
      </c>
      <c r="I276" s="475">
        <f t="shared" si="66"/>
        <v>10.1775</v>
      </c>
      <c r="J276" s="475">
        <f t="shared" si="66"/>
        <v>10.1775</v>
      </c>
      <c r="K276" s="241" t="s">
        <v>51</v>
      </c>
    </row>
    <row r="277" spans="1:11" ht="13.15" x14ac:dyDescent="0.4">
      <c r="A277" s="353"/>
      <c r="B277" s="235" t="s">
        <v>24</v>
      </c>
      <c r="C277" s="5">
        <f>ROUND(+C232/$D$241,3)</f>
        <v>1.044</v>
      </c>
      <c r="D277" s="271">
        <f>ROUND(+C221-C232,3)</f>
        <v>-29.206</v>
      </c>
      <c r="E277" s="5"/>
      <c r="F277" s="271"/>
    </row>
    <row r="278" spans="1:11" ht="13.15" x14ac:dyDescent="0.4">
      <c r="A278" s="353"/>
      <c r="B278" s="259" t="s">
        <v>84</v>
      </c>
      <c r="C278" s="470"/>
      <c r="D278" s="270"/>
      <c r="E278" s="5">
        <f>ROUND(D233/$D$241,3)</f>
        <v>1.2949999999999999</v>
      </c>
      <c r="F278" s="271">
        <f>ROUND(+D222-D233,3)</f>
        <v>-49.651000000000003</v>
      </c>
      <c r="H278" s="253" t="s">
        <v>29</v>
      </c>
      <c r="I278" s="264"/>
      <c r="J278" s="264"/>
    </row>
    <row r="279" spans="1:11" ht="13.15" x14ac:dyDescent="0.4">
      <c r="A279" s="353"/>
      <c r="B279" s="259" t="s">
        <v>85</v>
      </c>
      <c r="C279" s="470"/>
      <c r="D279" s="270"/>
      <c r="E279" s="5">
        <f>ROUND(D234/$D$241,3)</f>
        <v>0.70599999999999996</v>
      </c>
      <c r="F279" s="271">
        <f>ROUND(+D223-D234,3)</f>
        <v>0</v>
      </c>
      <c r="H279" s="240" t="s">
        <v>49</v>
      </c>
      <c r="I279" s="475">
        <f>ROUND(+I223,4)</f>
        <v>0</v>
      </c>
      <c r="J279" s="475">
        <f>ROUND(+J223,4)</f>
        <v>0</v>
      </c>
      <c r="K279" s="241" t="s">
        <v>52</v>
      </c>
    </row>
    <row r="280" spans="1:11" x14ac:dyDescent="0.35">
      <c r="A280" s="353"/>
      <c r="C280" s="474"/>
      <c r="D280" s="270"/>
      <c r="E280" s="474"/>
      <c r="F280" s="270"/>
    </row>
    <row r="281" spans="1:11" x14ac:dyDescent="0.35">
      <c r="A281" s="353"/>
      <c r="B281" s="10" t="s">
        <v>344</v>
      </c>
      <c r="C281" s="474">
        <f>ROUND(+C236/$D$241,3)</f>
        <v>1.01</v>
      </c>
      <c r="D281" s="270"/>
      <c r="E281" s="474">
        <f>ROUND(+D236/$D$241,3)</f>
        <v>0.95099999999999996</v>
      </c>
      <c r="F281" s="270"/>
    </row>
    <row r="282" spans="1:11" x14ac:dyDescent="0.35">
      <c r="A282" s="353"/>
      <c r="C282" s="471"/>
      <c r="E282" s="471"/>
    </row>
    <row r="283" spans="1:11" x14ac:dyDescent="0.35">
      <c r="A283" s="353"/>
      <c r="C283" s="471"/>
      <c r="E283" s="471"/>
    </row>
    <row r="285" spans="1:11" ht="13.15" x14ac:dyDescent="0.4">
      <c r="A285" s="1" t="s">
        <v>27</v>
      </c>
      <c r="E285" s="421"/>
      <c r="G285" s="257"/>
    </row>
    <row r="286" spans="1:11" x14ac:dyDescent="0.35">
      <c r="A286" s="353"/>
      <c r="B286" s="240" t="s">
        <v>34</v>
      </c>
      <c r="C286" s="244">
        <f>+F164</f>
        <v>333.69</v>
      </c>
      <c r="D286" s="241" t="s">
        <v>180</v>
      </c>
      <c r="E286" s="233" t="s">
        <v>47</v>
      </c>
      <c r="G286" s="257"/>
    </row>
    <row r="287" spans="1:11" x14ac:dyDescent="0.35">
      <c r="A287" s="353"/>
      <c r="B287" s="240"/>
      <c r="C287" s="244">
        <f>+F165</f>
        <v>333.69</v>
      </c>
      <c r="D287" s="241" t="s">
        <v>180</v>
      </c>
      <c r="E287" s="233" t="s">
        <v>48</v>
      </c>
    </row>
    <row r="288" spans="1:11" x14ac:dyDescent="0.35">
      <c r="A288" s="353"/>
      <c r="B288" s="240"/>
    </row>
    <row r="289" spans="1:5" x14ac:dyDescent="0.35">
      <c r="A289" s="353"/>
      <c r="B289" s="240" t="s">
        <v>35</v>
      </c>
      <c r="C289" s="244">
        <f>+D161</f>
        <v>0</v>
      </c>
      <c r="D289" s="241" t="s">
        <v>30</v>
      </c>
      <c r="E289" s="465"/>
    </row>
    <row r="290" spans="1:5" x14ac:dyDescent="0.35">
      <c r="A290" s="353"/>
      <c r="B290" s="240" t="s">
        <v>115</v>
      </c>
      <c r="C290" s="476">
        <f>+H158</f>
        <v>4</v>
      </c>
      <c r="D290" t="s">
        <v>116</v>
      </c>
      <c r="E290" s="465"/>
    </row>
    <row r="291" spans="1:5" x14ac:dyDescent="0.35">
      <c r="A291" s="353"/>
      <c r="B291" s="240"/>
      <c r="C291" s="476">
        <f>+H159</f>
        <v>8</v>
      </c>
      <c r="D291" t="s">
        <v>117</v>
      </c>
      <c r="E291" s="465"/>
    </row>
    <row r="292" spans="1:5" x14ac:dyDescent="0.35">
      <c r="A292" s="353"/>
      <c r="B292" s="9" t="s">
        <v>322</v>
      </c>
      <c r="C292" s="449">
        <f>+D177</f>
        <v>18.043333333333333</v>
      </c>
      <c r="D292" t="s">
        <v>141</v>
      </c>
    </row>
    <row r="293" spans="1:5" x14ac:dyDescent="0.35">
      <c r="A293" s="353"/>
      <c r="B293" s="240" t="s">
        <v>137</v>
      </c>
      <c r="C293" s="348" t="s">
        <v>174</v>
      </c>
    </row>
    <row r="294" spans="1:5" x14ac:dyDescent="0.35">
      <c r="A294" s="353"/>
      <c r="B294" s="240" t="s">
        <v>33</v>
      </c>
      <c r="C294" s="8" t="str">
        <f>" forecasted "&amp;(Inputs!D2-1)&amp;" energy use by class, PJM and PSE&amp;G on/off % from "&amp;(Inputs!D2-4)&amp;", "&amp;(Inputs!D2-3)&amp;" &amp; "&amp;(Inputs!D2-2)&amp;" class load profiles"</f>
        <v xml:space="preserve"> forecasted 2026 energy use by class, PJM and PSE&amp;G on/off % from 2023, 2024 &amp; 2025 class load profiles</v>
      </c>
    </row>
    <row r="295" spans="1:5" x14ac:dyDescent="0.35">
      <c r="A295" s="353"/>
      <c r="B295" s="240"/>
      <c r="C295" s="233"/>
    </row>
    <row r="296" spans="1:5" x14ac:dyDescent="0.35">
      <c r="A296" s="353"/>
      <c r="B296" s="240" t="s">
        <v>45</v>
      </c>
      <c r="C296" t="s">
        <v>229</v>
      </c>
    </row>
    <row r="297" spans="1:5" x14ac:dyDescent="0.35">
      <c r="A297" s="353"/>
      <c r="B297" s="240" t="s">
        <v>46</v>
      </c>
      <c r="C297" t="s">
        <v>228</v>
      </c>
    </row>
    <row r="298" spans="1:5" x14ac:dyDescent="0.35">
      <c r="A298" s="353"/>
      <c r="B298" s="240" t="s">
        <v>63</v>
      </c>
      <c r="C298" t="s">
        <v>94</v>
      </c>
    </row>
    <row r="299" spans="1:5" x14ac:dyDescent="0.35">
      <c r="C299" t="s">
        <v>97</v>
      </c>
    </row>
    <row r="300" spans="1:5" x14ac:dyDescent="0.35">
      <c r="B300" s="240" t="s">
        <v>90</v>
      </c>
      <c r="C300" t="s">
        <v>95</v>
      </c>
    </row>
    <row r="301" spans="1:5" x14ac:dyDescent="0.35">
      <c r="A301" s="353"/>
      <c r="B301" s="9" t="s">
        <v>323</v>
      </c>
      <c r="C301" s="84" t="s">
        <v>324</v>
      </c>
      <c r="E301" s="471"/>
    </row>
    <row r="302" spans="1:5" x14ac:dyDescent="0.35">
      <c r="A302" s="353"/>
      <c r="C302" s="471"/>
      <c r="E302" s="471"/>
    </row>
    <row r="303" spans="1:5" x14ac:dyDescent="0.35">
      <c r="A303" s="353"/>
      <c r="C303" s="471"/>
      <c r="E303" s="471"/>
    </row>
    <row r="304" spans="1:5" ht="13.15" x14ac:dyDescent="0.4">
      <c r="A304" s="350" t="s">
        <v>93</v>
      </c>
      <c r="B304" s="1" t="s">
        <v>135</v>
      </c>
    </row>
    <row r="305" spans="1:13" ht="13.15" x14ac:dyDescent="0.4">
      <c r="A305" s="353"/>
      <c r="B305" s="1"/>
    </row>
    <row r="306" spans="1:13" ht="13.15" x14ac:dyDescent="0.4">
      <c r="A306" s="353"/>
      <c r="C306" s="234" t="s">
        <v>0</v>
      </c>
      <c r="D306" s="234" t="s">
        <v>1</v>
      </c>
      <c r="E306" s="234" t="s">
        <v>2</v>
      </c>
      <c r="F306" s="234" t="s">
        <v>3</v>
      </c>
      <c r="G306" s="234" t="s">
        <v>4</v>
      </c>
      <c r="H306" s="234" t="s">
        <v>6</v>
      </c>
      <c r="I306" s="234" t="s">
        <v>37</v>
      </c>
      <c r="J306" s="234" t="s">
        <v>38</v>
      </c>
      <c r="K306" s="234" t="s">
        <v>5</v>
      </c>
      <c r="L306" s="234" t="s">
        <v>36</v>
      </c>
      <c r="M306" s="234"/>
    </row>
    <row r="307" spans="1:13" x14ac:dyDescent="0.35">
      <c r="A307" s="353"/>
      <c r="B307" t="s">
        <v>58</v>
      </c>
    </row>
    <row r="308" spans="1:13" x14ac:dyDescent="0.35">
      <c r="A308" s="353"/>
      <c r="B308" s="236" t="s">
        <v>53</v>
      </c>
      <c r="C308" s="424">
        <f>(+C203*SUM(C50:C53)*C169+C204*SUM(C50:C53)*C170)/1000</f>
        <v>614679.03329350404</v>
      </c>
      <c r="D308" s="424">
        <f>(+D203*SUM(D50:D53)*D169+D204*SUM(D50:D53)*D170)/1000</f>
        <v>1363.0046397220171</v>
      </c>
      <c r="E308" s="427">
        <f>(E201*SUMPRODUCT(E32:E35,E50:E53)+E202*SUMPRODUCT(Q32:Q35,E50:E53))/1000</f>
        <v>8447.4902543501539</v>
      </c>
      <c r="F308" s="427">
        <f>+F200*SUM(F50:F53)/1000</f>
        <v>4.1546050245701194</v>
      </c>
      <c r="G308" s="427">
        <f>+G200*SUM(G50:G53)/1000</f>
        <v>6.3687487594960651E-2</v>
      </c>
      <c r="H308" s="427">
        <f>+H200*SUM(H50:H53)/1000</f>
        <v>157.05405729245828</v>
      </c>
      <c r="I308" s="427">
        <f>+I200*SUM(I50:I53)/1000</f>
        <v>2339.5868463644961</v>
      </c>
      <c r="J308" s="427">
        <f>+J200*SUM(J50:J53)/1000</f>
        <v>5025.7677938652796</v>
      </c>
      <c r="K308" s="427">
        <f>(C217*SUM(K50:K53)/1000)+(I218*$H158*K153)+(I223*$H158*K155)</f>
        <v>176563.90696313011</v>
      </c>
      <c r="L308" s="427">
        <f>(D217*SUM(L50:L53)/1000)+(J218*$H158*L153)+(J223*$H158*L155)</f>
        <v>100075.15389047944</v>
      </c>
      <c r="M308" s="427"/>
    </row>
    <row r="309" spans="1:13" x14ac:dyDescent="0.35">
      <c r="A309" s="353"/>
      <c r="B309" s="236" t="s">
        <v>54</v>
      </c>
      <c r="C309" s="427">
        <f>+C206*SUM(C45:C49,C54:C56)/1000</f>
        <v>923571.40903258463</v>
      </c>
      <c r="D309" s="427">
        <f>+D206*SUM(D45:D49,D54:D56)/1000</f>
        <v>5347.2586128322309</v>
      </c>
      <c r="E309" s="427">
        <f>(E207*(SUMPRODUCT(E27:E31,E45:E49)+SUMPRODUCT(E36:E38,E54:E56))+E208*(SUMPRODUCT(Q27:Q31,E45:E49)+SUMPRODUCT(Q36:Q38,E54:E56)))/1000</f>
        <v>10751.273802682217</v>
      </c>
      <c r="F309" s="427">
        <f>+F206*SUM(F45:F49,F54:F56)/1000</f>
        <v>11.979324010141088</v>
      </c>
      <c r="G309" s="427">
        <f>+G206*SUM(G45:G49,G54:G56)/1000</f>
        <v>0.55444688018547672</v>
      </c>
      <c r="H309" s="427">
        <f>+H206*SUM(H45:H49,H54:H56)/1000</f>
        <v>579.20632718936656</v>
      </c>
      <c r="I309" s="427">
        <f>+I206*SUM(I45:I49,I54:I56)/1000</f>
        <v>7533.9898849499568</v>
      </c>
      <c r="J309" s="427">
        <f>+J206*SUM(J45:J49,J54:J56)/1000</f>
        <v>16972.606936480559</v>
      </c>
      <c r="K309" s="427">
        <f>(C221*SUM(K45:K49,K54:K56)/1000)+(I219*$H159*K153)+(I223*$H159*K155)</f>
        <v>341886.40619325329</v>
      </c>
      <c r="L309" s="427">
        <f>(D221*SUM(L45:L49,L54:L56)/1000)+(J219*$H159*L153)+(J223*$H159*L155)</f>
        <v>196132.21842826024</v>
      </c>
      <c r="M309" s="427"/>
    </row>
    <row r="310" spans="1:13" x14ac:dyDescent="0.35">
      <c r="A310" s="353"/>
      <c r="B310" s="236" t="s">
        <v>19</v>
      </c>
      <c r="C310" s="268">
        <f>+C309+C308</f>
        <v>1538250.4423260887</v>
      </c>
      <c r="D310" s="268">
        <f t="shared" ref="D310:J310" si="67">+D309+D308</f>
        <v>6710.2632525542485</v>
      </c>
      <c r="E310" s="268">
        <f t="shared" si="67"/>
        <v>19198.764057032371</v>
      </c>
      <c r="F310" s="268">
        <f t="shared" si="67"/>
        <v>16.133929034711208</v>
      </c>
      <c r="G310" s="268">
        <f t="shared" si="67"/>
        <v>0.6181343677804374</v>
      </c>
      <c r="H310" s="268">
        <f t="shared" si="67"/>
        <v>736.26038448182487</v>
      </c>
      <c r="I310" s="268">
        <f t="shared" si="67"/>
        <v>9873.5767313144534</v>
      </c>
      <c r="J310" s="427">
        <f t="shared" si="67"/>
        <v>21998.374730345837</v>
      </c>
      <c r="K310" s="427">
        <f>+K309+K308</f>
        <v>518450.3131563834</v>
      </c>
      <c r="L310" s="427">
        <f>+L309+L308</f>
        <v>296207.37231873965</v>
      </c>
      <c r="M310" s="427"/>
    </row>
    <row r="311" spans="1:13" x14ac:dyDescent="0.35">
      <c r="A311" s="353"/>
      <c r="B311" s="236"/>
    </row>
    <row r="312" spans="1:13" x14ac:dyDescent="0.35">
      <c r="A312" s="353"/>
      <c r="B312" t="s">
        <v>57</v>
      </c>
    </row>
    <row r="313" spans="1:13" x14ac:dyDescent="0.35">
      <c r="A313" s="353"/>
      <c r="B313" s="236" t="s">
        <v>53</v>
      </c>
      <c r="C313" s="4">
        <f>+C308/C310</f>
        <v>0.39959620122976064</v>
      </c>
      <c r="D313" s="4">
        <f t="shared" ref="D313:I313" si="68">+D308/D310</f>
        <v>0.20312237961799667</v>
      </c>
      <c r="E313" s="4">
        <f t="shared" si="68"/>
        <v>0.44000177455464368</v>
      </c>
      <c r="F313" s="4">
        <f t="shared" si="68"/>
        <v>0.25750733225810829</v>
      </c>
      <c r="G313" s="4">
        <f t="shared" si="68"/>
        <v>0.10303178550587011</v>
      </c>
      <c r="H313" s="4">
        <f t="shared" si="68"/>
        <v>0.21331319816017519</v>
      </c>
      <c r="I313" s="4">
        <f t="shared" si="68"/>
        <v>0.23695433884099978</v>
      </c>
      <c r="J313" s="4">
        <f>+J308/J310</f>
        <v>0.22846086838099194</v>
      </c>
      <c r="K313" s="4">
        <f>+K308/K310</f>
        <v>0.34056090329696076</v>
      </c>
      <c r="L313" s="4">
        <f>+L308/L310</f>
        <v>0.33785504090287005</v>
      </c>
      <c r="M313" s="4"/>
    </row>
    <row r="314" spans="1:13" x14ac:dyDescent="0.35">
      <c r="A314" s="353"/>
      <c r="B314" s="236" t="s">
        <v>54</v>
      </c>
      <c r="C314" s="4">
        <f>+C309/C310</f>
        <v>0.60040379877023942</v>
      </c>
      <c r="D314" s="4">
        <f t="shared" ref="D314:I314" si="69">+D309/D310</f>
        <v>0.79687762038200327</v>
      </c>
      <c r="E314" s="4">
        <f t="shared" si="69"/>
        <v>0.55999822544535627</v>
      </c>
      <c r="F314" s="4">
        <f t="shared" si="69"/>
        <v>0.74249266774189171</v>
      </c>
      <c r="G314" s="4">
        <f t="shared" si="69"/>
        <v>0.89696821449412989</v>
      </c>
      <c r="H314" s="4">
        <f t="shared" si="69"/>
        <v>0.78668680183982476</v>
      </c>
      <c r="I314" s="4">
        <f t="shared" si="69"/>
        <v>0.76304566115900019</v>
      </c>
      <c r="J314" s="4">
        <f>+J309/J310</f>
        <v>0.77153913161900811</v>
      </c>
      <c r="K314" s="4">
        <f>+K309/K310</f>
        <v>0.65943909670303924</v>
      </c>
      <c r="L314" s="4">
        <f>+L309/L310</f>
        <v>0.66214495909713</v>
      </c>
      <c r="M314" s="4"/>
    </row>
    <row r="315" spans="1:13" x14ac:dyDescent="0.35">
      <c r="A315" s="353"/>
    </row>
    <row r="316" spans="1:13" x14ac:dyDescent="0.35">
      <c r="A316" s="353"/>
      <c r="B316" t="s">
        <v>55</v>
      </c>
    </row>
    <row r="317" spans="1:13" x14ac:dyDescent="0.35">
      <c r="A317" s="353"/>
      <c r="B317" s="236" t="s">
        <v>53</v>
      </c>
      <c r="C317" s="477">
        <f>+SUM(C308:L308)</f>
        <v>908655.21603122028</v>
      </c>
    </row>
    <row r="318" spans="1:13" x14ac:dyDescent="0.35">
      <c r="A318" s="353"/>
      <c r="B318" s="236" t="s">
        <v>54</v>
      </c>
      <c r="C318" s="477">
        <f>+SUM(C309:L309)</f>
        <v>1502786.9029891228</v>
      </c>
    </row>
    <row r="319" spans="1:13" x14ac:dyDescent="0.35">
      <c r="A319" s="353"/>
      <c r="B319" s="236" t="s">
        <v>19</v>
      </c>
      <c r="C319" s="268">
        <f>+C318+C317</f>
        <v>2411442.1190203428</v>
      </c>
      <c r="D319" s="257"/>
    </row>
    <row r="320" spans="1:13" x14ac:dyDescent="0.35">
      <c r="A320" s="353"/>
      <c r="L320" s="279" t="s">
        <v>182</v>
      </c>
    </row>
    <row r="321" spans="1:13" x14ac:dyDescent="0.35">
      <c r="A321" s="353"/>
      <c r="B321" t="s">
        <v>56</v>
      </c>
      <c r="D321" t="s">
        <v>273</v>
      </c>
      <c r="K321" s="236" t="s">
        <v>279</v>
      </c>
    </row>
    <row r="322" spans="1:13" ht="13.15" x14ac:dyDescent="0.4">
      <c r="A322" s="353"/>
      <c r="B322" s="236" t="s">
        <v>53</v>
      </c>
      <c r="C322" s="4">
        <f>+C317/C319</f>
        <v>0.3768098802223645</v>
      </c>
      <c r="E322" s="421">
        <f>+C317/SUMPRODUCT(O49:X49,C85:L85)*1000</f>
        <v>99.863670794945349</v>
      </c>
      <c r="F322" t="s">
        <v>274</v>
      </c>
      <c r="I322" t="s">
        <v>136</v>
      </c>
      <c r="K322" s="236" t="s">
        <v>53</v>
      </c>
      <c r="L322" s="239">
        <f>IF(ROUND(E322/$D$241,4)&lt;ROUND(E323/$D$241,4),1,ROUND(E322/$D$241,4))</f>
        <v>1</v>
      </c>
      <c r="M322" s="478"/>
    </row>
    <row r="323" spans="1:13" ht="13.15" x14ac:dyDescent="0.4">
      <c r="A323" s="353"/>
      <c r="B323" s="236" t="s">
        <v>54</v>
      </c>
      <c r="C323" s="4">
        <f>+C318/C319</f>
        <v>0.62319011977763561</v>
      </c>
      <c r="E323" s="421">
        <f>+C318/SUMPRODUCT(O45:X45,C85:L85)*1000</f>
        <v>106.49159488874372</v>
      </c>
      <c r="F323" t="s">
        <v>274</v>
      </c>
      <c r="K323" s="236" t="s">
        <v>54</v>
      </c>
      <c r="L323" s="239">
        <f>IF(ROUND(E322/$D$241,4)&lt;ROUND(E323/$D$241,4),1,ROUND(E323/$D$241,4))</f>
        <v>1</v>
      </c>
      <c r="M323" s="478"/>
    </row>
    <row r="324" spans="1:13" x14ac:dyDescent="0.35">
      <c r="A324" s="353"/>
    </row>
    <row r="325" spans="1:13" x14ac:dyDescent="0.35">
      <c r="A325" s="353"/>
      <c r="C325" s="471"/>
      <c r="E325" s="471"/>
    </row>
    <row r="326" spans="1:13" ht="13.15" x14ac:dyDescent="0.4">
      <c r="A326" s="350" t="s">
        <v>128</v>
      </c>
      <c r="B326" s="1" t="s">
        <v>220</v>
      </c>
      <c r="C326" s="471"/>
      <c r="E326" s="471"/>
    </row>
    <row r="327" spans="1:13" x14ac:dyDescent="0.35">
      <c r="A327" s="353"/>
      <c r="C327" s="471"/>
      <c r="E327" s="471"/>
    </row>
    <row r="328" spans="1:13" x14ac:dyDescent="0.35">
      <c r="A328" s="353"/>
      <c r="B328" s="240" t="s">
        <v>125</v>
      </c>
      <c r="C328" s="420">
        <f>D241</f>
        <v>103.89335028891473</v>
      </c>
      <c r="E328" s="479" t="s">
        <v>275</v>
      </c>
    </row>
    <row r="329" spans="1:13" x14ac:dyDescent="0.35">
      <c r="A329" s="353"/>
      <c r="B329" s="240" t="s">
        <v>127</v>
      </c>
      <c r="C329" s="480">
        <f>+L322</f>
        <v>1</v>
      </c>
      <c r="E329" s="471"/>
    </row>
    <row r="330" spans="1:13" x14ac:dyDescent="0.35">
      <c r="A330" s="353"/>
      <c r="B330" s="240" t="s">
        <v>126</v>
      </c>
      <c r="C330" s="480">
        <f>+L323</f>
        <v>1</v>
      </c>
      <c r="E330" s="471"/>
    </row>
    <row r="331" spans="1:13" x14ac:dyDescent="0.35">
      <c r="A331" s="353"/>
      <c r="C331" s="471"/>
      <c r="E331" s="471"/>
    </row>
    <row r="332" spans="1:13" ht="13.15" x14ac:dyDescent="0.4">
      <c r="A332" s="353"/>
      <c r="C332" s="234" t="s">
        <v>0</v>
      </c>
      <c r="D332" s="234" t="s">
        <v>1</v>
      </c>
      <c r="E332" s="234" t="s">
        <v>2</v>
      </c>
      <c r="F332" s="234" t="s">
        <v>3</v>
      </c>
      <c r="G332" s="234" t="s">
        <v>4</v>
      </c>
      <c r="H332" s="234" t="s">
        <v>6</v>
      </c>
      <c r="I332" s="234" t="s">
        <v>37</v>
      </c>
      <c r="J332" s="234" t="s">
        <v>38</v>
      </c>
      <c r="K332" s="234" t="s">
        <v>5</v>
      </c>
      <c r="L332" s="234" t="s">
        <v>36</v>
      </c>
    </row>
    <row r="333" spans="1:13" x14ac:dyDescent="0.35">
      <c r="A333" s="353"/>
      <c r="B333" t="s">
        <v>123</v>
      </c>
    </row>
    <row r="334" spans="1:13" x14ac:dyDescent="0.35">
      <c r="A334" s="353"/>
      <c r="B334" s="236" t="s">
        <v>53</v>
      </c>
      <c r="C334" s="427">
        <f>+($C$328*C255*O49+C256*O53+C257*O54)/1000</f>
        <v>614684.09758061252</v>
      </c>
      <c r="D334" s="427">
        <f>+($C$328*D255*P49+D256*P53+D257*P54)/1000</f>
        <v>1363.7305963317986</v>
      </c>
      <c r="E334" s="481">
        <f>(($C$328*E252*Q50)+(C328*E253*Q51))/1000</f>
        <v>8446.7450401591104</v>
      </c>
      <c r="F334" s="427">
        <f>+$C$328*F251*R49/1000</f>
        <v>4.1559417982571674</v>
      </c>
      <c r="G334" s="427">
        <f>+$C$328*G251*S49/1000</f>
        <v>6.3686623727104735E-2</v>
      </c>
      <c r="H334" s="427">
        <f>+$C$328*H251*T49/1000</f>
        <v>157.04625425051972</v>
      </c>
      <c r="I334" s="427">
        <f>+$C$328*K253*U49/1000</f>
        <v>2333.919647886546</v>
      </c>
      <c r="J334" s="427">
        <f>+$C$328*K253*V49/1000</f>
        <v>5021.6954755497218</v>
      </c>
      <c r="K334" s="481">
        <f>+($C$328*C273+D273)*W49/1000+(I274*H158*K153)+(I279*H158*K155)</f>
        <v>176616.24229234466</v>
      </c>
      <c r="L334" s="481">
        <f>(($C$328*E274+F274)*X50+(C328*E275*X51))/1000+(J274*$H$158*L153)+(J279*$H$158*L155)</f>
        <v>100097.49142885662</v>
      </c>
    </row>
    <row r="335" spans="1:13" x14ac:dyDescent="0.35">
      <c r="A335" s="353"/>
      <c r="B335" s="236" t="s">
        <v>54</v>
      </c>
      <c r="C335" s="427">
        <f>+$C$328*C261*O45/1000</f>
        <v>923496.05697957904</v>
      </c>
      <c r="D335" s="427">
        <f>+$C$328*D261*P45/1000</f>
        <v>5344.618100656875</v>
      </c>
      <c r="E335" s="481">
        <f>(($C$328*E262*Q46)+(C328*E263*Q47))/1000</f>
        <v>10748.890730463931</v>
      </c>
      <c r="F335" s="427">
        <f>+$C$328*F261*R45/1000</f>
        <v>11.985968036131515</v>
      </c>
      <c r="G335" s="427">
        <f>+$C$328*G261*S45/1000</f>
        <v>0.55416713044107124</v>
      </c>
      <c r="H335" s="427">
        <f>+$C$328*H261*T45/1000</f>
        <v>579.14730902829785</v>
      </c>
      <c r="I335" s="427">
        <f>+$C$328*K263*U45/1000</f>
        <v>7506.9586446691374</v>
      </c>
      <c r="J335" s="427">
        <f>+$C$328*K263*V45/1000</f>
        <v>16989.736610195538</v>
      </c>
      <c r="K335" s="481">
        <f>+($C$328*C277+D277)*W45/1000+(I275*H159*K153)+(I279*H159*K155)</f>
        <v>341773.72444893909</v>
      </c>
      <c r="L335" s="481">
        <f>(($C$328*E278+F278)*X46+C328*E279*X47)/1000+(J275*$H$159*L153)+(J279*$H$159*L155)</f>
        <v>196107.87152530719</v>
      </c>
    </row>
    <row r="336" spans="1:13" x14ac:dyDescent="0.35">
      <c r="A336" s="353"/>
      <c r="B336" s="236" t="s">
        <v>19</v>
      </c>
      <c r="C336" s="268">
        <f>+C335+C334</f>
        <v>1538180.1545601916</v>
      </c>
      <c r="D336" s="268">
        <f t="shared" ref="D336:L336" si="70">+D335+D334</f>
        <v>6708.3486969886735</v>
      </c>
      <c r="E336" s="268">
        <f t="shared" si="70"/>
        <v>19195.635770623041</v>
      </c>
      <c r="F336" s="268">
        <f t="shared" si="70"/>
        <v>16.141909834388684</v>
      </c>
      <c r="G336" s="268">
        <f t="shared" si="70"/>
        <v>0.61785375416817601</v>
      </c>
      <c r="H336" s="268">
        <f t="shared" si="70"/>
        <v>736.19356327881758</v>
      </c>
      <c r="I336" s="268">
        <f t="shared" si="70"/>
        <v>9840.8782925556843</v>
      </c>
      <c r="J336" s="268">
        <f t="shared" si="70"/>
        <v>22011.432085745259</v>
      </c>
      <c r="K336" s="268">
        <f t="shared" si="70"/>
        <v>518389.96674128377</v>
      </c>
      <c r="L336" s="268">
        <f t="shared" si="70"/>
        <v>296205.36295416381</v>
      </c>
    </row>
    <row r="337" spans="1:12" x14ac:dyDescent="0.35">
      <c r="A337" s="353"/>
      <c r="B337" s="236"/>
      <c r="C337" s="268"/>
      <c r="D337" s="268"/>
      <c r="E337" s="268"/>
      <c r="F337" s="268"/>
      <c r="G337" s="268"/>
      <c r="H337" s="268"/>
      <c r="I337" s="268"/>
      <c r="J337" s="268"/>
      <c r="K337" s="268"/>
      <c r="L337" s="268"/>
    </row>
    <row r="338" spans="1:12" x14ac:dyDescent="0.35">
      <c r="A338" s="353"/>
      <c r="B338" s="236" t="s">
        <v>169</v>
      </c>
      <c r="C338" s="268">
        <f>SUM(C334:L334)</f>
        <v>908725.1879444134</v>
      </c>
      <c r="D338" s="268"/>
      <c r="E338" s="268"/>
      <c r="F338" s="268"/>
      <c r="G338" s="268"/>
      <c r="H338" s="268"/>
      <c r="I338" s="268"/>
      <c r="J338" s="268"/>
      <c r="K338" s="268"/>
      <c r="L338" s="268"/>
    </row>
    <row r="339" spans="1:12" x14ac:dyDescent="0.35">
      <c r="A339" s="353"/>
      <c r="B339" s="236" t="s">
        <v>170</v>
      </c>
      <c r="C339" s="268">
        <f>SUM(C335:L335)</f>
        <v>1502559.5444840058</v>
      </c>
      <c r="E339" s="471"/>
    </row>
    <row r="340" spans="1:12" x14ac:dyDescent="0.35">
      <c r="A340" s="353"/>
      <c r="B340" s="236" t="s">
        <v>171</v>
      </c>
      <c r="C340" s="268">
        <f>+C339+C338</f>
        <v>2411284.7324284194</v>
      </c>
      <c r="E340" s="471"/>
    </row>
    <row r="341" spans="1:12" x14ac:dyDescent="0.35">
      <c r="A341" s="353"/>
      <c r="B341" s="236"/>
      <c r="C341" s="471"/>
      <c r="E341" s="471"/>
    </row>
    <row r="342" spans="1:12" ht="13.15" x14ac:dyDescent="0.4">
      <c r="A342" s="353"/>
      <c r="C342" s="234" t="s">
        <v>0</v>
      </c>
      <c r="D342" s="234" t="s">
        <v>1</v>
      </c>
      <c r="E342" s="234" t="s">
        <v>2</v>
      </c>
      <c r="F342" s="234" t="s">
        <v>3</v>
      </c>
      <c r="G342" s="234" t="s">
        <v>4</v>
      </c>
      <c r="H342" s="234" t="s">
        <v>6</v>
      </c>
      <c r="I342" s="234" t="s">
        <v>37</v>
      </c>
      <c r="J342" s="234" t="s">
        <v>38</v>
      </c>
      <c r="K342" s="234" t="s">
        <v>5</v>
      </c>
      <c r="L342" s="234" t="s">
        <v>36</v>
      </c>
    </row>
    <row r="343" spans="1:12" x14ac:dyDescent="0.35">
      <c r="A343" s="353"/>
      <c r="B343" t="s">
        <v>124</v>
      </c>
    </row>
    <row r="344" spans="1:12" x14ac:dyDescent="0.35">
      <c r="A344" s="353"/>
      <c r="B344" s="236" t="s">
        <v>53</v>
      </c>
      <c r="C344" s="427">
        <f t="shared" ref="C344:L344" si="71">+$C$328*$C$329*O49*C85/1000</f>
        <v>609402.36337544699</v>
      </c>
      <c r="D344" s="427">
        <f t="shared" si="71"/>
        <v>1611.7740689949592</v>
      </c>
      <c r="E344" s="427">
        <f t="shared" si="71"/>
        <v>7744.7853437420099</v>
      </c>
      <c r="F344" s="427">
        <f t="shared" si="71"/>
        <v>6.447723030519982</v>
      </c>
      <c r="G344" s="427">
        <f t="shared" si="71"/>
        <v>0.10928344119525393</v>
      </c>
      <c r="H344" s="427">
        <f t="shared" si="71"/>
        <v>190.31563475494349</v>
      </c>
      <c r="I344" s="427">
        <f t="shared" si="71"/>
        <v>4064.5790283750794</v>
      </c>
      <c r="J344" s="427">
        <f t="shared" si="71"/>
        <v>8745.4073816501968</v>
      </c>
      <c r="K344" s="427">
        <f t="shared" si="71"/>
        <v>195762.43520537834</v>
      </c>
      <c r="L344" s="427">
        <f t="shared" si="71"/>
        <v>117792.87819935667</v>
      </c>
    </row>
    <row r="345" spans="1:12" x14ac:dyDescent="0.35">
      <c r="A345" s="353"/>
      <c r="B345" s="236" t="s">
        <v>54</v>
      </c>
      <c r="C345" s="427">
        <f t="shared" ref="C345:L345" si="72">+$C$328*$C$330*O45*C85/1000</f>
        <v>861177.26587919926</v>
      </c>
      <c r="D345" s="427">
        <f t="shared" si="72"/>
        <v>5730.7871889266626</v>
      </c>
      <c r="E345" s="427">
        <f t="shared" si="72"/>
        <v>9752.8551005589561</v>
      </c>
      <c r="F345" s="427">
        <f t="shared" si="72"/>
        <v>16.611083061678595</v>
      </c>
      <c r="G345" s="427">
        <f t="shared" si="72"/>
        <v>0.76498408836677756</v>
      </c>
      <c r="H345" s="427">
        <f t="shared" si="72"/>
        <v>630.6356631138666</v>
      </c>
      <c r="I345" s="427">
        <f t="shared" si="72"/>
        <v>10656.446917831601</v>
      </c>
      <c r="J345" s="427">
        <f t="shared" si="72"/>
        <v>24117.653353939397</v>
      </c>
      <c r="K345" s="427">
        <f t="shared" si="72"/>
        <v>344353.04430106195</v>
      </c>
      <c r="L345" s="427">
        <f t="shared" si="72"/>
        <v>209684.95930438989</v>
      </c>
    </row>
    <row r="346" spans="1:12" x14ac:dyDescent="0.35">
      <c r="A346" s="353"/>
      <c r="B346" s="236" t="s">
        <v>19</v>
      </c>
      <c r="C346" s="268">
        <f t="shared" ref="C346:L346" si="73">+C345+C344</f>
        <v>1470579.6292546461</v>
      </c>
      <c r="D346" s="268">
        <f t="shared" si="73"/>
        <v>7342.5612579216213</v>
      </c>
      <c r="E346" s="268">
        <f t="shared" si="73"/>
        <v>17497.640444300967</v>
      </c>
      <c r="F346" s="268">
        <f t="shared" si="73"/>
        <v>23.058806092198576</v>
      </c>
      <c r="G346" s="268">
        <f t="shared" si="73"/>
        <v>0.87426752956203146</v>
      </c>
      <c r="H346" s="268">
        <f t="shared" si="73"/>
        <v>820.95129786881012</v>
      </c>
      <c r="I346" s="268">
        <f t="shared" si="73"/>
        <v>14721.025946206681</v>
      </c>
      <c r="J346" s="427">
        <f t="shared" si="73"/>
        <v>32863.060735589592</v>
      </c>
      <c r="K346" s="427">
        <f t="shared" si="73"/>
        <v>540115.47950644023</v>
      </c>
      <c r="L346" s="427">
        <f t="shared" si="73"/>
        <v>327477.83750374656</v>
      </c>
    </row>
    <row r="347" spans="1:12" x14ac:dyDescent="0.35">
      <c r="A347" s="353"/>
      <c r="C347" s="471"/>
      <c r="D347" s="471"/>
      <c r="E347" s="471"/>
      <c r="F347" s="471"/>
      <c r="G347" s="471"/>
      <c r="H347" s="471"/>
      <c r="I347" s="471"/>
      <c r="J347" s="471"/>
      <c r="K347" s="471"/>
      <c r="L347" s="471"/>
    </row>
    <row r="348" spans="1:12" x14ac:dyDescent="0.35">
      <c r="A348" s="353"/>
      <c r="B348" s="236" t="s">
        <v>169</v>
      </c>
      <c r="C348" s="268">
        <f>SUM(C344:L344)</f>
        <v>945321.09524417087</v>
      </c>
    </row>
    <row r="349" spans="1:12" x14ac:dyDescent="0.35">
      <c r="A349" s="353"/>
      <c r="B349" s="236" t="s">
        <v>170</v>
      </c>
      <c r="C349" s="268">
        <f>SUM(C345:L345)</f>
        <v>1466121.0237761717</v>
      </c>
    </row>
    <row r="350" spans="1:12" x14ac:dyDescent="0.35">
      <c r="A350" s="353"/>
      <c r="B350" s="236" t="s">
        <v>171</v>
      </c>
      <c r="C350" s="268">
        <f>+C349+C348</f>
        <v>2411442.1190203428</v>
      </c>
    </row>
    <row r="351" spans="1:12" x14ac:dyDescent="0.35">
      <c r="A351" s="353"/>
      <c r="C351" s="471"/>
      <c r="E351" s="471"/>
    </row>
    <row r="352" spans="1:12" x14ac:dyDescent="0.35">
      <c r="B352" s="240" t="s">
        <v>181</v>
      </c>
      <c r="C352" s="268">
        <f>+C340-C350</f>
        <v>-157.38659192342311</v>
      </c>
    </row>
    <row r="353" spans="1:3" x14ac:dyDescent="0.35">
      <c r="C353" t="s">
        <v>183</v>
      </c>
    </row>
    <row r="356" spans="1:3" ht="13.15" x14ac:dyDescent="0.4">
      <c r="A356" s="350" t="s">
        <v>227</v>
      </c>
      <c r="B356" s="1" t="s">
        <v>226</v>
      </c>
      <c r="C356" s="356" t="s">
        <v>266</v>
      </c>
    </row>
    <row r="357" spans="1:3" x14ac:dyDescent="0.35">
      <c r="B357" s="2" t="s">
        <v>78</v>
      </c>
    </row>
    <row r="358" spans="1:3" x14ac:dyDescent="0.35">
      <c r="B358" s="236" t="s">
        <v>53</v>
      </c>
      <c r="C358" s="372">
        <f>SUMPRODUCT(O49:X49,C85:L85)</f>
        <v>9098956.6956436411</v>
      </c>
    </row>
    <row r="359" spans="1:3" x14ac:dyDescent="0.35">
      <c r="B359" s="236" t="s">
        <v>54</v>
      </c>
      <c r="C359" s="482">
        <f>SUMPRODUCT(O45:X45,C85:L85)</f>
        <v>14111788.865207138</v>
      </c>
    </row>
    <row r="360" spans="1:3" x14ac:dyDescent="0.35">
      <c r="B360" s="236" t="s">
        <v>19</v>
      </c>
      <c r="C360" s="372">
        <f>+C359+C358</f>
        <v>23210745.560850777</v>
      </c>
    </row>
  </sheetData>
  <mergeCells count="1">
    <mergeCell ref="R151:V151"/>
  </mergeCells>
  <phoneticPr fontId="0" type="noConversion"/>
  <pageMargins left="0.75" right="0.75" top="1" bottom="1" header="0.5" footer="0.5"/>
  <pageSetup scale="59" fitToHeight="9" orientation="landscape" r:id="rId1"/>
  <headerFooter alignWithMargins="0">
    <oddHeader>&amp;C&amp;"Arial,Bold"Public Service Electric and Gas Company Specific Addendum
Attachment 2</oddHeader>
    <oddFooter>&amp;CPage &amp;P of &amp;N</oddFooter>
  </headerFooter>
  <rowBreaks count="6" manualBreakCount="6">
    <brk id="39" max="16383" man="1"/>
    <brk id="93" max="11" man="1"/>
    <brk id="146" max="11" man="1"/>
    <brk id="191" max="11" man="1"/>
    <brk id="243" max="11" man="1"/>
    <brk id="301" max="11" man="1"/>
  </rowBreaks>
  <ignoredErrors>
    <ignoredError sqref="C100:C102 D100:E102 F100:O102 C118:C120 D118:E120 F118:I120 J118:L1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pageSetUpPr fitToPage="1"/>
  </sheetPr>
  <dimension ref="A1:T241"/>
  <sheetViews>
    <sheetView view="pageBreakPreview" topLeftCell="B1" zoomScaleNormal="100" zoomScaleSheetLayoutView="100" workbookViewId="0">
      <selection activeCell="B1" sqref="B1"/>
    </sheetView>
  </sheetViews>
  <sheetFormatPr defaultColWidth="9.3984375" defaultRowHeight="12.75" x14ac:dyDescent="0.35"/>
  <cols>
    <col min="1" max="1" width="8.3984375" style="11" bestFit="1" customWidth="1"/>
    <col min="2" max="2" width="36.3984375" style="11" customWidth="1"/>
    <col min="3" max="3" width="13.59765625" style="11" customWidth="1"/>
    <col min="4" max="5" width="13.3984375" style="11" customWidth="1"/>
    <col min="6" max="7" width="12.3984375" style="11" customWidth="1"/>
    <col min="8" max="8" width="11.59765625" style="11" customWidth="1"/>
    <col min="9" max="9" width="19.3984375" style="11" customWidth="1"/>
    <col min="10" max="10" width="13.3984375" style="11" customWidth="1"/>
    <col min="11" max="11" width="16" style="11" customWidth="1"/>
    <col min="12" max="12" width="13.73046875" style="11" bestFit="1" customWidth="1"/>
    <col min="13" max="13" width="14.3984375" style="11" bestFit="1" customWidth="1"/>
    <col min="14" max="14" width="24.3984375" style="11" bestFit="1" customWidth="1"/>
    <col min="15" max="16" width="10.59765625" style="11" bestFit="1" customWidth="1"/>
    <col min="17" max="17" width="28.3984375" style="11" customWidth="1"/>
    <col min="18" max="16384" width="9.3984375" style="11"/>
  </cols>
  <sheetData>
    <row r="1" spans="1:20" ht="17.850000000000001" customHeight="1" x14ac:dyDescent="0.4">
      <c r="B1" s="149" t="str">
        <f>"Calculation of June "&amp;(Inputs!D2)&amp;" to May "&amp;(Inputs!D2+1)&amp;" BGS-RSCP Rates"</f>
        <v>Calculation of June 2027 to May 2028 BGS-RSCP Rates</v>
      </c>
      <c r="M1" s="48"/>
      <c r="O1" s="321"/>
      <c r="P1" s="321"/>
      <c r="Q1" s="321"/>
      <c r="R1" s="321"/>
    </row>
    <row r="2" spans="1:20" ht="17.25" customHeight="1" x14ac:dyDescent="0.4">
      <c r="B2" s="825" t="s">
        <v>382</v>
      </c>
      <c r="M2" s="905"/>
      <c r="N2" s="905"/>
      <c r="O2" s="905"/>
      <c r="P2" s="905"/>
      <c r="Q2" s="905"/>
      <c r="R2" s="905"/>
      <c r="S2" s="905"/>
      <c r="T2" s="905"/>
    </row>
    <row r="3" spans="1:20" ht="18.600000000000001" customHeight="1" x14ac:dyDescent="0.35">
      <c r="B3" s="14" t="s">
        <v>325</v>
      </c>
      <c r="O3" s="906"/>
      <c r="P3" s="906"/>
      <c r="Q3" s="906"/>
      <c r="R3" s="906"/>
      <c r="S3" s="906"/>
      <c r="T3" s="906"/>
    </row>
    <row r="4" spans="1:20" x14ac:dyDescent="0.35">
      <c r="F4" s="48"/>
      <c r="O4" s="906"/>
      <c r="P4" s="906"/>
      <c r="Q4" s="906"/>
      <c r="R4" s="906"/>
      <c r="S4" s="906"/>
      <c r="T4" s="906"/>
    </row>
    <row r="5" spans="1:20" ht="13.15" x14ac:dyDescent="0.4">
      <c r="A5" s="15" t="s">
        <v>238</v>
      </c>
      <c r="B5" s="13" t="s">
        <v>260</v>
      </c>
      <c r="F5" s="828"/>
      <c r="M5" s="48"/>
    </row>
    <row r="6" spans="1:20" ht="51" customHeight="1" x14ac:dyDescent="0.4">
      <c r="A6" s="32" t="s">
        <v>201</v>
      </c>
      <c r="B6" s="13" t="s">
        <v>363</v>
      </c>
      <c r="C6" s="20" t="str">
        <f>Inputs!C135</f>
        <v>remaining portion of 36 month bid - 2025 auction</v>
      </c>
      <c r="D6" s="20" t="str">
        <f>Inputs!D135</f>
        <v>remaining portion of 36 month bid - 2026 auction</v>
      </c>
      <c r="E6" s="20" t="str">
        <f>Inputs!E135</f>
        <v>2027 Auction  Winning Bid</v>
      </c>
      <c r="F6" s="829"/>
      <c r="G6" s="115" t="s">
        <v>202</v>
      </c>
      <c r="M6" s="205"/>
      <c r="N6" s="205"/>
      <c r="O6" s="205"/>
    </row>
    <row r="7" spans="1:20" x14ac:dyDescent="0.35">
      <c r="C7" s="99" t="str">
        <f>LEFT(RIGHT(C6,12),4)</f>
        <v>2025</v>
      </c>
      <c r="D7" s="99" t="str">
        <f t="shared" ref="D7:E7" si="0">LEFT(RIGHT(D6,12),4)</f>
        <v>2026</v>
      </c>
      <c r="E7" s="836" t="str">
        <f t="shared" si="0"/>
        <v xml:space="preserve"> Win</v>
      </c>
      <c r="F7" s="53"/>
    </row>
    <row r="8" spans="1:20" ht="13.15" x14ac:dyDescent="0.4">
      <c r="A8" s="32">
        <v>1</v>
      </c>
      <c r="B8" s="13" t="s">
        <v>203</v>
      </c>
      <c r="C8" s="134">
        <f>Inputs!C136</f>
        <v>107.36</v>
      </c>
      <c r="D8" s="134">
        <f>Inputs!D136</f>
        <v>109.38</v>
      </c>
      <c r="E8" s="134">
        <f>Inputs!E136</f>
        <v>109.38</v>
      </c>
      <c r="F8" s="830"/>
      <c r="G8" s="147" t="s">
        <v>373</v>
      </c>
      <c r="M8" s="53"/>
      <c r="N8" s="53"/>
      <c r="O8" s="53"/>
    </row>
    <row r="9" spans="1:20" ht="13.15" x14ac:dyDescent="0.4">
      <c r="A9" s="150" t="s">
        <v>336</v>
      </c>
      <c r="B9" s="48" t="s">
        <v>337</v>
      </c>
      <c r="C9" s="827">
        <f>'Attach4 P1'!C21</f>
        <v>5.88</v>
      </c>
      <c r="D9" s="323"/>
      <c r="E9" s="323"/>
      <c r="F9" s="99"/>
      <c r="G9" s="147" t="s">
        <v>504</v>
      </c>
      <c r="H9" s="99"/>
      <c r="J9" s="53"/>
      <c r="M9" s="340"/>
      <c r="N9" s="340"/>
      <c r="O9" s="53"/>
    </row>
    <row r="10" spans="1:20" ht="15.4" x14ac:dyDescent="0.55000000000000004">
      <c r="A10" s="150" t="s">
        <v>338</v>
      </c>
      <c r="C10" s="322"/>
      <c r="D10" s="322"/>
      <c r="E10" s="322"/>
      <c r="F10" s="13"/>
      <c r="G10" s="48"/>
      <c r="M10" s="338"/>
      <c r="N10" s="338"/>
      <c r="O10" s="338"/>
      <c r="P10" s="339"/>
      <c r="Q10" s="339"/>
    </row>
    <row r="11" spans="1:20" ht="13.15" x14ac:dyDescent="0.4">
      <c r="A11" s="150" t="s">
        <v>339</v>
      </c>
      <c r="B11" s="13" t="s">
        <v>303</v>
      </c>
      <c r="C11" s="151">
        <f>C8+C9-C10</f>
        <v>113.24</v>
      </c>
      <c r="D11" s="151">
        <f>D8+D9-D10</f>
        <v>109.38</v>
      </c>
      <c r="E11" s="151">
        <f t="shared" ref="E11" si="1">E8+E9-E10</f>
        <v>109.38</v>
      </c>
      <c r="G11" s="74" t="s">
        <v>340</v>
      </c>
      <c r="M11" s="53"/>
      <c r="N11" s="53"/>
      <c r="O11" s="53"/>
    </row>
    <row r="12" spans="1:20" ht="13.15" x14ac:dyDescent="0.4">
      <c r="A12" s="32"/>
      <c r="B12" s="13"/>
      <c r="C12" s="152"/>
      <c r="D12" s="152"/>
      <c r="E12" s="152"/>
      <c r="G12" s="74"/>
      <c r="M12" s="53"/>
      <c r="N12" s="53"/>
      <c r="O12" s="53"/>
    </row>
    <row r="13" spans="1:20" x14ac:dyDescent="0.35">
      <c r="B13" s="14" t="s">
        <v>272</v>
      </c>
    </row>
    <row r="14" spans="1:20" ht="13.15" x14ac:dyDescent="0.4">
      <c r="A14" s="32">
        <v>2</v>
      </c>
      <c r="B14" s="13" t="s">
        <v>301</v>
      </c>
      <c r="C14" s="48">
        <f>Inputs!C138</f>
        <v>28</v>
      </c>
      <c r="D14" s="48">
        <f>Inputs!D138</f>
        <v>28</v>
      </c>
      <c r="E14" s="48">
        <f>Inputs!E138</f>
        <v>29</v>
      </c>
      <c r="G14" s="147" t="s">
        <v>398</v>
      </c>
    </row>
    <row r="15" spans="1:20" ht="13.15" x14ac:dyDescent="0.4">
      <c r="A15" s="32">
        <v>3</v>
      </c>
      <c r="B15" s="13" t="s">
        <v>302</v>
      </c>
      <c r="C15" s="48">
        <f>SUM(C14:E14)</f>
        <v>85</v>
      </c>
      <c r="D15" s="48">
        <f>C15</f>
        <v>85</v>
      </c>
      <c r="E15" s="48">
        <f>D15</f>
        <v>85</v>
      </c>
      <c r="G15" s="147" t="s">
        <v>398</v>
      </c>
    </row>
    <row r="16" spans="1:20" ht="13.15" x14ac:dyDescent="0.4">
      <c r="A16" s="32"/>
      <c r="B16" s="13" t="s">
        <v>204</v>
      </c>
      <c r="C16" s="48"/>
      <c r="D16" s="48"/>
      <c r="E16" s="48"/>
    </row>
    <row r="17" spans="1:17" ht="15.4" x14ac:dyDescent="0.55000000000000004">
      <c r="A17" s="32">
        <v>4</v>
      </c>
      <c r="B17" s="136" t="s">
        <v>205</v>
      </c>
      <c r="C17" s="199">
        <f>Inputs!C141</f>
        <v>1</v>
      </c>
      <c r="D17" s="199">
        <f>Inputs!D141</f>
        <v>1</v>
      </c>
      <c r="E17" s="199">
        <f>IF(LEFT(Inputs!$B$2,6)="rebase",Inputs!E141,'Attach2 - BidFactors'!L322)</f>
        <v>1</v>
      </c>
      <c r="K17" s="153"/>
      <c r="M17" s="907"/>
      <c r="N17" s="907"/>
      <c r="O17" s="907"/>
      <c r="P17" s="907"/>
      <c r="Q17" s="907"/>
    </row>
    <row r="18" spans="1:17" ht="12.75" customHeight="1" x14ac:dyDescent="0.35">
      <c r="A18" s="32">
        <v>5</v>
      </c>
      <c r="B18" s="136" t="s">
        <v>206</v>
      </c>
      <c r="C18" s="199">
        <f>Inputs!C142</f>
        <v>1</v>
      </c>
      <c r="D18" s="199">
        <f>Inputs!D142</f>
        <v>1</v>
      </c>
      <c r="E18" s="199">
        <f>IF(LEFT(Inputs!$B$2,6)="rebase",Inputs!E142,'Attach2 - BidFactors'!L323)</f>
        <v>1</v>
      </c>
      <c r="K18" s="153"/>
    </row>
    <row r="19" spans="1:17" x14ac:dyDescent="0.35">
      <c r="A19" s="32"/>
    </row>
    <row r="20" spans="1:17" ht="13.15" x14ac:dyDescent="0.4">
      <c r="A20" s="32"/>
      <c r="B20" s="13" t="s">
        <v>267</v>
      </c>
    </row>
    <row r="21" spans="1:17" x14ac:dyDescent="0.35">
      <c r="A21" s="32">
        <v>6</v>
      </c>
      <c r="B21" s="11" t="s">
        <v>207</v>
      </c>
      <c r="C21" s="154">
        <f>+'Attach2 - BidFactors'!C358</f>
        <v>9098956.6956436411</v>
      </c>
      <c r="D21" s="155"/>
      <c r="E21" s="155"/>
      <c r="G21" s="48" t="s">
        <v>399</v>
      </c>
    </row>
    <row r="22" spans="1:17" x14ac:dyDescent="0.35">
      <c r="A22" s="32">
        <v>7</v>
      </c>
      <c r="B22" s="11" t="s">
        <v>208</v>
      </c>
      <c r="C22" s="154">
        <f>+'Attach2 - BidFactors'!C359</f>
        <v>14111788.865207138</v>
      </c>
      <c r="D22" s="155"/>
      <c r="E22" s="155"/>
    </row>
    <row r="23" spans="1:17" x14ac:dyDescent="0.35">
      <c r="A23" s="32"/>
    </row>
    <row r="24" spans="1:17" ht="13.15" x14ac:dyDescent="0.4">
      <c r="A24" s="32"/>
      <c r="B24" s="13" t="s">
        <v>268</v>
      </c>
    </row>
    <row r="25" spans="1:17" x14ac:dyDescent="0.35">
      <c r="A25" s="32">
        <v>8</v>
      </c>
      <c r="B25" s="136" t="s">
        <v>205</v>
      </c>
      <c r="C25" s="156">
        <f>(+C$11*C$14/C$15*C17*$C21/1000)</f>
        <v>339414.63498836715</v>
      </c>
      <c r="D25" s="156">
        <f>(+D$11*D$14/D$15*D17*$C21/1000)</f>
        <v>327845.04393348284</v>
      </c>
      <c r="E25" s="156">
        <f t="shared" ref="E25:E26" si="2">(+E$11*E$14/E$15*E17*$C21/1000)</f>
        <v>339553.79550253577</v>
      </c>
      <c r="F25" s="157"/>
      <c r="G25" s="42" t="s">
        <v>375</v>
      </c>
      <c r="J25" s="56"/>
      <c r="L25" s="56"/>
    </row>
    <row r="26" spans="1:17" x14ac:dyDescent="0.35">
      <c r="A26" s="32">
        <v>9</v>
      </c>
      <c r="B26" s="136" t="s">
        <v>206</v>
      </c>
      <c r="C26" s="158">
        <f>(+C$11*C$14/C$15*C18*$C22/1000)</f>
        <v>526406.24930223031</v>
      </c>
      <c r="D26" s="158">
        <f>(+D$11*D$14/D$15*D18*$C22/1000)</f>
        <v>508462.69470750575</v>
      </c>
      <c r="E26" s="158">
        <f t="shared" si="2"/>
        <v>526622.0766613452</v>
      </c>
      <c r="F26" s="157"/>
      <c r="G26" s="42" t="s">
        <v>376</v>
      </c>
    </row>
    <row r="27" spans="1:17" x14ac:dyDescent="0.35">
      <c r="A27" s="32">
        <v>10</v>
      </c>
      <c r="B27" s="11" t="s">
        <v>209</v>
      </c>
      <c r="C27" s="56">
        <f>+C26+C25</f>
        <v>865820.8842905974</v>
      </c>
      <c r="D27" s="56">
        <f>+D26+D25</f>
        <v>836307.73864098859</v>
      </c>
      <c r="E27" s="56">
        <f>+E26+E25</f>
        <v>866175.87216388097</v>
      </c>
      <c r="G27" s="11" t="s">
        <v>271</v>
      </c>
      <c r="J27" s="56"/>
      <c r="L27" s="56"/>
    </row>
    <row r="28" spans="1:17" x14ac:dyDescent="0.35">
      <c r="A28" s="32"/>
    </row>
    <row r="29" spans="1:17" ht="13.15" x14ac:dyDescent="0.4">
      <c r="A29" s="32"/>
      <c r="B29" s="13" t="s">
        <v>269</v>
      </c>
    </row>
    <row r="30" spans="1:17" x14ac:dyDescent="0.35">
      <c r="A30" s="32">
        <v>11</v>
      </c>
      <c r="B30" s="136" t="s">
        <v>205</v>
      </c>
      <c r="C30" s="159">
        <f>ROUND(+SUM(C25:E25)/C21*1000,3)</f>
        <v>110.652</v>
      </c>
      <c r="D30" s="55"/>
      <c r="G30" s="42" t="s">
        <v>258</v>
      </c>
    </row>
    <row r="31" spans="1:17" x14ac:dyDescent="0.35">
      <c r="A31" s="32">
        <v>12</v>
      </c>
      <c r="B31" s="136" t="s">
        <v>206</v>
      </c>
      <c r="C31" s="160">
        <f>ROUND(+SUM(C26:E26)/C22*1000,3)</f>
        <v>110.652</v>
      </c>
      <c r="G31" s="42" t="s">
        <v>259</v>
      </c>
    </row>
    <row r="32" spans="1:17" x14ac:dyDescent="0.35">
      <c r="A32" s="32"/>
      <c r="B32" s="136"/>
      <c r="C32" s="161"/>
      <c r="G32" s="42"/>
    </row>
    <row r="33" spans="1:10" ht="13.15" x14ac:dyDescent="0.4">
      <c r="A33" s="32">
        <v>13</v>
      </c>
      <c r="B33" s="11" t="s">
        <v>213</v>
      </c>
      <c r="C33" s="162">
        <f>ROUND(+SUM(C27:E27)/(C21+C22)*1000,3)</f>
        <v>110.652</v>
      </c>
      <c r="D33" s="11" t="s">
        <v>211</v>
      </c>
      <c r="G33" s="42" t="s">
        <v>210</v>
      </c>
    </row>
    <row r="34" spans="1:10" x14ac:dyDescent="0.35">
      <c r="D34" s="11" t="s">
        <v>212</v>
      </c>
      <c r="G34" s="11" t="s">
        <v>257</v>
      </c>
    </row>
    <row r="35" spans="1:10" x14ac:dyDescent="0.35">
      <c r="C35" s="55"/>
    </row>
    <row r="36" spans="1:10" ht="13.15" x14ac:dyDescent="0.4">
      <c r="B36" s="61" t="s">
        <v>235</v>
      </c>
      <c r="D36" s="55"/>
    </row>
    <row r="37" spans="1:10" x14ac:dyDescent="0.35">
      <c r="A37" s="32">
        <v>14</v>
      </c>
      <c r="B37" s="36" t="s">
        <v>236</v>
      </c>
      <c r="C37" s="56">
        <f>(C33*(C22+C21))/1000</f>
        <v>2568315.41779926</v>
      </c>
      <c r="D37" s="55"/>
      <c r="G37" s="42" t="s">
        <v>218</v>
      </c>
    </row>
    <row r="38" spans="1:10" ht="15" x14ac:dyDescent="0.65">
      <c r="A38" s="32">
        <v>15</v>
      </c>
      <c r="B38" s="36" t="s">
        <v>215</v>
      </c>
      <c r="C38" s="163">
        <f>SUM(C27:E27)</f>
        <v>2568304.4950954672</v>
      </c>
      <c r="D38" s="55"/>
      <c r="G38" s="42" t="s">
        <v>216</v>
      </c>
    </row>
    <row r="39" spans="1:10" x14ac:dyDescent="0.35">
      <c r="A39" s="32">
        <v>16</v>
      </c>
      <c r="B39" s="36" t="s">
        <v>214</v>
      </c>
      <c r="C39" s="164">
        <f>+C37-C38</f>
        <v>10.922703792806715</v>
      </c>
      <c r="D39" s="55"/>
      <c r="G39" s="42" t="s">
        <v>217</v>
      </c>
    </row>
    <row r="40" spans="1:10" x14ac:dyDescent="0.35">
      <c r="B40" s="36"/>
      <c r="D40" s="55"/>
    </row>
    <row r="42" spans="1:10" ht="13.15" x14ac:dyDescent="0.4">
      <c r="A42" s="15" t="s">
        <v>239</v>
      </c>
      <c r="B42" s="13" t="s">
        <v>270</v>
      </c>
      <c r="G42" s="14" t="s">
        <v>400</v>
      </c>
    </row>
    <row r="43" spans="1:10" ht="13.15" x14ac:dyDescent="0.4">
      <c r="A43" s="15"/>
      <c r="B43" s="13"/>
      <c r="G43" s="14" t="s">
        <v>280</v>
      </c>
    </row>
    <row r="44" spans="1:10" ht="13.15" x14ac:dyDescent="0.4">
      <c r="B44" s="13" t="s">
        <v>41</v>
      </c>
    </row>
    <row r="45" spans="1:10" x14ac:dyDescent="0.35">
      <c r="B45" s="14" t="s">
        <v>88</v>
      </c>
    </row>
    <row r="46" spans="1:10" ht="13.15" x14ac:dyDescent="0.4">
      <c r="B46" s="13"/>
    </row>
    <row r="47" spans="1:10" ht="13.15" x14ac:dyDescent="0.4">
      <c r="C47" s="12" t="str">
        <f>+'Attach2 - BidFactors'!C249</f>
        <v>RS</v>
      </c>
      <c r="D47" s="12" t="str">
        <f>+'Attach2 - BidFactors'!D249</f>
        <v>RHS</v>
      </c>
      <c r="E47" s="12" t="str">
        <f>+'Attach2 - BidFactors'!E249</f>
        <v>RLM</v>
      </c>
      <c r="F47" s="12" t="str">
        <f>+'Attach2 - BidFactors'!F249</f>
        <v>WH</v>
      </c>
      <c r="G47" s="12" t="str">
        <f>+'Attach2 - BidFactors'!G249</f>
        <v>WHS</v>
      </c>
      <c r="H47" s="12" t="str">
        <f>+'Attach2 - BidFactors'!H249</f>
        <v>HS</v>
      </c>
      <c r="I47" s="12" t="str">
        <f>+'Attach2 - BidFactors'!I249</f>
        <v>PSAL</v>
      </c>
      <c r="J47" s="12" t="str">
        <f>+'Attach2 - BidFactors'!J249</f>
        <v>BPL</v>
      </c>
    </row>
    <row r="48" spans="1:10" ht="13.15" x14ac:dyDescent="0.4">
      <c r="C48" s="12"/>
      <c r="D48" s="12"/>
      <c r="E48" s="12"/>
      <c r="F48" s="12"/>
      <c r="G48" s="12"/>
    </row>
    <row r="49" spans="2:14" ht="13.15" x14ac:dyDescent="0.4">
      <c r="B49" s="28" t="s">
        <v>23</v>
      </c>
      <c r="E49" s="165"/>
      <c r="F49" s="57">
        <f>+'Attach2 - BidFactors'!F251</f>
        <v>0.67800000000000005</v>
      </c>
      <c r="G49" s="57">
        <f>+'Attach2 - BidFactors'!G251</f>
        <v>0.61299999999999999</v>
      </c>
      <c r="H49" s="57">
        <f>+'Attach2 - BidFactors'!H251</f>
        <v>0.86799999999999999</v>
      </c>
      <c r="I49" s="165">
        <f>+'Attach2 - BidFactors'!I251</f>
        <v>0.60499999999999998</v>
      </c>
      <c r="J49" s="165">
        <f>+'Attach2 - BidFactors'!J251</f>
        <v>0.60399999999999998</v>
      </c>
      <c r="K49" s="166"/>
      <c r="L49" s="166"/>
      <c r="M49" s="166"/>
    </row>
    <row r="50" spans="2:14" ht="13.15" x14ac:dyDescent="0.4">
      <c r="B50" s="167" t="s">
        <v>84</v>
      </c>
      <c r="C50" s="58"/>
      <c r="D50" s="168"/>
      <c r="E50" s="57">
        <f>+'Attach2 - BidFactors'!E252</f>
        <v>1.776</v>
      </c>
      <c r="F50" s="165"/>
      <c r="G50" s="165"/>
      <c r="H50" s="165"/>
      <c r="I50" s="169"/>
      <c r="J50" s="170" t="s">
        <v>167</v>
      </c>
      <c r="K50" s="166"/>
      <c r="L50" s="166"/>
      <c r="M50" s="166"/>
    </row>
    <row r="51" spans="2:14" ht="13.15" x14ac:dyDescent="0.4">
      <c r="B51" s="167" t="s">
        <v>85</v>
      </c>
      <c r="C51" s="58"/>
      <c r="D51" s="168"/>
      <c r="E51" s="57">
        <f>+'Attach2 - BidFactors'!E253</f>
        <v>0.56999999999999995</v>
      </c>
      <c r="F51" s="165"/>
      <c r="G51" s="165"/>
      <c r="H51" s="171"/>
      <c r="I51" s="169"/>
      <c r="J51" s="170" t="s">
        <v>168</v>
      </c>
      <c r="K51" s="172">
        <f>+'Attach2 - BidFactors'!K253</f>
        <v>0.60399999999999998</v>
      </c>
      <c r="L51" s="166"/>
      <c r="M51" s="166"/>
    </row>
    <row r="52" spans="2:14" ht="13.15" x14ac:dyDescent="0.4">
      <c r="E52" s="58"/>
      <c r="F52" s="168"/>
      <c r="G52" s="168"/>
      <c r="L52" s="166"/>
      <c r="M52" s="166"/>
    </row>
    <row r="53" spans="2:14" ht="13.15" x14ac:dyDescent="0.4">
      <c r="B53" s="228" t="s">
        <v>164</v>
      </c>
      <c r="C53" s="57">
        <f>+'Attach2 - BidFactors'!C255</f>
        <v>1.0609999999999999</v>
      </c>
      <c r="D53" s="57">
        <f>+'Attach2 - BidFactors'!D255</f>
        <v>0.89</v>
      </c>
      <c r="E53" s="58"/>
      <c r="F53" s="168"/>
      <c r="G53" s="168"/>
      <c r="H53" s="168"/>
      <c r="I53" s="168"/>
      <c r="J53" s="168"/>
      <c r="K53" s="166"/>
      <c r="L53" s="166"/>
      <c r="M53" s="166"/>
    </row>
    <row r="54" spans="2:14" ht="13.15" x14ac:dyDescent="0.4">
      <c r="B54" s="228" t="s">
        <v>172</v>
      </c>
      <c r="C54" s="59">
        <f>+'Attach2 - BidFactors'!C256</f>
        <v>-3.089</v>
      </c>
      <c r="D54" s="59">
        <f>+'Attach2 - BidFactors'!D256</f>
        <v>-3.7250000000000001</v>
      </c>
      <c r="E54" s="173" t="s">
        <v>165</v>
      </c>
      <c r="F54" s="168"/>
      <c r="G54" s="168"/>
      <c r="H54" s="168"/>
      <c r="I54" s="168"/>
      <c r="J54" s="168"/>
      <c r="K54" s="166"/>
      <c r="L54" s="166"/>
      <c r="M54" s="166"/>
    </row>
    <row r="55" spans="2:14" ht="13.15" x14ac:dyDescent="0.4">
      <c r="B55" s="228" t="s">
        <v>172</v>
      </c>
      <c r="C55" s="59">
        <f>+'Attach2 - BidFactors'!C257</f>
        <v>5.5629999999999997</v>
      </c>
      <c r="D55" s="59">
        <f>+'Attach2 - BidFactors'!D257</f>
        <v>7.8440000000000003</v>
      </c>
      <c r="E55" s="173" t="s">
        <v>166</v>
      </c>
      <c r="F55" s="168"/>
      <c r="G55" s="168"/>
      <c r="H55" s="168"/>
      <c r="I55" s="168"/>
      <c r="J55" s="168"/>
      <c r="K55" s="166"/>
      <c r="L55" s="166"/>
      <c r="M55" s="166"/>
    </row>
    <row r="56" spans="2:14" x14ac:dyDescent="0.35">
      <c r="G56" s="168"/>
      <c r="H56" s="168"/>
      <c r="I56" s="168"/>
      <c r="J56" s="168"/>
      <c r="K56" s="166"/>
      <c r="L56" s="166"/>
      <c r="M56" s="166"/>
    </row>
    <row r="57" spans="2:14" x14ac:dyDescent="0.35">
      <c r="H57" s="168"/>
      <c r="I57" s="168"/>
      <c r="J57" s="168"/>
      <c r="K57" s="166"/>
      <c r="L57" s="166"/>
      <c r="M57" s="166"/>
    </row>
    <row r="58" spans="2:14" x14ac:dyDescent="0.35">
      <c r="C58" s="168"/>
      <c r="D58" s="168"/>
      <c r="E58" s="168"/>
      <c r="F58" s="168"/>
      <c r="G58" s="168"/>
      <c r="H58" s="168"/>
      <c r="I58" s="168"/>
      <c r="J58" s="168"/>
      <c r="K58" s="166"/>
      <c r="L58" s="166"/>
      <c r="M58" s="166"/>
    </row>
    <row r="59" spans="2:14" ht="13.15" x14ac:dyDescent="0.4">
      <c r="B59" s="28" t="s">
        <v>24</v>
      </c>
      <c r="C59" s="57">
        <f>+'Attach2 - BidFactors'!C261</f>
        <v>1.1279999999999999</v>
      </c>
      <c r="D59" s="57">
        <f>+'Attach2 - BidFactors'!D261</f>
        <v>0.98099999999999998</v>
      </c>
      <c r="E59" s="165"/>
      <c r="F59" s="57">
        <f>+'Attach2 - BidFactors'!F261</f>
        <v>0.75900000000000001</v>
      </c>
      <c r="G59" s="57">
        <f>+'Attach2 - BidFactors'!G261</f>
        <v>0.76200000000000001</v>
      </c>
      <c r="H59" s="57">
        <f>+'Attach2 - BidFactors'!H261</f>
        <v>0.96599999999999997</v>
      </c>
      <c r="I59" s="165">
        <f>+'Attach2 - BidFactors'!I261</f>
        <v>0.74399999999999999</v>
      </c>
      <c r="J59" s="165">
        <f>+'Attach2 - BidFactors'!J261</f>
        <v>0.74</v>
      </c>
      <c r="K59" s="166"/>
      <c r="L59" s="166"/>
      <c r="M59" s="166"/>
    </row>
    <row r="60" spans="2:14" ht="13.15" x14ac:dyDescent="0.4">
      <c r="B60" s="167" t="s">
        <v>84</v>
      </c>
      <c r="C60" s="168"/>
      <c r="D60" s="168"/>
      <c r="E60" s="57">
        <f>+'Attach2 - BidFactors'!E262</f>
        <v>1.7709999999999999</v>
      </c>
      <c r="F60" s="168"/>
      <c r="G60" s="168"/>
      <c r="H60" s="168"/>
      <c r="J60" s="170" t="s">
        <v>167</v>
      </c>
      <c r="K60" s="166"/>
      <c r="L60" s="166"/>
      <c r="M60" s="166"/>
    </row>
    <row r="61" spans="2:14" ht="13.15" x14ac:dyDescent="0.4">
      <c r="B61" s="167" t="s">
        <v>85</v>
      </c>
      <c r="C61" s="168"/>
      <c r="D61" s="168"/>
      <c r="E61" s="57">
        <f>+'Attach2 - BidFactors'!E263</f>
        <v>0.71399999999999997</v>
      </c>
      <c r="F61" s="168"/>
      <c r="G61" s="168"/>
      <c r="J61" s="170" t="s">
        <v>168</v>
      </c>
      <c r="K61" s="172">
        <f>+'Attach2 - BidFactors'!K263</f>
        <v>0.74099999999999999</v>
      </c>
      <c r="L61" s="166"/>
      <c r="M61" s="166"/>
    </row>
    <row r="62" spans="2:14" x14ac:dyDescent="0.35">
      <c r="C62" s="166"/>
      <c r="D62" s="166"/>
      <c r="E62" s="166"/>
      <c r="F62" s="166"/>
      <c r="G62" s="166"/>
      <c r="K62" s="166"/>
      <c r="L62" s="166"/>
      <c r="M62" s="166"/>
    </row>
    <row r="63" spans="2:14" x14ac:dyDescent="0.35">
      <c r="B63" s="11" t="s">
        <v>113</v>
      </c>
      <c r="C63" s="174">
        <f>+'Attach2 - BidFactors'!C265</f>
        <v>1.1000000000000001</v>
      </c>
      <c r="D63" s="174">
        <f>+'Attach2 - BidFactors'!D265</f>
        <v>0.96099999999999997</v>
      </c>
      <c r="E63" s="174">
        <f>+'Attach2 - BidFactors'!E265</f>
        <v>1.1539999999999999</v>
      </c>
      <c r="F63" s="174">
        <f>+'Attach2 - BidFactors'!F265</f>
        <v>0.73599999999999999</v>
      </c>
      <c r="G63" s="174">
        <f>+'Attach2 - BidFactors'!G265</f>
        <v>0.74399999999999999</v>
      </c>
      <c r="H63" s="174">
        <f>+'Attach2 - BidFactors'!H265</f>
        <v>0.94299999999999995</v>
      </c>
      <c r="I63" s="174">
        <f>+'Attach2 - BidFactors'!I265</f>
        <v>0.70599999999999996</v>
      </c>
      <c r="J63" s="174">
        <f>+'Attach2 - BidFactors'!J265</f>
        <v>0.70399999999999996</v>
      </c>
      <c r="K63" s="166"/>
      <c r="L63" s="166"/>
      <c r="M63" s="166"/>
    </row>
    <row r="64" spans="2:14" x14ac:dyDescent="0.35">
      <c r="N64" s="48"/>
    </row>
    <row r="65" spans="2:14" x14ac:dyDescent="0.35">
      <c r="N65" s="48"/>
    </row>
    <row r="66" spans="2:14" ht="13.15" x14ac:dyDescent="0.4">
      <c r="B66" s="13" t="s">
        <v>32</v>
      </c>
      <c r="N66" s="171"/>
    </row>
    <row r="67" spans="2:14" x14ac:dyDescent="0.35">
      <c r="B67" s="14" t="s">
        <v>89</v>
      </c>
    </row>
    <row r="68" spans="2:14" x14ac:dyDescent="0.35">
      <c r="B68" s="169"/>
      <c r="N68" s="54"/>
    </row>
    <row r="69" spans="2:14" ht="13.15" x14ac:dyDescent="0.4">
      <c r="C69" s="12" t="str">
        <f>+'Attach2 - BidFactors'!C271</f>
        <v>GLP</v>
      </c>
      <c r="D69" s="12" t="str">
        <f>+'Attach2 - BidFactors'!D271</f>
        <v>GLP</v>
      </c>
      <c r="E69" s="12" t="str">
        <f>+'Attach2 - BidFactors'!E271</f>
        <v>LPL-S</v>
      </c>
      <c r="F69" s="12" t="str">
        <f>+'Attach2 - BidFactors'!F271</f>
        <v>LPL-S</v>
      </c>
      <c r="H69" s="13" t="s">
        <v>31</v>
      </c>
      <c r="I69" s="12" t="str">
        <f>+C69</f>
        <v>GLP</v>
      </c>
      <c r="J69" s="12" t="str">
        <f>+E69</f>
        <v>LPL-S</v>
      </c>
    </row>
    <row r="70" spans="2:14" ht="26.25" x14ac:dyDescent="0.4">
      <c r="C70" s="12" t="s">
        <v>122</v>
      </c>
      <c r="D70" s="175" t="s">
        <v>172</v>
      </c>
      <c r="E70" s="12" t="s">
        <v>122</v>
      </c>
      <c r="F70" s="175" t="s">
        <v>172</v>
      </c>
    </row>
    <row r="71" spans="2:14" ht="13.15" x14ac:dyDescent="0.4">
      <c r="B71" s="28" t="s">
        <v>23</v>
      </c>
      <c r="C71" s="57">
        <f>+'Attach2 - BidFactors'!C273</f>
        <v>0.94899999999999995</v>
      </c>
      <c r="D71" s="172">
        <f>+'Attach2 - BidFactors'!D273</f>
        <v>-25.687000000000001</v>
      </c>
      <c r="E71" s="171"/>
      <c r="F71" s="171"/>
      <c r="H71" s="176" t="s">
        <v>28</v>
      </c>
      <c r="N71" s="206"/>
    </row>
    <row r="72" spans="2:14" ht="13.15" x14ac:dyDescent="0.4">
      <c r="B72" s="167" t="s">
        <v>84</v>
      </c>
      <c r="C72" s="165"/>
      <c r="D72" s="172"/>
      <c r="E72" s="57">
        <f>+'Attach2 - BidFactors'!E274</f>
        <v>1.24</v>
      </c>
      <c r="F72" s="172">
        <f>+'Attach2 - BidFactors'!F274</f>
        <v>-42.911000000000001</v>
      </c>
      <c r="H72" s="36" t="s">
        <v>47</v>
      </c>
      <c r="I72" s="177">
        <f>+'Attach2 - BidFactors'!I$276</f>
        <v>10.1775</v>
      </c>
      <c r="J72" s="177">
        <f>+'Attach2 - BidFactors'!J$276</f>
        <v>10.1775</v>
      </c>
      <c r="K72" s="42" t="s">
        <v>51</v>
      </c>
      <c r="N72" s="53"/>
    </row>
    <row r="73" spans="2:14" ht="13.15" x14ac:dyDescent="0.4">
      <c r="B73" s="167" t="s">
        <v>85</v>
      </c>
      <c r="C73" s="165"/>
      <c r="D73" s="172"/>
      <c r="E73" s="57">
        <f>+'Attach2 - BidFactors'!E275</f>
        <v>0.56699999999999995</v>
      </c>
      <c r="F73" s="172">
        <f>+'Attach2 - BidFactors'!F275</f>
        <v>0</v>
      </c>
      <c r="H73" s="36" t="s">
        <v>48</v>
      </c>
      <c r="I73" s="177">
        <f>+'Attach2 - BidFactors'!I$276</f>
        <v>10.1775</v>
      </c>
      <c r="J73" s="177">
        <f>+'Attach2 - BidFactors'!J$276</f>
        <v>10.1775</v>
      </c>
      <c r="K73" s="42" t="s">
        <v>51</v>
      </c>
    </row>
    <row r="74" spans="2:14" ht="13.15" x14ac:dyDescent="0.4">
      <c r="C74" s="165"/>
      <c r="D74" s="172"/>
      <c r="E74" s="165"/>
      <c r="F74" s="172"/>
      <c r="H74" s="36"/>
      <c r="I74" s="177"/>
      <c r="J74" s="177"/>
      <c r="K74" s="42"/>
    </row>
    <row r="75" spans="2:14" ht="13.15" x14ac:dyDescent="0.4">
      <c r="B75" s="28" t="s">
        <v>24</v>
      </c>
      <c r="C75" s="57">
        <f>+'Attach2 - BidFactors'!C277</f>
        <v>1.044</v>
      </c>
      <c r="D75" s="172">
        <f>+'Attach2 - BidFactors'!D277</f>
        <v>-29.206</v>
      </c>
      <c r="E75" s="57"/>
      <c r="F75" s="172"/>
      <c r="H75" s="176" t="s">
        <v>29</v>
      </c>
      <c r="I75" s="55"/>
      <c r="J75" s="55"/>
    </row>
    <row r="76" spans="2:14" ht="13.15" x14ac:dyDescent="0.4">
      <c r="B76" s="167" t="s">
        <v>84</v>
      </c>
      <c r="C76" s="165"/>
      <c r="D76" s="171"/>
      <c r="E76" s="57">
        <f>+'Attach2 - BidFactors'!E278</f>
        <v>1.2949999999999999</v>
      </c>
      <c r="F76" s="172">
        <f>+'Attach2 - BidFactors'!F278</f>
        <v>-49.651000000000003</v>
      </c>
      <c r="H76" s="36" t="s">
        <v>49</v>
      </c>
      <c r="I76" s="177">
        <f>+'Attach2 - BidFactors'!I279</f>
        <v>0</v>
      </c>
      <c r="J76" s="177">
        <f>+'Attach2 - BidFactors'!J279</f>
        <v>0</v>
      </c>
      <c r="K76" s="42" t="s">
        <v>52</v>
      </c>
    </row>
    <row r="77" spans="2:14" ht="13.15" x14ac:dyDescent="0.4">
      <c r="B77" s="167" t="s">
        <v>85</v>
      </c>
      <c r="C77" s="165"/>
      <c r="D77" s="171"/>
      <c r="E77" s="57">
        <f>+'Attach2 - BidFactors'!E279</f>
        <v>0.70599999999999996</v>
      </c>
      <c r="F77" s="172">
        <f>+'Attach2 - BidFactors'!F279</f>
        <v>0</v>
      </c>
    </row>
    <row r="78" spans="2:14" x14ac:dyDescent="0.35">
      <c r="C78" s="174"/>
      <c r="D78" s="171"/>
      <c r="E78" s="174"/>
      <c r="F78" s="171"/>
    </row>
    <row r="79" spans="2:14" x14ac:dyDescent="0.35">
      <c r="B79" s="11" t="s">
        <v>109</v>
      </c>
      <c r="C79" s="174">
        <f>+'Attach2 - BidFactors'!C281</f>
        <v>1.01</v>
      </c>
      <c r="D79" s="171"/>
      <c r="E79" s="174">
        <f>+'Attach2 - BidFactors'!E281</f>
        <v>0.95099999999999996</v>
      </c>
      <c r="F79" s="171"/>
    </row>
    <row r="80" spans="2:14" x14ac:dyDescent="0.35">
      <c r="C80" s="174"/>
      <c r="D80" s="171"/>
      <c r="E80" s="174"/>
      <c r="F80" s="171"/>
    </row>
    <row r="81" spans="1:13" x14ac:dyDescent="0.35">
      <c r="C81" s="166"/>
      <c r="E81" s="166"/>
      <c r="I81" s="54"/>
    </row>
    <row r="82" spans="1:13" ht="13.15" x14ac:dyDescent="0.4">
      <c r="A82" s="178" t="s">
        <v>240</v>
      </c>
      <c r="B82" s="61" t="s">
        <v>255</v>
      </c>
      <c r="C82" s="166"/>
      <c r="E82" s="166"/>
    </row>
    <row r="83" spans="1:13" x14ac:dyDescent="0.35">
      <c r="A83" s="178"/>
      <c r="B83" s="14" t="s">
        <v>222</v>
      </c>
    </row>
    <row r="85" spans="1:13" ht="13.15" x14ac:dyDescent="0.4">
      <c r="B85" s="13" t="s">
        <v>199</v>
      </c>
    </row>
    <row r="86" spans="1:13" x14ac:dyDescent="0.35">
      <c r="B86" s="14" t="s">
        <v>88</v>
      </c>
    </row>
    <row r="87" spans="1:13" ht="13.15" x14ac:dyDescent="0.4">
      <c r="B87" s="13"/>
    </row>
    <row r="88" spans="1:13" ht="13.15" x14ac:dyDescent="0.4">
      <c r="C88" s="12" t="str">
        <f>+C47</f>
        <v>RS</v>
      </c>
      <c r="D88" s="12" t="str">
        <f t="shared" ref="D88:J88" si="3">+D47</f>
        <v>RHS</v>
      </c>
      <c r="E88" s="12" t="str">
        <f t="shared" si="3"/>
        <v>RLM</v>
      </c>
      <c r="F88" s="12" t="str">
        <f t="shared" si="3"/>
        <v>WH</v>
      </c>
      <c r="G88" s="12" t="str">
        <f t="shared" si="3"/>
        <v>WHS</v>
      </c>
      <c r="H88" s="12" t="str">
        <f t="shared" si="3"/>
        <v>HS</v>
      </c>
      <c r="I88" s="12" t="str">
        <f t="shared" si="3"/>
        <v>PSAL</v>
      </c>
      <c r="J88" s="12" t="str">
        <f t="shared" si="3"/>
        <v>BPL</v>
      </c>
    </row>
    <row r="89" spans="1:13" x14ac:dyDescent="0.35">
      <c r="C89" s="178"/>
      <c r="D89" s="178"/>
      <c r="E89" s="178"/>
      <c r="F89" s="179"/>
      <c r="G89" s="179"/>
      <c r="H89" s="179"/>
      <c r="I89" s="179"/>
      <c r="J89" s="179"/>
    </row>
    <row r="90" spans="1:13" x14ac:dyDescent="0.35">
      <c r="B90" s="28" t="s">
        <v>23</v>
      </c>
      <c r="C90" s="178"/>
      <c r="D90" s="178"/>
      <c r="E90" s="178"/>
      <c r="F90" s="179">
        <f>ROUND(($C$33*F49)/10,4)</f>
        <v>7.5022000000000002</v>
      </c>
      <c r="G90" s="179">
        <f>ROUND(($C$33*G49)/10,4)</f>
        <v>6.7830000000000004</v>
      </c>
      <c r="H90" s="179">
        <f>ROUND(($C$33*H49)/10,4)</f>
        <v>9.6045999999999996</v>
      </c>
      <c r="I90" s="179">
        <f>ROUND(($C$33*K51)/10,4)</f>
        <v>6.6833999999999998</v>
      </c>
      <c r="J90" s="179">
        <f>+I90</f>
        <v>6.6833999999999998</v>
      </c>
      <c r="L90" s="166"/>
      <c r="M90" s="166"/>
    </row>
    <row r="91" spans="1:13" x14ac:dyDescent="0.35">
      <c r="B91" s="167" t="s">
        <v>84</v>
      </c>
      <c r="C91" s="178"/>
      <c r="D91" s="178"/>
      <c r="E91" s="179">
        <f>ROUND(($C$33*E50)/10,4)</f>
        <v>19.651800000000001</v>
      </c>
      <c r="F91" s="178"/>
      <c r="G91" s="179"/>
      <c r="H91" s="179"/>
      <c r="I91" s="179"/>
      <c r="J91" s="178"/>
      <c r="L91" s="166"/>
      <c r="M91" s="166"/>
    </row>
    <row r="92" spans="1:13" x14ac:dyDescent="0.35">
      <c r="B92" s="167" t="s">
        <v>85</v>
      </c>
      <c r="C92" s="178"/>
      <c r="D92" s="178"/>
      <c r="E92" s="179">
        <f>ROUND(($C$33*E51/10),4)</f>
        <v>6.3071999999999999</v>
      </c>
      <c r="F92" s="178"/>
      <c r="G92" s="178"/>
      <c r="H92" s="178"/>
      <c r="I92" s="178"/>
      <c r="J92" s="178"/>
      <c r="L92" s="166"/>
      <c r="M92" s="166"/>
    </row>
    <row r="93" spans="1:13" ht="13.15" x14ac:dyDescent="0.4">
      <c r="B93" s="228"/>
      <c r="C93" s="178"/>
      <c r="D93" s="178"/>
      <c r="E93" s="178"/>
      <c r="F93" s="178"/>
      <c r="G93" s="178"/>
      <c r="H93" s="178"/>
      <c r="I93" s="178"/>
      <c r="J93" s="178"/>
      <c r="L93" s="166"/>
      <c r="M93" s="166"/>
    </row>
    <row r="94" spans="1:13" x14ac:dyDescent="0.35">
      <c r="B94" s="173" t="s">
        <v>165</v>
      </c>
      <c r="C94" s="179">
        <f>ROUND((+$C$33*C53+C54)/10,4)</f>
        <v>11.4313</v>
      </c>
      <c r="D94" s="179">
        <f>ROUND((+$C$33*D53+D54)/10,4)</f>
        <v>9.4755000000000003</v>
      </c>
      <c r="E94" s="178"/>
      <c r="F94" s="178"/>
      <c r="G94" s="178"/>
      <c r="H94" s="178"/>
      <c r="I94" s="178"/>
      <c r="J94" s="178"/>
      <c r="L94" s="166"/>
      <c r="M94" s="166"/>
    </row>
    <row r="95" spans="1:13" x14ac:dyDescent="0.35">
      <c r="B95" s="173" t="s">
        <v>166</v>
      </c>
      <c r="C95" s="179">
        <f>ROUND((+$C$33*C53+C55)/10,4)</f>
        <v>12.2965</v>
      </c>
      <c r="D95" s="179">
        <f>ROUND((+$C$33*D53+D55)/10,4)</f>
        <v>10.632400000000001</v>
      </c>
      <c r="E95" s="178"/>
      <c r="F95" s="178"/>
      <c r="G95" s="178"/>
      <c r="H95" s="178"/>
      <c r="I95" s="178"/>
      <c r="J95" s="178"/>
      <c r="L95" s="166"/>
      <c r="M95" s="166"/>
    </row>
    <row r="96" spans="1:13" x14ac:dyDescent="0.35">
      <c r="C96" s="179"/>
      <c r="D96" s="179"/>
      <c r="E96" s="178"/>
      <c r="F96" s="178"/>
      <c r="G96" s="178"/>
      <c r="H96" s="178"/>
      <c r="I96" s="178"/>
      <c r="J96" s="178"/>
      <c r="L96" s="166"/>
      <c r="M96" s="166"/>
    </row>
    <row r="97" spans="2:13" x14ac:dyDescent="0.35">
      <c r="B97" s="28" t="s">
        <v>24</v>
      </c>
      <c r="C97" s="179">
        <f>ROUND(($C$33*C59)/10,4)</f>
        <v>12.4815</v>
      </c>
      <c r="D97" s="179">
        <f>ROUND(($C$33*D59)/10,4)</f>
        <v>10.855</v>
      </c>
      <c r="E97" s="178"/>
      <c r="F97" s="179">
        <f>ROUND(($C$33*F59)/10,4)</f>
        <v>8.3985000000000003</v>
      </c>
      <c r="G97" s="179">
        <f>ROUND(($C$33*G59)/10,4)</f>
        <v>8.4316999999999993</v>
      </c>
      <c r="H97" s="179">
        <f>ROUND(($C$33*H59)/10,4)</f>
        <v>10.689</v>
      </c>
      <c r="I97" s="179">
        <f>ROUND(($C$33*K61)/10,4)</f>
        <v>8.1992999999999991</v>
      </c>
      <c r="J97" s="179">
        <f>+I97</f>
        <v>8.1992999999999991</v>
      </c>
      <c r="L97" s="166"/>
      <c r="M97" s="166"/>
    </row>
    <row r="98" spans="2:13" x14ac:dyDescent="0.35">
      <c r="B98" s="167" t="s">
        <v>84</v>
      </c>
      <c r="C98" s="178"/>
      <c r="D98" s="178"/>
      <c r="E98" s="179">
        <f>ROUND(($C$33*E60)/10,4)</f>
        <v>19.596499999999999</v>
      </c>
      <c r="F98" s="178"/>
      <c r="G98" s="178"/>
      <c r="H98" s="178"/>
      <c r="I98" s="178"/>
      <c r="J98" s="178"/>
      <c r="L98" s="166"/>
      <c r="M98" s="166"/>
    </row>
    <row r="99" spans="2:13" x14ac:dyDescent="0.35">
      <c r="B99" s="167" t="s">
        <v>85</v>
      </c>
      <c r="C99" s="178"/>
      <c r="D99" s="178"/>
      <c r="E99" s="179">
        <f>ROUND(($C$33*E61)/10,4)</f>
        <v>7.9005999999999998</v>
      </c>
      <c r="F99" s="178"/>
      <c r="G99" s="178"/>
      <c r="H99" s="178"/>
      <c r="I99" s="178"/>
      <c r="J99" s="178"/>
      <c r="L99" s="166"/>
      <c r="M99" s="166"/>
    </row>
    <row r="100" spans="2:13" x14ac:dyDescent="0.35">
      <c r="C100" s="178"/>
      <c r="D100" s="178"/>
      <c r="E100" s="179"/>
      <c r="F100" s="178"/>
      <c r="G100" s="178"/>
      <c r="H100" s="178"/>
      <c r="I100" s="178"/>
      <c r="J100" s="178"/>
      <c r="L100" s="166"/>
      <c r="M100" s="166"/>
    </row>
    <row r="103" spans="2:13" ht="13.15" x14ac:dyDescent="0.4">
      <c r="B103" s="13" t="s">
        <v>200</v>
      </c>
    </row>
    <row r="104" spans="2:13" x14ac:dyDescent="0.35">
      <c r="B104" s="14" t="s">
        <v>89</v>
      </c>
    </row>
    <row r="105" spans="2:13" x14ac:dyDescent="0.35">
      <c r="B105" s="169"/>
    </row>
    <row r="106" spans="2:13" ht="13.15" x14ac:dyDescent="0.4">
      <c r="C106" s="12" t="str">
        <f>+C69</f>
        <v>GLP</v>
      </c>
      <c r="D106" s="12"/>
      <c r="E106" s="12" t="str">
        <f>+E69</f>
        <v>LPL-S</v>
      </c>
      <c r="F106" s="12"/>
      <c r="H106" s="13" t="s">
        <v>31</v>
      </c>
      <c r="I106" s="12" t="str">
        <f>+C106</f>
        <v>GLP</v>
      </c>
      <c r="J106" s="12" t="str">
        <f>+E106</f>
        <v>LPL-S</v>
      </c>
    </row>
    <row r="107" spans="2:13" ht="13.15" x14ac:dyDescent="0.4">
      <c r="F107" s="175"/>
    </row>
    <row r="108" spans="2:13" x14ac:dyDescent="0.35">
      <c r="B108" s="28" t="s">
        <v>23</v>
      </c>
      <c r="C108" s="179">
        <f>ROUND(($C$33*C71+D71)/10,4)</f>
        <v>7.9321999999999999</v>
      </c>
      <c r="D108" s="179"/>
      <c r="E108" s="179"/>
      <c r="F108" s="171"/>
      <c r="H108" s="176" t="s">
        <v>28</v>
      </c>
    </row>
    <row r="109" spans="2:13" ht="13.15" x14ac:dyDescent="0.4">
      <c r="B109" s="167" t="s">
        <v>84</v>
      </c>
      <c r="C109" s="179"/>
      <c r="D109" s="179"/>
      <c r="E109" s="179">
        <f>ROUND(($C$33*E72+F72)/10,4)</f>
        <v>9.4297000000000004</v>
      </c>
      <c r="F109" s="172"/>
      <c r="H109" s="36" t="s">
        <v>47</v>
      </c>
      <c r="I109" s="180">
        <f>+I72</f>
        <v>10.1775</v>
      </c>
      <c r="J109" s="180">
        <f>+J72</f>
        <v>10.1775</v>
      </c>
      <c r="K109" s="42" t="s">
        <v>51</v>
      </c>
    </row>
    <row r="110" spans="2:13" ht="13.15" x14ac:dyDescent="0.4">
      <c r="B110" s="167" t="s">
        <v>85</v>
      </c>
      <c r="C110" s="179"/>
      <c r="D110" s="179"/>
      <c r="E110" s="179">
        <f>ROUND(($C$33*E73+F73)/10,4)</f>
        <v>6.274</v>
      </c>
      <c r="F110" s="172"/>
      <c r="H110" s="36" t="s">
        <v>48</v>
      </c>
      <c r="I110" s="180">
        <f>+I73</f>
        <v>10.1775</v>
      </c>
      <c r="J110" s="180">
        <f>+J73</f>
        <v>10.1775</v>
      </c>
      <c r="K110" s="42" t="s">
        <v>51</v>
      </c>
    </row>
    <row r="111" spans="2:13" ht="13.15" x14ac:dyDescent="0.4">
      <c r="C111" s="179"/>
      <c r="D111" s="179"/>
      <c r="E111" s="179"/>
      <c r="F111" s="172"/>
      <c r="H111" s="36"/>
      <c r="I111" s="177"/>
      <c r="J111" s="177"/>
      <c r="K111" s="42"/>
    </row>
    <row r="112" spans="2:13" ht="13.15" x14ac:dyDescent="0.4">
      <c r="B112" s="28" t="s">
        <v>24</v>
      </c>
      <c r="C112" s="179">
        <f>ROUND(($C$33*C75+D75)/10,4)</f>
        <v>8.6315000000000008</v>
      </c>
      <c r="D112" s="179"/>
      <c r="E112" s="179"/>
      <c r="F112" s="172"/>
      <c r="H112" s="176" t="s">
        <v>29</v>
      </c>
      <c r="I112" s="55"/>
      <c r="J112" s="55"/>
    </row>
    <row r="113" spans="1:12" ht="13.15" x14ac:dyDescent="0.4">
      <c r="B113" s="167" t="s">
        <v>84</v>
      </c>
      <c r="C113" s="179"/>
      <c r="D113" s="179"/>
      <c r="E113" s="179">
        <f>ROUND(($C$33*E76+F76)/10,4)</f>
        <v>9.3643000000000001</v>
      </c>
      <c r="F113" s="172"/>
      <c r="H113" s="36" t="s">
        <v>49</v>
      </c>
      <c r="I113" s="180">
        <f>+I76</f>
        <v>0</v>
      </c>
      <c r="J113" s="180">
        <f>+J76</f>
        <v>0</v>
      </c>
      <c r="K113" s="42" t="s">
        <v>52</v>
      </c>
    </row>
    <row r="114" spans="1:12" ht="13.15" x14ac:dyDescent="0.4">
      <c r="B114" s="167" t="s">
        <v>85</v>
      </c>
      <c r="C114" s="179"/>
      <c r="D114" s="179"/>
      <c r="E114" s="179">
        <f>ROUND(($C$33*E77+F77)/10,4)</f>
        <v>7.8120000000000003</v>
      </c>
      <c r="F114" s="172"/>
    </row>
    <row r="115" spans="1:12" x14ac:dyDescent="0.35">
      <c r="C115" s="174"/>
      <c r="D115" s="171"/>
      <c r="E115" s="174"/>
      <c r="F115" s="171"/>
    </row>
    <row r="116" spans="1:12" x14ac:dyDescent="0.35">
      <c r="C116" s="174"/>
      <c r="D116" s="171"/>
      <c r="E116" s="174"/>
      <c r="F116" s="171"/>
    </row>
    <row r="118" spans="1:12" ht="13.15" x14ac:dyDescent="0.4">
      <c r="A118" s="178" t="s">
        <v>241</v>
      </c>
      <c r="B118" s="13" t="s">
        <v>242</v>
      </c>
      <c r="C118" s="166"/>
      <c r="E118" s="166"/>
    </row>
    <row r="119" spans="1:12" x14ac:dyDescent="0.35">
      <c r="C119" s="166"/>
      <c r="E119" s="166"/>
    </row>
    <row r="120" spans="1:12" ht="13.15" x14ac:dyDescent="0.4">
      <c r="C120" s="12" t="s">
        <v>0</v>
      </c>
      <c r="D120" s="12" t="s">
        <v>1</v>
      </c>
      <c r="E120" s="12" t="s">
        <v>2</v>
      </c>
      <c r="F120" s="12" t="s">
        <v>3</v>
      </c>
      <c r="G120" s="12" t="s">
        <v>4</v>
      </c>
      <c r="H120" s="12" t="s">
        <v>6</v>
      </c>
      <c r="I120" s="12" t="s">
        <v>37</v>
      </c>
      <c r="J120" s="12" t="s">
        <v>38</v>
      </c>
    </row>
    <row r="121" spans="1:12" x14ac:dyDescent="0.35">
      <c r="B121" s="11" t="s">
        <v>243</v>
      </c>
    </row>
    <row r="122" spans="1:12" x14ac:dyDescent="0.35">
      <c r="B122" s="32" t="s">
        <v>53</v>
      </c>
      <c r="C122" s="164">
        <f>+C94/100*'Attach2 - BidFactors'!O53+'Attach3 - AuctionRateResult'!C95/100*'Attach2 - BidFactors'!O54</f>
        <v>654672.94645507191</v>
      </c>
      <c r="D122" s="164">
        <f>+D94/100*'Attach2 - BidFactors'!P53+'Attach3 - AuctionRateResult'!D95/100*'Attach2 - BidFactors'!P54</f>
        <v>1452.4420163323337</v>
      </c>
      <c r="E122" s="181">
        <f>+E91/100*'Attach2 - BidFactors'!Q50+E92/100*'Attach2 - BidFactors'!Q51</f>
        <v>8996.2522211600863</v>
      </c>
      <c r="F122" s="164">
        <f>+F90/100*'Attach2 - BidFactors'!R49</f>
        <v>4.4262980000000001</v>
      </c>
      <c r="G122" s="164">
        <f>+G90/100*'Attach2 - BidFactors'!S49</f>
        <v>6.7830000000000001E-2</v>
      </c>
      <c r="H122" s="164">
        <f>+H90/100*'Attach2 - BidFactors'!T49</f>
        <v>167.26280995319851</v>
      </c>
      <c r="I122" s="164">
        <f>+I90/100*'Attach2 - BidFactors'!U49</f>
        <v>2485.7569620000004</v>
      </c>
      <c r="J122" s="164">
        <f>+J90/100*'Attach2 - BidFactors'!V49</f>
        <v>5348.3908500000007</v>
      </c>
    </row>
    <row r="123" spans="1:12" ht="15" x14ac:dyDescent="0.65">
      <c r="B123" s="32" t="s">
        <v>54</v>
      </c>
      <c r="C123" s="182">
        <f>+C97/100*'Attach2 - BidFactors'!O45</f>
        <v>983569.32454813982</v>
      </c>
      <c r="D123" s="182">
        <f>+D97/100*'Attach2 - BidFactors'!P45</f>
        <v>5692.3257773933037</v>
      </c>
      <c r="E123" s="182">
        <f>+E98/100*'Attach2 - BidFactors'!Q46+'Attach3 - AuctionRateResult'!E99/100*'Attach2 - BidFactors'!Q47</f>
        <v>11448.182097224082</v>
      </c>
      <c r="F123" s="182">
        <f>+F97/100*'Attach2 - BidFactors'!R45</f>
        <v>12.76572</v>
      </c>
      <c r="G123" s="182">
        <f>+G97/100*'Attach2 - BidFactors'!S45</f>
        <v>0.59021899999999994</v>
      </c>
      <c r="H123" s="182">
        <f>+H97/100*'Attach2 - BidFactors'!T45</f>
        <v>616.82396978883469</v>
      </c>
      <c r="I123" s="182">
        <f>+I97/100*'Attach2 - BidFactors'!U45</f>
        <v>7995.3014159999993</v>
      </c>
      <c r="J123" s="182">
        <f>+J97/100*'Attach2 - BidFactors'!V45</f>
        <v>18094.953176999999</v>
      </c>
    </row>
    <row r="124" spans="1:12" x14ac:dyDescent="0.35">
      <c r="B124" s="32" t="s">
        <v>19</v>
      </c>
      <c r="C124" s="56">
        <f>+C123+C122</f>
        <v>1638242.2710032118</v>
      </c>
      <c r="D124" s="56">
        <f t="shared" ref="D124:J124" si="4">+D123+D122</f>
        <v>7144.7677937256376</v>
      </c>
      <c r="E124" s="56">
        <f t="shared" si="4"/>
        <v>20444.43431838417</v>
      </c>
      <c r="F124" s="56">
        <f t="shared" si="4"/>
        <v>17.192018000000001</v>
      </c>
      <c r="G124" s="56">
        <f t="shared" si="4"/>
        <v>0.65804899999999988</v>
      </c>
      <c r="H124" s="56">
        <f t="shared" si="4"/>
        <v>784.08677974203317</v>
      </c>
      <c r="I124" s="56">
        <f t="shared" si="4"/>
        <v>10481.058378</v>
      </c>
      <c r="J124" s="56">
        <f t="shared" si="4"/>
        <v>23443.344026999999</v>
      </c>
    </row>
    <row r="125" spans="1:12" x14ac:dyDescent="0.35">
      <c r="B125" s="32"/>
      <c r="C125" s="56"/>
      <c r="D125" s="56"/>
      <c r="E125" s="56"/>
      <c r="F125" s="56"/>
      <c r="G125" s="56"/>
      <c r="H125" s="56"/>
      <c r="I125" s="56"/>
      <c r="J125" s="56"/>
      <c r="K125" s="56"/>
      <c r="L125" s="56"/>
    </row>
    <row r="126" spans="1:12" x14ac:dyDescent="0.35">
      <c r="B126" s="32"/>
      <c r="C126" s="56"/>
      <c r="D126" s="56"/>
      <c r="E126" s="56"/>
      <c r="F126" s="56"/>
      <c r="G126" s="56"/>
      <c r="H126" s="56"/>
      <c r="I126" s="56"/>
      <c r="J126" s="56"/>
      <c r="K126" s="56"/>
      <c r="L126" s="56"/>
    </row>
    <row r="127" spans="1:12" ht="13.15" x14ac:dyDescent="0.4">
      <c r="B127" s="32"/>
      <c r="C127" s="12" t="s">
        <v>5</v>
      </c>
      <c r="D127" s="12" t="s">
        <v>5</v>
      </c>
      <c r="F127" s="12" t="s">
        <v>36</v>
      </c>
      <c r="G127" s="12" t="s">
        <v>36</v>
      </c>
      <c r="H127" s="56"/>
      <c r="I127" s="56"/>
      <c r="J127" s="56"/>
      <c r="K127" s="56"/>
      <c r="L127" s="56"/>
    </row>
    <row r="128" spans="1:12" ht="13.15" x14ac:dyDescent="0.4">
      <c r="B128" s="32"/>
      <c r="C128" s="12" t="s">
        <v>249</v>
      </c>
      <c r="D128" s="12" t="s">
        <v>250</v>
      </c>
      <c r="F128" s="12" t="s">
        <v>249</v>
      </c>
      <c r="G128" s="12" t="s">
        <v>250</v>
      </c>
      <c r="H128" s="56"/>
      <c r="I128" s="56"/>
      <c r="J128" s="56"/>
      <c r="K128" s="56"/>
      <c r="L128" s="56"/>
    </row>
    <row r="129" spans="2:12" x14ac:dyDescent="0.35">
      <c r="B129" s="32"/>
      <c r="G129" s="56"/>
      <c r="H129" s="56"/>
      <c r="I129" s="56"/>
      <c r="J129" s="56"/>
      <c r="K129" s="56"/>
      <c r="L129" s="56"/>
    </row>
    <row r="130" spans="2:12" x14ac:dyDescent="0.35">
      <c r="B130" s="32" t="s">
        <v>53</v>
      </c>
      <c r="C130" s="181">
        <f>+C108/100*'Attach2 - BidFactors'!W49</f>
        <v>142091.68118724466</v>
      </c>
      <c r="D130" s="181">
        <f>I109*'Attach2 - BidFactors'!K153*4+'Attach3 - AuctionRateResult'!I113*'Attach2 - BidFactors'!K155*4</f>
        <v>46014.512999999999</v>
      </c>
      <c r="F130" s="181">
        <f>+E109/100*'Attach2 - BidFactors'!X50+'Attach3 - AuctionRateResult'!E110/100*'Attach2 - BidFactors'!X51</f>
        <v>84145.358254530191</v>
      </c>
      <c r="G130" s="181">
        <f>'Attach3 - AuctionRateResult'!J109*'Attach2 - BidFactors'!L153*4+'Attach3 - AuctionRateResult'!J113*'Attach2 - BidFactors'!L155*4</f>
        <v>22463.777999999998</v>
      </c>
      <c r="H130" s="56"/>
      <c r="I130" s="56"/>
      <c r="J130" s="56"/>
      <c r="K130" s="56"/>
      <c r="L130" s="56"/>
    </row>
    <row r="131" spans="2:12" ht="15" x14ac:dyDescent="0.65">
      <c r="B131" s="32" t="s">
        <v>54</v>
      </c>
      <c r="C131" s="183">
        <f>+C112/100*'Attach2 - BidFactors'!W45</f>
        <v>271979.29250545043</v>
      </c>
      <c r="D131" s="183">
        <f>'Attach3 - AuctionRateResult'!I110*'Attach2 - BidFactors'!K153*8+'Attach3 - AuctionRateResult'!I113*'Attach2 - BidFactors'!K155*8</f>
        <v>92029.025999999998</v>
      </c>
      <c r="F131" s="183">
        <f>+E113/100*'Attach2 - BidFactors'!X46+'Attach3 - AuctionRateResult'!E114/100*'Attach2 - BidFactors'!X47</f>
        <v>163937.27307810602</v>
      </c>
      <c r="G131" s="183">
        <f>'Attach3 - AuctionRateResult'!J110*'Attach2 - BidFactors'!L153*8+'Attach3 - AuctionRateResult'!J113*'Attach2 - BidFactors'!L155*8</f>
        <v>44927.555999999997</v>
      </c>
      <c r="H131" s="56"/>
      <c r="I131" s="56"/>
      <c r="J131" s="56"/>
      <c r="K131" s="56"/>
      <c r="L131" s="56"/>
    </row>
    <row r="132" spans="2:12" x14ac:dyDescent="0.35">
      <c r="B132" s="32" t="s">
        <v>19</v>
      </c>
      <c r="C132" s="56">
        <f>+C131+C130</f>
        <v>414070.97369269509</v>
      </c>
      <c r="D132" s="56">
        <f>+D131+D130</f>
        <v>138043.53899999999</v>
      </c>
      <c r="F132" s="268">
        <f>+F131+F130</f>
        <v>248082.63133263623</v>
      </c>
      <c r="G132" s="268">
        <f>+G131+G130</f>
        <v>67391.334000000003</v>
      </c>
      <c r="H132" s="56"/>
      <c r="I132" s="56"/>
      <c r="J132" s="56"/>
      <c r="K132" s="56"/>
      <c r="L132" s="56"/>
    </row>
    <row r="133" spans="2:12" x14ac:dyDescent="0.35">
      <c r="B133" s="32"/>
      <c r="C133" s="56"/>
      <c r="F133" s="56"/>
      <c r="G133" s="56"/>
      <c r="H133" s="56"/>
      <c r="I133" s="56"/>
      <c r="J133" s="56"/>
      <c r="K133" s="56"/>
      <c r="L133" s="56"/>
    </row>
    <row r="134" spans="2:12" x14ac:dyDescent="0.35">
      <c r="B134" s="32"/>
      <c r="C134" s="56"/>
      <c r="D134" s="56"/>
      <c r="E134" s="56"/>
      <c r="F134" s="56"/>
      <c r="G134" s="56"/>
      <c r="H134" s="56"/>
      <c r="I134" s="56"/>
      <c r="J134" s="56"/>
      <c r="K134" s="56"/>
      <c r="L134" s="56"/>
    </row>
    <row r="135" spans="2:12" ht="13.15" x14ac:dyDescent="0.4">
      <c r="B135" s="32"/>
      <c r="C135" s="12" t="s">
        <v>249</v>
      </c>
      <c r="D135" s="12" t="s">
        <v>250</v>
      </c>
      <c r="E135" s="12" t="s">
        <v>251</v>
      </c>
      <c r="F135" s="56"/>
      <c r="G135" s="56"/>
      <c r="H135" s="56"/>
      <c r="I135" s="56"/>
      <c r="J135" s="56"/>
      <c r="K135" s="56"/>
      <c r="L135" s="56"/>
    </row>
    <row r="136" spans="2:12" x14ac:dyDescent="0.35">
      <c r="B136" s="32" t="s">
        <v>169</v>
      </c>
      <c r="C136" s="56">
        <f>SUM(C122:J122)+C130+F130</f>
        <v>899364.58488429245</v>
      </c>
      <c r="D136" s="56">
        <f>+D130+G130</f>
        <v>68478.290999999997</v>
      </c>
      <c r="E136" s="56">
        <f>+C136+D136</f>
        <v>967842.87588429241</v>
      </c>
      <c r="F136" s="56"/>
      <c r="G136" s="56"/>
      <c r="H136" s="56"/>
      <c r="I136" s="56"/>
      <c r="J136" s="56"/>
      <c r="K136" s="56"/>
      <c r="L136" s="56"/>
    </row>
    <row r="137" spans="2:12" ht="15" x14ac:dyDescent="0.65">
      <c r="B137" s="32" t="s">
        <v>170</v>
      </c>
      <c r="C137" s="163">
        <f>SUM(C123:J123)+C131+F131</f>
        <v>1463346.8325081028</v>
      </c>
      <c r="D137" s="163">
        <f>+D131+G131</f>
        <v>136956.58199999999</v>
      </c>
      <c r="E137" s="163">
        <f>+C137+D137</f>
        <v>1600303.4145081027</v>
      </c>
    </row>
    <row r="138" spans="2:12" ht="13.15" x14ac:dyDescent="0.4">
      <c r="B138" s="32" t="s">
        <v>171</v>
      </c>
      <c r="C138" s="56">
        <f>+C137+C136</f>
        <v>2362711.4173923954</v>
      </c>
      <c r="D138" s="56">
        <f>+D132+G132</f>
        <v>205434.87299999999</v>
      </c>
      <c r="E138" s="184">
        <f>+C138+D138</f>
        <v>2568146.2903923956</v>
      </c>
    </row>
    <row r="139" spans="2:12" x14ac:dyDescent="0.35">
      <c r="B139" s="32"/>
      <c r="C139" s="166"/>
      <c r="E139" s="166"/>
    </row>
    <row r="140" spans="2:12" ht="13.15" x14ac:dyDescent="0.4">
      <c r="C140" s="12"/>
      <c r="D140" s="12"/>
      <c r="E140" s="12"/>
      <c r="F140" s="12"/>
      <c r="G140" s="12"/>
      <c r="H140" s="12"/>
      <c r="I140" s="12"/>
      <c r="J140" s="12"/>
      <c r="K140" s="12"/>
      <c r="L140" s="12"/>
    </row>
    <row r="141" spans="2:12" x14ac:dyDescent="0.35">
      <c r="B141" s="11" t="s">
        <v>124</v>
      </c>
    </row>
    <row r="142" spans="2:12" x14ac:dyDescent="0.35">
      <c r="B142" s="32" t="s">
        <v>53</v>
      </c>
      <c r="C142" s="56">
        <f>+C25+D25+E25</f>
        <v>1006813.4744243857</v>
      </c>
    </row>
    <row r="143" spans="2:12" ht="15" x14ac:dyDescent="0.65">
      <c r="B143" s="32" t="s">
        <v>54</v>
      </c>
      <c r="C143" s="163">
        <f>+C26+D26+E26</f>
        <v>1561491.0206710813</v>
      </c>
      <c r="E143" s="185"/>
      <c r="F143" s="186"/>
      <c r="G143" s="186"/>
      <c r="H143" s="187"/>
    </row>
    <row r="144" spans="2:12" x14ac:dyDescent="0.35">
      <c r="B144" s="32" t="s">
        <v>19</v>
      </c>
      <c r="C144" s="56">
        <f>+C143+C142</f>
        <v>2568304.4950954672</v>
      </c>
      <c r="E144" s="188" t="s">
        <v>252</v>
      </c>
      <c r="H144" s="189"/>
    </row>
    <row r="145" spans="1:10" x14ac:dyDescent="0.35">
      <c r="C145" s="166"/>
      <c r="E145" s="188" t="s">
        <v>244</v>
      </c>
      <c r="F145" s="14" t="s">
        <v>248</v>
      </c>
      <c r="H145" s="189"/>
    </row>
    <row r="146" spans="1:10" x14ac:dyDescent="0.35">
      <c r="B146" s="190" t="s">
        <v>221</v>
      </c>
      <c r="C146" s="191"/>
      <c r="D146" s="191"/>
      <c r="E146" s="192" t="s">
        <v>245</v>
      </c>
      <c r="H146" s="189"/>
    </row>
    <row r="147" spans="1:10" x14ac:dyDescent="0.35">
      <c r="B147" s="32" t="s">
        <v>53</v>
      </c>
      <c r="C147" s="56">
        <f>+C142-E136</f>
        <v>38970.598540093284</v>
      </c>
      <c r="D147" s="143"/>
      <c r="E147" s="193">
        <f>ROUND(1+(C147/C136),5)</f>
        <v>1.0433300000000001</v>
      </c>
      <c r="H147" s="189"/>
    </row>
    <row r="148" spans="1:10" ht="15" x14ac:dyDescent="0.65">
      <c r="B148" s="32" t="s">
        <v>54</v>
      </c>
      <c r="C148" s="163">
        <f>+C143-E137</f>
        <v>-38812.393837021431</v>
      </c>
      <c r="D148" s="143"/>
      <c r="E148" s="193">
        <f>ROUND(1+(C148/C137),5)</f>
        <v>0.97348000000000001</v>
      </c>
      <c r="H148" s="189"/>
    </row>
    <row r="149" spans="1:10" x14ac:dyDescent="0.35">
      <c r="B149" s="32" t="s">
        <v>19</v>
      </c>
      <c r="C149" s="56">
        <f>+C144-E138</f>
        <v>158.20470307162032</v>
      </c>
      <c r="D149" s="143"/>
      <c r="E149" s="194"/>
      <c r="F149" s="195"/>
      <c r="G149" s="195"/>
      <c r="H149" s="196"/>
    </row>
    <row r="151" spans="1:10" x14ac:dyDescent="0.35">
      <c r="C151" s="11" t="s">
        <v>223</v>
      </c>
    </row>
    <row r="152" spans="1:10" x14ac:dyDescent="0.35">
      <c r="C152" s="11" t="s">
        <v>224</v>
      </c>
    </row>
    <row r="154" spans="1:10" ht="13.15" x14ac:dyDescent="0.4">
      <c r="A154" s="178" t="s">
        <v>253</v>
      </c>
      <c r="B154" s="61" t="s">
        <v>286</v>
      </c>
      <c r="C154" s="166"/>
      <c r="E154" s="166"/>
    </row>
    <row r="155" spans="1:10" x14ac:dyDescent="0.35">
      <c r="B155" s="14" t="s">
        <v>222</v>
      </c>
    </row>
    <row r="157" spans="1:10" ht="13.15" x14ac:dyDescent="0.4">
      <c r="B157" s="13" t="s">
        <v>199</v>
      </c>
    </row>
    <row r="158" spans="1:10" x14ac:dyDescent="0.35">
      <c r="B158" s="14" t="s">
        <v>246</v>
      </c>
    </row>
    <row r="159" spans="1:10" ht="13.15" x14ac:dyDescent="0.4">
      <c r="B159" s="13"/>
    </row>
    <row r="160" spans="1:10" ht="13.15" x14ac:dyDescent="0.4">
      <c r="C160" s="12" t="str">
        <f>+C120</f>
        <v>RS</v>
      </c>
      <c r="D160" s="12" t="str">
        <f t="shared" ref="D160:J160" si="5">+D120</f>
        <v>RHS</v>
      </c>
      <c r="E160" s="12" t="str">
        <f t="shared" si="5"/>
        <v>RLM</v>
      </c>
      <c r="F160" s="12" t="str">
        <f t="shared" si="5"/>
        <v>WH</v>
      </c>
      <c r="G160" s="12" t="str">
        <f t="shared" si="5"/>
        <v>WHS</v>
      </c>
      <c r="H160" s="12" t="str">
        <f t="shared" si="5"/>
        <v>HS</v>
      </c>
      <c r="I160" s="12" t="str">
        <f t="shared" si="5"/>
        <v>PSAL</v>
      </c>
      <c r="J160" s="12" t="str">
        <f t="shared" si="5"/>
        <v>BPL</v>
      </c>
    </row>
    <row r="161" spans="2:10" x14ac:dyDescent="0.35">
      <c r="C161" s="178"/>
      <c r="D161" s="178"/>
      <c r="E161" s="178"/>
      <c r="F161" s="179"/>
      <c r="G161" s="179"/>
      <c r="H161" s="179"/>
      <c r="I161" s="179"/>
      <c r="J161" s="179"/>
    </row>
    <row r="162" spans="2:10" x14ac:dyDescent="0.35">
      <c r="B162" s="28" t="s">
        <v>23</v>
      </c>
      <c r="C162" s="178"/>
      <c r="D162" s="178"/>
      <c r="E162" s="178"/>
      <c r="F162" s="179">
        <f>ROUND(+F90*$E$147,4)</f>
        <v>7.8273000000000001</v>
      </c>
      <c r="G162" s="179">
        <f>ROUND(+G90*$E$147,4)</f>
        <v>7.0769000000000002</v>
      </c>
      <c r="H162" s="179">
        <f>ROUND(+H90*$E$147,4)</f>
        <v>10.020799999999999</v>
      </c>
      <c r="I162" s="179">
        <f>ROUND(+I90*$E$147,4)</f>
        <v>6.9729999999999999</v>
      </c>
      <c r="J162" s="179">
        <f>ROUND(+J90*$E$147,4)</f>
        <v>6.9729999999999999</v>
      </c>
    </row>
    <row r="163" spans="2:10" x14ac:dyDescent="0.35">
      <c r="B163" s="167" t="s">
        <v>84</v>
      </c>
      <c r="C163" s="178"/>
      <c r="D163" s="178"/>
      <c r="E163" s="179">
        <f>ROUND(+E91*$E$147,4)</f>
        <v>20.503299999999999</v>
      </c>
      <c r="G163" s="179"/>
      <c r="H163" s="179"/>
      <c r="I163" s="179"/>
      <c r="J163" s="178"/>
    </row>
    <row r="164" spans="2:10" x14ac:dyDescent="0.35">
      <c r="B164" s="167" t="s">
        <v>85</v>
      </c>
      <c r="C164" s="178"/>
      <c r="D164" s="178"/>
      <c r="E164" s="179">
        <f>ROUND(+E92*$E$147,4)</f>
        <v>6.5804999999999998</v>
      </c>
      <c r="F164" s="178"/>
      <c r="G164" s="178"/>
      <c r="H164" s="178"/>
      <c r="I164" s="178"/>
      <c r="J164" s="178"/>
    </row>
    <row r="165" spans="2:10" ht="13.15" x14ac:dyDescent="0.4">
      <c r="B165" s="228"/>
      <c r="C165" s="178"/>
      <c r="D165" s="178"/>
      <c r="E165" s="178"/>
      <c r="F165" s="178"/>
      <c r="G165" s="178"/>
      <c r="H165" s="178"/>
      <c r="I165" s="178"/>
      <c r="J165" s="178"/>
    </row>
    <row r="166" spans="2:10" x14ac:dyDescent="0.35">
      <c r="B166" s="173" t="s">
        <v>165</v>
      </c>
      <c r="C166" s="179">
        <f>ROUND(+C94*$E$147,4)</f>
        <v>11.926600000000001</v>
      </c>
      <c r="D166" s="179">
        <f>ROUND(+D94*$E$147,4)</f>
        <v>9.8861000000000008</v>
      </c>
      <c r="E166" s="178"/>
      <c r="F166" s="178"/>
      <c r="G166" s="178"/>
      <c r="H166" s="178"/>
      <c r="I166" s="178"/>
      <c r="J166" s="178"/>
    </row>
    <row r="167" spans="2:10" x14ac:dyDescent="0.35">
      <c r="B167" s="173" t="s">
        <v>166</v>
      </c>
      <c r="C167" s="179">
        <f>ROUND(+C95*$E$147,4)</f>
        <v>12.8293</v>
      </c>
      <c r="D167" s="179">
        <f>ROUND(+D95*$E$147,4)</f>
        <v>11.0931</v>
      </c>
      <c r="E167" s="178"/>
      <c r="F167" s="178"/>
      <c r="G167" s="178"/>
      <c r="H167" s="178"/>
      <c r="I167" s="178"/>
      <c r="J167" s="178"/>
    </row>
    <row r="168" spans="2:10" x14ac:dyDescent="0.35">
      <c r="C168" s="179"/>
      <c r="D168" s="179"/>
      <c r="E168" s="178"/>
      <c r="F168" s="178"/>
      <c r="G168" s="178"/>
      <c r="H168" s="178"/>
      <c r="I168" s="178"/>
      <c r="J168" s="178"/>
    </row>
    <row r="169" spans="2:10" x14ac:dyDescent="0.35">
      <c r="B169" s="28" t="s">
        <v>24</v>
      </c>
      <c r="C169" s="179">
        <f>ROUND(+C97*$E$148,4)</f>
        <v>12.150499999999999</v>
      </c>
      <c r="D169" s="179">
        <f>ROUND(+D97*$E$148,4)</f>
        <v>10.5671</v>
      </c>
      <c r="E169" s="178"/>
      <c r="F169" s="179">
        <f>ROUND(+F97*$E$148,4)</f>
        <v>8.1758000000000006</v>
      </c>
      <c r="G169" s="179">
        <f>ROUND(+G97*$E$148,4)</f>
        <v>8.2081</v>
      </c>
      <c r="H169" s="179">
        <f>ROUND(+H97*$E$148,4)</f>
        <v>10.4055</v>
      </c>
      <c r="I169" s="179">
        <f>ROUND(+I97*$E$148,4)</f>
        <v>7.9819000000000004</v>
      </c>
      <c r="J169" s="179">
        <f>ROUND(+J97*$E$148,4)</f>
        <v>7.9819000000000004</v>
      </c>
    </row>
    <row r="170" spans="2:10" x14ac:dyDescent="0.35">
      <c r="B170" s="167" t="s">
        <v>84</v>
      </c>
      <c r="C170" s="178"/>
      <c r="D170" s="178"/>
      <c r="E170" s="179">
        <f>ROUND(+E98*$E$148,4)</f>
        <v>19.076799999999999</v>
      </c>
      <c r="F170" s="178"/>
      <c r="G170" s="178"/>
      <c r="H170" s="178"/>
      <c r="I170" s="178"/>
      <c r="J170" s="178"/>
    </row>
    <row r="171" spans="2:10" x14ac:dyDescent="0.35">
      <c r="B171" s="167" t="s">
        <v>85</v>
      </c>
      <c r="C171" s="178"/>
      <c r="D171" s="178"/>
      <c r="E171" s="179">
        <f>ROUND(+E99*$E$148,4)</f>
        <v>7.6910999999999996</v>
      </c>
      <c r="F171" s="178"/>
      <c r="G171" s="178"/>
      <c r="H171" s="178"/>
      <c r="I171" s="178"/>
      <c r="J171" s="178"/>
    </row>
    <row r="172" spans="2:10" x14ac:dyDescent="0.35">
      <c r="C172" s="178"/>
      <c r="D172" s="178"/>
      <c r="E172" s="179"/>
      <c r="F172" s="178"/>
      <c r="G172" s="178"/>
      <c r="H172" s="178"/>
      <c r="I172" s="178"/>
      <c r="J172" s="178"/>
    </row>
    <row r="175" spans="2:10" ht="13.15" x14ac:dyDescent="0.4">
      <c r="B175" s="13" t="s">
        <v>200</v>
      </c>
    </row>
    <row r="176" spans="2:10" x14ac:dyDescent="0.35">
      <c r="B176" s="14" t="s">
        <v>247</v>
      </c>
    </row>
    <row r="177" spans="1:12" x14ac:dyDescent="0.35">
      <c r="B177" s="169"/>
    </row>
    <row r="178" spans="1:12" ht="13.15" x14ac:dyDescent="0.4">
      <c r="C178" s="12" t="str">
        <f>+C106</f>
        <v>GLP</v>
      </c>
      <c r="D178" s="12"/>
      <c r="E178" s="12" t="str">
        <f>+E106</f>
        <v>LPL-S</v>
      </c>
      <c r="F178" s="12"/>
      <c r="H178" s="13" t="s">
        <v>31</v>
      </c>
      <c r="I178" s="12" t="str">
        <f>+C178</f>
        <v>GLP</v>
      </c>
      <c r="J178" s="12" t="str">
        <f>+E178</f>
        <v>LPL-S</v>
      </c>
    </row>
    <row r="179" spans="1:12" ht="13.15" x14ac:dyDescent="0.4">
      <c r="F179" s="175"/>
    </row>
    <row r="180" spans="1:12" x14ac:dyDescent="0.35">
      <c r="B180" s="28" t="s">
        <v>23</v>
      </c>
      <c r="C180" s="179">
        <f>ROUND(+C108*$E$147,4)</f>
        <v>8.2759</v>
      </c>
      <c r="D180" s="179"/>
      <c r="E180" s="179"/>
      <c r="F180" s="171"/>
      <c r="H180" s="176" t="s">
        <v>28</v>
      </c>
    </row>
    <row r="181" spans="1:12" ht="13.15" x14ac:dyDescent="0.4">
      <c r="B181" s="167" t="s">
        <v>84</v>
      </c>
      <c r="C181" s="179"/>
      <c r="D181" s="179"/>
      <c r="E181" s="179">
        <f>ROUND(+E109*$E$147,4)</f>
        <v>9.8383000000000003</v>
      </c>
      <c r="F181" s="172"/>
      <c r="H181" s="36" t="s">
        <v>47</v>
      </c>
      <c r="I181" s="197">
        <f>+I109</f>
        <v>10.1775</v>
      </c>
      <c r="J181" s="197">
        <f>+J109</f>
        <v>10.1775</v>
      </c>
    </row>
    <row r="182" spans="1:12" ht="13.15" x14ac:dyDescent="0.4">
      <c r="B182" s="167" t="s">
        <v>85</v>
      </c>
      <c r="C182" s="179"/>
      <c r="D182" s="179"/>
      <c r="E182" s="179">
        <f>ROUND(+E110*$E$147,4)</f>
        <v>6.5458999999999996</v>
      </c>
      <c r="F182" s="172"/>
      <c r="H182" s="36" t="s">
        <v>48</v>
      </c>
      <c r="I182" s="197">
        <f>+I110</f>
        <v>10.1775</v>
      </c>
      <c r="J182" s="197">
        <f>+J110</f>
        <v>10.1775</v>
      </c>
    </row>
    <row r="183" spans="1:12" ht="13.15" x14ac:dyDescent="0.4">
      <c r="C183" s="179"/>
      <c r="D183" s="179"/>
      <c r="E183" s="179"/>
      <c r="F183" s="172"/>
      <c r="H183" s="36"/>
      <c r="I183" s="177"/>
      <c r="J183" s="177"/>
    </row>
    <row r="184" spans="1:12" ht="13.15" x14ac:dyDescent="0.4">
      <c r="B184" s="28" t="s">
        <v>24</v>
      </c>
      <c r="C184" s="179">
        <f>ROUND(+C112*$E$148,4)</f>
        <v>8.4025999999999996</v>
      </c>
      <c r="D184" s="179"/>
      <c r="E184" s="179"/>
      <c r="F184" s="172"/>
      <c r="H184" s="176" t="s">
        <v>29</v>
      </c>
      <c r="I184" s="55"/>
      <c r="J184" s="55"/>
    </row>
    <row r="185" spans="1:12" ht="13.15" x14ac:dyDescent="0.4">
      <c r="B185" s="167" t="s">
        <v>84</v>
      </c>
      <c r="C185" s="179"/>
      <c r="D185" s="179"/>
      <c r="E185" s="179">
        <f>ROUND(+E113*$E$148,4)</f>
        <v>9.1159999999999997</v>
      </c>
      <c r="F185" s="172"/>
      <c r="H185" s="36" t="s">
        <v>49</v>
      </c>
      <c r="I185" s="197">
        <f>+I113</f>
        <v>0</v>
      </c>
      <c r="J185" s="197">
        <f>+J113</f>
        <v>0</v>
      </c>
    </row>
    <row r="186" spans="1:12" ht="13.15" x14ac:dyDescent="0.4">
      <c r="B186" s="167" t="s">
        <v>85</v>
      </c>
      <c r="C186" s="179"/>
      <c r="D186" s="179"/>
      <c r="E186" s="179">
        <f>ROUND(+E114*$E$148,4)</f>
        <v>7.6048</v>
      </c>
      <c r="F186" s="172"/>
    </row>
    <row r="190" spans="1:12" ht="13.15" x14ac:dyDescent="0.4">
      <c r="A190" s="178" t="s">
        <v>256</v>
      </c>
      <c r="B190" s="13" t="s">
        <v>254</v>
      </c>
      <c r="C190" s="166"/>
      <c r="E190" s="166"/>
    </row>
    <row r="191" spans="1:12" x14ac:dyDescent="0.35">
      <c r="C191" s="166"/>
      <c r="E191" s="166"/>
    </row>
    <row r="192" spans="1:12" ht="13.15" x14ac:dyDescent="0.4">
      <c r="C192" s="12" t="s">
        <v>0</v>
      </c>
      <c r="D192" s="12" t="s">
        <v>1</v>
      </c>
      <c r="E192" s="12" t="s">
        <v>2</v>
      </c>
      <c r="F192" s="12" t="s">
        <v>3</v>
      </c>
      <c r="G192" s="12" t="s">
        <v>4</v>
      </c>
      <c r="H192" s="12" t="s">
        <v>6</v>
      </c>
      <c r="I192" s="12" t="s">
        <v>37</v>
      </c>
      <c r="J192" s="12" t="s">
        <v>38</v>
      </c>
      <c r="K192" s="12" t="s">
        <v>5</v>
      </c>
      <c r="L192" s="12" t="s">
        <v>36</v>
      </c>
    </row>
    <row r="193" spans="2:18" x14ac:dyDescent="0.35">
      <c r="B193" s="11" t="s">
        <v>123</v>
      </c>
      <c r="C193" s="831"/>
      <c r="K193" s="832"/>
      <c r="L193" s="832"/>
    </row>
    <row r="194" spans="2:18" x14ac:dyDescent="0.35">
      <c r="B194" s="32" t="s">
        <v>53</v>
      </c>
      <c r="C194" s="164">
        <f>+C166/100*'Attach2 - BidFactors'!O53+'Attach3 - AuctionRateResult'!C167/100*'Attach2 - BidFactors'!O54</f>
        <v>683039.12538657966</v>
      </c>
      <c r="D194" s="164">
        <f>+D166/100*'Attach2 - BidFactors'!P53+'Attach3 - AuctionRateResult'!D167/100*'Attach2 - BidFactors'!P54</f>
        <v>1515.3788974226995</v>
      </c>
      <c r="E194" s="181">
        <f>+E163/100*'Attach2 - BidFactors'!Q50+E164/100*'Attach2 - BidFactors'!Q51</f>
        <v>9386.0589263139154</v>
      </c>
      <c r="F194" s="164">
        <f>+F162/100*'Attach2 - BidFactors'!R49</f>
        <v>4.6181069999999993</v>
      </c>
      <c r="G194" s="164">
        <f>+G162/100*'Attach2 - BidFactors'!S49</f>
        <v>7.0768999999999999E-2</v>
      </c>
      <c r="H194" s="164">
        <f>+H162/100*'Attach2 - BidFactors'!T49</f>
        <v>174.51087666108026</v>
      </c>
      <c r="I194" s="164">
        <f>+I162/100*'Attach2 - BidFactors'!U49</f>
        <v>2593.4678899999999</v>
      </c>
      <c r="J194" s="164">
        <f>+J162/100*'Attach2 - BidFactors'!V49</f>
        <v>5580.1432500000001</v>
      </c>
      <c r="K194" s="181">
        <f>+C180/100*'Attach2 - BidFactors'!W49+I181*'Attach2 - BidFactors'!K153*4+'Attach3 - AuctionRateResult'!I185*'Attach2 - BidFactors'!K155*4</f>
        <v>194262.98685813748</v>
      </c>
      <c r="L194" s="181">
        <f>+E181/100*'Attach2 - BidFactors'!X50+'Attach3 - AuctionRateResult'!E182/100*'Attach2 - BidFactors'!X51+'Attach3 - AuctionRateResult'!J181*'Attach2 - BidFactors'!L153*4+'Attach3 - AuctionRateResult'!J185*'Attach2 - BidFactors'!L155*4</f>
        <v>110255.47649851497</v>
      </c>
    </row>
    <row r="195" spans="2:18" ht="15" x14ac:dyDescent="0.65">
      <c r="B195" s="32" t="s">
        <v>54</v>
      </c>
      <c r="C195" s="182">
        <f>+C169/100*'Attach2 - BidFactors'!O45</f>
        <v>957485.80522550736</v>
      </c>
      <c r="D195" s="182">
        <f>+D169/100*'Attach2 - BidFactors'!P45</f>
        <v>5541.3519781015921</v>
      </c>
      <c r="E195" s="182">
        <f>+E170/100*'Attach2 - BidFactors'!Q46+'Attach3 - AuctionRateResult'!E171/100*'Attach2 - BidFactors'!Q47</f>
        <v>11144.588349272472</v>
      </c>
      <c r="F195" s="182">
        <f>+F169/100*'Attach2 - BidFactors'!R45</f>
        <v>12.427216000000001</v>
      </c>
      <c r="G195" s="182">
        <f>+G169/100*'Attach2 - BidFactors'!S45</f>
        <v>0.57456700000000005</v>
      </c>
      <c r="H195" s="182">
        <f>+H169/100*'Attach2 - BidFactors'!T45</f>
        <v>600.46419848795199</v>
      </c>
      <c r="I195" s="182">
        <f>+I169/100*'Attach2 - BidFactors'!U45</f>
        <v>7783.3103280000005</v>
      </c>
      <c r="J195" s="182">
        <f>+J169/100*'Attach2 - BidFactors'!V45</f>
        <v>17615.175291</v>
      </c>
      <c r="K195" s="183">
        <f>+C184/100*'Attach2 - BidFactors'!W45+'Attach3 - AuctionRateResult'!I182*'Attach2 - BidFactors'!K153*8+'Attach3 - AuctionRateResult'!I185*'Attach2 - BidFactors'!K155*8</f>
        <v>356795.6602126279</v>
      </c>
      <c r="L195" s="183">
        <f>+E185/100*'Attach2 - BidFactors'!X46+'Attach3 - AuctionRateResult'!E186/100*'Attach2 - BidFactors'!X47+'Attach3 - AuctionRateResult'!J182*'Attach2 - BidFactors'!L153*8+'Attach3 - AuctionRateResult'!J185*'Attach2 - BidFactors'!L155*8</f>
        <v>204517.32456400606</v>
      </c>
    </row>
    <row r="196" spans="2:18" x14ac:dyDescent="0.35">
      <c r="B196" s="32" t="s">
        <v>19</v>
      </c>
      <c r="C196" s="56">
        <f t="shared" ref="C196:L196" si="6">+C195+C194</f>
        <v>1640524.930612087</v>
      </c>
      <c r="D196" s="56">
        <f t="shared" si="6"/>
        <v>7056.7308755242921</v>
      </c>
      <c r="E196" s="56">
        <f t="shared" si="6"/>
        <v>20530.647275586387</v>
      </c>
      <c r="F196" s="56">
        <f t="shared" si="6"/>
        <v>17.045323</v>
      </c>
      <c r="G196" s="56">
        <f t="shared" si="6"/>
        <v>0.64533600000000002</v>
      </c>
      <c r="H196" s="56">
        <f t="shared" si="6"/>
        <v>774.97507514903225</v>
      </c>
      <c r="I196" s="56">
        <f t="shared" si="6"/>
        <v>10376.778217999999</v>
      </c>
      <c r="J196" s="56">
        <f t="shared" si="6"/>
        <v>23195.318541000001</v>
      </c>
      <c r="K196" s="56">
        <f t="shared" si="6"/>
        <v>551058.64707076538</v>
      </c>
      <c r="L196" s="56">
        <f t="shared" si="6"/>
        <v>314772.80106252106</v>
      </c>
    </row>
    <row r="197" spans="2:18" ht="13.15" x14ac:dyDescent="0.4">
      <c r="B197" s="32"/>
      <c r="C197" s="833"/>
      <c r="D197" s="56"/>
      <c r="E197" s="56"/>
      <c r="F197" s="56"/>
      <c r="G197" s="56"/>
      <c r="H197" s="56"/>
      <c r="I197" s="56"/>
      <c r="J197" s="56"/>
      <c r="K197" s="833"/>
      <c r="L197" s="833"/>
      <c r="M197" s="801"/>
      <c r="N197" s="483"/>
      <c r="O197" s="483"/>
      <c r="P197" s="483"/>
      <c r="Q197" s="483"/>
      <c r="R197" s="483"/>
    </row>
    <row r="198" spans="2:18" x14ac:dyDescent="0.35">
      <c r="B198" s="32" t="s">
        <v>169</v>
      </c>
      <c r="C198" s="56">
        <f>SUM(C194:L194)</f>
        <v>1006811.8374596298</v>
      </c>
      <c r="D198" s="56"/>
      <c r="E198" s="56"/>
      <c r="F198" s="56"/>
      <c r="G198" s="56"/>
      <c r="H198" s="56"/>
      <c r="I198" s="56"/>
      <c r="J198" s="56"/>
      <c r="K198" s="56"/>
      <c r="L198" s="56"/>
    </row>
    <row r="199" spans="2:18" ht="15" x14ac:dyDescent="0.65">
      <c r="B199" s="32" t="s">
        <v>170</v>
      </c>
      <c r="C199" s="163">
        <f>SUM(C195:L195)</f>
        <v>1561496.6819300032</v>
      </c>
      <c r="E199" s="166"/>
    </row>
    <row r="200" spans="2:18" x14ac:dyDescent="0.35">
      <c r="B200" s="32" t="s">
        <v>171</v>
      </c>
      <c r="C200" s="56">
        <f>+C199+C198</f>
        <v>2568308.5193896331</v>
      </c>
      <c r="E200" s="166"/>
    </row>
    <row r="201" spans="2:18" x14ac:dyDescent="0.35">
      <c r="B201" s="32"/>
      <c r="C201" s="834"/>
      <c r="E201" s="166"/>
      <c r="K201" s="834"/>
      <c r="L201" s="834"/>
    </row>
    <row r="202" spans="2:18" ht="13.15" x14ac:dyDescent="0.4">
      <c r="C202" s="12"/>
      <c r="D202" s="12"/>
      <c r="E202" s="12"/>
      <c r="F202" s="12"/>
      <c r="G202" s="12"/>
      <c r="H202" s="12"/>
      <c r="I202" s="12"/>
      <c r="J202" s="12"/>
      <c r="K202" s="12"/>
      <c r="L202" s="800"/>
    </row>
    <row r="203" spans="2:18" ht="13.15" x14ac:dyDescent="0.4">
      <c r="B203" s="11" t="s">
        <v>124</v>
      </c>
      <c r="L203" s="800"/>
    </row>
    <row r="204" spans="2:18" x14ac:dyDescent="0.35">
      <c r="B204" s="32" t="s">
        <v>53</v>
      </c>
      <c r="C204" s="56">
        <f>+C25+D25+E25</f>
        <v>1006813.4744243857</v>
      </c>
    </row>
    <row r="205" spans="2:18" ht="15" x14ac:dyDescent="0.65">
      <c r="B205" s="32" t="s">
        <v>54</v>
      </c>
      <c r="C205" s="163">
        <f>+C26+D26+E26</f>
        <v>1561491.0206710813</v>
      </c>
    </row>
    <row r="206" spans="2:18" x14ac:dyDescent="0.35">
      <c r="B206" s="32" t="s">
        <v>19</v>
      </c>
      <c r="C206" s="56">
        <f>+C205+C204</f>
        <v>2568304.4950954672</v>
      </c>
      <c r="D206" s="56"/>
      <c r="G206" s="32"/>
    </row>
    <row r="207" spans="2:18" x14ac:dyDescent="0.35">
      <c r="C207" s="166"/>
      <c r="E207" s="166"/>
      <c r="G207" s="32"/>
    </row>
    <row r="208" spans="2:18" x14ac:dyDescent="0.35">
      <c r="B208" s="190" t="s">
        <v>221</v>
      </c>
      <c r="C208" s="56"/>
      <c r="E208" s="198" t="s">
        <v>225</v>
      </c>
      <c r="G208" s="198"/>
    </row>
    <row r="209" spans="2:12" x14ac:dyDescent="0.35">
      <c r="B209" s="32" t="s">
        <v>53</v>
      </c>
      <c r="C209" s="56">
        <f>+C198-C204</f>
        <v>-1.6369647559477016</v>
      </c>
      <c r="E209" s="143">
        <f>+C209/C198</f>
        <v>-1.62588946121061E-6</v>
      </c>
    </row>
    <row r="210" spans="2:12" ht="15" x14ac:dyDescent="0.65">
      <c r="B210" s="32" t="s">
        <v>54</v>
      </c>
      <c r="C210" s="163">
        <f>+C199-C205</f>
        <v>5.6612589219585061</v>
      </c>
      <c r="E210" s="144">
        <f>+C210/C199</f>
        <v>3.6255337507097451E-6</v>
      </c>
    </row>
    <row r="211" spans="2:12" x14ac:dyDescent="0.35">
      <c r="B211" s="32" t="s">
        <v>19</v>
      </c>
      <c r="C211" s="56">
        <f>+C200-C206</f>
        <v>4.0242941658943892</v>
      </c>
      <c r="E211" s="143">
        <f>+C211/C200</f>
        <v>1.5669044959017524E-6</v>
      </c>
    </row>
    <row r="213" spans="2:12" x14ac:dyDescent="0.35">
      <c r="C213" s="53"/>
    </row>
    <row r="215" spans="2:12" x14ac:dyDescent="0.35">
      <c r="B215" s="48"/>
    </row>
    <row r="216" spans="2:12" ht="13.15" x14ac:dyDescent="0.4">
      <c r="C216" s="12"/>
      <c r="D216" s="12"/>
      <c r="E216" s="12"/>
      <c r="F216" s="12"/>
      <c r="G216" s="12"/>
      <c r="H216" s="12"/>
      <c r="I216" s="12"/>
      <c r="J216" s="12"/>
      <c r="K216" s="12"/>
      <c r="L216" s="12"/>
    </row>
    <row r="217" spans="2:12" x14ac:dyDescent="0.35">
      <c r="C217" s="793"/>
      <c r="K217" s="797"/>
      <c r="L217" s="797"/>
    </row>
    <row r="218" spans="2:12" x14ac:dyDescent="0.35">
      <c r="B218" s="32"/>
      <c r="C218" s="164"/>
      <c r="D218" s="164"/>
      <c r="E218" s="181"/>
      <c r="F218" s="164"/>
      <c r="G218" s="164"/>
      <c r="H218" s="164"/>
      <c r="I218" s="164"/>
      <c r="J218" s="164"/>
      <c r="K218" s="181"/>
      <c r="L218" s="181"/>
    </row>
    <row r="219" spans="2:12" ht="15" x14ac:dyDescent="0.65">
      <c r="B219" s="32"/>
      <c r="C219" s="182"/>
      <c r="D219" s="182"/>
      <c r="E219" s="182"/>
      <c r="F219" s="182"/>
      <c r="G219" s="182"/>
      <c r="H219" s="182"/>
      <c r="I219" s="182"/>
      <c r="J219" s="182"/>
      <c r="K219" s="183"/>
      <c r="L219" s="183"/>
    </row>
    <row r="220" spans="2:12" x14ac:dyDescent="0.35">
      <c r="B220" s="32"/>
      <c r="C220" s="56"/>
      <c r="D220" s="56"/>
      <c r="E220" s="56"/>
      <c r="F220" s="56"/>
      <c r="G220" s="56"/>
      <c r="H220" s="56"/>
      <c r="I220" s="56"/>
      <c r="J220" s="56"/>
      <c r="K220" s="56"/>
      <c r="L220" s="56"/>
    </row>
    <row r="221" spans="2:12" x14ac:dyDescent="0.35">
      <c r="B221" s="32"/>
      <c r="C221" s="794"/>
      <c r="D221" s="56"/>
      <c r="E221" s="56"/>
      <c r="F221" s="56"/>
      <c r="G221" s="56"/>
      <c r="H221" s="56"/>
      <c r="I221" s="56"/>
      <c r="J221" s="56"/>
      <c r="K221" s="794"/>
      <c r="L221" s="794"/>
    </row>
    <row r="222" spans="2:12" x14ac:dyDescent="0.35">
      <c r="B222" s="32"/>
      <c r="C222" s="56"/>
      <c r="D222" s="56"/>
      <c r="E222" s="56"/>
      <c r="F222" s="56"/>
      <c r="G222" s="56"/>
      <c r="H222" s="56"/>
      <c r="I222" s="56"/>
      <c r="J222" s="56"/>
      <c r="K222" s="56"/>
      <c r="L222" s="56"/>
    </row>
    <row r="223" spans="2:12" ht="15" x14ac:dyDescent="0.65">
      <c r="B223" s="32"/>
      <c r="C223" s="163"/>
      <c r="E223" s="166"/>
    </row>
    <row r="224" spans="2:12" x14ac:dyDescent="0.35">
      <c r="B224" s="32"/>
      <c r="C224" s="795"/>
      <c r="E224" s="166"/>
    </row>
    <row r="225" spans="2:12" x14ac:dyDescent="0.35">
      <c r="B225" s="32"/>
      <c r="C225" s="796"/>
      <c r="E225" s="166"/>
      <c r="K225" s="796"/>
      <c r="L225" s="796"/>
    </row>
    <row r="228" spans="2:12" x14ac:dyDescent="0.35">
      <c r="B228" s="48"/>
    </row>
    <row r="230" spans="2:12" ht="13.15" x14ac:dyDescent="0.4">
      <c r="C230" s="12"/>
      <c r="D230" s="12"/>
      <c r="E230" s="12"/>
      <c r="F230" s="12"/>
      <c r="G230" s="12"/>
      <c r="H230" s="12"/>
      <c r="I230" s="12"/>
      <c r="J230" s="12"/>
      <c r="K230" s="12"/>
      <c r="L230" s="12"/>
    </row>
    <row r="231" spans="2:12" x14ac:dyDescent="0.35">
      <c r="C231" s="793"/>
      <c r="K231" s="797"/>
      <c r="L231" s="797"/>
    </row>
    <row r="232" spans="2:12" x14ac:dyDescent="0.35">
      <c r="B232" s="32"/>
      <c r="C232" s="164"/>
      <c r="D232" s="164"/>
      <c r="E232" s="181"/>
      <c r="F232" s="164"/>
      <c r="G232" s="164"/>
      <c r="H232" s="164"/>
      <c r="I232" s="164"/>
      <c r="J232" s="164"/>
      <c r="K232" s="181"/>
      <c r="L232" s="181"/>
    </row>
    <row r="233" spans="2:12" ht="15" x14ac:dyDescent="0.65">
      <c r="B233" s="32"/>
      <c r="C233" s="182"/>
      <c r="D233" s="182"/>
      <c r="E233" s="182"/>
      <c r="F233" s="182"/>
      <c r="G233" s="182"/>
      <c r="H233" s="182"/>
      <c r="I233" s="182"/>
      <c r="J233" s="182"/>
      <c r="K233" s="183"/>
      <c r="L233" s="183"/>
    </row>
    <row r="234" spans="2:12" x14ac:dyDescent="0.35">
      <c r="B234" s="32"/>
      <c r="C234" s="56"/>
      <c r="D234" s="56"/>
      <c r="E234" s="56"/>
      <c r="F234" s="56"/>
      <c r="G234" s="56"/>
      <c r="H234" s="56"/>
      <c r="I234" s="56"/>
      <c r="J234" s="56"/>
      <c r="K234" s="56"/>
      <c r="L234" s="56"/>
    </row>
    <row r="235" spans="2:12" x14ac:dyDescent="0.35">
      <c r="B235" s="32"/>
      <c r="C235" s="794"/>
      <c r="D235" s="56"/>
      <c r="E235" s="56"/>
      <c r="F235" s="56"/>
      <c r="G235" s="56"/>
      <c r="H235" s="56"/>
      <c r="I235" s="56"/>
      <c r="J235" s="56"/>
      <c r="K235" s="794"/>
      <c r="L235" s="794"/>
    </row>
    <row r="236" spans="2:12" x14ac:dyDescent="0.35">
      <c r="B236" s="32"/>
      <c r="C236" s="56"/>
      <c r="D236" s="56"/>
      <c r="E236" s="56"/>
      <c r="F236" s="56"/>
      <c r="G236" s="56"/>
      <c r="H236" s="56"/>
      <c r="I236" s="56"/>
      <c r="J236" s="56"/>
      <c r="K236" s="56"/>
      <c r="L236" s="56"/>
    </row>
    <row r="237" spans="2:12" ht="15" x14ac:dyDescent="0.65">
      <c r="B237" s="32"/>
      <c r="C237" s="163"/>
      <c r="E237" s="166"/>
    </row>
    <row r="238" spans="2:12" x14ac:dyDescent="0.35">
      <c r="B238" s="32"/>
      <c r="C238" s="795"/>
      <c r="E238" s="166"/>
    </row>
    <row r="239" spans="2:12" x14ac:dyDescent="0.35">
      <c r="B239" s="32"/>
      <c r="C239" s="796"/>
      <c r="E239" s="166"/>
      <c r="K239" s="796"/>
      <c r="L239" s="796"/>
    </row>
    <row r="240" spans="2:12" ht="13.15" x14ac:dyDescent="0.4">
      <c r="C240" s="12"/>
      <c r="D240" s="12"/>
      <c r="E240" s="12"/>
      <c r="F240" s="12"/>
      <c r="G240" s="12"/>
      <c r="H240" s="12"/>
      <c r="I240" s="12"/>
      <c r="J240" s="12"/>
      <c r="K240" s="12"/>
      <c r="L240" s="800"/>
    </row>
    <row r="241" spans="12:12" ht="13.15" x14ac:dyDescent="0.4">
      <c r="L241" s="800"/>
    </row>
  </sheetData>
  <mergeCells count="3">
    <mergeCell ref="M2:T2"/>
    <mergeCell ref="O3:T4"/>
    <mergeCell ref="M17:Q17"/>
  </mergeCells>
  <phoneticPr fontId="0" type="noConversion"/>
  <hyperlinks>
    <hyperlink ref="G8" r:id="rId1" display="W@inning Bids" xr:uid="{748A6387-12E6-4A20-B155-FCCA63C9991C}"/>
  </hyperlinks>
  <pageMargins left="0.75" right="0.75" top="1" bottom="1" header="0.5" footer="0.5"/>
  <pageSetup scale="67" fitToHeight="0" orientation="landscape" r:id="rId2"/>
  <headerFooter alignWithMargins="0">
    <oddHeader>&amp;CPublic Service Electric and Gas Company Specific Addendum
Attachment 3</oddHeader>
    <oddFooter>&amp;CPage &amp;P of &amp;N</oddFooter>
  </headerFooter>
  <rowBreaks count="7" manualBreakCount="7">
    <brk id="41" max="11" man="1"/>
    <brk id="80" max="11" man="1"/>
    <brk id="116" max="11" man="1"/>
    <brk id="152" max="11" man="1"/>
    <brk id="188" max="11" man="1"/>
    <brk id="213" max="11" man="1"/>
    <brk id="25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21815-485C-42DA-9BE6-BF0D57E845A4}">
  <sheetPr codeName="Sheet3">
    <pageSetUpPr fitToPage="1"/>
  </sheetPr>
  <dimension ref="A1:M28"/>
  <sheetViews>
    <sheetView view="pageBreakPreview" zoomScaleNormal="100" zoomScaleSheetLayoutView="100" workbookViewId="0"/>
  </sheetViews>
  <sheetFormatPr defaultColWidth="9.265625" defaultRowHeight="12.75" x14ac:dyDescent="0.35"/>
  <cols>
    <col min="1" max="1" width="3.3984375" style="657" customWidth="1"/>
    <col min="2" max="2" width="54.73046875" style="657" customWidth="1"/>
    <col min="3" max="3" width="31" style="657" customWidth="1"/>
    <col min="4" max="4" width="5.1328125" style="657" customWidth="1"/>
    <col min="5" max="5" width="88.3984375" style="657" customWidth="1"/>
    <col min="6" max="6" width="3.59765625" style="657" customWidth="1"/>
    <col min="7" max="7" width="76.59765625" style="657" customWidth="1"/>
    <col min="8" max="12" width="9.265625" style="657"/>
    <col min="13" max="14" width="21.59765625" style="657" customWidth="1"/>
    <col min="15" max="16384" width="9.265625" style="657"/>
  </cols>
  <sheetData>
    <row r="1" spans="1:13" ht="42.75" customHeight="1" x14ac:dyDescent="0.4">
      <c r="A1" s="112"/>
      <c r="B1" s="113" t="s">
        <v>377</v>
      </c>
      <c r="C1" s="112"/>
      <c r="D1" s="909"/>
      <c r="E1" s="909"/>
      <c r="G1" s="908"/>
      <c r="H1" s="908"/>
      <c r="I1" s="726"/>
      <c r="J1" s="726"/>
      <c r="K1" s="726"/>
      <c r="L1" s="726"/>
      <c r="M1" s="726"/>
    </row>
    <row r="2" spans="1:13" ht="60" customHeight="1" x14ac:dyDescent="0.4">
      <c r="A2" s="112"/>
      <c r="B2" s="651" t="s">
        <v>393</v>
      </c>
      <c r="C2" s="218" t="s">
        <v>417</v>
      </c>
      <c r="D2" s="909"/>
      <c r="E2" s="909"/>
      <c r="G2" s="908"/>
      <c r="H2" s="908"/>
      <c r="I2" s="726"/>
      <c r="J2" s="726"/>
      <c r="K2" s="726"/>
      <c r="L2" s="726"/>
      <c r="M2" s="726"/>
    </row>
    <row r="3" spans="1:13" ht="25.5" x14ac:dyDescent="0.35">
      <c r="A3" s="112"/>
      <c r="B3" s="112"/>
      <c r="C3" s="146" t="s">
        <v>394</v>
      </c>
      <c r="D3" s="112"/>
      <c r="E3" s="115" t="s">
        <v>202</v>
      </c>
    </row>
    <row r="4" spans="1:13" ht="13.15" x14ac:dyDescent="0.4">
      <c r="A4" s="112">
        <v>1</v>
      </c>
      <c r="B4" s="116" t="s">
        <v>372</v>
      </c>
      <c r="C4" s="127">
        <v>333.69</v>
      </c>
      <c r="D4" s="112"/>
      <c r="E4" s="117" t="s">
        <v>371</v>
      </c>
    </row>
    <row r="5" spans="1:13" ht="13.15" x14ac:dyDescent="0.4">
      <c r="A5" s="112">
        <v>2</v>
      </c>
      <c r="B5" s="116" t="s">
        <v>345</v>
      </c>
      <c r="C5" s="217">
        <v>270.35000000000002</v>
      </c>
      <c r="D5" s="112"/>
      <c r="E5" s="737" t="s">
        <v>492</v>
      </c>
    </row>
    <row r="6" spans="1:13" x14ac:dyDescent="0.35">
      <c r="A6" s="112"/>
      <c r="B6" s="112"/>
      <c r="C6" s="146"/>
      <c r="D6" s="112"/>
      <c r="E6" s="128"/>
    </row>
    <row r="7" spans="1:13" ht="13.15" x14ac:dyDescent="0.4">
      <c r="A7" s="112">
        <v>3</v>
      </c>
      <c r="B7" s="116" t="s">
        <v>346</v>
      </c>
      <c r="C7" s="216">
        <f>C4-C5</f>
        <v>63.339999999999975</v>
      </c>
      <c r="D7" s="112"/>
      <c r="E7" s="117" t="s">
        <v>347</v>
      </c>
    </row>
    <row r="8" spans="1:13" ht="13.15" x14ac:dyDescent="0.4">
      <c r="A8" s="112">
        <v>4</v>
      </c>
      <c r="B8" s="116" t="s">
        <v>348</v>
      </c>
      <c r="C8" s="215">
        <f>SUM('Attach2 - BidFactors'!C153:L153)</f>
        <v>5884.1</v>
      </c>
      <c r="D8" s="112"/>
      <c r="E8" s="112"/>
    </row>
    <row r="9" spans="1:13" ht="13.15" x14ac:dyDescent="0.4">
      <c r="A9" s="112">
        <v>5</v>
      </c>
      <c r="B9" s="116" t="s">
        <v>349</v>
      </c>
      <c r="C9" s="123">
        <v>366</v>
      </c>
      <c r="D9" s="112"/>
      <c r="E9" s="112"/>
    </row>
    <row r="10" spans="1:13" ht="13.15" x14ac:dyDescent="0.4">
      <c r="A10" s="112">
        <v>6</v>
      </c>
      <c r="B10" s="116" t="s">
        <v>350</v>
      </c>
      <c r="C10" s="214">
        <f>C7*C8*C9</f>
        <v>136407795.20399994</v>
      </c>
      <c r="D10" s="112"/>
      <c r="E10" s="117" t="s">
        <v>351</v>
      </c>
    </row>
    <row r="11" spans="1:13" ht="13.15" x14ac:dyDescent="0.4">
      <c r="A11" s="112"/>
      <c r="B11" s="116"/>
      <c r="C11" s="124"/>
      <c r="D11" s="112"/>
      <c r="E11" s="117"/>
    </row>
    <row r="12" spans="1:13" ht="13.15" x14ac:dyDescent="0.4">
      <c r="A12" s="112">
        <v>7</v>
      </c>
      <c r="B12" s="118" t="s">
        <v>341</v>
      </c>
      <c r="C12" s="119">
        <v>28</v>
      </c>
      <c r="D12" s="112"/>
      <c r="E12" s="117" t="s">
        <v>352</v>
      </c>
    </row>
    <row r="13" spans="1:13" ht="13.15" x14ac:dyDescent="0.4">
      <c r="A13" s="112">
        <v>8</v>
      </c>
      <c r="B13" s="116" t="s">
        <v>316</v>
      </c>
      <c r="C13" s="120">
        <v>85</v>
      </c>
      <c r="D13" s="112"/>
      <c r="E13" s="117" t="s">
        <v>352</v>
      </c>
    </row>
    <row r="14" spans="1:13" ht="13.15" x14ac:dyDescent="0.4">
      <c r="A14" s="112">
        <v>9</v>
      </c>
      <c r="B14" s="116" t="s">
        <v>353</v>
      </c>
      <c r="C14" s="121">
        <f>+C12/C13</f>
        <v>0.32941176470588235</v>
      </c>
      <c r="D14" s="112"/>
      <c r="E14" s="117" t="s">
        <v>354</v>
      </c>
    </row>
    <row r="15" spans="1:13" ht="13.15" x14ac:dyDescent="0.4">
      <c r="A15" s="112"/>
      <c r="B15" s="116"/>
      <c r="C15" s="124"/>
      <c r="D15" s="112"/>
      <c r="E15" s="117"/>
    </row>
    <row r="16" spans="1:13" ht="13.15" x14ac:dyDescent="0.4">
      <c r="A16" s="112">
        <v>10</v>
      </c>
      <c r="B16" s="116" t="s">
        <v>355</v>
      </c>
      <c r="C16" s="124">
        <f>C10*C14</f>
        <v>44934332.537788212</v>
      </c>
      <c r="D16" s="112"/>
      <c r="E16" s="117" t="s">
        <v>356</v>
      </c>
    </row>
    <row r="17" spans="1:5" ht="13.15" x14ac:dyDescent="0.4">
      <c r="A17" s="112"/>
      <c r="B17" s="116"/>
      <c r="C17" s="124"/>
      <c r="D17" s="112"/>
      <c r="E17" s="117"/>
    </row>
    <row r="18" spans="1:5" ht="13.15" x14ac:dyDescent="0.4">
      <c r="A18" s="112">
        <v>11</v>
      </c>
      <c r="B18" s="122" t="s">
        <v>357</v>
      </c>
      <c r="C18" s="126">
        <f>'Attach2 - BidFactors'!C360</f>
        <v>23210745.560850777</v>
      </c>
      <c r="D18" s="112"/>
      <c r="E18" s="112"/>
    </row>
    <row r="19" spans="1:5" ht="13.15" x14ac:dyDescent="0.4">
      <c r="A19" s="112">
        <v>12</v>
      </c>
      <c r="B19" s="116" t="s">
        <v>358</v>
      </c>
      <c r="C19" s="123">
        <f>+C14*C18</f>
        <v>7645892.655339079</v>
      </c>
      <c r="D19" s="112"/>
      <c r="E19" s="117" t="s">
        <v>359</v>
      </c>
    </row>
    <row r="20" spans="1:5" ht="13.15" x14ac:dyDescent="0.4">
      <c r="A20" s="112"/>
      <c r="B20" s="116"/>
      <c r="C20" s="124"/>
      <c r="D20" s="112"/>
      <c r="E20" s="117"/>
    </row>
    <row r="21" spans="1:5" ht="13.5" thickBot="1" x14ac:dyDescent="0.45">
      <c r="A21" s="112">
        <v>13</v>
      </c>
      <c r="B21" s="116" t="s">
        <v>360</v>
      </c>
      <c r="C21" s="125">
        <f>ROUND(+C16/C19,2)</f>
        <v>5.88</v>
      </c>
      <c r="D21" s="652"/>
      <c r="E21" s="129" t="s">
        <v>361</v>
      </c>
    </row>
    <row r="22" spans="1:5" ht="13.5" thickTop="1" x14ac:dyDescent="0.4">
      <c r="A22" s="112"/>
      <c r="B22" s="116"/>
      <c r="C22" s="124"/>
      <c r="D22" s="124"/>
      <c r="E22" s="117"/>
    </row>
    <row r="23" spans="1:5" ht="13.15" x14ac:dyDescent="0.4">
      <c r="B23" s="661"/>
      <c r="C23" s="664"/>
      <c r="D23" s="664"/>
      <c r="E23" s="663"/>
    </row>
    <row r="24" spans="1:5" ht="13.15" x14ac:dyDescent="0.4">
      <c r="B24" s="661"/>
      <c r="C24" s="664"/>
      <c r="D24" s="664"/>
      <c r="E24" s="663"/>
    </row>
    <row r="26" spans="1:5" x14ac:dyDescent="0.35">
      <c r="C26" s="665"/>
      <c r="D26" s="665"/>
    </row>
    <row r="28" spans="1:5" ht="13.15" x14ac:dyDescent="0.4">
      <c r="B28" s="661"/>
      <c r="C28" s="662"/>
      <c r="D28" s="662"/>
      <c r="E28" s="663"/>
    </row>
  </sheetData>
  <mergeCells count="4">
    <mergeCell ref="G1:H1"/>
    <mergeCell ref="G2:H2"/>
    <mergeCell ref="D1:E1"/>
    <mergeCell ref="D2:E2"/>
  </mergeCells>
  <pageMargins left="0.7" right="0.7" top="1" bottom="0.75" header="0.3" footer="0.3"/>
  <pageSetup scale="68" orientation="landscape" r:id="rId1"/>
  <headerFooter>
    <oddHeader xml:space="preserve">&amp;C&amp;"Arial,Bold"Public Service Electric and Gas Company Specific Addendum
Attachment 4 P2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FB68C-3C09-49AE-8702-606F73BE0CF4}">
  <sheetPr codeName="Sheet4">
    <pageSetUpPr fitToPage="1"/>
  </sheetPr>
  <dimension ref="A1:V28"/>
  <sheetViews>
    <sheetView view="pageBreakPreview" zoomScaleNormal="100" zoomScaleSheetLayoutView="100" workbookViewId="0"/>
  </sheetViews>
  <sheetFormatPr defaultColWidth="9.265625" defaultRowHeight="12.75" x14ac:dyDescent="0.35"/>
  <cols>
    <col min="1" max="1" width="3.3984375" style="112" bestFit="1" customWidth="1"/>
    <col min="2" max="2" width="54.73046875" style="112" customWidth="1"/>
    <col min="3" max="4" width="31" style="112" customWidth="1"/>
    <col min="5" max="5" width="2.59765625" style="112" customWidth="1"/>
    <col min="6" max="6" width="39.59765625" style="112" customWidth="1"/>
    <col min="7" max="7" width="2.73046875" style="112" customWidth="1"/>
    <col min="8" max="8" width="3.59765625" style="112" customWidth="1"/>
    <col min="9" max="9" width="2.73046875" style="112" customWidth="1"/>
    <col min="10" max="10" width="3.3984375" style="112" customWidth="1"/>
    <col min="11" max="11" width="12.73046875" style="112" customWidth="1"/>
    <col min="12" max="16384" width="9.265625" style="112"/>
  </cols>
  <sheetData>
    <row r="1" spans="1:22" ht="42.75" customHeight="1" x14ac:dyDescent="0.4">
      <c r="B1" s="113" t="s">
        <v>377</v>
      </c>
      <c r="E1" s="909"/>
      <c r="F1" s="909"/>
      <c r="G1" s="909"/>
      <c r="H1" s="909"/>
      <c r="I1" s="909"/>
      <c r="J1" s="909"/>
      <c r="K1" s="909"/>
      <c r="M1" s="908"/>
      <c r="N1" s="908"/>
      <c r="O1" s="908"/>
      <c r="P1" s="908"/>
      <c r="Q1" s="908"/>
      <c r="R1" s="908"/>
      <c r="S1" s="908"/>
    </row>
    <row r="2" spans="1:22" ht="99" customHeight="1" x14ac:dyDescent="0.4">
      <c r="B2" s="651" t="s">
        <v>418</v>
      </c>
      <c r="C2" s="653" t="s">
        <v>493</v>
      </c>
      <c r="D2" s="653" t="s">
        <v>494</v>
      </c>
      <c r="E2" s="909"/>
      <c r="F2" s="909"/>
      <c r="G2" s="909"/>
      <c r="H2" s="909"/>
      <c r="I2" s="909"/>
      <c r="J2" s="909"/>
      <c r="K2" s="909"/>
      <c r="M2" s="908"/>
      <c r="N2" s="908"/>
      <c r="O2" s="908"/>
      <c r="P2" s="908"/>
      <c r="Q2" s="908"/>
      <c r="R2" s="908"/>
      <c r="S2" s="908"/>
      <c r="T2" s="727"/>
      <c r="U2" s="727"/>
      <c r="V2" s="727"/>
    </row>
    <row r="3" spans="1:22" ht="25.5" x14ac:dyDescent="0.35">
      <c r="C3" s="146" t="s">
        <v>419</v>
      </c>
      <c r="D3" s="146" t="s">
        <v>419</v>
      </c>
      <c r="F3" s="115" t="s">
        <v>202</v>
      </c>
    </row>
    <row r="4" spans="1:22" ht="13.15" x14ac:dyDescent="0.4">
      <c r="A4" s="112">
        <v>1</v>
      </c>
      <c r="B4" s="116" t="s">
        <v>372</v>
      </c>
      <c r="C4" s="895">
        <v>335</v>
      </c>
      <c r="D4" s="895">
        <v>335</v>
      </c>
      <c r="E4" s="219"/>
      <c r="F4" s="117" t="s">
        <v>371</v>
      </c>
    </row>
    <row r="5" spans="1:22" ht="13.15" x14ac:dyDescent="0.4">
      <c r="A5" s="112">
        <v>2</v>
      </c>
      <c r="B5" s="116" t="s">
        <v>345</v>
      </c>
      <c r="C5" s="896">
        <v>333.69</v>
      </c>
      <c r="D5" s="896">
        <v>333.69</v>
      </c>
      <c r="F5" s="117" t="s">
        <v>540</v>
      </c>
      <c r="G5" s="117"/>
      <c r="H5" s="117"/>
      <c r="I5" s="117"/>
      <c r="J5" s="114"/>
    </row>
    <row r="6" spans="1:22" x14ac:dyDescent="0.35">
      <c r="C6" s="146"/>
      <c r="D6" s="146"/>
      <c r="F6" s="128"/>
    </row>
    <row r="7" spans="1:22" ht="13.15" x14ac:dyDescent="0.4">
      <c r="A7" s="112">
        <v>3</v>
      </c>
      <c r="B7" s="116" t="s">
        <v>346</v>
      </c>
      <c r="C7" s="216">
        <f>C4-C5</f>
        <v>1.3100000000000023</v>
      </c>
      <c r="D7" s="216">
        <f>D4-D5</f>
        <v>1.3100000000000023</v>
      </c>
      <c r="F7" s="117" t="s">
        <v>347</v>
      </c>
    </row>
    <row r="8" spans="1:22" ht="13.15" x14ac:dyDescent="0.4">
      <c r="A8" s="112">
        <v>4</v>
      </c>
      <c r="B8" s="116" t="s">
        <v>348</v>
      </c>
      <c r="C8" s="215">
        <f>'Attach4 P1'!C8</f>
        <v>5884.1</v>
      </c>
      <c r="D8" s="215">
        <f>'Attach4 P1'!C8</f>
        <v>5884.1</v>
      </c>
    </row>
    <row r="9" spans="1:22" ht="13.15" x14ac:dyDescent="0.4">
      <c r="A9" s="112">
        <v>5</v>
      </c>
      <c r="B9" s="116" t="s">
        <v>349</v>
      </c>
      <c r="C9" s="123">
        <v>365</v>
      </c>
      <c r="D9" s="123">
        <v>365</v>
      </c>
    </row>
    <row r="10" spans="1:22" ht="13.15" x14ac:dyDescent="0.4">
      <c r="A10" s="112">
        <v>6</v>
      </c>
      <c r="B10" s="116" t="s">
        <v>350</v>
      </c>
      <c r="C10" s="214">
        <f>C7*C8*C9</f>
        <v>2813482.4150000052</v>
      </c>
      <c r="D10" s="214">
        <f>D7*D8*D9</f>
        <v>2813482.4150000052</v>
      </c>
      <c r="F10" s="117" t="s">
        <v>351</v>
      </c>
    </row>
    <row r="11" spans="1:22" ht="13.15" x14ac:dyDescent="0.4">
      <c r="B11" s="116"/>
      <c r="C11" s="124"/>
      <c r="D11" s="124"/>
      <c r="F11" s="117"/>
    </row>
    <row r="12" spans="1:22" ht="13.15" x14ac:dyDescent="0.4">
      <c r="A12" s="112">
        <v>7</v>
      </c>
      <c r="B12" s="118" t="s">
        <v>341</v>
      </c>
      <c r="C12" s="119">
        <v>28</v>
      </c>
      <c r="D12" s="654">
        <v>29</v>
      </c>
      <c r="F12" s="117" t="s">
        <v>352</v>
      </c>
    </row>
    <row r="13" spans="1:22" ht="13.15" x14ac:dyDescent="0.4">
      <c r="A13" s="112">
        <v>8</v>
      </c>
      <c r="B13" s="116" t="s">
        <v>316</v>
      </c>
      <c r="C13" s="120">
        <v>85</v>
      </c>
      <c r="D13" s="120">
        <v>85</v>
      </c>
      <c r="F13" s="117" t="s">
        <v>352</v>
      </c>
    </row>
    <row r="14" spans="1:22" ht="13.15" x14ac:dyDescent="0.4">
      <c r="A14" s="112">
        <v>9</v>
      </c>
      <c r="B14" s="116" t="s">
        <v>353</v>
      </c>
      <c r="C14" s="121">
        <f>+C12/C13</f>
        <v>0.32941176470588235</v>
      </c>
      <c r="D14" s="121">
        <f>+D12/D13</f>
        <v>0.3411764705882353</v>
      </c>
      <c r="F14" s="117" t="s">
        <v>354</v>
      </c>
    </row>
    <row r="15" spans="1:22" ht="13.15" x14ac:dyDescent="0.4">
      <c r="B15" s="116"/>
      <c r="C15" s="124"/>
      <c r="D15" s="124"/>
      <c r="F15" s="117"/>
    </row>
    <row r="16" spans="1:22" ht="13.15" x14ac:dyDescent="0.4">
      <c r="A16" s="112">
        <v>10</v>
      </c>
      <c r="B16" s="116" t="s">
        <v>355</v>
      </c>
      <c r="C16" s="124">
        <f>C10*C14</f>
        <v>926794.20729411929</v>
      </c>
      <c r="D16" s="124">
        <f>D10*D14</f>
        <v>959894.00041176646</v>
      </c>
      <c r="F16" s="117" t="s">
        <v>356</v>
      </c>
    </row>
    <row r="17" spans="1:6" ht="13.15" x14ac:dyDescent="0.4">
      <c r="B17" s="116"/>
      <c r="C17" s="124"/>
      <c r="D17" s="124"/>
      <c r="F17" s="117"/>
    </row>
    <row r="18" spans="1:6" ht="13.15" x14ac:dyDescent="0.4">
      <c r="A18" s="112">
        <v>11</v>
      </c>
      <c r="B18" s="122" t="s">
        <v>357</v>
      </c>
      <c r="C18" s="126">
        <f>'Attach4 P1'!C18</f>
        <v>23210745.560850777</v>
      </c>
      <c r="D18" s="126">
        <f>'Attach4 P1'!C18</f>
        <v>23210745.560850777</v>
      </c>
    </row>
    <row r="19" spans="1:6" ht="13.15" x14ac:dyDescent="0.4">
      <c r="A19" s="112">
        <v>12</v>
      </c>
      <c r="B19" s="116" t="s">
        <v>358</v>
      </c>
      <c r="C19" s="123">
        <f>+C14*C18</f>
        <v>7645892.655339079</v>
      </c>
      <c r="D19" s="123">
        <f>+D14*D18</f>
        <v>7918960.2501726178</v>
      </c>
      <c r="F19" s="117" t="s">
        <v>359</v>
      </c>
    </row>
    <row r="20" spans="1:6" ht="13.15" x14ac:dyDescent="0.4">
      <c r="B20" s="116"/>
      <c r="C20" s="124"/>
      <c r="D20" s="124"/>
      <c r="F20" s="117"/>
    </row>
    <row r="21" spans="1:6" ht="13.5" thickBot="1" x14ac:dyDescent="0.45">
      <c r="A21" s="112">
        <v>13</v>
      </c>
      <c r="B21" s="116" t="s">
        <v>360</v>
      </c>
      <c r="C21" s="125">
        <f>ROUND(+C16/C19,2)</f>
        <v>0.12</v>
      </c>
      <c r="D21" s="125">
        <f>ROUND(+D16/D19,2)</f>
        <v>0.12</v>
      </c>
      <c r="F21" s="129" t="s">
        <v>361</v>
      </c>
    </row>
    <row r="22" spans="1:6" ht="13.5" thickTop="1" x14ac:dyDescent="0.4">
      <c r="B22" s="116"/>
      <c r="C22" s="124"/>
      <c r="D22" s="124"/>
      <c r="F22" s="117"/>
    </row>
    <row r="23" spans="1:6" ht="13.15" x14ac:dyDescent="0.4">
      <c r="B23" s="116"/>
      <c r="C23" s="124"/>
      <c r="D23" s="124"/>
      <c r="F23" s="117"/>
    </row>
    <row r="24" spans="1:6" ht="13.15" x14ac:dyDescent="0.4">
      <c r="B24" s="116"/>
      <c r="C24" s="124"/>
      <c r="D24" s="124"/>
      <c r="F24" s="117"/>
    </row>
    <row r="26" spans="1:6" x14ac:dyDescent="0.35">
      <c r="C26" s="126"/>
      <c r="D26" s="126"/>
    </row>
    <row r="28" spans="1:6" ht="13.15" x14ac:dyDescent="0.4">
      <c r="B28" s="116"/>
      <c r="C28" s="127"/>
      <c r="D28" s="127"/>
      <c r="F28" s="117"/>
    </row>
  </sheetData>
  <mergeCells count="4">
    <mergeCell ref="M1:S1"/>
    <mergeCell ref="M2:S2"/>
    <mergeCell ref="E1:K1"/>
    <mergeCell ref="E2:K2"/>
  </mergeCells>
  <pageMargins left="0.7" right="0.7" top="1" bottom="0.75" header="0.3" footer="0.3"/>
  <pageSetup scale="66" orientation="landscape" r:id="rId1"/>
  <headerFooter>
    <oddHeader>&amp;C&amp;"Arial,Bold"Public Service Electric and Gas Company Specific Addendum
Attachment 4 P3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1AF4E-C5D4-4975-A4A9-389D9D79EB67}">
  <sheetPr>
    <pageSetUpPr fitToPage="1"/>
  </sheetPr>
  <dimension ref="A1:U28"/>
  <sheetViews>
    <sheetView view="pageBreakPreview" zoomScaleNormal="100" zoomScaleSheetLayoutView="100" workbookViewId="0"/>
  </sheetViews>
  <sheetFormatPr defaultColWidth="9.265625" defaultRowHeight="12.75" x14ac:dyDescent="0.35"/>
  <cols>
    <col min="1" max="1" width="3.3984375" style="657" bestFit="1" customWidth="1"/>
    <col min="2" max="2" width="54.73046875" style="657" customWidth="1"/>
    <col min="3" max="3" width="31" style="657" customWidth="1"/>
    <col min="4" max="4" width="2.59765625" style="657" customWidth="1"/>
    <col min="5" max="5" width="39.59765625" style="657" customWidth="1"/>
    <col min="6" max="6" width="2.73046875" style="657" customWidth="1"/>
    <col min="7" max="7" width="3.59765625" style="657" customWidth="1"/>
    <col min="8" max="8" width="2.73046875" style="657" customWidth="1"/>
    <col min="9" max="9" width="3.3984375" style="657" customWidth="1"/>
    <col min="10" max="10" width="41.3984375" style="657" customWidth="1"/>
    <col min="11" max="16384" width="9.265625" style="657"/>
  </cols>
  <sheetData>
    <row r="1" spans="1:21" ht="42" customHeight="1" x14ac:dyDescent="0.4">
      <c r="A1" s="112"/>
      <c r="B1" s="113" t="s">
        <v>377</v>
      </c>
      <c r="C1" s="112"/>
      <c r="D1" s="911"/>
      <c r="E1" s="911"/>
      <c r="F1" s="911"/>
      <c r="G1" s="911"/>
      <c r="H1" s="911"/>
      <c r="I1" s="911"/>
      <c r="J1" s="911"/>
      <c r="L1" s="910"/>
      <c r="M1" s="910"/>
      <c r="N1" s="910"/>
      <c r="O1" s="910"/>
      <c r="P1" s="910"/>
      <c r="Q1" s="910"/>
      <c r="R1" s="910"/>
    </row>
    <row r="2" spans="1:21" ht="60" customHeight="1" x14ac:dyDescent="0.4">
      <c r="A2" s="112"/>
      <c r="B2" s="651" t="s">
        <v>495</v>
      </c>
      <c r="C2" s="653" t="s">
        <v>494</v>
      </c>
      <c r="D2" s="911"/>
      <c r="E2" s="911"/>
      <c r="F2" s="911"/>
      <c r="G2" s="911"/>
      <c r="H2" s="911"/>
      <c r="I2" s="911"/>
      <c r="J2" s="911"/>
      <c r="L2" s="910"/>
      <c r="M2" s="910"/>
      <c r="N2" s="910"/>
      <c r="O2" s="910"/>
      <c r="P2" s="910"/>
      <c r="Q2" s="910"/>
      <c r="R2" s="910"/>
      <c r="S2" s="726"/>
      <c r="T2" s="726"/>
      <c r="U2" s="726"/>
    </row>
    <row r="3" spans="1:21" ht="25.5" x14ac:dyDescent="0.35">
      <c r="A3" s="112"/>
      <c r="B3" s="112"/>
      <c r="C3" s="655" t="s">
        <v>496</v>
      </c>
      <c r="D3" s="112"/>
      <c r="E3" s="115" t="s">
        <v>202</v>
      </c>
      <c r="F3" s="112"/>
      <c r="G3" s="112"/>
      <c r="H3" s="112"/>
      <c r="I3" s="112"/>
      <c r="J3" s="112"/>
    </row>
    <row r="4" spans="1:21" ht="13.15" x14ac:dyDescent="0.4">
      <c r="A4" s="112">
        <v>1</v>
      </c>
      <c r="B4" s="116" t="s">
        <v>372</v>
      </c>
      <c r="C4" s="895">
        <v>335</v>
      </c>
      <c r="D4" s="219"/>
      <c r="E4" s="117" t="s">
        <v>371</v>
      </c>
      <c r="F4" s="112"/>
      <c r="G4" s="112"/>
      <c r="H4" s="112"/>
      <c r="I4" s="112"/>
      <c r="J4" s="112"/>
    </row>
    <row r="5" spans="1:21" ht="13.15" x14ac:dyDescent="0.4">
      <c r="A5" s="112">
        <v>2</v>
      </c>
      <c r="B5" s="116" t="s">
        <v>345</v>
      </c>
      <c r="C5" s="896">
        <v>333.69</v>
      </c>
      <c r="D5" s="112"/>
      <c r="E5" s="117" t="s">
        <v>541</v>
      </c>
      <c r="F5" s="117"/>
      <c r="G5" s="117"/>
      <c r="H5" s="117"/>
      <c r="I5" s="114"/>
      <c r="J5" s="112"/>
    </row>
    <row r="6" spans="1:21" x14ac:dyDescent="0.35">
      <c r="A6" s="112"/>
      <c r="B6" s="112"/>
      <c r="C6" s="146"/>
      <c r="D6" s="112"/>
      <c r="E6" s="128"/>
      <c r="F6" s="112"/>
      <c r="G6" s="112"/>
      <c r="H6" s="112"/>
      <c r="I6" s="112"/>
      <c r="J6" s="112"/>
    </row>
    <row r="7" spans="1:21" ht="13.15" x14ac:dyDescent="0.4">
      <c r="A7" s="112">
        <v>3</v>
      </c>
      <c r="B7" s="116" t="s">
        <v>346</v>
      </c>
      <c r="C7" s="216">
        <f>C4-C5</f>
        <v>1.3100000000000023</v>
      </c>
      <c r="D7" s="112"/>
      <c r="E7" s="117" t="s">
        <v>347</v>
      </c>
      <c r="F7" s="112"/>
      <c r="G7" s="112"/>
      <c r="H7" s="112"/>
      <c r="I7" s="112"/>
      <c r="J7" s="112"/>
    </row>
    <row r="8" spans="1:21" ht="13.15" x14ac:dyDescent="0.4">
      <c r="A8" s="112">
        <v>4</v>
      </c>
      <c r="B8" s="116" t="s">
        <v>348</v>
      </c>
      <c r="C8" s="215">
        <f>'Attach4 P1'!C8</f>
        <v>5884.1</v>
      </c>
      <c r="D8" s="112"/>
      <c r="E8" s="112"/>
      <c r="F8" s="112"/>
      <c r="G8" s="112"/>
      <c r="H8" s="112"/>
      <c r="I8" s="112"/>
      <c r="J8" s="112"/>
    </row>
    <row r="9" spans="1:21" ht="13.15" x14ac:dyDescent="0.4">
      <c r="A9" s="112">
        <v>5</v>
      </c>
      <c r="B9" s="116" t="s">
        <v>349</v>
      </c>
      <c r="C9" s="123">
        <v>365</v>
      </c>
      <c r="D9" s="112"/>
      <c r="E9" s="112"/>
      <c r="F9" s="112"/>
      <c r="G9" s="112"/>
      <c r="H9" s="112"/>
      <c r="I9" s="112"/>
      <c r="J9" s="112"/>
    </row>
    <row r="10" spans="1:21" ht="13.15" x14ac:dyDescent="0.4">
      <c r="A10" s="112">
        <v>6</v>
      </c>
      <c r="B10" s="116" t="s">
        <v>350</v>
      </c>
      <c r="C10" s="214">
        <f>C7*C8*C9</f>
        <v>2813482.4150000052</v>
      </c>
      <c r="D10" s="112"/>
      <c r="E10" s="117" t="s">
        <v>351</v>
      </c>
      <c r="F10" s="112"/>
      <c r="G10" s="112"/>
      <c r="H10" s="112"/>
      <c r="I10" s="112"/>
      <c r="J10" s="112"/>
    </row>
    <row r="11" spans="1:21" ht="13.15" x14ac:dyDescent="0.4">
      <c r="A11" s="112"/>
      <c r="B11" s="116"/>
      <c r="C11" s="124"/>
      <c r="D11" s="112"/>
      <c r="E11" s="117"/>
      <c r="F11" s="112"/>
      <c r="G11" s="112"/>
      <c r="H11" s="112"/>
      <c r="I11" s="112"/>
      <c r="J11" s="112"/>
    </row>
    <row r="12" spans="1:21" ht="13.15" x14ac:dyDescent="0.4">
      <c r="A12" s="112">
        <v>7</v>
      </c>
      <c r="B12" s="118" t="s">
        <v>341</v>
      </c>
      <c r="C12" s="119">
        <v>29</v>
      </c>
      <c r="D12" s="112"/>
      <c r="E12" s="117" t="s">
        <v>352</v>
      </c>
      <c r="F12" s="112"/>
      <c r="G12" s="112"/>
      <c r="H12" s="112"/>
      <c r="I12" s="112"/>
      <c r="J12" s="112"/>
    </row>
    <row r="13" spans="1:21" ht="13.15" x14ac:dyDescent="0.4">
      <c r="A13" s="112">
        <v>8</v>
      </c>
      <c r="B13" s="116" t="s">
        <v>316</v>
      </c>
      <c r="C13" s="120">
        <v>85</v>
      </c>
      <c r="D13" s="112"/>
      <c r="E13" s="117" t="s">
        <v>352</v>
      </c>
      <c r="F13" s="112"/>
      <c r="G13" s="112"/>
      <c r="H13" s="112"/>
      <c r="I13" s="112"/>
      <c r="J13" s="112"/>
    </row>
    <row r="14" spans="1:21" ht="13.15" x14ac:dyDescent="0.4">
      <c r="A14" s="112">
        <v>9</v>
      </c>
      <c r="B14" s="116" t="s">
        <v>353</v>
      </c>
      <c r="C14" s="121">
        <f>+C12/C13</f>
        <v>0.3411764705882353</v>
      </c>
      <c r="D14" s="112"/>
      <c r="E14" s="117" t="s">
        <v>354</v>
      </c>
      <c r="F14" s="112"/>
      <c r="G14" s="112"/>
      <c r="H14" s="112"/>
      <c r="I14" s="112"/>
      <c r="J14" s="112"/>
    </row>
    <row r="15" spans="1:21" ht="13.15" x14ac:dyDescent="0.4">
      <c r="A15" s="112"/>
      <c r="B15" s="116"/>
      <c r="C15" s="124"/>
      <c r="D15" s="112"/>
      <c r="E15" s="117"/>
      <c r="F15" s="112"/>
      <c r="G15" s="112"/>
      <c r="H15" s="112"/>
      <c r="I15" s="112"/>
      <c r="J15" s="112"/>
    </row>
    <row r="16" spans="1:21" ht="13.15" x14ac:dyDescent="0.4">
      <c r="A16" s="112">
        <v>10</v>
      </c>
      <c r="B16" s="116" t="s">
        <v>355</v>
      </c>
      <c r="C16" s="124">
        <f>C10*C14</f>
        <v>959894.00041176646</v>
      </c>
      <c r="D16" s="112"/>
      <c r="E16" s="117" t="s">
        <v>356</v>
      </c>
      <c r="F16" s="112"/>
      <c r="G16" s="112"/>
      <c r="H16" s="112"/>
      <c r="I16" s="112"/>
      <c r="J16" s="112"/>
    </row>
    <row r="17" spans="1:10" ht="13.15" x14ac:dyDescent="0.4">
      <c r="A17" s="112"/>
      <c r="B17" s="116"/>
      <c r="C17" s="124"/>
      <c r="D17" s="112"/>
      <c r="E17" s="117"/>
      <c r="F17" s="112"/>
      <c r="G17" s="112"/>
      <c r="H17" s="112"/>
      <c r="I17" s="112"/>
      <c r="J17" s="112"/>
    </row>
    <row r="18" spans="1:10" ht="13.15" x14ac:dyDescent="0.4">
      <c r="A18" s="112">
        <v>11</v>
      </c>
      <c r="B18" s="122" t="s">
        <v>357</v>
      </c>
      <c r="C18" s="126">
        <f>'Attach4 P1'!C18</f>
        <v>23210745.560850777</v>
      </c>
      <c r="D18" s="112"/>
      <c r="E18" s="112"/>
      <c r="F18" s="112"/>
      <c r="G18" s="112"/>
      <c r="H18" s="112"/>
      <c r="I18" s="112"/>
      <c r="J18" s="112"/>
    </row>
    <row r="19" spans="1:10" ht="13.15" x14ac:dyDescent="0.4">
      <c r="A19" s="112">
        <v>12</v>
      </c>
      <c r="B19" s="116" t="s">
        <v>358</v>
      </c>
      <c r="C19" s="123">
        <f>+C14*C18</f>
        <v>7918960.2501726178</v>
      </c>
      <c r="D19" s="112"/>
      <c r="E19" s="117" t="s">
        <v>359</v>
      </c>
      <c r="F19" s="112"/>
      <c r="G19" s="112"/>
      <c r="H19" s="112"/>
      <c r="I19" s="112"/>
      <c r="J19" s="112"/>
    </row>
    <row r="20" spans="1:10" ht="13.15" x14ac:dyDescent="0.4">
      <c r="A20" s="112"/>
      <c r="B20" s="116"/>
      <c r="C20" s="124"/>
      <c r="D20" s="112"/>
      <c r="E20" s="117"/>
      <c r="F20" s="112"/>
      <c r="G20" s="112"/>
      <c r="H20" s="112"/>
      <c r="I20" s="112"/>
      <c r="J20" s="112"/>
    </row>
    <row r="21" spans="1:10" ht="13.5" thickBot="1" x14ac:dyDescent="0.45">
      <c r="A21" s="112">
        <v>13</v>
      </c>
      <c r="B21" s="116" t="s">
        <v>360</v>
      </c>
      <c r="C21" s="125">
        <f>ROUND(+C16/C19,2)</f>
        <v>0.12</v>
      </c>
      <c r="D21" s="112"/>
      <c r="E21" s="129" t="s">
        <v>361</v>
      </c>
      <c r="F21" s="112"/>
      <c r="G21" s="112"/>
      <c r="H21" s="112"/>
      <c r="I21" s="112"/>
      <c r="J21" s="112"/>
    </row>
    <row r="22" spans="1:10" ht="13.5" thickTop="1" x14ac:dyDescent="0.4">
      <c r="A22" s="112"/>
      <c r="B22" s="116"/>
      <c r="C22" s="124"/>
      <c r="D22" s="112"/>
      <c r="E22" s="117"/>
      <c r="F22" s="112"/>
      <c r="G22" s="112"/>
      <c r="H22" s="112"/>
      <c r="I22" s="112"/>
      <c r="J22" s="112"/>
    </row>
    <row r="23" spans="1:10" ht="13.15" x14ac:dyDescent="0.4">
      <c r="A23" s="112"/>
      <c r="B23" s="116"/>
      <c r="C23" s="124"/>
      <c r="D23" s="112"/>
      <c r="E23" s="117"/>
      <c r="F23" s="112"/>
      <c r="G23" s="112"/>
      <c r="H23" s="112"/>
      <c r="I23" s="112"/>
      <c r="J23" s="112"/>
    </row>
    <row r="24" spans="1:10" ht="13.15" x14ac:dyDescent="0.4">
      <c r="B24" s="661"/>
      <c r="C24" s="664"/>
      <c r="E24" s="663"/>
    </row>
    <row r="26" spans="1:10" x14ac:dyDescent="0.35">
      <c r="C26" s="665"/>
    </row>
    <row r="28" spans="1:10" ht="13.15" x14ac:dyDescent="0.4">
      <c r="B28" s="661"/>
      <c r="C28" s="662"/>
      <c r="E28" s="663"/>
    </row>
  </sheetData>
  <mergeCells count="4">
    <mergeCell ref="L1:R1"/>
    <mergeCell ref="L2:R2"/>
    <mergeCell ref="D1:J1"/>
    <mergeCell ref="D2:J2"/>
  </mergeCells>
  <pageMargins left="0.7" right="0.7" top="0.75" bottom="0.75" header="0.3" footer="0.3"/>
  <pageSetup scale="66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E7985-683A-40B0-BD88-B129B161EFF0}">
  <sheetPr codeName="Sheet39">
    <pageSetUpPr fitToPage="1"/>
  </sheetPr>
  <dimension ref="A1:M274"/>
  <sheetViews>
    <sheetView showGridLines="0" view="pageBreakPreview" zoomScaleNormal="70" zoomScaleSheetLayoutView="100" workbookViewId="0"/>
  </sheetViews>
  <sheetFormatPr defaultColWidth="9.265625" defaultRowHeight="12.75" outlineLevelRow="1" x14ac:dyDescent="0.35"/>
  <cols>
    <col min="1" max="1" width="12.3984375" style="112" bestFit="1" customWidth="1"/>
    <col min="2" max="2" width="46" style="112" customWidth="1"/>
    <col min="3" max="5" width="16.59765625" style="112" customWidth="1"/>
    <col min="6" max="6" width="4.59765625" style="112" customWidth="1"/>
    <col min="7" max="7" width="41.59765625" style="112" bestFit="1" customWidth="1"/>
    <col min="8" max="8" width="3.59765625" style="112" customWidth="1"/>
    <col min="9" max="9" width="11" style="112" customWidth="1"/>
    <col min="10" max="10" width="23.3984375" style="112" customWidth="1"/>
    <col min="11" max="11" width="12.59765625" style="112" customWidth="1"/>
    <col min="12" max="12" width="21" style="112" customWidth="1"/>
    <col min="13" max="13" width="14.3984375" style="112" bestFit="1" customWidth="1"/>
    <col min="14" max="14" width="24.265625" style="112" bestFit="1" customWidth="1"/>
    <col min="15" max="16" width="10.73046875" style="112" bestFit="1" customWidth="1"/>
    <col min="17" max="17" width="14.3984375" style="112" bestFit="1" customWidth="1"/>
    <col min="18" max="16384" width="9.265625" style="112"/>
  </cols>
  <sheetData>
    <row r="1" spans="1:13" ht="20.65" x14ac:dyDescent="0.6">
      <c r="A1" s="130" t="s">
        <v>362</v>
      </c>
      <c r="D1" s="114"/>
      <c r="I1" s="722"/>
      <c r="J1" s="723"/>
      <c r="K1" s="723"/>
      <c r="L1" s="723"/>
      <c r="M1" s="723"/>
    </row>
    <row r="2" spans="1:13" ht="15" customHeight="1" x14ac:dyDescent="0.4">
      <c r="A2" s="131" t="s">
        <v>421</v>
      </c>
      <c r="D2" s="909"/>
      <c r="E2" s="909"/>
      <c r="F2" s="909"/>
      <c r="G2" s="909"/>
      <c r="H2" s="909"/>
      <c r="I2" s="908"/>
      <c r="J2" s="908"/>
      <c r="K2" s="908"/>
      <c r="L2" s="908"/>
      <c r="M2" s="908"/>
    </row>
    <row r="3" spans="1:13" ht="12.75" customHeight="1" x14ac:dyDescent="0.35">
      <c r="A3" s="738" t="s">
        <v>382</v>
      </c>
      <c r="D3" s="909"/>
      <c r="E3" s="909"/>
      <c r="F3" s="909"/>
      <c r="G3" s="909"/>
      <c r="H3" s="909"/>
      <c r="I3" s="908"/>
      <c r="J3" s="908"/>
      <c r="K3" s="908"/>
      <c r="L3" s="908"/>
      <c r="M3" s="908"/>
    </row>
    <row r="5" spans="1:13" ht="13.15" x14ac:dyDescent="0.4">
      <c r="A5" s="132" t="s">
        <v>238</v>
      </c>
      <c r="B5" s="116" t="s">
        <v>260</v>
      </c>
    </row>
    <row r="6" spans="1:13" ht="38.65" x14ac:dyDescent="0.4">
      <c r="A6" s="133" t="s">
        <v>201</v>
      </c>
      <c r="B6" s="116" t="s">
        <v>363</v>
      </c>
      <c r="C6" s="128" t="s">
        <v>395</v>
      </c>
      <c r="D6" s="128" t="s">
        <v>422</v>
      </c>
      <c r="E6" s="128" t="s">
        <v>423</v>
      </c>
      <c r="G6" s="115" t="s">
        <v>202</v>
      </c>
    </row>
    <row r="8" spans="1:13" ht="13.15" x14ac:dyDescent="0.4">
      <c r="A8" s="133">
        <v>1</v>
      </c>
      <c r="B8" s="116" t="s">
        <v>203</v>
      </c>
      <c r="C8" s="291">
        <f>'Attach3 - AuctionRateResult'!D8</f>
        <v>109.38</v>
      </c>
      <c r="D8" s="291">
        <f>'Attach3 - AuctionRateResult'!E8</f>
        <v>109.38</v>
      </c>
      <c r="E8" s="291">
        <f>D10</f>
        <v>109.5</v>
      </c>
      <c r="G8" s="230" t="s">
        <v>373</v>
      </c>
    </row>
    <row r="9" spans="1:13" ht="13.15" x14ac:dyDescent="0.4">
      <c r="A9" s="133" t="s">
        <v>336</v>
      </c>
      <c r="B9" s="859" t="s">
        <v>424</v>
      </c>
      <c r="C9" s="851">
        <f>'Attach4 P2'!C21</f>
        <v>0.12</v>
      </c>
      <c r="D9" s="851">
        <f>'Attach4 P2'!D21</f>
        <v>0.12</v>
      </c>
      <c r="E9" s="220"/>
      <c r="G9" s="147" t="s">
        <v>401</v>
      </c>
    </row>
    <row r="10" spans="1:13" ht="13.15" x14ac:dyDescent="0.4">
      <c r="A10" s="133" t="s">
        <v>338</v>
      </c>
      <c r="B10" s="116" t="s">
        <v>303</v>
      </c>
      <c r="C10" s="860">
        <f>C8+C9</f>
        <v>109.5</v>
      </c>
      <c r="D10" s="860">
        <f t="shared" ref="D10:E10" si="0">D8+D9</f>
        <v>109.5</v>
      </c>
      <c r="E10" s="860">
        <f t="shared" si="0"/>
        <v>109.5</v>
      </c>
      <c r="G10" s="221" t="s">
        <v>379</v>
      </c>
    </row>
    <row r="11" spans="1:13" ht="13.15" x14ac:dyDescent="0.4">
      <c r="A11" s="133"/>
      <c r="B11" s="116"/>
      <c r="C11" s="860"/>
      <c r="D11" s="860"/>
      <c r="E11" s="860"/>
      <c r="G11" s="117"/>
    </row>
    <row r="12" spans="1:13" ht="13.15" x14ac:dyDescent="0.4">
      <c r="A12" s="133">
        <v>2</v>
      </c>
      <c r="B12" s="118" t="s">
        <v>301</v>
      </c>
      <c r="C12" s="112">
        <v>28</v>
      </c>
      <c r="D12" s="112">
        <v>29</v>
      </c>
      <c r="E12" s="112">
        <v>28</v>
      </c>
      <c r="G12" s="147" t="s">
        <v>398</v>
      </c>
    </row>
    <row r="13" spans="1:13" ht="13.15" x14ac:dyDescent="0.4">
      <c r="A13" s="133">
        <v>3</v>
      </c>
      <c r="B13" s="116" t="s">
        <v>302</v>
      </c>
      <c r="C13" s="112">
        <v>85</v>
      </c>
      <c r="D13" s="112">
        <f>C13</f>
        <v>85</v>
      </c>
      <c r="E13" s="112">
        <f>C13</f>
        <v>85</v>
      </c>
      <c r="G13" s="147" t="s">
        <v>398</v>
      </c>
    </row>
    <row r="14" spans="1:13" ht="13.15" x14ac:dyDescent="0.4">
      <c r="A14" s="133"/>
      <c r="B14" s="116"/>
      <c r="G14" s="147"/>
    </row>
    <row r="15" spans="1:13" ht="13.15" x14ac:dyDescent="0.4">
      <c r="A15" s="133"/>
      <c r="B15" s="116" t="s">
        <v>204</v>
      </c>
    </row>
    <row r="16" spans="1:13" x14ac:dyDescent="0.35">
      <c r="A16" s="133">
        <v>4</v>
      </c>
      <c r="B16" s="861" t="s">
        <v>205</v>
      </c>
      <c r="C16" s="222">
        <v>1</v>
      </c>
      <c r="D16" s="222">
        <v>1</v>
      </c>
      <c r="E16" s="222">
        <v>1</v>
      </c>
      <c r="G16" s="147" t="s">
        <v>398</v>
      </c>
      <c r="K16" s="862"/>
    </row>
    <row r="17" spans="1:12" x14ac:dyDescent="0.35">
      <c r="A17" s="133">
        <v>5</v>
      </c>
      <c r="B17" s="861" t="s">
        <v>206</v>
      </c>
      <c r="C17" s="222">
        <v>1</v>
      </c>
      <c r="D17" s="222">
        <v>1</v>
      </c>
      <c r="E17" s="222">
        <v>1</v>
      </c>
      <c r="G17" s="147" t="s">
        <v>398</v>
      </c>
      <c r="K17" s="862"/>
    </row>
    <row r="18" spans="1:12" x14ac:dyDescent="0.35">
      <c r="A18" s="133"/>
    </row>
    <row r="19" spans="1:12" ht="13.15" x14ac:dyDescent="0.4">
      <c r="A19" s="133"/>
      <c r="B19" s="122" t="s">
        <v>365</v>
      </c>
    </row>
    <row r="20" spans="1:12" x14ac:dyDescent="0.35">
      <c r="A20" s="133">
        <v>6</v>
      </c>
      <c r="B20" s="112" t="s">
        <v>207</v>
      </c>
      <c r="C20" s="126">
        <f>'Attach3 - AuctionRateResult'!C21</f>
        <v>9098956.6956436411</v>
      </c>
      <c r="D20" s="126"/>
      <c r="E20" s="126"/>
      <c r="G20" s="147" t="s">
        <v>398</v>
      </c>
    </row>
    <row r="21" spans="1:12" x14ac:dyDescent="0.35">
      <c r="A21" s="133">
        <v>7</v>
      </c>
      <c r="B21" s="112" t="s">
        <v>208</v>
      </c>
      <c r="C21" s="126">
        <f>'Attach3 - AuctionRateResult'!C22</f>
        <v>14111788.865207138</v>
      </c>
      <c r="D21" s="126"/>
      <c r="E21" s="126"/>
    </row>
    <row r="22" spans="1:12" x14ac:dyDescent="0.35">
      <c r="A22" s="133"/>
    </row>
    <row r="23" spans="1:12" ht="13.15" x14ac:dyDescent="0.4">
      <c r="A23" s="133"/>
      <c r="B23" s="116" t="s">
        <v>268</v>
      </c>
    </row>
    <row r="24" spans="1:12" x14ac:dyDescent="0.35">
      <c r="A24" s="133">
        <v>8</v>
      </c>
      <c r="B24" s="861" t="s">
        <v>205</v>
      </c>
      <c r="C24" s="863">
        <f>((+C$10)*C$12/C$13*C16*$C20/1000)</f>
        <v>328204.7203393341</v>
      </c>
      <c r="D24" s="863">
        <f t="shared" ref="D24:E25" si="1">((+D$10)*D$12/D$13*D16*$C20/1000)</f>
        <v>339926.31749431038</v>
      </c>
      <c r="E24" s="863">
        <f t="shared" si="1"/>
        <v>328204.7203393341</v>
      </c>
      <c r="F24" s="148"/>
      <c r="G24" s="221" t="s">
        <v>380</v>
      </c>
      <c r="J24" s="138"/>
      <c r="L24" s="138"/>
    </row>
    <row r="25" spans="1:12" ht="15" x14ac:dyDescent="0.65">
      <c r="A25" s="133">
        <v>9</v>
      </c>
      <c r="B25" s="861" t="s">
        <v>206</v>
      </c>
      <c r="C25" s="145">
        <f>((+C$10)*C$12/C$13*C17*$C21/1000)</f>
        <v>509020.52542029513</v>
      </c>
      <c r="D25" s="145">
        <f t="shared" si="1"/>
        <v>527199.82989959139</v>
      </c>
      <c r="E25" s="145">
        <f t="shared" si="1"/>
        <v>509020.52542029513</v>
      </c>
      <c r="F25" s="148"/>
      <c r="G25" s="221" t="s">
        <v>381</v>
      </c>
    </row>
    <row r="26" spans="1:12" x14ac:dyDescent="0.35">
      <c r="A26" s="133">
        <v>10</v>
      </c>
      <c r="B26" s="112" t="s">
        <v>209</v>
      </c>
      <c r="C26" s="138">
        <f>+C25+C24</f>
        <v>837225.24575962918</v>
      </c>
      <c r="D26" s="138">
        <f>+D25+D24</f>
        <v>867126.14739390183</v>
      </c>
      <c r="E26" s="138">
        <f>+E25+E24</f>
        <v>837225.24575962918</v>
      </c>
      <c r="J26" s="138"/>
      <c r="L26" s="138"/>
    </row>
    <row r="27" spans="1:12" x14ac:dyDescent="0.35">
      <c r="A27" s="133"/>
    </row>
    <row r="28" spans="1:12" ht="13.15" x14ac:dyDescent="0.4">
      <c r="A28" s="133"/>
      <c r="B28" s="116" t="s">
        <v>269</v>
      </c>
    </row>
    <row r="29" spans="1:12" x14ac:dyDescent="0.35">
      <c r="A29" s="133">
        <v>11</v>
      </c>
      <c r="B29" s="861" t="s">
        <v>205</v>
      </c>
      <c r="C29" s="864">
        <f>ROUND(+SUM(C24:E24)/C20*1000,3)</f>
        <v>109.5</v>
      </c>
      <c r="D29" s="141"/>
      <c r="G29" s="221" t="s">
        <v>366</v>
      </c>
    </row>
    <row r="30" spans="1:12" x14ac:dyDescent="0.35">
      <c r="A30" s="133">
        <v>12</v>
      </c>
      <c r="B30" s="861" t="s">
        <v>206</v>
      </c>
      <c r="C30" s="860">
        <f>ROUND(+SUM(C25:E25)/C21*1000,3)</f>
        <v>109.5</v>
      </c>
      <c r="G30" s="221" t="s">
        <v>367</v>
      </c>
    </row>
    <row r="31" spans="1:12" x14ac:dyDescent="0.35">
      <c r="A31" s="133"/>
      <c r="B31" s="861"/>
      <c r="C31" s="865"/>
      <c r="G31" s="117"/>
    </row>
    <row r="32" spans="1:12" ht="13.15" x14ac:dyDescent="0.4">
      <c r="A32" s="133">
        <v>13</v>
      </c>
      <c r="B32" s="112" t="s">
        <v>213</v>
      </c>
      <c r="C32" s="866">
        <f>ROUND(+SUM(C26:E26)/(C20+C21)*1000,3)</f>
        <v>109.5</v>
      </c>
      <c r="D32" s="112" t="s">
        <v>211</v>
      </c>
      <c r="G32" s="221" t="s">
        <v>210</v>
      </c>
    </row>
    <row r="33" spans="1:13" x14ac:dyDescent="0.35">
      <c r="D33" s="112" t="s">
        <v>212</v>
      </c>
      <c r="G33" s="147" t="s">
        <v>368</v>
      </c>
    </row>
    <row r="34" spans="1:13" x14ac:dyDescent="0.35">
      <c r="C34" s="141"/>
    </row>
    <row r="35" spans="1:13" ht="13.15" x14ac:dyDescent="0.4">
      <c r="B35" s="867"/>
      <c r="D35" s="141"/>
    </row>
    <row r="36" spans="1:13" x14ac:dyDescent="0.35">
      <c r="A36" s="133"/>
      <c r="B36" s="868"/>
      <c r="C36" s="138"/>
      <c r="D36" s="141"/>
      <c r="G36" s="117"/>
    </row>
    <row r="37" spans="1:13" ht="15" x14ac:dyDescent="0.65">
      <c r="A37" s="133"/>
      <c r="B37" s="868"/>
      <c r="C37" s="869"/>
      <c r="D37" s="141"/>
      <c r="G37" s="117"/>
    </row>
    <row r="38" spans="1:13" x14ac:dyDescent="0.35">
      <c r="A38" s="133"/>
      <c r="B38" s="868"/>
      <c r="C38" s="870"/>
      <c r="D38" s="141"/>
      <c r="G38" s="117"/>
    </row>
    <row r="39" spans="1:13" x14ac:dyDescent="0.35">
      <c r="B39" s="868"/>
      <c r="D39" s="141"/>
    </row>
    <row r="41" spans="1:13" ht="13.15" x14ac:dyDescent="0.4">
      <c r="A41" s="871"/>
      <c r="B41" s="116"/>
      <c r="G41" s="115"/>
    </row>
    <row r="42" spans="1:13" ht="13.15" x14ac:dyDescent="0.4">
      <c r="A42" s="871"/>
      <c r="B42" s="116"/>
      <c r="G42" s="115"/>
    </row>
    <row r="43" spans="1:13" ht="13.15" x14ac:dyDescent="0.4">
      <c r="B43" s="116"/>
    </row>
    <row r="44" spans="1:13" x14ac:dyDescent="0.35">
      <c r="B44" s="115"/>
    </row>
    <row r="45" spans="1:13" ht="13.15" x14ac:dyDescent="0.4">
      <c r="B45" s="116"/>
    </row>
    <row r="46" spans="1:13" ht="13.15" x14ac:dyDescent="0.4">
      <c r="C46" s="872"/>
      <c r="D46" s="872"/>
      <c r="E46" s="872"/>
      <c r="F46" s="872"/>
      <c r="G46" s="872"/>
      <c r="H46" s="872"/>
      <c r="I46" s="872"/>
      <c r="J46" s="872"/>
    </row>
    <row r="47" spans="1:13" ht="13.15" x14ac:dyDescent="0.4">
      <c r="C47" s="872"/>
      <c r="D47" s="872"/>
      <c r="E47" s="872"/>
      <c r="F47" s="872"/>
      <c r="G47" s="872"/>
    </row>
    <row r="48" spans="1:13" ht="13.15" x14ac:dyDescent="0.4">
      <c r="B48" s="873"/>
      <c r="E48" s="79"/>
      <c r="F48" s="57"/>
      <c r="G48" s="57"/>
      <c r="H48" s="57"/>
      <c r="I48" s="79"/>
      <c r="J48" s="79"/>
      <c r="K48" s="80"/>
      <c r="L48" s="80"/>
      <c r="M48" s="80"/>
    </row>
    <row r="49" spans="2:13" ht="13.15" x14ac:dyDescent="0.4">
      <c r="B49" s="874"/>
      <c r="C49" s="58"/>
      <c r="D49" s="80"/>
      <c r="E49" s="57"/>
      <c r="F49" s="79"/>
      <c r="G49" s="79"/>
      <c r="H49" s="79"/>
      <c r="J49" s="225"/>
      <c r="K49" s="80"/>
      <c r="L49" s="80"/>
      <c r="M49" s="80"/>
    </row>
    <row r="50" spans="2:13" ht="13.15" x14ac:dyDescent="0.4">
      <c r="B50" s="874"/>
      <c r="C50" s="58"/>
      <c r="D50" s="80"/>
      <c r="E50" s="57"/>
      <c r="F50" s="79"/>
      <c r="G50" s="79"/>
      <c r="H50" s="875"/>
      <c r="J50" s="225"/>
      <c r="K50" s="876"/>
      <c r="L50" s="80"/>
      <c r="M50" s="80"/>
    </row>
    <row r="51" spans="2:13" ht="13.15" x14ac:dyDescent="0.4">
      <c r="E51" s="58"/>
      <c r="F51" s="80"/>
      <c r="G51" s="80"/>
      <c r="L51" s="80"/>
      <c r="M51" s="80"/>
    </row>
    <row r="52" spans="2:13" ht="13.15" x14ac:dyDescent="0.4">
      <c r="B52" s="877"/>
      <c r="C52" s="57"/>
      <c r="D52" s="57"/>
      <c r="E52" s="58"/>
      <c r="F52" s="80"/>
      <c r="G52" s="80"/>
      <c r="H52" s="80"/>
      <c r="I52" s="80"/>
      <c r="J52" s="80"/>
      <c r="K52" s="80"/>
      <c r="L52" s="80"/>
      <c r="M52" s="80"/>
    </row>
    <row r="53" spans="2:13" ht="13.15" x14ac:dyDescent="0.4">
      <c r="B53" s="877"/>
      <c r="C53" s="142"/>
      <c r="D53" s="142"/>
      <c r="E53" s="878"/>
      <c r="F53" s="80"/>
      <c r="G53" s="80"/>
      <c r="H53" s="80"/>
      <c r="I53" s="80"/>
      <c r="J53" s="80"/>
      <c r="K53" s="80"/>
      <c r="L53" s="80"/>
      <c r="M53" s="80"/>
    </row>
    <row r="54" spans="2:13" ht="13.15" x14ac:dyDescent="0.4">
      <c r="B54" s="877"/>
      <c r="C54" s="142"/>
      <c r="D54" s="142"/>
      <c r="E54" s="878"/>
      <c r="F54" s="80"/>
      <c r="G54" s="80"/>
      <c r="H54" s="80"/>
      <c r="I54" s="80"/>
      <c r="J54" s="80"/>
      <c r="K54" s="80"/>
      <c r="L54" s="80"/>
      <c r="M54" s="80"/>
    </row>
    <row r="55" spans="2:13" x14ac:dyDescent="0.35">
      <c r="G55" s="80"/>
      <c r="H55" s="80"/>
      <c r="I55" s="80"/>
      <c r="J55" s="80"/>
      <c r="K55" s="80"/>
      <c r="L55" s="80"/>
      <c r="M55" s="80"/>
    </row>
    <row r="56" spans="2:13" x14ac:dyDescent="0.35">
      <c r="H56" s="80"/>
      <c r="I56" s="80"/>
      <c r="J56" s="80"/>
      <c r="K56" s="80"/>
      <c r="L56" s="80"/>
      <c r="M56" s="80"/>
    </row>
    <row r="57" spans="2:13" x14ac:dyDescent="0.35"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</row>
    <row r="58" spans="2:13" ht="13.15" x14ac:dyDescent="0.4">
      <c r="B58" s="873"/>
      <c r="C58" s="57"/>
      <c r="D58" s="57"/>
      <c r="E58" s="79"/>
      <c r="F58" s="57"/>
      <c r="G58" s="57"/>
      <c r="H58" s="57"/>
      <c r="I58" s="79"/>
      <c r="J58" s="79"/>
      <c r="K58" s="80"/>
      <c r="L58" s="80"/>
      <c r="M58" s="80"/>
    </row>
    <row r="59" spans="2:13" ht="13.15" x14ac:dyDescent="0.4">
      <c r="B59" s="874"/>
      <c r="C59" s="80"/>
      <c r="D59" s="80"/>
      <c r="E59" s="57"/>
      <c r="F59" s="80"/>
      <c r="G59" s="80"/>
      <c r="H59" s="80"/>
      <c r="J59" s="225"/>
      <c r="K59" s="80"/>
      <c r="L59" s="80"/>
      <c r="M59" s="80"/>
    </row>
    <row r="60" spans="2:13" ht="13.15" x14ac:dyDescent="0.4">
      <c r="B60" s="874"/>
      <c r="C60" s="80"/>
      <c r="D60" s="80"/>
      <c r="E60" s="57"/>
      <c r="F60" s="80"/>
      <c r="G60" s="80"/>
      <c r="J60" s="225"/>
      <c r="K60" s="876"/>
      <c r="L60" s="80"/>
      <c r="M60" s="80"/>
    </row>
    <row r="61" spans="2:13" x14ac:dyDescent="0.35">
      <c r="C61" s="80"/>
      <c r="D61" s="80"/>
      <c r="E61" s="80"/>
      <c r="F61" s="80"/>
      <c r="G61" s="80"/>
      <c r="K61" s="80"/>
      <c r="L61" s="80"/>
      <c r="M61" s="80"/>
    </row>
    <row r="62" spans="2:13" x14ac:dyDescent="0.35">
      <c r="C62" s="79"/>
      <c r="D62" s="79"/>
      <c r="E62" s="79"/>
      <c r="F62" s="79"/>
      <c r="G62" s="79"/>
      <c r="H62" s="79"/>
      <c r="I62" s="79"/>
      <c r="J62" s="79"/>
      <c r="K62" s="80"/>
      <c r="L62" s="80"/>
      <c r="M62" s="80"/>
    </row>
    <row r="65" spans="2:11" ht="13.15" x14ac:dyDescent="0.4">
      <c r="B65" s="116"/>
    </row>
    <row r="66" spans="2:11" x14ac:dyDescent="0.35">
      <c r="B66" s="115"/>
    </row>
    <row r="68" spans="2:11" ht="13.15" x14ac:dyDescent="0.4">
      <c r="C68" s="872"/>
      <c r="D68" s="872"/>
      <c r="E68" s="872"/>
      <c r="F68" s="872"/>
      <c r="H68" s="116"/>
      <c r="I68" s="872"/>
      <c r="J68" s="872"/>
    </row>
    <row r="69" spans="2:11" ht="13.15" x14ac:dyDescent="0.4">
      <c r="C69" s="872"/>
      <c r="D69" s="879"/>
      <c r="E69" s="872"/>
      <c r="F69" s="879"/>
    </row>
    <row r="70" spans="2:11" ht="13.15" x14ac:dyDescent="0.4">
      <c r="B70" s="873"/>
      <c r="C70" s="57"/>
      <c r="D70" s="876"/>
      <c r="E70" s="875"/>
      <c r="F70" s="875"/>
      <c r="H70" s="880"/>
    </row>
    <row r="71" spans="2:11" ht="13.15" x14ac:dyDescent="0.4">
      <c r="B71" s="874"/>
      <c r="C71" s="79"/>
      <c r="D71" s="876"/>
      <c r="E71" s="57"/>
      <c r="F71" s="876"/>
      <c r="H71" s="868"/>
      <c r="I71" s="881"/>
      <c r="J71" s="881"/>
      <c r="K71" s="117"/>
    </row>
    <row r="72" spans="2:11" ht="13.15" x14ac:dyDescent="0.4">
      <c r="B72" s="874"/>
      <c r="C72" s="79"/>
      <c r="D72" s="876"/>
      <c r="E72" s="57"/>
      <c r="F72" s="876"/>
      <c r="H72" s="868"/>
      <c r="I72" s="881"/>
      <c r="J72" s="881"/>
      <c r="K72" s="117"/>
    </row>
    <row r="73" spans="2:11" ht="13.15" x14ac:dyDescent="0.4">
      <c r="C73" s="79"/>
      <c r="D73" s="876"/>
      <c r="E73" s="79"/>
      <c r="F73" s="876"/>
      <c r="H73" s="868"/>
      <c r="I73" s="881"/>
      <c r="J73" s="881"/>
      <c r="K73" s="117"/>
    </row>
    <row r="74" spans="2:11" ht="13.15" x14ac:dyDescent="0.4">
      <c r="B74" s="873"/>
      <c r="C74" s="57"/>
      <c r="D74" s="876"/>
      <c r="E74" s="57"/>
      <c r="F74" s="876"/>
      <c r="H74" s="880"/>
      <c r="I74" s="141"/>
      <c r="J74" s="141"/>
    </row>
    <row r="75" spans="2:11" ht="13.15" x14ac:dyDescent="0.4">
      <c r="B75" s="874"/>
      <c r="C75" s="79"/>
      <c r="D75" s="875"/>
      <c r="E75" s="57"/>
      <c r="F75" s="876"/>
      <c r="H75" s="868"/>
      <c r="I75" s="881"/>
      <c r="J75" s="881"/>
      <c r="K75" s="117"/>
    </row>
    <row r="76" spans="2:11" ht="13.15" x14ac:dyDescent="0.4">
      <c r="B76" s="874"/>
      <c r="C76" s="79"/>
      <c r="D76" s="875"/>
      <c r="E76" s="57"/>
      <c r="F76" s="876"/>
    </row>
    <row r="77" spans="2:11" x14ac:dyDescent="0.35">
      <c r="C77" s="79"/>
      <c r="D77" s="875"/>
      <c r="E77" s="79"/>
      <c r="F77" s="875"/>
    </row>
    <row r="78" spans="2:11" x14ac:dyDescent="0.35">
      <c r="C78" s="79"/>
      <c r="D78" s="875"/>
      <c r="E78" s="79"/>
      <c r="F78" s="875"/>
    </row>
    <row r="79" spans="2:11" x14ac:dyDescent="0.35">
      <c r="C79" s="79"/>
      <c r="D79" s="875"/>
      <c r="E79" s="79"/>
      <c r="F79" s="875"/>
    </row>
    <row r="80" spans="2:11" x14ac:dyDescent="0.35">
      <c r="C80" s="80"/>
      <c r="E80" s="80"/>
    </row>
    <row r="81" spans="1:13" ht="13.15" x14ac:dyDescent="0.4">
      <c r="A81" s="882"/>
      <c r="B81" s="867"/>
      <c r="C81" s="80"/>
      <c r="E81" s="80"/>
    </row>
    <row r="82" spans="1:13" x14ac:dyDescent="0.35">
      <c r="A82" s="882"/>
      <c r="B82" s="115"/>
    </row>
    <row r="84" spans="1:13" ht="13.15" x14ac:dyDescent="0.4">
      <c r="B84" s="116"/>
    </row>
    <row r="85" spans="1:13" x14ac:dyDescent="0.35">
      <c r="B85" s="115"/>
    </row>
    <row r="86" spans="1:13" ht="13.15" x14ac:dyDescent="0.4">
      <c r="B86" s="116"/>
    </row>
    <row r="87" spans="1:13" ht="13.15" x14ac:dyDescent="0.4">
      <c r="C87" s="872"/>
      <c r="D87" s="872"/>
      <c r="E87" s="872"/>
      <c r="F87" s="872"/>
      <c r="G87" s="872"/>
      <c r="H87" s="872"/>
      <c r="I87" s="872"/>
      <c r="J87" s="872"/>
    </row>
    <row r="88" spans="1:13" x14ac:dyDescent="0.35">
      <c r="C88" s="882"/>
      <c r="D88" s="882"/>
      <c r="E88" s="882"/>
      <c r="F88" s="883"/>
      <c r="G88" s="883"/>
      <c r="H88" s="883"/>
      <c r="I88" s="883"/>
      <c r="J88" s="883"/>
    </row>
    <row r="89" spans="1:13" x14ac:dyDescent="0.35">
      <c r="B89" s="873"/>
      <c r="C89" s="882"/>
      <c r="D89" s="882"/>
      <c r="E89" s="882"/>
      <c r="F89" s="883"/>
      <c r="G89" s="883"/>
      <c r="H89" s="883"/>
      <c r="I89" s="883"/>
      <c r="J89" s="883"/>
      <c r="L89" s="80"/>
      <c r="M89" s="80"/>
    </row>
    <row r="90" spans="1:13" x14ac:dyDescent="0.35">
      <c r="B90" s="874"/>
      <c r="C90" s="882"/>
      <c r="D90" s="882"/>
      <c r="E90" s="883"/>
      <c r="F90" s="882"/>
      <c r="G90" s="883"/>
      <c r="H90" s="883"/>
      <c r="I90" s="883"/>
      <c r="J90" s="882"/>
      <c r="L90" s="80"/>
      <c r="M90" s="80"/>
    </row>
    <row r="91" spans="1:13" x14ac:dyDescent="0.35">
      <c r="B91" s="874"/>
      <c r="C91" s="882"/>
      <c r="D91" s="882"/>
      <c r="E91" s="883"/>
      <c r="F91" s="882"/>
      <c r="G91" s="882"/>
      <c r="H91" s="882"/>
      <c r="I91" s="882"/>
      <c r="J91" s="882"/>
      <c r="L91" s="80"/>
      <c r="M91" s="80"/>
    </row>
    <row r="92" spans="1:13" ht="13.15" x14ac:dyDescent="0.4">
      <c r="B92" s="877"/>
      <c r="C92" s="882"/>
      <c r="D92" s="882"/>
      <c r="E92" s="882"/>
      <c r="F92" s="882"/>
      <c r="G92" s="882"/>
      <c r="H92" s="882"/>
      <c r="I92" s="882"/>
      <c r="J92" s="882"/>
      <c r="L92" s="80"/>
      <c r="M92" s="80"/>
    </row>
    <row r="93" spans="1:13" x14ac:dyDescent="0.35">
      <c r="B93" s="878"/>
      <c r="C93" s="883"/>
      <c r="D93" s="883"/>
      <c r="E93" s="882"/>
      <c r="F93" s="882"/>
      <c r="G93" s="882"/>
      <c r="H93" s="882"/>
      <c r="I93" s="882"/>
      <c r="J93" s="882"/>
      <c r="L93" s="80"/>
      <c r="M93" s="80"/>
    </row>
    <row r="94" spans="1:13" x14ac:dyDescent="0.35">
      <c r="B94" s="878"/>
      <c r="C94" s="883"/>
      <c r="D94" s="883"/>
      <c r="E94" s="882"/>
      <c r="F94" s="882"/>
      <c r="G94" s="882"/>
      <c r="H94" s="882"/>
      <c r="I94" s="882"/>
      <c r="J94" s="882"/>
      <c r="L94" s="80"/>
      <c r="M94" s="80"/>
    </row>
    <row r="95" spans="1:13" x14ac:dyDescent="0.35">
      <c r="C95" s="883"/>
      <c r="D95" s="883"/>
      <c r="E95" s="882"/>
      <c r="F95" s="882"/>
      <c r="G95" s="882"/>
      <c r="H95" s="882"/>
      <c r="I95" s="882"/>
      <c r="J95" s="882"/>
      <c r="L95" s="80"/>
      <c r="M95" s="80"/>
    </row>
    <row r="96" spans="1:13" x14ac:dyDescent="0.35">
      <c r="B96" s="873"/>
      <c r="C96" s="883"/>
      <c r="D96" s="883"/>
      <c r="E96" s="882"/>
      <c r="F96" s="883"/>
      <c r="G96" s="883"/>
      <c r="H96" s="883"/>
      <c r="I96" s="883"/>
      <c r="J96" s="883"/>
      <c r="L96" s="80"/>
      <c r="M96" s="80"/>
    </row>
    <row r="97" spans="2:13" x14ac:dyDescent="0.35">
      <c r="B97" s="874"/>
      <c r="C97" s="882"/>
      <c r="D97" s="882"/>
      <c r="E97" s="883"/>
      <c r="F97" s="882"/>
      <c r="G97" s="882"/>
      <c r="H97" s="882"/>
      <c r="I97" s="882"/>
      <c r="J97" s="882"/>
      <c r="L97" s="80"/>
      <c r="M97" s="80"/>
    </row>
    <row r="98" spans="2:13" x14ac:dyDescent="0.35">
      <c r="B98" s="874"/>
      <c r="C98" s="882"/>
      <c r="D98" s="882"/>
      <c r="E98" s="883"/>
      <c r="F98" s="882"/>
      <c r="G98" s="882"/>
      <c r="H98" s="882"/>
      <c r="I98" s="882"/>
      <c r="J98" s="882"/>
      <c r="L98" s="80"/>
      <c r="M98" s="80"/>
    </row>
    <row r="99" spans="2:13" x14ac:dyDescent="0.35">
      <c r="C99" s="882"/>
      <c r="D99" s="882"/>
      <c r="E99" s="883"/>
      <c r="F99" s="882"/>
      <c r="G99" s="882"/>
      <c r="H99" s="882"/>
      <c r="I99" s="882"/>
      <c r="J99" s="882"/>
      <c r="L99" s="80"/>
      <c r="M99" s="80"/>
    </row>
    <row r="102" spans="2:13" ht="13.15" x14ac:dyDescent="0.4">
      <c r="B102" s="116"/>
    </row>
    <row r="103" spans="2:13" x14ac:dyDescent="0.35">
      <c r="B103" s="115"/>
    </row>
    <row r="105" spans="2:13" ht="13.15" x14ac:dyDescent="0.4">
      <c r="C105" s="872"/>
      <c r="D105" s="872"/>
      <c r="E105" s="872"/>
      <c r="F105" s="872"/>
      <c r="H105" s="116"/>
      <c r="I105" s="872"/>
      <c r="J105" s="872"/>
    </row>
    <row r="106" spans="2:13" ht="13.15" x14ac:dyDescent="0.4">
      <c r="F106" s="879"/>
    </row>
    <row r="107" spans="2:13" x14ac:dyDescent="0.35">
      <c r="B107" s="873"/>
      <c r="C107" s="883"/>
      <c r="D107" s="883"/>
      <c r="E107" s="883"/>
      <c r="F107" s="875"/>
      <c r="H107" s="880"/>
    </row>
    <row r="108" spans="2:13" ht="13.15" x14ac:dyDescent="0.4">
      <c r="B108" s="874"/>
      <c r="C108" s="883"/>
      <c r="D108" s="883"/>
      <c r="E108" s="883"/>
      <c r="F108" s="876"/>
      <c r="H108" s="868"/>
      <c r="I108" s="884"/>
      <c r="J108" s="884"/>
      <c r="K108" s="117"/>
    </row>
    <row r="109" spans="2:13" ht="13.15" x14ac:dyDescent="0.4">
      <c r="B109" s="874"/>
      <c r="C109" s="883"/>
      <c r="D109" s="883"/>
      <c r="E109" s="883"/>
      <c r="F109" s="876"/>
      <c r="H109" s="868"/>
      <c r="I109" s="884"/>
      <c r="J109" s="884"/>
      <c r="K109" s="117"/>
    </row>
    <row r="110" spans="2:13" ht="13.15" x14ac:dyDescent="0.4">
      <c r="C110" s="883"/>
      <c r="D110" s="883"/>
      <c r="E110" s="883"/>
      <c r="F110" s="876"/>
      <c r="H110" s="868"/>
      <c r="I110" s="881"/>
      <c r="J110" s="881"/>
      <c r="K110" s="117"/>
    </row>
    <row r="111" spans="2:13" ht="13.15" x14ac:dyDescent="0.4">
      <c r="B111" s="873"/>
      <c r="C111" s="883"/>
      <c r="D111" s="883"/>
      <c r="E111" s="883"/>
      <c r="F111" s="876"/>
      <c r="H111" s="880"/>
      <c r="I111" s="141"/>
      <c r="J111" s="141"/>
    </row>
    <row r="112" spans="2:13" ht="13.15" x14ac:dyDescent="0.4">
      <c r="B112" s="874"/>
      <c r="C112" s="883"/>
      <c r="D112" s="883"/>
      <c r="E112" s="883"/>
      <c r="F112" s="876"/>
      <c r="H112" s="868"/>
      <c r="I112" s="884"/>
      <c r="J112" s="884"/>
      <c r="K112" s="117"/>
    </row>
    <row r="113" spans="1:12" ht="13.15" x14ac:dyDescent="0.4">
      <c r="B113" s="874"/>
      <c r="C113" s="883"/>
      <c r="D113" s="883"/>
      <c r="E113" s="883"/>
      <c r="F113" s="876"/>
    </row>
    <row r="114" spans="1:12" x14ac:dyDescent="0.35">
      <c r="C114" s="79"/>
      <c r="D114" s="875"/>
      <c r="E114" s="79"/>
      <c r="F114" s="875"/>
    </row>
    <row r="115" spans="1:12" x14ac:dyDescent="0.35">
      <c r="C115" s="79"/>
      <c r="D115" s="875"/>
      <c r="E115" s="79"/>
      <c r="F115" s="875"/>
    </row>
    <row r="117" spans="1:12" ht="13.15" x14ac:dyDescent="0.4">
      <c r="A117" s="882"/>
      <c r="B117" s="116"/>
      <c r="C117" s="80"/>
      <c r="E117" s="80"/>
    </row>
    <row r="118" spans="1:12" x14ac:dyDescent="0.35">
      <c r="C118" s="80"/>
      <c r="E118" s="80"/>
    </row>
    <row r="119" spans="1:12" ht="13.15" x14ac:dyDescent="0.4">
      <c r="C119" s="872"/>
      <c r="D119" s="872"/>
      <c r="E119" s="872"/>
      <c r="F119" s="872"/>
      <c r="G119" s="872"/>
      <c r="H119" s="872"/>
      <c r="I119" s="872"/>
      <c r="J119" s="872"/>
    </row>
    <row r="121" spans="1:12" x14ac:dyDescent="0.35">
      <c r="B121" s="133"/>
      <c r="C121" s="870"/>
      <c r="D121" s="870"/>
      <c r="E121" s="885"/>
      <c r="F121" s="870"/>
      <c r="G121" s="863"/>
      <c r="H121" s="870"/>
      <c r="I121" s="870"/>
      <c r="J121" s="870"/>
    </row>
    <row r="122" spans="1:12" ht="15" x14ac:dyDescent="0.65">
      <c r="B122" s="133"/>
      <c r="C122" s="145"/>
      <c r="D122" s="145"/>
      <c r="E122" s="145"/>
      <c r="F122" s="145"/>
      <c r="G122" s="145"/>
      <c r="H122" s="145"/>
      <c r="I122" s="145"/>
      <c r="J122" s="145"/>
    </row>
    <row r="123" spans="1:12" x14ac:dyDescent="0.35">
      <c r="B123" s="133"/>
      <c r="C123" s="138"/>
      <c r="D123" s="138"/>
      <c r="E123" s="138"/>
      <c r="F123" s="138"/>
      <c r="G123" s="138"/>
      <c r="H123" s="138"/>
      <c r="I123" s="138"/>
      <c r="J123" s="138"/>
    </row>
    <row r="124" spans="1:12" x14ac:dyDescent="0.35">
      <c r="B124" s="133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</row>
    <row r="125" spans="1:12" x14ac:dyDescent="0.35">
      <c r="B125" s="133"/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</row>
    <row r="126" spans="1:12" ht="13.15" x14ac:dyDescent="0.4">
      <c r="B126" s="133"/>
      <c r="C126" s="872"/>
      <c r="D126" s="872"/>
      <c r="F126" s="872"/>
      <c r="G126" s="872"/>
      <c r="H126" s="138"/>
      <c r="I126" s="138"/>
      <c r="J126" s="138"/>
      <c r="K126" s="138"/>
      <c r="L126" s="138"/>
    </row>
    <row r="127" spans="1:12" ht="13.15" x14ac:dyDescent="0.4">
      <c r="B127" s="133"/>
      <c r="C127" s="872"/>
      <c r="D127" s="872"/>
      <c r="F127" s="872"/>
      <c r="G127" s="872"/>
      <c r="H127" s="138"/>
      <c r="I127" s="138"/>
      <c r="J127" s="138"/>
      <c r="K127" s="138"/>
      <c r="L127" s="138"/>
    </row>
    <row r="128" spans="1:12" x14ac:dyDescent="0.35">
      <c r="B128" s="133"/>
      <c r="G128" s="138"/>
      <c r="H128" s="138"/>
      <c r="I128" s="138"/>
      <c r="J128" s="138"/>
      <c r="K128" s="138"/>
      <c r="L128" s="138"/>
    </row>
    <row r="129" spans="2:12" x14ac:dyDescent="0.35">
      <c r="B129" s="133"/>
      <c r="C129" s="885"/>
      <c r="D129" s="885"/>
      <c r="F129" s="885"/>
      <c r="G129" s="886"/>
      <c r="H129" s="138"/>
      <c r="I129" s="138"/>
      <c r="J129" s="138"/>
      <c r="K129" s="138"/>
      <c r="L129" s="138"/>
    </row>
    <row r="130" spans="2:12" ht="15" x14ac:dyDescent="0.65">
      <c r="B130" s="133"/>
      <c r="C130" s="887"/>
      <c r="D130" s="887"/>
      <c r="F130" s="887"/>
      <c r="G130" s="887"/>
      <c r="H130" s="138"/>
      <c r="I130" s="138"/>
      <c r="J130" s="138"/>
      <c r="K130" s="138"/>
      <c r="L130" s="138"/>
    </row>
    <row r="131" spans="2:12" x14ac:dyDescent="0.35">
      <c r="B131" s="133"/>
      <c r="C131" s="138"/>
      <c r="D131" s="138"/>
      <c r="F131" s="138"/>
      <c r="G131" s="138"/>
      <c r="H131" s="138"/>
      <c r="I131" s="138"/>
      <c r="J131" s="138"/>
      <c r="K131" s="138"/>
      <c r="L131" s="138"/>
    </row>
    <row r="132" spans="2:12" x14ac:dyDescent="0.35">
      <c r="B132" s="133"/>
      <c r="C132" s="138"/>
      <c r="F132" s="138"/>
      <c r="G132" s="138"/>
      <c r="H132" s="138"/>
      <c r="I132" s="138"/>
      <c r="J132" s="138"/>
      <c r="K132" s="138"/>
      <c r="L132" s="138"/>
    </row>
    <row r="133" spans="2:12" x14ac:dyDescent="0.35">
      <c r="B133" s="133"/>
      <c r="C133" s="138"/>
      <c r="D133" s="138"/>
      <c r="E133" s="138"/>
      <c r="F133" s="138"/>
      <c r="G133" s="138"/>
      <c r="H133" s="138"/>
      <c r="I133" s="138"/>
      <c r="J133" s="138"/>
      <c r="K133" s="138"/>
      <c r="L133" s="138"/>
    </row>
    <row r="134" spans="2:12" ht="13.15" x14ac:dyDescent="0.4">
      <c r="B134" s="133"/>
      <c r="C134" s="872"/>
      <c r="D134" s="872"/>
      <c r="E134" s="872"/>
      <c r="F134" s="138"/>
      <c r="G134" s="138"/>
      <c r="H134" s="138"/>
      <c r="I134" s="138"/>
      <c r="J134" s="138"/>
      <c r="K134" s="138"/>
      <c r="L134" s="138"/>
    </row>
    <row r="135" spans="2:12" x14ac:dyDescent="0.35">
      <c r="B135" s="133"/>
      <c r="C135" s="138"/>
      <c r="D135" s="138"/>
      <c r="E135" s="888"/>
      <c r="F135" s="138"/>
      <c r="G135" s="138"/>
      <c r="H135" s="138"/>
      <c r="I135" s="138"/>
      <c r="J135" s="138"/>
      <c r="K135" s="138"/>
      <c r="L135" s="138"/>
    </row>
    <row r="136" spans="2:12" ht="15" x14ac:dyDescent="0.65">
      <c r="B136" s="133"/>
      <c r="C136" s="869"/>
      <c r="D136" s="869"/>
      <c r="E136" s="869"/>
    </row>
    <row r="137" spans="2:12" ht="13.15" x14ac:dyDescent="0.4">
      <c r="B137" s="133"/>
      <c r="C137" s="138"/>
      <c r="D137" s="138"/>
      <c r="E137" s="889"/>
    </row>
    <row r="138" spans="2:12" x14ac:dyDescent="0.35">
      <c r="B138" s="133"/>
      <c r="C138" s="80"/>
      <c r="E138" s="80"/>
    </row>
    <row r="139" spans="2:12" ht="13.15" x14ac:dyDescent="0.4">
      <c r="C139" s="872"/>
      <c r="D139" s="872"/>
      <c r="E139" s="872"/>
      <c r="F139" s="872"/>
      <c r="G139" s="872"/>
      <c r="H139" s="872"/>
      <c r="I139" s="872"/>
      <c r="J139" s="872"/>
      <c r="K139" s="872"/>
      <c r="L139" s="872"/>
    </row>
    <row r="141" spans="2:12" x14ac:dyDescent="0.35">
      <c r="B141" s="133"/>
      <c r="C141" s="138"/>
    </row>
    <row r="142" spans="2:12" ht="15" x14ac:dyDescent="0.65">
      <c r="B142" s="133"/>
      <c r="C142" s="869"/>
    </row>
    <row r="143" spans="2:12" x14ac:dyDescent="0.35">
      <c r="B143" s="133"/>
      <c r="C143" s="138"/>
    </row>
    <row r="144" spans="2:12" x14ac:dyDescent="0.35">
      <c r="C144" s="80"/>
    </row>
    <row r="145" spans="1:10" x14ac:dyDescent="0.35">
      <c r="B145" s="878"/>
      <c r="C145" s="133"/>
    </row>
    <row r="146" spans="1:10" x14ac:dyDescent="0.35">
      <c r="B146" s="133"/>
      <c r="C146" s="138"/>
    </row>
    <row r="147" spans="1:10" ht="15" x14ac:dyDescent="0.65">
      <c r="B147" s="133"/>
      <c r="C147" s="869"/>
    </row>
    <row r="148" spans="1:10" x14ac:dyDescent="0.35">
      <c r="B148" s="133"/>
      <c r="C148" s="138"/>
    </row>
    <row r="153" spans="1:10" ht="13.15" x14ac:dyDescent="0.4">
      <c r="A153" s="882"/>
      <c r="B153" s="867"/>
      <c r="C153" s="80"/>
      <c r="E153" s="80"/>
    </row>
    <row r="154" spans="1:10" x14ac:dyDescent="0.35">
      <c r="B154" s="115"/>
    </row>
    <row r="156" spans="1:10" ht="13.15" x14ac:dyDescent="0.4">
      <c r="B156" s="116"/>
    </row>
    <row r="157" spans="1:10" x14ac:dyDescent="0.35">
      <c r="B157" s="115"/>
    </row>
    <row r="158" spans="1:10" ht="13.15" x14ac:dyDescent="0.4">
      <c r="B158" s="116"/>
    </row>
    <row r="159" spans="1:10" ht="13.15" x14ac:dyDescent="0.4">
      <c r="C159" s="872"/>
      <c r="D159" s="872"/>
      <c r="E159" s="872"/>
      <c r="F159" s="872"/>
      <c r="G159" s="872"/>
      <c r="H159" s="872"/>
      <c r="I159" s="872"/>
      <c r="J159" s="872"/>
    </row>
    <row r="160" spans="1:10" x14ac:dyDescent="0.35">
      <c r="C160" s="882"/>
      <c r="D160" s="882"/>
      <c r="E160" s="882"/>
      <c r="F160" s="883"/>
      <c r="G160" s="883"/>
      <c r="H160" s="883"/>
      <c r="I160" s="883"/>
      <c r="J160" s="883"/>
    </row>
    <row r="161" spans="2:10" x14ac:dyDescent="0.35">
      <c r="B161" s="873"/>
      <c r="C161" s="882"/>
      <c r="D161" s="882"/>
      <c r="E161" s="882"/>
      <c r="F161" s="883"/>
      <c r="G161" s="883"/>
      <c r="H161" s="883"/>
      <c r="I161" s="883"/>
      <c r="J161" s="883"/>
    </row>
    <row r="162" spans="2:10" x14ac:dyDescent="0.35">
      <c r="B162" s="874"/>
      <c r="C162" s="882"/>
      <c r="D162" s="882"/>
      <c r="E162" s="883"/>
      <c r="G162" s="883"/>
      <c r="H162" s="883"/>
      <c r="I162" s="883"/>
      <c r="J162" s="882"/>
    </row>
    <row r="163" spans="2:10" x14ac:dyDescent="0.35">
      <c r="B163" s="874"/>
      <c r="C163" s="882"/>
      <c r="D163" s="882"/>
      <c r="E163" s="883"/>
      <c r="F163" s="882"/>
      <c r="G163" s="882"/>
      <c r="H163" s="882"/>
      <c r="I163" s="882"/>
      <c r="J163" s="882"/>
    </row>
    <row r="164" spans="2:10" ht="13.15" x14ac:dyDescent="0.4">
      <c r="B164" s="877"/>
      <c r="C164" s="882"/>
      <c r="D164" s="882"/>
      <c r="E164" s="882"/>
      <c r="F164" s="882"/>
      <c r="G164" s="882"/>
      <c r="H164" s="882"/>
      <c r="I164" s="882"/>
      <c r="J164" s="882"/>
    </row>
    <row r="165" spans="2:10" x14ac:dyDescent="0.35">
      <c r="B165" s="878"/>
      <c r="C165" s="883"/>
      <c r="D165" s="883"/>
      <c r="E165" s="882"/>
      <c r="F165" s="882"/>
      <c r="G165" s="882"/>
      <c r="H165" s="882"/>
      <c r="I165" s="882"/>
      <c r="J165" s="882"/>
    </row>
    <row r="166" spans="2:10" x14ac:dyDescent="0.35">
      <c r="B166" s="878"/>
      <c r="C166" s="883"/>
      <c r="D166" s="883"/>
      <c r="E166" s="882"/>
      <c r="F166" s="882"/>
      <c r="G166" s="882"/>
      <c r="H166" s="882"/>
      <c r="I166" s="882"/>
      <c r="J166" s="882"/>
    </row>
    <row r="167" spans="2:10" x14ac:dyDescent="0.35">
      <c r="C167" s="883"/>
      <c r="D167" s="883"/>
      <c r="E167" s="882"/>
      <c r="F167" s="882"/>
      <c r="G167" s="882"/>
      <c r="H167" s="882"/>
      <c r="I167" s="882"/>
      <c r="J167" s="882"/>
    </row>
    <row r="168" spans="2:10" x14ac:dyDescent="0.35">
      <c r="B168" s="873"/>
      <c r="C168" s="883"/>
      <c r="D168" s="883"/>
      <c r="E168" s="882"/>
      <c r="F168" s="883"/>
      <c r="G168" s="883"/>
      <c r="H168" s="883"/>
      <c r="I168" s="883"/>
      <c r="J168" s="883"/>
    </row>
    <row r="169" spans="2:10" x14ac:dyDescent="0.35">
      <c r="B169" s="874"/>
      <c r="C169" s="882"/>
      <c r="D169" s="882"/>
      <c r="E169" s="883"/>
      <c r="F169" s="882"/>
      <c r="G169" s="882"/>
      <c r="H169" s="882"/>
      <c r="I169" s="882"/>
      <c r="J169" s="882"/>
    </row>
    <row r="170" spans="2:10" x14ac:dyDescent="0.35">
      <c r="B170" s="874"/>
      <c r="C170" s="882"/>
      <c r="D170" s="882"/>
      <c r="E170" s="883"/>
      <c r="F170" s="882"/>
      <c r="G170" s="882"/>
      <c r="H170" s="882"/>
      <c r="I170" s="882"/>
      <c r="J170" s="882"/>
    </row>
    <row r="171" spans="2:10" x14ac:dyDescent="0.35">
      <c r="C171" s="882"/>
      <c r="D171" s="882"/>
      <c r="E171" s="883"/>
      <c r="F171" s="882"/>
      <c r="G171" s="882"/>
      <c r="H171" s="882"/>
      <c r="I171" s="882"/>
      <c r="J171" s="882"/>
    </row>
    <row r="174" spans="2:10" ht="13.15" x14ac:dyDescent="0.4">
      <c r="B174" s="116"/>
    </row>
    <row r="175" spans="2:10" x14ac:dyDescent="0.35">
      <c r="B175" s="115"/>
    </row>
    <row r="177" spans="1:12" ht="13.15" x14ac:dyDescent="0.4">
      <c r="C177" s="872"/>
      <c r="D177" s="872"/>
      <c r="E177" s="872"/>
      <c r="F177" s="872"/>
      <c r="H177" s="116"/>
      <c r="I177" s="872"/>
      <c r="J177" s="872"/>
    </row>
    <row r="178" spans="1:12" ht="13.15" x14ac:dyDescent="0.4">
      <c r="F178" s="879"/>
    </row>
    <row r="179" spans="1:12" x14ac:dyDescent="0.35">
      <c r="B179" s="873"/>
      <c r="C179" s="883"/>
      <c r="D179" s="883"/>
      <c r="E179" s="883"/>
      <c r="F179" s="875"/>
      <c r="H179" s="880"/>
    </row>
    <row r="180" spans="1:12" ht="13.15" x14ac:dyDescent="0.4">
      <c r="B180" s="874"/>
      <c r="C180" s="883"/>
      <c r="D180" s="883"/>
      <c r="E180" s="883"/>
      <c r="F180" s="876"/>
      <c r="H180" s="868"/>
      <c r="I180" s="890"/>
      <c r="J180" s="890"/>
    </row>
    <row r="181" spans="1:12" ht="13.15" x14ac:dyDescent="0.4">
      <c r="B181" s="874"/>
      <c r="C181" s="883"/>
      <c r="D181" s="883"/>
      <c r="E181" s="883"/>
      <c r="F181" s="876"/>
      <c r="H181" s="868"/>
      <c r="I181" s="890"/>
      <c r="J181" s="890"/>
    </row>
    <row r="182" spans="1:12" ht="13.15" x14ac:dyDescent="0.4">
      <c r="C182" s="883"/>
      <c r="D182" s="883"/>
      <c r="E182" s="883"/>
      <c r="F182" s="876"/>
      <c r="H182" s="868"/>
      <c r="I182" s="881"/>
      <c r="J182" s="881"/>
    </row>
    <row r="183" spans="1:12" ht="13.15" x14ac:dyDescent="0.4">
      <c r="B183" s="873"/>
      <c r="C183" s="883"/>
      <c r="D183" s="883"/>
      <c r="E183" s="883"/>
      <c r="F183" s="876"/>
      <c r="H183" s="880"/>
      <c r="I183" s="141"/>
      <c r="J183" s="141"/>
    </row>
    <row r="184" spans="1:12" ht="13.15" x14ac:dyDescent="0.4">
      <c r="B184" s="874"/>
      <c r="C184" s="883"/>
      <c r="D184" s="883"/>
      <c r="E184" s="883"/>
      <c r="F184" s="876"/>
      <c r="H184" s="868"/>
      <c r="I184" s="890"/>
      <c r="J184" s="890"/>
    </row>
    <row r="185" spans="1:12" ht="13.15" x14ac:dyDescent="0.4">
      <c r="B185" s="874"/>
      <c r="C185" s="883"/>
      <c r="D185" s="883"/>
      <c r="E185" s="883"/>
      <c r="F185" s="876"/>
    </row>
    <row r="189" spans="1:12" ht="13.15" x14ac:dyDescent="0.4">
      <c r="A189" s="882"/>
      <c r="B189" s="116"/>
      <c r="C189" s="80"/>
      <c r="E189" s="80"/>
    </row>
    <row r="190" spans="1:12" x14ac:dyDescent="0.35">
      <c r="C190" s="80"/>
      <c r="E190" s="80"/>
    </row>
    <row r="191" spans="1:12" ht="13.15" x14ac:dyDescent="0.4">
      <c r="C191" s="872"/>
      <c r="D191" s="872"/>
      <c r="E191" s="872"/>
      <c r="F191" s="872"/>
      <c r="G191" s="872"/>
      <c r="H191" s="872"/>
      <c r="I191" s="872"/>
      <c r="J191" s="872"/>
      <c r="K191" s="872"/>
      <c r="L191" s="872"/>
    </row>
    <row r="193" spans="2:12" x14ac:dyDescent="0.35">
      <c r="B193" s="133"/>
      <c r="C193" s="870"/>
      <c r="D193" s="870"/>
      <c r="E193" s="885"/>
      <c r="F193" s="870"/>
      <c r="G193" s="863"/>
      <c r="H193" s="870"/>
      <c r="I193" s="870"/>
      <c r="J193" s="870"/>
      <c r="K193" s="885"/>
      <c r="L193" s="885"/>
    </row>
    <row r="194" spans="2:12" ht="15" x14ac:dyDescent="0.65">
      <c r="B194" s="133"/>
      <c r="C194" s="145"/>
      <c r="D194" s="145"/>
      <c r="E194" s="145"/>
      <c r="F194" s="145"/>
      <c r="G194" s="145"/>
      <c r="H194" s="145"/>
      <c r="I194" s="145"/>
      <c r="J194" s="145"/>
      <c r="K194" s="887"/>
      <c r="L194" s="887"/>
    </row>
    <row r="195" spans="2:12" x14ac:dyDescent="0.35">
      <c r="B195" s="133"/>
      <c r="C195" s="138"/>
      <c r="D195" s="138"/>
      <c r="E195" s="138"/>
      <c r="F195" s="138"/>
      <c r="G195" s="138"/>
      <c r="H195" s="138"/>
      <c r="I195" s="138"/>
      <c r="J195" s="138"/>
      <c r="K195" s="138"/>
      <c r="L195" s="138"/>
    </row>
    <row r="196" spans="2:12" x14ac:dyDescent="0.35">
      <c r="B196" s="133"/>
      <c r="C196" s="138"/>
      <c r="D196" s="138"/>
      <c r="E196" s="138"/>
      <c r="F196" s="138"/>
      <c r="G196" s="138"/>
      <c r="H196" s="138"/>
      <c r="I196" s="138"/>
      <c r="J196" s="138"/>
      <c r="K196" s="138"/>
      <c r="L196" s="138"/>
    </row>
    <row r="197" spans="2:12" x14ac:dyDescent="0.35">
      <c r="B197" s="133"/>
      <c r="C197" s="138"/>
      <c r="D197" s="138"/>
      <c r="E197" s="138"/>
      <c r="F197" s="138"/>
      <c r="G197" s="138"/>
      <c r="H197" s="138"/>
      <c r="I197" s="138"/>
      <c r="J197" s="138"/>
      <c r="K197" s="138"/>
      <c r="L197" s="138"/>
    </row>
    <row r="198" spans="2:12" ht="15" x14ac:dyDescent="0.65">
      <c r="B198" s="133"/>
      <c r="C198" s="869"/>
      <c r="E198" s="80"/>
    </row>
    <row r="199" spans="2:12" x14ac:dyDescent="0.35">
      <c r="B199" s="133"/>
      <c r="C199" s="138"/>
      <c r="E199" s="80"/>
    </row>
    <row r="200" spans="2:12" x14ac:dyDescent="0.35">
      <c r="B200" s="133"/>
      <c r="C200" s="80"/>
      <c r="E200" s="80"/>
    </row>
    <row r="201" spans="2:12" ht="13.15" x14ac:dyDescent="0.4">
      <c r="C201" s="872"/>
      <c r="D201" s="872"/>
      <c r="E201" s="872"/>
      <c r="F201" s="872"/>
      <c r="G201" s="872"/>
      <c r="H201" s="872"/>
      <c r="I201" s="872"/>
      <c r="J201" s="872"/>
      <c r="K201" s="872"/>
      <c r="L201" s="872"/>
    </row>
    <row r="203" spans="2:12" x14ac:dyDescent="0.35">
      <c r="B203" s="133"/>
      <c r="C203" s="138"/>
    </row>
    <row r="204" spans="2:12" ht="15" x14ac:dyDescent="0.65">
      <c r="B204" s="133"/>
      <c r="C204" s="869"/>
    </row>
    <row r="205" spans="2:12" x14ac:dyDescent="0.35">
      <c r="B205" s="133"/>
      <c r="C205" s="138"/>
      <c r="D205" s="138"/>
      <c r="G205" s="133"/>
    </row>
    <row r="206" spans="2:12" x14ac:dyDescent="0.35">
      <c r="C206" s="80"/>
      <c r="E206" s="80"/>
      <c r="G206" s="133"/>
    </row>
    <row r="207" spans="2:12" x14ac:dyDescent="0.35">
      <c r="B207" s="878"/>
      <c r="C207" s="138"/>
      <c r="E207" s="891"/>
      <c r="G207" s="891"/>
    </row>
    <row r="208" spans="2:12" x14ac:dyDescent="0.35">
      <c r="B208" s="133"/>
      <c r="C208" s="138"/>
      <c r="E208" s="892"/>
    </row>
    <row r="209" spans="1:10" ht="15" x14ac:dyDescent="0.65">
      <c r="B209" s="133"/>
      <c r="C209" s="869"/>
      <c r="E209" s="893"/>
    </row>
    <row r="210" spans="1:10" x14ac:dyDescent="0.35">
      <c r="B210" s="133"/>
      <c r="C210" s="138"/>
      <c r="E210" s="892"/>
    </row>
    <row r="212" spans="1:10" x14ac:dyDescent="0.35">
      <c r="C212" s="894"/>
    </row>
    <row r="213" spans="1:10" ht="13.15" outlineLevel="1" x14ac:dyDescent="0.4">
      <c r="A213" s="116"/>
    </row>
    <row r="214" spans="1:10" ht="13.15" outlineLevel="1" x14ac:dyDescent="0.4">
      <c r="A214" s="882"/>
      <c r="B214" s="867"/>
      <c r="C214" s="80"/>
      <c r="E214" s="80"/>
    </row>
    <row r="215" spans="1:10" outlineLevel="1" x14ac:dyDescent="0.35">
      <c r="B215" s="115"/>
    </row>
    <row r="216" spans="1:10" outlineLevel="1" x14ac:dyDescent="0.35">
      <c r="A216" s="882"/>
    </row>
    <row r="217" spans="1:10" ht="13.15" outlineLevel="1" x14ac:dyDescent="0.4">
      <c r="B217" s="116"/>
    </row>
    <row r="218" spans="1:10" outlineLevel="1" x14ac:dyDescent="0.35">
      <c r="B218" s="115"/>
    </row>
    <row r="219" spans="1:10" ht="13.15" outlineLevel="1" x14ac:dyDescent="0.4">
      <c r="B219" s="116"/>
    </row>
    <row r="220" spans="1:10" ht="13.15" outlineLevel="1" x14ac:dyDescent="0.4">
      <c r="C220" s="872"/>
      <c r="D220" s="872"/>
      <c r="E220" s="872"/>
      <c r="F220" s="872"/>
      <c r="G220" s="872"/>
      <c r="H220" s="872"/>
      <c r="I220" s="872"/>
      <c r="J220" s="872"/>
    </row>
    <row r="221" spans="1:10" outlineLevel="1" x14ac:dyDescent="0.35">
      <c r="C221" s="882"/>
      <c r="D221" s="882"/>
      <c r="E221" s="882"/>
      <c r="F221" s="883"/>
      <c r="G221" s="883"/>
      <c r="H221" s="883"/>
      <c r="I221" s="883"/>
      <c r="J221" s="883"/>
    </row>
    <row r="222" spans="1:10" outlineLevel="1" x14ac:dyDescent="0.35">
      <c r="B222" s="873"/>
      <c r="C222" s="882"/>
      <c r="D222" s="882"/>
      <c r="E222" s="882"/>
      <c r="F222" s="883"/>
      <c r="G222" s="883"/>
      <c r="H222" s="883"/>
      <c r="I222" s="883"/>
      <c r="J222" s="883"/>
    </row>
    <row r="223" spans="1:10" outlineLevel="1" x14ac:dyDescent="0.35">
      <c r="B223" s="874"/>
      <c r="C223" s="882"/>
      <c r="D223" s="882"/>
      <c r="E223" s="883"/>
    </row>
    <row r="224" spans="1:10" outlineLevel="1" x14ac:dyDescent="0.35">
      <c r="B224" s="874"/>
      <c r="C224" s="882"/>
      <c r="D224" s="882"/>
      <c r="E224" s="883"/>
      <c r="F224" s="882"/>
      <c r="G224" s="882"/>
      <c r="H224" s="882"/>
      <c r="I224" s="882"/>
      <c r="J224" s="882"/>
    </row>
    <row r="225" spans="2:10" ht="13.15" outlineLevel="1" x14ac:dyDescent="0.4">
      <c r="B225" s="877"/>
      <c r="C225" s="882"/>
      <c r="D225" s="882"/>
      <c r="E225" s="882"/>
      <c r="F225" s="882"/>
      <c r="G225" s="882"/>
      <c r="H225" s="882"/>
      <c r="I225" s="882"/>
      <c r="J225" s="882"/>
    </row>
    <row r="226" spans="2:10" outlineLevel="1" x14ac:dyDescent="0.35">
      <c r="B226" s="878"/>
      <c r="C226" s="883"/>
      <c r="D226" s="883"/>
      <c r="E226" s="882"/>
      <c r="F226" s="882"/>
      <c r="G226" s="882"/>
      <c r="H226" s="882"/>
      <c r="I226" s="882"/>
      <c r="J226" s="882"/>
    </row>
    <row r="227" spans="2:10" outlineLevel="1" x14ac:dyDescent="0.35">
      <c r="B227" s="878"/>
      <c r="C227" s="883"/>
      <c r="D227" s="883"/>
      <c r="E227" s="882"/>
      <c r="F227" s="882"/>
      <c r="G227" s="882"/>
      <c r="H227" s="882"/>
      <c r="I227" s="882"/>
      <c r="J227" s="882"/>
    </row>
    <row r="228" spans="2:10" outlineLevel="1" x14ac:dyDescent="0.35">
      <c r="C228" s="883"/>
      <c r="D228" s="883"/>
      <c r="E228" s="882"/>
      <c r="F228" s="882"/>
      <c r="G228" s="882"/>
      <c r="H228" s="882"/>
      <c r="I228" s="882"/>
      <c r="J228" s="882"/>
    </row>
    <row r="229" spans="2:10" outlineLevel="1" x14ac:dyDescent="0.35">
      <c r="B229" s="873"/>
      <c r="C229" s="883"/>
      <c r="D229" s="883"/>
      <c r="E229" s="882"/>
      <c r="F229" s="883"/>
      <c r="G229" s="883"/>
      <c r="H229" s="883"/>
      <c r="I229" s="883"/>
      <c r="J229" s="883"/>
    </row>
    <row r="230" spans="2:10" outlineLevel="1" x14ac:dyDescent="0.35">
      <c r="B230" s="874"/>
      <c r="C230" s="882"/>
      <c r="D230" s="882"/>
      <c r="E230" s="883"/>
      <c r="F230" s="882"/>
      <c r="G230" s="882"/>
      <c r="H230" s="882"/>
      <c r="I230" s="882"/>
      <c r="J230" s="882"/>
    </row>
    <row r="231" spans="2:10" outlineLevel="1" x14ac:dyDescent="0.35">
      <c r="B231" s="874"/>
      <c r="C231" s="882"/>
      <c r="D231" s="882"/>
      <c r="E231" s="883"/>
      <c r="F231" s="882"/>
      <c r="G231" s="882"/>
      <c r="H231" s="882"/>
      <c r="I231" s="882"/>
      <c r="J231" s="882"/>
    </row>
    <row r="232" spans="2:10" outlineLevel="1" x14ac:dyDescent="0.35">
      <c r="C232" s="882"/>
      <c r="D232" s="882"/>
      <c r="E232" s="883"/>
      <c r="F232" s="882"/>
      <c r="G232" s="882"/>
      <c r="H232" s="882"/>
      <c r="I232" s="882"/>
      <c r="J232" s="882"/>
    </row>
    <row r="233" spans="2:10" outlineLevel="1" x14ac:dyDescent="0.35"/>
    <row r="234" spans="2:10" outlineLevel="1" x14ac:dyDescent="0.35"/>
    <row r="235" spans="2:10" ht="13.15" outlineLevel="1" x14ac:dyDescent="0.4">
      <c r="B235" s="116"/>
    </row>
    <row r="236" spans="2:10" outlineLevel="1" x14ac:dyDescent="0.35">
      <c r="B236" s="115"/>
    </row>
    <row r="237" spans="2:10" outlineLevel="1" x14ac:dyDescent="0.35"/>
    <row r="238" spans="2:10" ht="13.15" outlineLevel="1" x14ac:dyDescent="0.4">
      <c r="C238" s="872"/>
      <c r="D238" s="872"/>
      <c r="E238" s="872"/>
      <c r="F238" s="872"/>
      <c r="H238" s="116"/>
      <c r="I238" s="872"/>
      <c r="J238" s="872"/>
    </row>
    <row r="239" spans="2:10" ht="13.15" outlineLevel="1" x14ac:dyDescent="0.4">
      <c r="F239" s="879"/>
    </row>
    <row r="240" spans="2:10" outlineLevel="1" x14ac:dyDescent="0.35">
      <c r="B240" s="873"/>
      <c r="C240" s="883"/>
      <c r="D240" s="883"/>
      <c r="E240" s="883"/>
      <c r="F240" s="875"/>
      <c r="H240" s="880"/>
    </row>
    <row r="241" spans="1:12" ht="13.15" outlineLevel="1" x14ac:dyDescent="0.4">
      <c r="B241" s="874"/>
      <c r="C241" s="883"/>
      <c r="D241" s="883"/>
      <c r="E241" s="883"/>
      <c r="F241" s="876"/>
      <c r="H241" s="868"/>
      <c r="I241" s="890"/>
      <c r="J241" s="890"/>
    </row>
    <row r="242" spans="1:12" ht="13.15" outlineLevel="1" x14ac:dyDescent="0.4">
      <c r="B242" s="874"/>
      <c r="C242" s="883"/>
      <c r="D242" s="883"/>
      <c r="E242" s="883"/>
      <c r="F242" s="876"/>
      <c r="H242" s="868"/>
      <c r="I242" s="890"/>
      <c r="J242" s="890"/>
    </row>
    <row r="243" spans="1:12" ht="13.15" outlineLevel="1" x14ac:dyDescent="0.4">
      <c r="C243" s="883"/>
      <c r="D243" s="883"/>
      <c r="E243" s="883"/>
      <c r="F243" s="876"/>
      <c r="H243" s="868"/>
      <c r="I243" s="881"/>
      <c r="J243" s="881"/>
    </row>
    <row r="244" spans="1:12" ht="13.15" outlineLevel="1" x14ac:dyDescent="0.4">
      <c r="B244" s="873"/>
      <c r="C244" s="883"/>
      <c r="D244" s="883"/>
      <c r="E244" s="883"/>
      <c r="F244" s="876"/>
      <c r="H244" s="880"/>
      <c r="I244" s="141"/>
      <c r="J244" s="141"/>
    </row>
    <row r="245" spans="1:12" ht="13.15" outlineLevel="1" x14ac:dyDescent="0.4">
      <c r="B245" s="874"/>
      <c r="C245" s="883"/>
      <c r="D245" s="883"/>
      <c r="E245" s="883"/>
      <c r="F245" s="876"/>
      <c r="H245" s="868"/>
      <c r="I245" s="890"/>
      <c r="J245" s="890"/>
    </row>
    <row r="246" spans="1:12" ht="13.15" outlineLevel="1" x14ac:dyDescent="0.4">
      <c r="B246" s="874"/>
      <c r="C246" s="883"/>
      <c r="D246" s="883"/>
      <c r="E246" s="883"/>
      <c r="F246" s="876"/>
    </row>
    <row r="247" spans="1:12" outlineLevel="1" x14ac:dyDescent="0.35"/>
    <row r="248" spans="1:12" outlineLevel="1" x14ac:dyDescent="0.35"/>
    <row r="249" spans="1:12" outlineLevel="1" x14ac:dyDescent="0.35"/>
    <row r="250" spans="1:12" outlineLevel="1" x14ac:dyDescent="0.35"/>
    <row r="251" spans="1:12" ht="13.15" outlineLevel="1" x14ac:dyDescent="0.4">
      <c r="A251" s="882"/>
      <c r="B251" s="116"/>
      <c r="C251" s="80"/>
      <c r="E251" s="80"/>
    </row>
    <row r="252" spans="1:12" outlineLevel="1" x14ac:dyDescent="0.35">
      <c r="C252" s="80"/>
      <c r="E252" s="80"/>
    </row>
    <row r="253" spans="1:12" ht="13.15" outlineLevel="1" x14ac:dyDescent="0.4">
      <c r="C253" s="872"/>
      <c r="D253" s="872"/>
      <c r="E253" s="872"/>
      <c r="F253" s="872"/>
      <c r="G253" s="872"/>
      <c r="H253" s="872"/>
      <c r="I253" s="872"/>
      <c r="J253" s="872"/>
      <c r="K253" s="872"/>
      <c r="L253" s="872"/>
    </row>
    <row r="254" spans="1:12" outlineLevel="1" x14ac:dyDescent="0.35"/>
    <row r="255" spans="1:12" outlineLevel="1" x14ac:dyDescent="0.35">
      <c r="B255" s="133"/>
      <c r="C255" s="870"/>
      <c r="D255" s="870"/>
      <c r="E255" s="885"/>
      <c r="F255" s="870"/>
      <c r="G255" s="863"/>
      <c r="H255" s="870"/>
      <c r="I255" s="870"/>
      <c r="J255" s="870"/>
      <c r="K255" s="885"/>
      <c r="L255" s="885"/>
    </row>
    <row r="256" spans="1:12" ht="15" outlineLevel="1" x14ac:dyDescent="0.65">
      <c r="B256" s="133"/>
      <c r="C256" s="145"/>
      <c r="D256" s="145"/>
      <c r="E256" s="145"/>
      <c r="F256" s="145"/>
      <c r="G256" s="145"/>
      <c r="H256" s="145"/>
      <c r="I256" s="145"/>
      <c r="J256" s="145"/>
      <c r="K256" s="887"/>
      <c r="L256" s="887"/>
    </row>
    <row r="257" spans="2:12" outlineLevel="1" x14ac:dyDescent="0.35">
      <c r="B257" s="133"/>
      <c r="C257" s="138"/>
      <c r="D257" s="138"/>
      <c r="E257" s="138"/>
      <c r="F257" s="138"/>
      <c r="G257" s="138"/>
      <c r="H257" s="138"/>
      <c r="I257" s="138"/>
      <c r="J257" s="138"/>
      <c r="K257" s="138"/>
      <c r="L257" s="138"/>
    </row>
    <row r="258" spans="2:12" outlineLevel="1" x14ac:dyDescent="0.35">
      <c r="B258" s="133"/>
      <c r="C258" s="138"/>
      <c r="D258" s="138"/>
      <c r="E258" s="138"/>
      <c r="F258" s="138"/>
      <c r="G258" s="138"/>
      <c r="H258" s="138"/>
      <c r="I258" s="138"/>
      <c r="J258" s="138"/>
      <c r="K258" s="138"/>
      <c r="L258" s="138"/>
    </row>
    <row r="259" spans="2:12" outlineLevel="1" x14ac:dyDescent="0.35">
      <c r="B259" s="133"/>
      <c r="C259" s="138"/>
      <c r="D259" s="138"/>
      <c r="E259" s="138"/>
      <c r="F259" s="138"/>
      <c r="G259" s="138"/>
      <c r="H259" s="138"/>
      <c r="I259" s="138"/>
      <c r="J259" s="138"/>
      <c r="K259" s="138"/>
      <c r="L259" s="138"/>
    </row>
    <row r="260" spans="2:12" ht="15" outlineLevel="1" x14ac:dyDescent="0.65">
      <c r="B260" s="133"/>
      <c r="C260" s="869"/>
      <c r="E260" s="80"/>
    </row>
    <row r="261" spans="2:12" outlineLevel="1" x14ac:dyDescent="0.35">
      <c r="B261" s="133"/>
      <c r="C261" s="138"/>
      <c r="E261" s="80"/>
    </row>
    <row r="262" spans="2:12" outlineLevel="1" x14ac:dyDescent="0.35">
      <c r="B262" s="133"/>
      <c r="C262" s="80"/>
      <c r="E262" s="80"/>
    </row>
    <row r="263" spans="2:12" ht="13.15" outlineLevel="1" x14ac:dyDescent="0.4">
      <c r="C263" s="872"/>
      <c r="D263" s="872"/>
      <c r="E263" s="872"/>
      <c r="F263" s="872"/>
      <c r="G263" s="872"/>
      <c r="H263" s="872"/>
      <c r="I263" s="872"/>
      <c r="J263" s="872"/>
      <c r="K263" s="872"/>
      <c r="L263" s="872"/>
    </row>
    <row r="264" spans="2:12" outlineLevel="1" x14ac:dyDescent="0.35"/>
    <row r="265" spans="2:12" outlineLevel="1" x14ac:dyDescent="0.35">
      <c r="C265" s="146"/>
      <c r="D265" s="146"/>
      <c r="E265" s="146"/>
    </row>
    <row r="266" spans="2:12" outlineLevel="1" x14ac:dyDescent="0.35">
      <c r="B266" s="133"/>
      <c r="C266" s="138"/>
      <c r="D266" s="894"/>
      <c r="E266" s="138"/>
    </row>
    <row r="267" spans="2:12" outlineLevel="1" x14ac:dyDescent="0.35">
      <c r="B267" s="133"/>
      <c r="C267" s="138"/>
      <c r="D267" s="894"/>
      <c r="E267" s="138"/>
    </row>
    <row r="268" spans="2:12" outlineLevel="1" x14ac:dyDescent="0.35">
      <c r="B268" s="133"/>
      <c r="C268" s="138"/>
      <c r="D268" s="138"/>
      <c r="E268" s="138"/>
      <c r="G268" s="133"/>
    </row>
    <row r="269" spans="2:12" outlineLevel="1" x14ac:dyDescent="0.35">
      <c r="C269" s="80"/>
      <c r="E269" s="80"/>
      <c r="G269" s="133"/>
    </row>
    <row r="270" spans="2:12" outlineLevel="1" x14ac:dyDescent="0.35">
      <c r="B270" s="878"/>
      <c r="C270" s="138"/>
      <c r="E270" s="891"/>
      <c r="G270" s="891"/>
    </row>
    <row r="271" spans="2:12" outlineLevel="1" x14ac:dyDescent="0.35">
      <c r="B271" s="133"/>
      <c r="C271" s="138"/>
      <c r="E271" s="892"/>
    </row>
    <row r="272" spans="2:12" outlineLevel="1" x14ac:dyDescent="0.35">
      <c r="B272" s="133"/>
      <c r="C272" s="138"/>
      <c r="E272" s="893"/>
    </row>
    <row r="273" spans="2:5" outlineLevel="1" x14ac:dyDescent="0.35">
      <c r="B273" s="133"/>
      <c r="C273" s="138"/>
      <c r="E273" s="892"/>
    </row>
    <row r="274" spans="2:5" outlineLevel="1" x14ac:dyDescent="0.35"/>
  </sheetData>
  <mergeCells count="2">
    <mergeCell ref="I2:M3"/>
    <mergeCell ref="D2:H3"/>
  </mergeCells>
  <pageMargins left="0.75" right="0.75" top="1" bottom="1" header="0.5" footer="0.5"/>
  <pageSetup scale="78" orientation="landscape" r:id="rId1"/>
  <headerFooter alignWithMargins="0">
    <oddHeader>&amp;C&amp;"Arial,Bold"Public Service Electric and Gas Company Specific Addendum
Attachment 4 P5</oddHeader>
  </headerFooter>
  <rowBreaks count="7" manualBreakCount="7">
    <brk id="33" max="7" man="1"/>
    <brk id="79" max="9" man="1"/>
    <brk id="115" max="9" man="1"/>
    <brk id="151" max="9" man="1"/>
    <brk id="187" max="9" man="1"/>
    <brk id="212" max="11" man="1"/>
    <brk id="250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13F14-AA45-4774-BA3F-E27E846FC9A6}">
  <sheetPr>
    <pageSetUpPr fitToPage="1"/>
  </sheetPr>
  <dimension ref="A1:M274"/>
  <sheetViews>
    <sheetView view="pageBreakPreview" zoomScaleNormal="100" zoomScaleSheetLayoutView="100" workbookViewId="0"/>
  </sheetViews>
  <sheetFormatPr defaultColWidth="9.265625" defaultRowHeight="12.75" outlineLevelRow="1" x14ac:dyDescent="0.35"/>
  <cols>
    <col min="1" max="1" width="12.3984375" style="657" bestFit="1" customWidth="1"/>
    <col min="2" max="2" width="46" style="657" customWidth="1"/>
    <col min="3" max="5" width="16.59765625" style="657" customWidth="1"/>
    <col min="6" max="6" width="4.59765625" style="657" customWidth="1"/>
    <col min="7" max="7" width="41.59765625" style="657" bestFit="1" customWidth="1"/>
    <col min="8" max="8" width="3.59765625" style="658" customWidth="1"/>
    <col min="9" max="9" width="11" style="657" customWidth="1"/>
    <col min="10" max="10" width="23.3984375" style="657" customWidth="1"/>
    <col min="11" max="11" width="12.59765625" style="657" customWidth="1"/>
    <col min="12" max="12" width="21" style="657" customWidth="1"/>
    <col min="13" max="13" width="14.3984375" style="657" bestFit="1" customWidth="1"/>
    <col min="14" max="14" width="24.265625" style="657" bestFit="1" customWidth="1"/>
    <col min="15" max="16" width="10.73046875" style="657" bestFit="1" customWidth="1"/>
    <col min="17" max="17" width="14.3984375" style="657" bestFit="1" customWidth="1"/>
    <col min="18" max="16384" width="9.265625" style="657"/>
  </cols>
  <sheetData>
    <row r="1" spans="1:13" ht="20.65" x14ac:dyDescent="0.6">
      <c r="A1" s="130" t="s">
        <v>362</v>
      </c>
      <c r="B1" s="112"/>
      <c r="C1" s="112"/>
      <c r="D1" s="114"/>
      <c r="E1" s="112"/>
      <c r="F1" s="112"/>
      <c r="G1" s="112"/>
      <c r="H1" s="207"/>
      <c r="I1" s="722"/>
      <c r="J1" s="723"/>
      <c r="K1" s="723"/>
      <c r="L1" s="723"/>
      <c r="M1" s="723"/>
    </row>
    <row r="2" spans="1:13" ht="15" customHeight="1" x14ac:dyDescent="0.4">
      <c r="A2" s="131" t="s">
        <v>497</v>
      </c>
      <c r="B2" s="112"/>
      <c r="C2" s="112"/>
      <c r="D2" s="909"/>
      <c r="E2" s="909"/>
      <c r="F2" s="909"/>
      <c r="G2" s="909"/>
      <c r="H2" s="912"/>
      <c r="I2" s="908"/>
      <c r="J2" s="908"/>
      <c r="K2" s="908"/>
      <c r="L2" s="908"/>
      <c r="M2" s="908"/>
    </row>
    <row r="3" spans="1:13" ht="12.75" customHeight="1" x14ac:dyDescent="0.35">
      <c r="A3" s="738" t="s">
        <v>382</v>
      </c>
      <c r="B3" s="112"/>
      <c r="C3" s="112"/>
      <c r="D3" s="909"/>
      <c r="E3" s="909"/>
      <c r="F3" s="909"/>
      <c r="G3" s="909"/>
      <c r="H3" s="912"/>
      <c r="I3" s="908"/>
      <c r="J3" s="908"/>
      <c r="K3" s="908"/>
      <c r="L3" s="908"/>
      <c r="M3" s="908"/>
    </row>
    <row r="4" spans="1:13" x14ac:dyDescent="0.35">
      <c r="A4" s="112"/>
      <c r="B4" s="112"/>
      <c r="C4" s="112"/>
      <c r="D4" s="112"/>
      <c r="E4" s="112"/>
      <c r="F4" s="112"/>
      <c r="G4" s="112"/>
      <c r="H4" s="207"/>
    </row>
    <row r="5" spans="1:13" ht="13.15" x14ac:dyDescent="0.4">
      <c r="A5" s="132" t="s">
        <v>238</v>
      </c>
      <c r="B5" s="116" t="s">
        <v>260</v>
      </c>
      <c r="C5" s="112"/>
      <c r="D5" s="112"/>
      <c r="E5" s="112"/>
      <c r="F5" s="112"/>
      <c r="G5" s="112"/>
      <c r="H5" s="207"/>
    </row>
    <row r="6" spans="1:13" ht="38.65" x14ac:dyDescent="0.4">
      <c r="A6" s="133" t="s">
        <v>201</v>
      </c>
      <c r="B6" s="116" t="s">
        <v>363</v>
      </c>
      <c r="C6" s="128" t="s">
        <v>422</v>
      </c>
      <c r="D6" s="128" t="s">
        <v>498</v>
      </c>
      <c r="E6" s="128" t="s">
        <v>499</v>
      </c>
      <c r="F6" s="112"/>
      <c r="G6" s="115" t="s">
        <v>202</v>
      </c>
      <c r="H6" s="207"/>
    </row>
    <row r="7" spans="1:13" x14ac:dyDescent="0.35">
      <c r="A7" s="112"/>
      <c r="B7" s="112"/>
      <c r="C7" s="112"/>
      <c r="D7" s="112"/>
      <c r="E7" s="112"/>
      <c r="F7" s="112"/>
      <c r="G7" s="112"/>
      <c r="H7" s="207"/>
    </row>
    <row r="8" spans="1:13" ht="13.15" x14ac:dyDescent="0.4">
      <c r="A8" s="133">
        <v>1</v>
      </c>
      <c r="B8" s="116" t="s">
        <v>203</v>
      </c>
      <c r="C8" s="134">
        <f>'Attach3 - AuctionRateResult'!E8</f>
        <v>109.38</v>
      </c>
      <c r="D8" s="134">
        <f>'Attach4 P4'!E8</f>
        <v>109.5</v>
      </c>
      <c r="E8" s="134">
        <f>D10</f>
        <v>109.5</v>
      </c>
      <c r="F8" s="112"/>
      <c r="G8" s="230" t="s">
        <v>373</v>
      </c>
      <c r="H8" s="207"/>
    </row>
    <row r="9" spans="1:13" ht="13.15" x14ac:dyDescent="0.4">
      <c r="A9" s="133" t="s">
        <v>336</v>
      </c>
      <c r="B9" s="116" t="s">
        <v>500</v>
      </c>
      <c r="C9" s="152">
        <f>'Attach4 P3'!C21</f>
        <v>0.12</v>
      </c>
      <c r="D9" s="220"/>
      <c r="E9" s="220"/>
      <c r="F9" s="112"/>
      <c r="G9" s="740" t="s">
        <v>501</v>
      </c>
      <c r="H9" s="207"/>
    </row>
    <row r="10" spans="1:13" ht="13.15" x14ac:dyDescent="0.4">
      <c r="A10" s="133" t="s">
        <v>338</v>
      </c>
      <c r="B10" s="116" t="s">
        <v>303</v>
      </c>
      <c r="C10" s="739">
        <f>C8+C9</f>
        <v>109.5</v>
      </c>
      <c r="D10" s="739">
        <f>D8+D9</f>
        <v>109.5</v>
      </c>
      <c r="E10" s="739">
        <f>E8+E9</f>
        <v>109.5</v>
      </c>
      <c r="F10" s="112"/>
      <c r="G10" s="221" t="s">
        <v>379</v>
      </c>
      <c r="H10" s="207"/>
    </row>
    <row r="11" spans="1:13" ht="13.15" x14ac:dyDescent="0.4">
      <c r="A11" s="133"/>
      <c r="B11" s="116"/>
      <c r="C11" s="135"/>
      <c r="D11" s="135"/>
      <c r="E11" s="135"/>
      <c r="F11" s="112"/>
      <c r="G11" s="117"/>
      <c r="H11" s="207"/>
    </row>
    <row r="12" spans="1:13" ht="13.15" x14ac:dyDescent="0.4">
      <c r="A12" s="133">
        <v>2</v>
      </c>
      <c r="B12" s="118" t="s">
        <v>301</v>
      </c>
      <c r="C12" s="112">
        <v>29</v>
      </c>
      <c r="D12" s="112">
        <v>28</v>
      </c>
      <c r="E12" s="112">
        <v>28</v>
      </c>
      <c r="F12" s="112"/>
      <c r="G12" s="147" t="s">
        <v>398</v>
      </c>
      <c r="H12" s="207"/>
    </row>
    <row r="13" spans="1:13" ht="13.15" x14ac:dyDescent="0.4">
      <c r="A13" s="133">
        <v>3</v>
      </c>
      <c r="B13" s="116" t="s">
        <v>302</v>
      </c>
      <c r="C13" s="112">
        <v>85</v>
      </c>
      <c r="D13" s="112">
        <f>C13</f>
        <v>85</v>
      </c>
      <c r="E13" s="112">
        <f>C13</f>
        <v>85</v>
      </c>
      <c r="F13" s="112"/>
      <c r="G13" s="147" t="s">
        <v>398</v>
      </c>
      <c r="H13" s="207"/>
    </row>
    <row r="14" spans="1:13" ht="13.15" x14ac:dyDescent="0.4">
      <c r="A14" s="133"/>
      <c r="B14" s="116"/>
      <c r="C14" s="112"/>
      <c r="D14" s="112"/>
      <c r="E14" s="112"/>
      <c r="F14" s="112"/>
      <c r="G14" s="147"/>
      <c r="H14" s="207"/>
    </row>
    <row r="15" spans="1:13" ht="13.15" x14ac:dyDescent="0.4">
      <c r="A15" s="133"/>
      <c r="B15" s="116" t="s">
        <v>204</v>
      </c>
      <c r="C15" s="112"/>
      <c r="D15" s="112"/>
      <c r="E15" s="112"/>
      <c r="F15" s="112"/>
      <c r="G15" s="112"/>
      <c r="H15" s="207"/>
    </row>
    <row r="16" spans="1:13" x14ac:dyDescent="0.35">
      <c r="A16" s="133">
        <v>4</v>
      </c>
      <c r="B16" s="136" t="s">
        <v>205</v>
      </c>
      <c r="C16" s="222">
        <v>1</v>
      </c>
      <c r="D16" s="222">
        <v>1</v>
      </c>
      <c r="E16" s="222">
        <v>1</v>
      </c>
      <c r="F16" s="112"/>
      <c r="G16" s="147" t="s">
        <v>398</v>
      </c>
      <c r="H16" s="207"/>
      <c r="K16" s="667"/>
    </row>
    <row r="17" spans="1:12" x14ac:dyDescent="0.35">
      <c r="A17" s="133">
        <v>5</v>
      </c>
      <c r="B17" s="136" t="s">
        <v>206</v>
      </c>
      <c r="C17" s="222">
        <v>1</v>
      </c>
      <c r="D17" s="222">
        <v>1</v>
      </c>
      <c r="E17" s="222">
        <v>1</v>
      </c>
      <c r="F17" s="112"/>
      <c r="G17" s="147" t="s">
        <v>398</v>
      </c>
      <c r="H17" s="207"/>
      <c r="K17" s="667"/>
    </row>
    <row r="18" spans="1:12" x14ac:dyDescent="0.35">
      <c r="A18" s="133"/>
      <c r="B18" s="112"/>
      <c r="C18" s="112"/>
      <c r="D18" s="112"/>
      <c r="E18" s="112"/>
      <c r="F18" s="112"/>
      <c r="G18" s="112"/>
      <c r="H18" s="207"/>
    </row>
    <row r="19" spans="1:12" ht="13.15" x14ac:dyDescent="0.4">
      <c r="A19" s="133"/>
      <c r="B19" s="122" t="s">
        <v>365</v>
      </c>
      <c r="C19" s="112"/>
      <c r="D19" s="112"/>
      <c r="E19" s="112"/>
      <c r="F19" s="112"/>
      <c r="G19" s="112"/>
      <c r="H19" s="207"/>
    </row>
    <row r="20" spans="1:12" x14ac:dyDescent="0.35">
      <c r="A20" s="133">
        <v>6</v>
      </c>
      <c r="B20" s="112" t="s">
        <v>207</v>
      </c>
      <c r="C20" s="126">
        <f>'Attach3 - AuctionRateResult'!C21</f>
        <v>9098956.6956436411</v>
      </c>
      <c r="D20" s="126"/>
      <c r="E20" s="126"/>
      <c r="F20" s="112"/>
      <c r="G20" s="147" t="s">
        <v>398</v>
      </c>
      <c r="H20" s="207"/>
    </row>
    <row r="21" spans="1:12" x14ac:dyDescent="0.35">
      <c r="A21" s="133">
        <v>7</v>
      </c>
      <c r="B21" s="112" t="s">
        <v>208</v>
      </c>
      <c r="C21" s="126">
        <f>'Attach3 - AuctionRateResult'!C22</f>
        <v>14111788.865207138</v>
      </c>
      <c r="D21" s="126"/>
      <c r="E21" s="126"/>
      <c r="F21" s="112"/>
      <c r="G21" s="112"/>
      <c r="H21" s="207"/>
    </row>
    <row r="22" spans="1:12" x14ac:dyDescent="0.35">
      <c r="A22" s="133"/>
      <c r="B22" s="112"/>
      <c r="C22" s="112"/>
      <c r="D22" s="112"/>
      <c r="E22" s="112"/>
      <c r="F22" s="112"/>
      <c r="G22" s="112"/>
      <c r="H22" s="207"/>
    </row>
    <row r="23" spans="1:12" ht="13.15" x14ac:dyDescent="0.4">
      <c r="A23" s="133"/>
      <c r="B23" s="116" t="s">
        <v>268</v>
      </c>
      <c r="C23" s="112"/>
      <c r="D23" s="112"/>
      <c r="E23" s="112"/>
      <c r="F23" s="112"/>
      <c r="G23" s="112"/>
      <c r="H23" s="207"/>
    </row>
    <row r="24" spans="1:12" x14ac:dyDescent="0.35">
      <c r="A24" s="133">
        <v>8</v>
      </c>
      <c r="B24" s="136" t="s">
        <v>205</v>
      </c>
      <c r="C24" s="137">
        <f>((+C$10)*C$12/C$13*C16*$C20/1000)</f>
        <v>339926.31749431038</v>
      </c>
      <c r="D24" s="137">
        <f t="shared" ref="D24:E25" si="0">((+D$10)*D$12/D$13*D16*$C20/1000)</f>
        <v>328204.7203393341</v>
      </c>
      <c r="E24" s="137">
        <f t="shared" si="0"/>
        <v>328204.7203393341</v>
      </c>
      <c r="F24" s="148"/>
      <c r="G24" s="221" t="s">
        <v>380</v>
      </c>
      <c r="H24" s="207"/>
      <c r="J24" s="669"/>
      <c r="L24" s="669"/>
    </row>
    <row r="25" spans="1:12" ht="15" x14ac:dyDescent="0.65">
      <c r="A25" s="133">
        <v>9</v>
      </c>
      <c r="B25" s="136" t="s">
        <v>206</v>
      </c>
      <c r="C25" s="139">
        <f>((+C$10)*C$12/C$13*C17*$C21/1000)</f>
        <v>527199.82989959139</v>
      </c>
      <c r="D25" s="139">
        <f t="shared" si="0"/>
        <v>509020.52542029513</v>
      </c>
      <c r="E25" s="139">
        <f t="shared" si="0"/>
        <v>509020.52542029513</v>
      </c>
      <c r="F25" s="148"/>
      <c r="G25" s="221" t="s">
        <v>381</v>
      </c>
      <c r="H25" s="207"/>
    </row>
    <row r="26" spans="1:12" x14ac:dyDescent="0.35">
      <c r="A26" s="133">
        <v>10</v>
      </c>
      <c r="B26" s="112" t="s">
        <v>209</v>
      </c>
      <c r="C26" s="138">
        <f>+C25+C24</f>
        <v>867126.14739390183</v>
      </c>
      <c r="D26" s="138">
        <f>+D25+D24</f>
        <v>837225.24575962918</v>
      </c>
      <c r="E26" s="138">
        <f>+E25+E24</f>
        <v>837225.24575962918</v>
      </c>
      <c r="F26" s="112"/>
      <c r="G26" s="112"/>
      <c r="H26" s="207"/>
      <c r="J26" s="669"/>
      <c r="L26" s="669"/>
    </row>
    <row r="27" spans="1:12" x14ac:dyDescent="0.35">
      <c r="A27" s="133"/>
      <c r="B27" s="112"/>
      <c r="C27" s="112"/>
      <c r="D27" s="112"/>
      <c r="E27" s="112"/>
      <c r="F27" s="112"/>
      <c r="G27" s="112"/>
      <c r="H27" s="207"/>
    </row>
    <row r="28" spans="1:12" ht="13.15" x14ac:dyDescent="0.4">
      <c r="A28" s="133"/>
      <c r="B28" s="116" t="s">
        <v>269</v>
      </c>
      <c r="C28" s="112"/>
      <c r="D28" s="112"/>
      <c r="E28" s="112"/>
      <c r="F28" s="112"/>
      <c r="G28" s="112"/>
      <c r="H28" s="207"/>
    </row>
    <row r="29" spans="1:12" x14ac:dyDescent="0.35">
      <c r="A29" s="133">
        <v>11</v>
      </c>
      <c r="B29" s="136" t="s">
        <v>205</v>
      </c>
      <c r="C29" s="223">
        <f>ROUND(+SUM(C24:E24)/C20*1000,3)</f>
        <v>109.5</v>
      </c>
      <c r="D29" s="141"/>
      <c r="E29" s="112"/>
      <c r="F29" s="112"/>
      <c r="G29" s="221" t="s">
        <v>366</v>
      </c>
      <c r="H29" s="207"/>
    </row>
    <row r="30" spans="1:12" x14ac:dyDescent="0.35">
      <c r="A30" s="133">
        <v>12</v>
      </c>
      <c r="B30" s="136" t="s">
        <v>206</v>
      </c>
      <c r="C30" s="135">
        <f>ROUND(+SUM(C25:E25)/C21*1000,3)</f>
        <v>109.5</v>
      </c>
      <c r="D30" s="112"/>
      <c r="E30" s="112"/>
      <c r="F30" s="112"/>
      <c r="G30" s="221" t="s">
        <v>367</v>
      </c>
      <c r="H30" s="207"/>
    </row>
    <row r="31" spans="1:12" x14ac:dyDescent="0.35">
      <c r="A31" s="133"/>
      <c r="B31" s="136"/>
      <c r="C31" s="140"/>
      <c r="D31" s="112"/>
      <c r="E31" s="112"/>
      <c r="F31" s="112"/>
      <c r="G31" s="117"/>
      <c r="H31" s="207"/>
    </row>
    <row r="32" spans="1:12" ht="13.15" x14ac:dyDescent="0.4">
      <c r="A32" s="133">
        <v>13</v>
      </c>
      <c r="B32" s="112" t="s">
        <v>213</v>
      </c>
      <c r="C32" s="224">
        <f>ROUND(+SUM(C26:E26)/(C20+C21)*1000,3)</f>
        <v>109.5</v>
      </c>
      <c r="D32" s="112" t="s">
        <v>211</v>
      </c>
      <c r="E32" s="112"/>
      <c r="F32" s="112"/>
      <c r="G32" s="221" t="s">
        <v>210</v>
      </c>
      <c r="H32" s="207"/>
    </row>
    <row r="33" spans="1:13" x14ac:dyDescent="0.35">
      <c r="A33" s="112"/>
      <c r="B33" s="112"/>
      <c r="C33" s="112"/>
      <c r="D33" s="112" t="s">
        <v>212</v>
      </c>
      <c r="E33" s="112"/>
      <c r="F33" s="112"/>
      <c r="G33" s="147" t="s">
        <v>368</v>
      </c>
      <c r="H33" s="207"/>
    </row>
    <row r="34" spans="1:13" x14ac:dyDescent="0.35">
      <c r="A34" s="112"/>
      <c r="B34" s="112"/>
      <c r="C34" s="141"/>
      <c r="D34" s="112"/>
      <c r="E34" s="112"/>
      <c r="F34" s="112"/>
      <c r="G34" s="112"/>
      <c r="H34" s="207"/>
    </row>
    <row r="35" spans="1:13" ht="13.15" x14ac:dyDescent="0.4">
      <c r="B35" s="672"/>
      <c r="D35" s="671"/>
    </row>
    <row r="36" spans="1:13" x14ac:dyDescent="0.35">
      <c r="A36" s="666"/>
      <c r="B36" s="673"/>
      <c r="C36" s="669"/>
      <c r="D36" s="671"/>
      <c r="G36" s="663"/>
    </row>
    <row r="37" spans="1:13" ht="15" x14ac:dyDescent="0.65">
      <c r="A37" s="666"/>
      <c r="B37" s="673"/>
      <c r="C37" s="674"/>
      <c r="D37" s="671"/>
      <c r="G37" s="663"/>
    </row>
    <row r="38" spans="1:13" x14ac:dyDescent="0.35">
      <c r="A38" s="666"/>
      <c r="B38" s="673"/>
      <c r="C38" s="675"/>
      <c r="D38" s="671"/>
      <c r="G38" s="663"/>
    </row>
    <row r="39" spans="1:13" x14ac:dyDescent="0.35">
      <c r="B39" s="673"/>
      <c r="D39" s="671"/>
    </row>
    <row r="41" spans="1:13" ht="13.15" x14ac:dyDescent="0.4">
      <c r="A41" s="676"/>
      <c r="B41" s="661"/>
      <c r="G41" s="660"/>
    </row>
    <row r="42" spans="1:13" ht="13.15" x14ac:dyDescent="0.4">
      <c r="A42" s="676"/>
      <c r="B42" s="661"/>
      <c r="G42" s="660"/>
    </row>
    <row r="43" spans="1:13" ht="13.15" x14ac:dyDescent="0.4">
      <c r="B43" s="661"/>
    </row>
    <row r="44" spans="1:13" x14ac:dyDescent="0.35">
      <c r="B44" s="660"/>
    </row>
    <row r="45" spans="1:13" ht="13.15" x14ac:dyDescent="0.4">
      <c r="B45" s="661"/>
    </row>
    <row r="46" spans="1:13" ht="13.15" x14ac:dyDescent="0.4">
      <c r="C46" s="677"/>
      <c r="D46" s="677"/>
      <c r="E46" s="677"/>
      <c r="F46" s="677"/>
      <c r="G46" s="677"/>
      <c r="H46" s="678"/>
      <c r="I46" s="677"/>
      <c r="J46" s="677"/>
    </row>
    <row r="47" spans="1:13" ht="13.15" x14ac:dyDescent="0.4">
      <c r="C47" s="677"/>
      <c r="D47" s="677"/>
      <c r="E47" s="677"/>
      <c r="F47" s="677"/>
      <c r="G47" s="677"/>
    </row>
    <row r="48" spans="1:13" ht="13.15" x14ac:dyDescent="0.4">
      <c r="B48" s="679"/>
      <c r="E48" s="680"/>
      <c r="F48" s="681"/>
      <c r="G48" s="681"/>
      <c r="H48" s="682"/>
      <c r="I48" s="680"/>
      <c r="J48" s="680"/>
      <c r="K48" s="683"/>
      <c r="L48" s="683"/>
      <c r="M48" s="683"/>
    </row>
    <row r="49" spans="2:13" ht="13.15" x14ac:dyDescent="0.4">
      <c r="B49" s="684"/>
      <c r="C49" s="685"/>
      <c r="D49" s="686"/>
      <c r="E49" s="681"/>
      <c r="F49" s="680"/>
      <c r="G49" s="680"/>
      <c r="H49" s="687"/>
      <c r="J49" s="688"/>
      <c r="K49" s="683"/>
      <c r="L49" s="683"/>
      <c r="M49" s="683"/>
    </row>
    <row r="50" spans="2:13" ht="13.15" x14ac:dyDescent="0.4">
      <c r="B50" s="684"/>
      <c r="C50" s="685"/>
      <c r="D50" s="686"/>
      <c r="E50" s="681"/>
      <c r="F50" s="680"/>
      <c r="G50" s="680"/>
      <c r="H50" s="689"/>
      <c r="J50" s="688"/>
      <c r="K50" s="690"/>
      <c r="L50" s="683"/>
      <c r="M50" s="683"/>
    </row>
    <row r="51" spans="2:13" ht="13.15" x14ac:dyDescent="0.4">
      <c r="E51" s="685"/>
      <c r="F51" s="686"/>
      <c r="G51" s="686"/>
      <c r="L51" s="683"/>
      <c r="M51" s="683"/>
    </row>
    <row r="52" spans="2:13" ht="13.15" x14ac:dyDescent="0.4">
      <c r="B52" s="691"/>
      <c r="C52" s="681"/>
      <c r="D52" s="681"/>
      <c r="E52" s="685"/>
      <c r="F52" s="686"/>
      <c r="G52" s="686"/>
      <c r="H52" s="692"/>
      <c r="I52" s="686"/>
      <c r="J52" s="686"/>
      <c r="K52" s="683"/>
      <c r="L52" s="683"/>
      <c r="M52" s="683"/>
    </row>
    <row r="53" spans="2:13" ht="13.15" x14ac:dyDescent="0.4">
      <c r="B53" s="691"/>
      <c r="C53" s="693"/>
      <c r="D53" s="693"/>
      <c r="E53" s="694"/>
      <c r="F53" s="686"/>
      <c r="G53" s="686"/>
      <c r="H53" s="692"/>
      <c r="I53" s="686"/>
      <c r="J53" s="686"/>
      <c r="K53" s="683"/>
      <c r="L53" s="683"/>
      <c r="M53" s="683"/>
    </row>
    <row r="54" spans="2:13" ht="13.15" x14ac:dyDescent="0.4">
      <c r="B54" s="691"/>
      <c r="C54" s="693"/>
      <c r="D54" s="693"/>
      <c r="E54" s="694"/>
      <c r="F54" s="686"/>
      <c r="G54" s="686"/>
      <c r="H54" s="692"/>
      <c r="I54" s="686"/>
      <c r="J54" s="686"/>
      <c r="K54" s="683"/>
      <c r="L54" s="683"/>
      <c r="M54" s="683"/>
    </row>
    <row r="55" spans="2:13" x14ac:dyDescent="0.35">
      <c r="G55" s="686"/>
      <c r="H55" s="692"/>
      <c r="I55" s="686"/>
      <c r="J55" s="686"/>
      <c r="K55" s="683"/>
      <c r="L55" s="683"/>
      <c r="M55" s="683"/>
    </row>
    <row r="56" spans="2:13" x14ac:dyDescent="0.35">
      <c r="H56" s="692"/>
      <c r="I56" s="686"/>
      <c r="J56" s="686"/>
      <c r="K56" s="683"/>
      <c r="L56" s="683"/>
      <c r="M56" s="683"/>
    </row>
    <row r="57" spans="2:13" x14ac:dyDescent="0.35">
      <c r="C57" s="686"/>
      <c r="D57" s="686"/>
      <c r="E57" s="686"/>
      <c r="F57" s="686"/>
      <c r="G57" s="686"/>
      <c r="H57" s="692"/>
      <c r="I57" s="686"/>
      <c r="J57" s="686"/>
      <c r="K57" s="683"/>
      <c r="L57" s="683"/>
      <c r="M57" s="683"/>
    </row>
    <row r="58" spans="2:13" ht="13.15" x14ac:dyDescent="0.4">
      <c r="B58" s="679"/>
      <c r="C58" s="681"/>
      <c r="D58" s="681"/>
      <c r="E58" s="680"/>
      <c r="F58" s="681"/>
      <c r="G58" s="681"/>
      <c r="H58" s="682"/>
      <c r="I58" s="680"/>
      <c r="J58" s="680"/>
      <c r="K58" s="683"/>
      <c r="L58" s="683"/>
      <c r="M58" s="683"/>
    </row>
    <row r="59" spans="2:13" ht="13.15" x14ac:dyDescent="0.4">
      <c r="B59" s="684"/>
      <c r="C59" s="686"/>
      <c r="D59" s="686"/>
      <c r="E59" s="681"/>
      <c r="F59" s="686"/>
      <c r="G59" s="686"/>
      <c r="H59" s="692"/>
      <c r="J59" s="688"/>
      <c r="K59" s="683"/>
      <c r="L59" s="683"/>
      <c r="M59" s="683"/>
    </row>
    <row r="60" spans="2:13" ht="13.15" x14ac:dyDescent="0.4">
      <c r="B60" s="684"/>
      <c r="C60" s="686"/>
      <c r="D60" s="686"/>
      <c r="E60" s="681"/>
      <c r="F60" s="686"/>
      <c r="G60" s="686"/>
      <c r="J60" s="688"/>
      <c r="K60" s="690"/>
      <c r="L60" s="683"/>
      <c r="M60" s="683"/>
    </row>
    <row r="61" spans="2:13" x14ac:dyDescent="0.35">
      <c r="C61" s="683"/>
      <c r="D61" s="683"/>
      <c r="E61" s="683"/>
      <c r="F61" s="683"/>
      <c r="G61" s="683"/>
      <c r="K61" s="683"/>
      <c r="L61" s="683"/>
      <c r="M61" s="683"/>
    </row>
    <row r="62" spans="2:13" x14ac:dyDescent="0.35">
      <c r="C62" s="695"/>
      <c r="D62" s="695"/>
      <c r="E62" s="695"/>
      <c r="F62" s="695"/>
      <c r="G62" s="695"/>
      <c r="H62" s="687"/>
      <c r="I62" s="695"/>
      <c r="J62" s="695"/>
      <c r="K62" s="683"/>
      <c r="L62" s="683"/>
      <c r="M62" s="683"/>
    </row>
    <row r="65" spans="2:11" ht="13.15" x14ac:dyDescent="0.4">
      <c r="B65" s="661"/>
    </row>
    <row r="66" spans="2:11" x14ac:dyDescent="0.35">
      <c r="B66" s="660"/>
    </row>
    <row r="68" spans="2:11" ht="13.15" x14ac:dyDescent="0.4">
      <c r="C68" s="677"/>
      <c r="D68" s="677"/>
      <c r="E68" s="677"/>
      <c r="F68" s="677"/>
      <c r="H68" s="696"/>
      <c r="I68" s="677"/>
      <c r="J68" s="677"/>
    </row>
    <row r="69" spans="2:11" ht="13.15" x14ac:dyDescent="0.4">
      <c r="C69" s="677"/>
      <c r="D69" s="697"/>
      <c r="E69" s="677"/>
      <c r="F69" s="697"/>
    </row>
    <row r="70" spans="2:11" ht="13.15" x14ac:dyDescent="0.4">
      <c r="B70" s="679"/>
      <c r="C70" s="681"/>
      <c r="D70" s="690"/>
      <c r="E70" s="698"/>
      <c r="F70" s="698"/>
      <c r="H70" s="699"/>
    </row>
    <row r="71" spans="2:11" ht="13.15" x14ac:dyDescent="0.4">
      <c r="B71" s="684"/>
      <c r="C71" s="680"/>
      <c r="D71" s="690"/>
      <c r="E71" s="681"/>
      <c r="F71" s="690"/>
      <c r="H71" s="700"/>
      <c r="I71" s="701"/>
      <c r="J71" s="701"/>
      <c r="K71" s="663"/>
    </row>
    <row r="72" spans="2:11" ht="13.15" x14ac:dyDescent="0.4">
      <c r="B72" s="684"/>
      <c r="C72" s="680"/>
      <c r="D72" s="690"/>
      <c r="E72" s="681"/>
      <c r="F72" s="690"/>
      <c r="H72" s="700"/>
      <c r="I72" s="701"/>
      <c r="J72" s="701"/>
      <c r="K72" s="663"/>
    </row>
    <row r="73" spans="2:11" ht="13.15" x14ac:dyDescent="0.4">
      <c r="C73" s="680"/>
      <c r="D73" s="690"/>
      <c r="E73" s="680"/>
      <c r="F73" s="690"/>
      <c r="H73" s="700"/>
      <c r="I73" s="701"/>
      <c r="J73" s="701"/>
      <c r="K73" s="663"/>
    </row>
    <row r="74" spans="2:11" ht="13.15" x14ac:dyDescent="0.4">
      <c r="B74" s="679"/>
      <c r="C74" s="681"/>
      <c r="D74" s="690"/>
      <c r="E74" s="681"/>
      <c r="F74" s="690"/>
      <c r="H74" s="699"/>
      <c r="I74" s="671"/>
      <c r="J74" s="671"/>
    </row>
    <row r="75" spans="2:11" ht="13.15" x14ac:dyDescent="0.4">
      <c r="B75" s="684"/>
      <c r="C75" s="680"/>
      <c r="D75" s="698"/>
      <c r="E75" s="681"/>
      <c r="F75" s="690"/>
      <c r="H75" s="700"/>
      <c r="I75" s="701"/>
      <c r="J75" s="701"/>
      <c r="K75" s="663"/>
    </row>
    <row r="76" spans="2:11" ht="13.15" x14ac:dyDescent="0.4">
      <c r="B76" s="684"/>
      <c r="C76" s="680"/>
      <c r="D76" s="698"/>
      <c r="E76" s="681"/>
      <c r="F76" s="690"/>
    </row>
    <row r="77" spans="2:11" x14ac:dyDescent="0.35">
      <c r="C77" s="695"/>
      <c r="D77" s="698"/>
      <c r="E77" s="695"/>
      <c r="F77" s="698"/>
    </row>
    <row r="78" spans="2:11" x14ac:dyDescent="0.35">
      <c r="C78" s="695"/>
      <c r="D78" s="698"/>
      <c r="E78" s="695"/>
      <c r="F78" s="698"/>
    </row>
    <row r="79" spans="2:11" x14ac:dyDescent="0.35">
      <c r="C79" s="695"/>
      <c r="D79" s="698"/>
      <c r="E79" s="695"/>
      <c r="F79" s="698"/>
    </row>
    <row r="80" spans="2:11" x14ac:dyDescent="0.35">
      <c r="C80" s="683"/>
      <c r="E80" s="683"/>
    </row>
    <row r="81" spans="1:13" ht="13.15" x14ac:dyDescent="0.4">
      <c r="A81" s="702"/>
      <c r="B81" s="672"/>
      <c r="C81" s="683"/>
      <c r="E81" s="683"/>
    </row>
    <row r="82" spans="1:13" x14ac:dyDescent="0.35">
      <c r="A82" s="702"/>
      <c r="B82" s="660"/>
    </row>
    <row r="84" spans="1:13" ht="13.15" x14ac:dyDescent="0.4">
      <c r="B84" s="661"/>
    </row>
    <row r="85" spans="1:13" x14ac:dyDescent="0.35">
      <c r="B85" s="660"/>
    </row>
    <row r="86" spans="1:13" ht="13.15" x14ac:dyDescent="0.4">
      <c r="B86" s="661"/>
    </row>
    <row r="87" spans="1:13" ht="13.15" x14ac:dyDescent="0.4">
      <c r="C87" s="677"/>
      <c r="D87" s="677"/>
      <c r="E87" s="677"/>
      <c r="F87" s="677"/>
      <c r="G87" s="677"/>
      <c r="H87" s="678"/>
      <c r="I87" s="677"/>
      <c r="J87" s="677"/>
    </row>
    <row r="88" spans="1:13" x14ac:dyDescent="0.35">
      <c r="C88" s="702"/>
      <c r="D88" s="702"/>
      <c r="E88" s="702"/>
      <c r="F88" s="703"/>
      <c r="G88" s="703"/>
      <c r="H88" s="704"/>
      <c r="I88" s="703"/>
      <c r="J88" s="703"/>
    </row>
    <row r="89" spans="1:13" x14ac:dyDescent="0.35">
      <c r="B89" s="679"/>
      <c r="C89" s="702"/>
      <c r="D89" s="702"/>
      <c r="E89" s="702"/>
      <c r="F89" s="703"/>
      <c r="G89" s="703"/>
      <c r="H89" s="704"/>
      <c r="I89" s="703"/>
      <c r="J89" s="703"/>
      <c r="L89" s="683"/>
      <c r="M89" s="683"/>
    </row>
    <row r="90" spans="1:13" x14ac:dyDescent="0.35">
      <c r="B90" s="684"/>
      <c r="C90" s="702"/>
      <c r="D90" s="702"/>
      <c r="E90" s="703"/>
      <c r="F90" s="702"/>
      <c r="G90" s="703"/>
      <c r="H90" s="704"/>
      <c r="I90" s="703"/>
      <c r="J90" s="702"/>
      <c r="L90" s="683"/>
      <c r="M90" s="683"/>
    </row>
    <row r="91" spans="1:13" x14ac:dyDescent="0.35">
      <c r="B91" s="684"/>
      <c r="C91" s="702"/>
      <c r="D91" s="702"/>
      <c r="E91" s="703"/>
      <c r="F91" s="702"/>
      <c r="G91" s="702"/>
      <c r="H91" s="705"/>
      <c r="I91" s="702"/>
      <c r="J91" s="702"/>
      <c r="L91" s="683"/>
      <c r="M91" s="683"/>
    </row>
    <row r="92" spans="1:13" ht="13.15" x14ac:dyDescent="0.4">
      <c r="B92" s="691"/>
      <c r="C92" s="702"/>
      <c r="D92" s="702"/>
      <c r="E92" s="702"/>
      <c r="F92" s="702"/>
      <c r="G92" s="702"/>
      <c r="H92" s="705"/>
      <c r="I92" s="702"/>
      <c r="J92" s="702"/>
      <c r="L92" s="683"/>
      <c r="M92" s="683"/>
    </row>
    <row r="93" spans="1:13" x14ac:dyDescent="0.35">
      <c r="B93" s="694"/>
      <c r="C93" s="703"/>
      <c r="D93" s="703"/>
      <c r="E93" s="702"/>
      <c r="F93" s="702"/>
      <c r="G93" s="702"/>
      <c r="H93" s="705"/>
      <c r="I93" s="702"/>
      <c r="J93" s="702"/>
      <c r="L93" s="683"/>
      <c r="M93" s="683"/>
    </row>
    <row r="94" spans="1:13" x14ac:dyDescent="0.35">
      <c r="B94" s="694"/>
      <c r="C94" s="703"/>
      <c r="D94" s="703"/>
      <c r="E94" s="702"/>
      <c r="F94" s="702"/>
      <c r="G94" s="702"/>
      <c r="H94" s="705"/>
      <c r="I94" s="702"/>
      <c r="J94" s="702"/>
      <c r="L94" s="683"/>
      <c r="M94" s="683"/>
    </row>
    <row r="95" spans="1:13" x14ac:dyDescent="0.35">
      <c r="C95" s="703"/>
      <c r="D95" s="703"/>
      <c r="E95" s="702"/>
      <c r="F95" s="702"/>
      <c r="G95" s="702"/>
      <c r="H95" s="705"/>
      <c r="I95" s="702"/>
      <c r="J95" s="702"/>
      <c r="L95" s="683"/>
      <c r="M95" s="683"/>
    </row>
    <row r="96" spans="1:13" x14ac:dyDescent="0.35">
      <c r="B96" s="679"/>
      <c r="C96" s="703"/>
      <c r="D96" s="703"/>
      <c r="E96" s="702"/>
      <c r="F96" s="703"/>
      <c r="G96" s="703"/>
      <c r="H96" s="704"/>
      <c r="I96" s="703"/>
      <c r="J96" s="703"/>
      <c r="L96" s="683"/>
      <c r="M96" s="683"/>
    </row>
    <row r="97" spans="2:13" x14ac:dyDescent="0.35">
      <c r="B97" s="684"/>
      <c r="C97" s="702"/>
      <c r="D97" s="702"/>
      <c r="E97" s="703"/>
      <c r="F97" s="702"/>
      <c r="G97" s="702"/>
      <c r="H97" s="705"/>
      <c r="I97" s="702"/>
      <c r="J97" s="702"/>
      <c r="L97" s="683"/>
      <c r="M97" s="683"/>
    </row>
    <row r="98" spans="2:13" x14ac:dyDescent="0.35">
      <c r="B98" s="684"/>
      <c r="C98" s="702"/>
      <c r="D98" s="702"/>
      <c r="E98" s="703"/>
      <c r="F98" s="702"/>
      <c r="G98" s="702"/>
      <c r="H98" s="705"/>
      <c r="I98" s="702"/>
      <c r="J98" s="702"/>
      <c r="L98" s="683"/>
      <c r="M98" s="683"/>
    </row>
    <row r="99" spans="2:13" x14ac:dyDescent="0.35">
      <c r="C99" s="702"/>
      <c r="D99" s="702"/>
      <c r="E99" s="703"/>
      <c r="F99" s="702"/>
      <c r="G99" s="702"/>
      <c r="H99" s="705"/>
      <c r="I99" s="702"/>
      <c r="J99" s="702"/>
      <c r="L99" s="683"/>
      <c r="M99" s="683"/>
    </row>
    <row r="102" spans="2:13" ht="13.15" x14ac:dyDescent="0.4">
      <c r="B102" s="661"/>
    </row>
    <row r="103" spans="2:13" x14ac:dyDescent="0.35">
      <c r="B103" s="660"/>
    </row>
    <row r="105" spans="2:13" ht="13.15" x14ac:dyDescent="0.4">
      <c r="C105" s="677"/>
      <c r="D105" s="677"/>
      <c r="E105" s="677"/>
      <c r="F105" s="677"/>
      <c r="H105" s="696"/>
      <c r="I105" s="677"/>
      <c r="J105" s="677"/>
    </row>
    <row r="106" spans="2:13" ht="13.15" x14ac:dyDescent="0.4">
      <c r="F106" s="697"/>
    </row>
    <row r="107" spans="2:13" x14ac:dyDescent="0.35">
      <c r="B107" s="679"/>
      <c r="C107" s="703"/>
      <c r="D107" s="703"/>
      <c r="E107" s="703"/>
      <c r="F107" s="698"/>
      <c r="H107" s="699"/>
    </row>
    <row r="108" spans="2:13" ht="13.15" x14ac:dyDescent="0.4">
      <c r="B108" s="684"/>
      <c r="C108" s="703"/>
      <c r="D108" s="703"/>
      <c r="E108" s="703"/>
      <c r="F108" s="690"/>
      <c r="H108" s="700"/>
      <c r="I108" s="706"/>
      <c r="J108" s="706"/>
      <c r="K108" s="663"/>
    </row>
    <row r="109" spans="2:13" ht="13.15" x14ac:dyDescent="0.4">
      <c r="B109" s="684"/>
      <c r="C109" s="703"/>
      <c r="D109" s="703"/>
      <c r="E109" s="703"/>
      <c r="F109" s="690"/>
      <c r="H109" s="700"/>
      <c r="I109" s="706"/>
      <c r="J109" s="706"/>
      <c r="K109" s="663"/>
    </row>
    <row r="110" spans="2:13" ht="13.15" x14ac:dyDescent="0.4">
      <c r="C110" s="703"/>
      <c r="D110" s="703"/>
      <c r="E110" s="703"/>
      <c r="F110" s="690"/>
      <c r="H110" s="700"/>
      <c r="I110" s="701"/>
      <c r="J110" s="701"/>
      <c r="K110" s="663"/>
    </row>
    <row r="111" spans="2:13" ht="13.15" x14ac:dyDescent="0.4">
      <c r="B111" s="679"/>
      <c r="C111" s="703"/>
      <c r="D111" s="703"/>
      <c r="E111" s="703"/>
      <c r="F111" s="690"/>
      <c r="H111" s="699"/>
      <c r="I111" s="671"/>
      <c r="J111" s="671"/>
    </row>
    <row r="112" spans="2:13" ht="13.15" x14ac:dyDescent="0.4">
      <c r="B112" s="684"/>
      <c r="C112" s="703"/>
      <c r="D112" s="703"/>
      <c r="E112" s="703"/>
      <c r="F112" s="690"/>
      <c r="H112" s="700"/>
      <c r="I112" s="706"/>
      <c r="J112" s="706"/>
      <c r="K112" s="663"/>
    </row>
    <row r="113" spans="1:12" ht="13.15" x14ac:dyDescent="0.4">
      <c r="B113" s="684"/>
      <c r="C113" s="703"/>
      <c r="D113" s="703"/>
      <c r="E113" s="703"/>
      <c r="F113" s="690"/>
    </row>
    <row r="114" spans="1:12" x14ac:dyDescent="0.35">
      <c r="C114" s="695"/>
      <c r="D114" s="698"/>
      <c r="E114" s="695"/>
      <c r="F114" s="698"/>
    </row>
    <row r="115" spans="1:12" x14ac:dyDescent="0.35">
      <c r="C115" s="695"/>
      <c r="D115" s="698"/>
      <c r="E115" s="695"/>
      <c r="F115" s="698"/>
    </row>
    <row r="117" spans="1:12" ht="13.15" x14ac:dyDescent="0.4">
      <c r="A117" s="702"/>
      <c r="B117" s="661"/>
      <c r="C117" s="683"/>
      <c r="E117" s="683"/>
    </row>
    <row r="118" spans="1:12" x14ac:dyDescent="0.35">
      <c r="C118" s="683"/>
      <c r="E118" s="683"/>
    </row>
    <row r="119" spans="1:12" ht="13.15" x14ac:dyDescent="0.4">
      <c r="C119" s="677"/>
      <c r="D119" s="677"/>
      <c r="E119" s="677"/>
      <c r="F119" s="677"/>
      <c r="G119" s="677"/>
      <c r="H119" s="678"/>
      <c r="I119" s="677"/>
      <c r="J119" s="677"/>
    </row>
    <row r="121" spans="1:12" x14ac:dyDescent="0.35">
      <c r="B121" s="666"/>
      <c r="C121" s="675"/>
      <c r="D121" s="675"/>
      <c r="E121" s="707"/>
      <c r="F121" s="675"/>
      <c r="G121" s="668"/>
      <c r="H121" s="708"/>
      <c r="I121" s="675"/>
      <c r="J121" s="675"/>
    </row>
    <row r="122" spans="1:12" ht="15" x14ac:dyDescent="0.65">
      <c r="B122" s="666"/>
      <c r="C122" s="670"/>
      <c r="D122" s="670"/>
      <c r="E122" s="670"/>
      <c r="F122" s="670"/>
      <c r="G122" s="670"/>
      <c r="H122" s="709"/>
      <c r="I122" s="670"/>
      <c r="J122" s="670"/>
    </row>
    <row r="123" spans="1:12" x14ac:dyDescent="0.35">
      <c r="B123" s="666"/>
      <c r="C123" s="669"/>
      <c r="D123" s="669"/>
      <c r="E123" s="669"/>
      <c r="F123" s="669"/>
      <c r="G123" s="669"/>
      <c r="H123" s="710"/>
      <c r="I123" s="669"/>
      <c r="J123" s="669"/>
    </row>
    <row r="124" spans="1:12" x14ac:dyDescent="0.35">
      <c r="B124" s="666"/>
      <c r="C124" s="669"/>
      <c r="D124" s="669"/>
      <c r="E124" s="669"/>
      <c r="F124" s="669"/>
      <c r="G124" s="669"/>
      <c r="H124" s="710"/>
      <c r="I124" s="669"/>
      <c r="J124" s="669"/>
      <c r="K124" s="669"/>
      <c r="L124" s="669"/>
    </row>
    <row r="125" spans="1:12" x14ac:dyDescent="0.35">
      <c r="B125" s="666"/>
      <c r="C125" s="669"/>
      <c r="D125" s="669"/>
      <c r="E125" s="669"/>
      <c r="F125" s="669"/>
      <c r="G125" s="669"/>
      <c r="H125" s="710"/>
      <c r="I125" s="669"/>
      <c r="J125" s="669"/>
      <c r="K125" s="669"/>
      <c r="L125" s="669"/>
    </row>
    <row r="126" spans="1:12" ht="13.15" x14ac:dyDescent="0.4">
      <c r="B126" s="666"/>
      <c r="C126" s="677"/>
      <c r="D126" s="677"/>
      <c r="F126" s="677"/>
      <c r="G126" s="677"/>
      <c r="H126" s="710"/>
      <c r="I126" s="669"/>
      <c r="J126" s="669"/>
      <c r="K126" s="669"/>
      <c r="L126" s="669"/>
    </row>
    <row r="127" spans="1:12" ht="13.15" x14ac:dyDescent="0.4">
      <c r="B127" s="666"/>
      <c r="C127" s="677"/>
      <c r="D127" s="677"/>
      <c r="F127" s="677"/>
      <c r="G127" s="677"/>
      <c r="H127" s="710"/>
      <c r="I127" s="669"/>
      <c r="J127" s="669"/>
      <c r="K127" s="669"/>
      <c r="L127" s="669"/>
    </row>
    <row r="128" spans="1:12" x14ac:dyDescent="0.35">
      <c r="B128" s="666"/>
      <c r="G128" s="669"/>
      <c r="H128" s="710"/>
      <c r="I128" s="669"/>
      <c r="J128" s="669"/>
      <c r="K128" s="669"/>
      <c r="L128" s="669"/>
    </row>
    <row r="129" spans="2:12" x14ac:dyDescent="0.35">
      <c r="B129" s="666"/>
      <c r="C129" s="707"/>
      <c r="D129" s="707"/>
      <c r="F129" s="707"/>
      <c r="G129" s="711"/>
      <c r="H129" s="710"/>
      <c r="I129" s="669"/>
      <c r="J129" s="669"/>
      <c r="K129" s="669"/>
      <c r="L129" s="669"/>
    </row>
    <row r="130" spans="2:12" ht="15" x14ac:dyDescent="0.65">
      <c r="B130" s="666"/>
      <c r="C130" s="712"/>
      <c r="D130" s="712"/>
      <c r="F130" s="712"/>
      <c r="G130" s="712"/>
      <c r="H130" s="710"/>
      <c r="I130" s="669"/>
      <c r="J130" s="669"/>
      <c r="K130" s="669"/>
      <c r="L130" s="669"/>
    </row>
    <row r="131" spans="2:12" x14ac:dyDescent="0.35">
      <c r="B131" s="666"/>
      <c r="C131" s="669"/>
      <c r="D131" s="669"/>
      <c r="F131" s="669"/>
      <c r="G131" s="669"/>
      <c r="H131" s="710"/>
      <c r="I131" s="669"/>
      <c r="J131" s="669"/>
      <c r="K131" s="669"/>
      <c r="L131" s="669"/>
    </row>
    <row r="132" spans="2:12" x14ac:dyDescent="0.35">
      <c r="B132" s="666"/>
      <c r="C132" s="669"/>
      <c r="F132" s="669"/>
      <c r="G132" s="669"/>
      <c r="H132" s="710"/>
      <c r="I132" s="669"/>
      <c r="J132" s="669"/>
      <c r="K132" s="669"/>
      <c r="L132" s="669"/>
    </row>
    <row r="133" spans="2:12" x14ac:dyDescent="0.35">
      <c r="B133" s="666"/>
      <c r="C133" s="669"/>
      <c r="D133" s="669"/>
      <c r="E133" s="669"/>
      <c r="F133" s="669"/>
      <c r="G133" s="669"/>
      <c r="H133" s="710"/>
      <c r="I133" s="669"/>
      <c r="J133" s="669"/>
      <c r="K133" s="669"/>
      <c r="L133" s="669"/>
    </row>
    <row r="134" spans="2:12" ht="13.15" x14ac:dyDescent="0.4">
      <c r="B134" s="666"/>
      <c r="C134" s="677"/>
      <c r="D134" s="677"/>
      <c r="E134" s="677"/>
      <c r="F134" s="669"/>
      <c r="G134" s="669"/>
      <c r="H134" s="710"/>
      <c r="I134" s="669"/>
      <c r="J134" s="669"/>
      <c r="K134" s="669"/>
      <c r="L134" s="669"/>
    </row>
    <row r="135" spans="2:12" x14ac:dyDescent="0.35">
      <c r="B135" s="666"/>
      <c r="C135" s="669"/>
      <c r="D135" s="669"/>
      <c r="E135" s="669"/>
      <c r="F135" s="669"/>
      <c r="G135" s="669"/>
      <c r="H135" s="710"/>
      <c r="I135" s="669"/>
      <c r="J135" s="669"/>
      <c r="K135" s="669"/>
      <c r="L135" s="669"/>
    </row>
    <row r="136" spans="2:12" ht="15" x14ac:dyDescent="0.65">
      <c r="B136" s="666"/>
      <c r="C136" s="674"/>
      <c r="D136" s="674"/>
      <c r="E136" s="674"/>
    </row>
    <row r="137" spans="2:12" ht="13.15" x14ac:dyDescent="0.4">
      <c r="B137" s="666"/>
      <c r="C137" s="669"/>
      <c r="D137" s="669"/>
      <c r="E137" s="713"/>
    </row>
    <row r="138" spans="2:12" x14ac:dyDescent="0.35">
      <c r="B138" s="666"/>
      <c r="C138" s="683"/>
      <c r="E138" s="683"/>
    </row>
    <row r="139" spans="2:12" ht="13.15" x14ac:dyDescent="0.4">
      <c r="C139" s="677"/>
      <c r="D139" s="677"/>
      <c r="E139" s="677"/>
      <c r="F139" s="677"/>
      <c r="G139" s="677"/>
      <c r="H139" s="678"/>
      <c r="I139" s="677"/>
      <c r="J139" s="677"/>
      <c r="K139" s="677"/>
      <c r="L139" s="677"/>
    </row>
    <row r="141" spans="2:12" x14ac:dyDescent="0.35">
      <c r="B141" s="666"/>
      <c r="C141" s="669"/>
    </row>
    <row r="142" spans="2:12" ht="15" x14ac:dyDescent="0.65">
      <c r="B142" s="666"/>
      <c r="C142" s="674"/>
    </row>
    <row r="143" spans="2:12" x14ac:dyDescent="0.35">
      <c r="B143" s="666"/>
      <c r="C143" s="669"/>
    </row>
    <row r="144" spans="2:12" x14ac:dyDescent="0.35">
      <c r="C144" s="683"/>
    </row>
    <row r="145" spans="1:10" x14ac:dyDescent="0.35">
      <c r="B145" s="694"/>
      <c r="C145" s="666"/>
    </row>
    <row r="146" spans="1:10" x14ac:dyDescent="0.35">
      <c r="B146" s="666"/>
      <c r="C146" s="669"/>
    </row>
    <row r="147" spans="1:10" ht="15" x14ac:dyDescent="0.65">
      <c r="B147" s="666"/>
      <c r="C147" s="674"/>
    </row>
    <row r="148" spans="1:10" x14ac:dyDescent="0.35">
      <c r="B148" s="666"/>
      <c r="C148" s="669"/>
    </row>
    <row r="153" spans="1:10" ht="13.15" x14ac:dyDescent="0.4">
      <c r="A153" s="702"/>
      <c r="B153" s="672"/>
      <c r="C153" s="683"/>
      <c r="E153" s="683"/>
    </row>
    <row r="154" spans="1:10" x14ac:dyDescent="0.35">
      <c r="B154" s="660"/>
    </row>
    <row r="156" spans="1:10" ht="13.15" x14ac:dyDescent="0.4">
      <c r="B156" s="661"/>
    </row>
    <row r="157" spans="1:10" x14ac:dyDescent="0.35">
      <c r="B157" s="660"/>
    </row>
    <row r="158" spans="1:10" ht="13.15" x14ac:dyDescent="0.4">
      <c r="B158" s="661"/>
    </row>
    <row r="159" spans="1:10" ht="13.15" x14ac:dyDescent="0.4">
      <c r="C159" s="677"/>
      <c r="D159" s="677"/>
      <c r="E159" s="677"/>
      <c r="F159" s="677"/>
      <c r="G159" s="677"/>
      <c r="H159" s="678"/>
      <c r="I159" s="677"/>
      <c r="J159" s="677"/>
    </row>
    <row r="160" spans="1:10" x14ac:dyDescent="0.35">
      <c r="C160" s="702"/>
      <c r="D160" s="702"/>
      <c r="E160" s="702"/>
      <c r="F160" s="703"/>
      <c r="G160" s="703"/>
      <c r="H160" s="704"/>
      <c r="I160" s="703"/>
      <c r="J160" s="703"/>
    </row>
    <row r="161" spans="2:10" x14ac:dyDescent="0.35">
      <c r="B161" s="679"/>
      <c r="C161" s="702"/>
      <c r="D161" s="702"/>
      <c r="E161" s="702"/>
      <c r="F161" s="703"/>
      <c r="G161" s="703"/>
      <c r="H161" s="704"/>
      <c r="I161" s="703"/>
      <c r="J161" s="703"/>
    </row>
    <row r="162" spans="2:10" x14ac:dyDescent="0.35">
      <c r="B162" s="684"/>
      <c r="C162" s="702"/>
      <c r="D162" s="702"/>
      <c r="E162" s="703"/>
      <c r="G162" s="703"/>
      <c r="H162" s="704"/>
      <c r="I162" s="703"/>
      <c r="J162" s="702"/>
    </row>
    <row r="163" spans="2:10" x14ac:dyDescent="0.35">
      <c r="B163" s="684"/>
      <c r="C163" s="702"/>
      <c r="D163" s="702"/>
      <c r="E163" s="703"/>
      <c r="F163" s="702"/>
      <c r="G163" s="702"/>
      <c r="H163" s="705"/>
      <c r="I163" s="702"/>
      <c r="J163" s="702"/>
    </row>
    <row r="164" spans="2:10" ht="13.15" x14ac:dyDescent="0.4">
      <c r="B164" s="691"/>
      <c r="C164" s="702"/>
      <c r="D164" s="702"/>
      <c r="E164" s="702"/>
      <c r="F164" s="702"/>
      <c r="G164" s="702"/>
      <c r="H164" s="705"/>
      <c r="I164" s="702"/>
      <c r="J164" s="702"/>
    </row>
    <row r="165" spans="2:10" x14ac:dyDescent="0.35">
      <c r="B165" s="694"/>
      <c r="C165" s="703"/>
      <c r="D165" s="703"/>
      <c r="E165" s="702"/>
      <c r="F165" s="702"/>
      <c r="G165" s="702"/>
      <c r="H165" s="705"/>
      <c r="I165" s="702"/>
      <c r="J165" s="702"/>
    </row>
    <row r="166" spans="2:10" x14ac:dyDescent="0.35">
      <c r="B166" s="694"/>
      <c r="C166" s="703"/>
      <c r="D166" s="703"/>
      <c r="E166" s="702"/>
      <c r="F166" s="702"/>
      <c r="G166" s="702"/>
      <c r="H166" s="705"/>
      <c r="I166" s="702"/>
      <c r="J166" s="702"/>
    </row>
    <row r="167" spans="2:10" x14ac:dyDescent="0.35">
      <c r="C167" s="703"/>
      <c r="D167" s="703"/>
      <c r="E167" s="702"/>
      <c r="F167" s="702"/>
      <c r="G167" s="702"/>
      <c r="H167" s="705"/>
      <c r="I167" s="702"/>
      <c r="J167" s="702"/>
    </row>
    <row r="168" spans="2:10" x14ac:dyDescent="0.35">
      <c r="B168" s="679"/>
      <c r="C168" s="703"/>
      <c r="D168" s="703"/>
      <c r="E168" s="702"/>
      <c r="F168" s="703"/>
      <c r="G168" s="703"/>
      <c r="H168" s="704"/>
      <c r="I168" s="703"/>
      <c r="J168" s="703"/>
    </row>
    <row r="169" spans="2:10" x14ac:dyDescent="0.35">
      <c r="B169" s="684"/>
      <c r="C169" s="702"/>
      <c r="D169" s="702"/>
      <c r="E169" s="703"/>
      <c r="F169" s="702"/>
      <c r="G169" s="702"/>
      <c r="H169" s="705"/>
      <c r="I169" s="702"/>
      <c r="J169" s="702"/>
    </row>
    <row r="170" spans="2:10" x14ac:dyDescent="0.35">
      <c r="B170" s="684"/>
      <c r="C170" s="702"/>
      <c r="D170" s="702"/>
      <c r="E170" s="703"/>
      <c r="F170" s="702"/>
      <c r="G170" s="702"/>
      <c r="H170" s="705"/>
      <c r="I170" s="702"/>
      <c r="J170" s="702"/>
    </row>
    <row r="171" spans="2:10" x14ac:dyDescent="0.35">
      <c r="C171" s="702"/>
      <c r="D171" s="702"/>
      <c r="E171" s="703"/>
      <c r="F171" s="702"/>
      <c r="G171" s="702"/>
      <c r="H171" s="705"/>
      <c r="I171" s="702"/>
      <c r="J171" s="702"/>
    </row>
    <row r="174" spans="2:10" ht="13.15" x14ac:dyDescent="0.4">
      <c r="B174" s="661"/>
    </row>
    <row r="175" spans="2:10" x14ac:dyDescent="0.35">
      <c r="B175" s="660"/>
    </row>
    <row r="177" spans="1:12" ht="13.15" x14ac:dyDescent="0.4">
      <c r="C177" s="677"/>
      <c r="D177" s="677"/>
      <c r="E177" s="677"/>
      <c r="F177" s="677"/>
      <c r="H177" s="696"/>
      <c r="I177" s="677"/>
      <c r="J177" s="677"/>
    </row>
    <row r="178" spans="1:12" ht="13.15" x14ac:dyDescent="0.4">
      <c r="F178" s="697"/>
    </row>
    <row r="179" spans="1:12" x14ac:dyDescent="0.35">
      <c r="B179" s="679"/>
      <c r="C179" s="703"/>
      <c r="D179" s="703"/>
      <c r="E179" s="703"/>
      <c r="F179" s="698"/>
      <c r="H179" s="699"/>
    </row>
    <row r="180" spans="1:12" ht="13.15" x14ac:dyDescent="0.4">
      <c r="B180" s="684"/>
      <c r="C180" s="703"/>
      <c r="D180" s="703"/>
      <c r="E180" s="703"/>
      <c r="F180" s="690"/>
      <c r="H180" s="700"/>
      <c r="I180" s="714"/>
      <c r="J180" s="714"/>
    </row>
    <row r="181" spans="1:12" ht="13.15" x14ac:dyDescent="0.4">
      <c r="B181" s="684"/>
      <c r="C181" s="703"/>
      <c r="D181" s="703"/>
      <c r="E181" s="703"/>
      <c r="F181" s="690"/>
      <c r="H181" s="700"/>
      <c r="I181" s="714"/>
      <c r="J181" s="714"/>
    </row>
    <row r="182" spans="1:12" ht="13.15" x14ac:dyDescent="0.4">
      <c r="C182" s="703"/>
      <c r="D182" s="703"/>
      <c r="E182" s="703"/>
      <c r="F182" s="690"/>
      <c r="H182" s="700"/>
      <c r="I182" s="701"/>
      <c r="J182" s="701"/>
    </row>
    <row r="183" spans="1:12" ht="13.15" x14ac:dyDescent="0.4">
      <c r="B183" s="679"/>
      <c r="C183" s="703"/>
      <c r="D183" s="703"/>
      <c r="E183" s="703"/>
      <c r="F183" s="690"/>
      <c r="H183" s="699"/>
      <c r="I183" s="671"/>
      <c r="J183" s="671"/>
    </row>
    <row r="184" spans="1:12" ht="13.15" x14ac:dyDescent="0.4">
      <c r="B184" s="684"/>
      <c r="C184" s="703"/>
      <c r="D184" s="703"/>
      <c r="E184" s="703"/>
      <c r="F184" s="690"/>
      <c r="H184" s="700"/>
      <c r="I184" s="714"/>
      <c r="J184" s="714"/>
    </row>
    <row r="185" spans="1:12" ht="13.15" x14ac:dyDescent="0.4">
      <c r="B185" s="684"/>
      <c r="C185" s="703"/>
      <c r="D185" s="703"/>
      <c r="E185" s="703"/>
      <c r="F185" s="690"/>
    </row>
    <row r="189" spans="1:12" ht="13.15" x14ac:dyDescent="0.4">
      <c r="A189" s="702"/>
      <c r="B189" s="661"/>
      <c r="C189" s="683"/>
      <c r="E189" s="683"/>
    </row>
    <row r="190" spans="1:12" x14ac:dyDescent="0.35">
      <c r="C190" s="683"/>
      <c r="E190" s="683"/>
    </row>
    <row r="191" spans="1:12" ht="13.15" x14ac:dyDescent="0.4">
      <c r="C191" s="677"/>
      <c r="D191" s="677"/>
      <c r="E191" s="677"/>
      <c r="F191" s="677"/>
      <c r="G191" s="677"/>
      <c r="H191" s="678"/>
      <c r="I191" s="677"/>
      <c r="J191" s="677"/>
      <c r="K191" s="677"/>
      <c r="L191" s="677"/>
    </row>
    <row r="193" spans="2:12" x14ac:dyDescent="0.35">
      <c r="B193" s="666"/>
      <c r="C193" s="675"/>
      <c r="D193" s="675"/>
      <c r="E193" s="707"/>
      <c r="F193" s="675"/>
      <c r="G193" s="668"/>
      <c r="H193" s="708"/>
      <c r="I193" s="675"/>
      <c r="J193" s="675"/>
      <c r="K193" s="707"/>
      <c r="L193" s="707"/>
    </row>
    <row r="194" spans="2:12" ht="15" x14ac:dyDescent="0.65">
      <c r="B194" s="666"/>
      <c r="C194" s="670"/>
      <c r="D194" s="670"/>
      <c r="E194" s="670"/>
      <c r="F194" s="670"/>
      <c r="G194" s="670"/>
      <c r="H194" s="709"/>
      <c r="I194" s="670"/>
      <c r="J194" s="670"/>
      <c r="K194" s="712"/>
      <c r="L194" s="712"/>
    </row>
    <row r="195" spans="2:12" x14ac:dyDescent="0.35">
      <c r="B195" s="666"/>
      <c r="C195" s="669"/>
      <c r="D195" s="669"/>
      <c r="E195" s="669"/>
      <c r="F195" s="669"/>
      <c r="G195" s="669"/>
      <c r="H195" s="710"/>
      <c r="I195" s="669"/>
      <c r="J195" s="669"/>
      <c r="K195" s="669"/>
      <c r="L195" s="669"/>
    </row>
    <row r="196" spans="2:12" x14ac:dyDescent="0.35">
      <c r="B196" s="666"/>
      <c r="C196" s="669"/>
      <c r="D196" s="669"/>
      <c r="E196" s="669"/>
      <c r="F196" s="669"/>
      <c r="G196" s="669"/>
      <c r="H196" s="710"/>
      <c r="I196" s="669"/>
      <c r="J196" s="669"/>
      <c r="K196" s="669"/>
      <c r="L196" s="669"/>
    </row>
    <row r="197" spans="2:12" x14ac:dyDescent="0.35">
      <c r="B197" s="666"/>
      <c r="C197" s="669"/>
      <c r="D197" s="669"/>
      <c r="E197" s="669"/>
      <c r="F197" s="669"/>
      <c r="G197" s="669"/>
      <c r="H197" s="710"/>
      <c r="I197" s="669"/>
      <c r="J197" s="669"/>
      <c r="K197" s="669"/>
      <c r="L197" s="669"/>
    </row>
    <row r="198" spans="2:12" ht="15" x14ac:dyDescent="0.65">
      <c r="B198" s="666"/>
      <c r="C198" s="674"/>
      <c r="E198" s="683"/>
    </row>
    <row r="199" spans="2:12" x14ac:dyDescent="0.35">
      <c r="B199" s="666"/>
      <c r="C199" s="669"/>
      <c r="E199" s="683"/>
    </row>
    <row r="200" spans="2:12" x14ac:dyDescent="0.35">
      <c r="B200" s="666"/>
      <c r="C200" s="683"/>
      <c r="E200" s="683"/>
    </row>
    <row r="201" spans="2:12" ht="13.15" x14ac:dyDescent="0.4">
      <c r="C201" s="677"/>
      <c r="D201" s="677"/>
      <c r="E201" s="677"/>
      <c r="F201" s="677"/>
      <c r="G201" s="677"/>
      <c r="H201" s="678"/>
      <c r="I201" s="677"/>
      <c r="J201" s="677"/>
      <c r="K201" s="677"/>
      <c r="L201" s="677"/>
    </row>
    <row r="203" spans="2:12" x14ac:dyDescent="0.35">
      <c r="B203" s="666"/>
      <c r="C203" s="669"/>
    </row>
    <row r="204" spans="2:12" ht="15" x14ac:dyDescent="0.65">
      <c r="B204" s="666"/>
      <c r="C204" s="674"/>
    </row>
    <row r="205" spans="2:12" x14ac:dyDescent="0.35">
      <c r="B205" s="666"/>
      <c r="C205" s="669"/>
      <c r="D205" s="669"/>
      <c r="G205" s="666"/>
    </row>
    <row r="206" spans="2:12" x14ac:dyDescent="0.35">
      <c r="C206" s="683"/>
      <c r="E206" s="683"/>
      <c r="G206" s="666"/>
    </row>
    <row r="207" spans="2:12" x14ac:dyDescent="0.35">
      <c r="B207" s="694"/>
      <c r="C207" s="669"/>
      <c r="E207" s="715"/>
      <c r="G207" s="715"/>
    </row>
    <row r="208" spans="2:12" x14ac:dyDescent="0.35">
      <c r="B208" s="666"/>
      <c r="C208" s="669"/>
      <c r="E208" s="716"/>
    </row>
    <row r="209" spans="1:10" ht="15" x14ac:dyDescent="0.65">
      <c r="B209" s="666"/>
      <c r="C209" s="674"/>
      <c r="E209" s="717"/>
    </row>
    <row r="210" spans="1:10" x14ac:dyDescent="0.35">
      <c r="B210" s="666"/>
      <c r="C210" s="669"/>
      <c r="E210" s="716"/>
    </row>
    <row r="212" spans="1:10" x14ac:dyDescent="0.35">
      <c r="C212" s="718"/>
    </row>
    <row r="213" spans="1:10" ht="13.15" outlineLevel="1" x14ac:dyDescent="0.4">
      <c r="A213" s="661"/>
    </row>
    <row r="214" spans="1:10" ht="13.15" outlineLevel="1" x14ac:dyDescent="0.4">
      <c r="A214" s="702"/>
      <c r="B214" s="672"/>
      <c r="C214" s="683"/>
      <c r="E214" s="683"/>
    </row>
    <row r="215" spans="1:10" outlineLevel="1" x14ac:dyDescent="0.35">
      <c r="B215" s="660"/>
    </row>
    <row r="216" spans="1:10" outlineLevel="1" x14ac:dyDescent="0.35">
      <c r="A216" s="702"/>
    </row>
    <row r="217" spans="1:10" ht="13.15" outlineLevel="1" x14ac:dyDescent="0.4">
      <c r="B217" s="661"/>
    </row>
    <row r="218" spans="1:10" outlineLevel="1" x14ac:dyDescent="0.35">
      <c r="B218" s="660"/>
    </row>
    <row r="219" spans="1:10" ht="13.15" outlineLevel="1" x14ac:dyDescent="0.4">
      <c r="B219" s="661"/>
    </row>
    <row r="220" spans="1:10" ht="13.15" outlineLevel="1" x14ac:dyDescent="0.4">
      <c r="C220" s="677"/>
      <c r="D220" s="677"/>
      <c r="E220" s="677"/>
      <c r="F220" s="677"/>
      <c r="G220" s="677"/>
      <c r="H220" s="678"/>
      <c r="I220" s="677"/>
      <c r="J220" s="677"/>
    </row>
    <row r="221" spans="1:10" outlineLevel="1" x14ac:dyDescent="0.35">
      <c r="C221" s="702"/>
      <c r="D221" s="702"/>
      <c r="E221" s="702"/>
      <c r="F221" s="703"/>
      <c r="G221" s="703"/>
      <c r="H221" s="704"/>
      <c r="I221" s="703"/>
      <c r="J221" s="703"/>
    </row>
    <row r="222" spans="1:10" outlineLevel="1" x14ac:dyDescent="0.35">
      <c r="B222" s="679"/>
      <c r="C222" s="702"/>
      <c r="D222" s="702"/>
      <c r="E222" s="702"/>
      <c r="F222" s="703"/>
      <c r="G222" s="703"/>
      <c r="H222" s="704"/>
      <c r="I222" s="703"/>
      <c r="J222" s="703"/>
    </row>
    <row r="223" spans="1:10" outlineLevel="1" x14ac:dyDescent="0.35">
      <c r="B223" s="684"/>
      <c r="C223" s="702"/>
      <c r="D223" s="702"/>
      <c r="E223" s="703"/>
    </row>
    <row r="224" spans="1:10" outlineLevel="1" x14ac:dyDescent="0.35">
      <c r="B224" s="684"/>
      <c r="C224" s="702"/>
      <c r="D224" s="702"/>
      <c r="E224" s="703"/>
      <c r="F224" s="702"/>
      <c r="G224" s="702"/>
      <c r="H224" s="705"/>
      <c r="I224" s="702"/>
      <c r="J224" s="702"/>
    </row>
    <row r="225" spans="2:10" ht="13.15" outlineLevel="1" x14ac:dyDescent="0.4">
      <c r="B225" s="691"/>
      <c r="C225" s="702"/>
      <c r="D225" s="702"/>
      <c r="E225" s="702"/>
      <c r="F225" s="702"/>
      <c r="G225" s="702"/>
      <c r="H225" s="705"/>
      <c r="I225" s="702"/>
      <c r="J225" s="702"/>
    </row>
    <row r="226" spans="2:10" outlineLevel="1" x14ac:dyDescent="0.35">
      <c r="B226" s="694"/>
      <c r="C226" s="703"/>
      <c r="D226" s="703"/>
      <c r="E226" s="702"/>
      <c r="F226" s="702"/>
      <c r="G226" s="702"/>
      <c r="H226" s="705"/>
      <c r="I226" s="702"/>
      <c r="J226" s="702"/>
    </row>
    <row r="227" spans="2:10" outlineLevel="1" x14ac:dyDescent="0.35">
      <c r="B227" s="694"/>
      <c r="C227" s="703"/>
      <c r="D227" s="703"/>
      <c r="E227" s="702"/>
      <c r="F227" s="702"/>
      <c r="G227" s="702"/>
      <c r="H227" s="705"/>
      <c r="I227" s="702"/>
      <c r="J227" s="702"/>
    </row>
    <row r="228" spans="2:10" outlineLevel="1" x14ac:dyDescent="0.35">
      <c r="C228" s="703"/>
      <c r="D228" s="703"/>
      <c r="E228" s="702"/>
      <c r="F228" s="702"/>
      <c r="G228" s="702"/>
      <c r="H228" s="705"/>
      <c r="I228" s="702"/>
      <c r="J228" s="702"/>
    </row>
    <row r="229" spans="2:10" outlineLevel="1" x14ac:dyDescent="0.35">
      <c r="B229" s="679"/>
      <c r="C229" s="703"/>
      <c r="D229" s="703"/>
      <c r="E229" s="702"/>
      <c r="F229" s="703"/>
      <c r="G229" s="703"/>
      <c r="H229" s="704"/>
      <c r="I229" s="703"/>
      <c r="J229" s="703"/>
    </row>
    <row r="230" spans="2:10" outlineLevel="1" x14ac:dyDescent="0.35">
      <c r="B230" s="684"/>
      <c r="C230" s="702"/>
      <c r="D230" s="702"/>
      <c r="E230" s="703"/>
      <c r="F230" s="702"/>
      <c r="G230" s="702"/>
      <c r="H230" s="705"/>
      <c r="I230" s="702"/>
      <c r="J230" s="702"/>
    </row>
    <row r="231" spans="2:10" outlineLevel="1" x14ac:dyDescent="0.35">
      <c r="B231" s="684"/>
      <c r="C231" s="702"/>
      <c r="D231" s="702"/>
      <c r="E231" s="703"/>
      <c r="F231" s="702"/>
      <c r="G231" s="702"/>
      <c r="H231" s="705"/>
      <c r="I231" s="702"/>
      <c r="J231" s="702"/>
    </row>
    <row r="232" spans="2:10" outlineLevel="1" x14ac:dyDescent="0.35">
      <c r="C232" s="702"/>
      <c r="D232" s="702"/>
      <c r="E232" s="703"/>
      <c r="F232" s="702"/>
      <c r="G232" s="702"/>
      <c r="H232" s="705"/>
      <c r="I232" s="702"/>
      <c r="J232" s="702"/>
    </row>
    <row r="233" spans="2:10" outlineLevel="1" x14ac:dyDescent="0.35"/>
    <row r="234" spans="2:10" outlineLevel="1" x14ac:dyDescent="0.35"/>
    <row r="235" spans="2:10" ht="13.15" outlineLevel="1" x14ac:dyDescent="0.4">
      <c r="B235" s="661"/>
    </row>
    <row r="236" spans="2:10" outlineLevel="1" x14ac:dyDescent="0.35">
      <c r="B236" s="660"/>
    </row>
    <row r="237" spans="2:10" outlineLevel="1" x14ac:dyDescent="0.35"/>
    <row r="238" spans="2:10" ht="13.15" outlineLevel="1" x14ac:dyDescent="0.4">
      <c r="C238" s="677"/>
      <c r="D238" s="677"/>
      <c r="E238" s="677"/>
      <c r="F238" s="677"/>
      <c r="H238" s="696"/>
      <c r="I238" s="677"/>
      <c r="J238" s="677"/>
    </row>
    <row r="239" spans="2:10" ht="13.15" outlineLevel="1" x14ac:dyDescent="0.4">
      <c r="F239" s="697"/>
    </row>
    <row r="240" spans="2:10" outlineLevel="1" x14ac:dyDescent="0.35">
      <c r="B240" s="679"/>
      <c r="C240" s="703"/>
      <c r="D240" s="703"/>
      <c r="E240" s="703"/>
      <c r="F240" s="698"/>
      <c r="H240" s="699"/>
    </row>
    <row r="241" spans="1:12" ht="13.15" outlineLevel="1" x14ac:dyDescent="0.4">
      <c r="B241" s="684"/>
      <c r="C241" s="703"/>
      <c r="D241" s="703"/>
      <c r="E241" s="703"/>
      <c r="F241" s="690"/>
      <c r="H241" s="700"/>
      <c r="I241" s="714"/>
      <c r="J241" s="714"/>
    </row>
    <row r="242" spans="1:12" ht="13.15" outlineLevel="1" x14ac:dyDescent="0.4">
      <c r="B242" s="684"/>
      <c r="C242" s="703"/>
      <c r="D242" s="703"/>
      <c r="E242" s="703"/>
      <c r="F242" s="690"/>
      <c r="H242" s="700"/>
      <c r="I242" s="714"/>
      <c r="J242" s="714"/>
    </row>
    <row r="243" spans="1:12" ht="13.15" outlineLevel="1" x14ac:dyDescent="0.4">
      <c r="C243" s="703"/>
      <c r="D243" s="703"/>
      <c r="E243" s="703"/>
      <c r="F243" s="690"/>
      <c r="H243" s="700"/>
      <c r="I243" s="701"/>
      <c r="J243" s="701"/>
    </row>
    <row r="244" spans="1:12" ht="13.15" outlineLevel="1" x14ac:dyDescent="0.4">
      <c r="B244" s="679"/>
      <c r="C244" s="703"/>
      <c r="D244" s="703"/>
      <c r="E244" s="703"/>
      <c r="F244" s="690"/>
      <c r="H244" s="699"/>
      <c r="I244" s="671"/>
      <c r="J244" s="671"/>
    </row>
    <row r="245" spans="1:12" ht="13.15" outlineLevel="1" x14ac:dyDescent="0.4">
      <c r="B245" s="684"/>
      <c r="C245" s="703"/>
      <c r="D245" s="703"/>
      <c r="E245" s="703"/>
      <c r="F245" s="690"/>
      <c r="H245" s="700"/>
      <c r="I245" s="714"/>
      <c r="J245" s="714"/>
    </row>
    <row r="246" spans="1:12" ht="13.15" outlineLevel="1" x14ac:dyDescent="0.4">
      <c r="B246" s="684"/>
      <c r="C246" s="703"/>
      <c r="D246" s="703"/>
      <c r="E246" s="703"/>
      <c r="F246" s="690"/>
    </row>
    <row r="247" spans="1:12" outlineLevel="1" x14ac:dyDescent="0.35"/>
    <row r="248" spans="1:12" outlineLevel="1" x14ac:dyDescent="0.35"/>
    <row r="249" spans="1:12" outlineLevel="1" x14ac:dyDescent="0.35"/>
    <row r="250" spans="1:12" outlineLevel="1" x14ac:dyDescent="0.35"/>
    <row r="251" spans="1:12" ht="13.15" outlineLevel="1" x14ac:dyDescent="0.4">
      <c r="A251" s="702"/>
      <c r="B251" s="661"/>
      <c r="C251" s="683"/>
      <c r="E251" s="683"/>
    </row>
    <row r="252" spans="1:12" outlineLevel="1" x14ac:dyDescent="0.35">
      <c r="C252" s="683"/>
      <c r="E252" s="683"/>
    </row>
    <row r="253" spans="1:12" ht="13.15" outlineLevel="1" x14ac:dyDescent="0.4">
      <c r="C253" s="677"/>
      <c r="D253" s="677"/>
      <c r="E253" s="677"/>
      <c r="F253" s="677"/>
      <c r="G253" s="677"/>
      <c r="H253" s="678"/>
      <c r="I253" s="677"/>
      <c r="J253" s="677"/>
      <c r="K253" s="677"/>
      <c r="L253" s="677"/>
    </row>
    <row r="254" spans="1:12" outlineLevel="1" x14ac:dyDescent="0.35"/>
    <row r="255" spans="1:12" outlineLevel="1" x14ac:dyDescent="0.35">
      <c r="B255" s="666"/>
      <c r="C255" s="675"/>
      <c r="D255" s="675"/>
      <c r="E255" s="707"/>
      <c r="F255" s="675"/>
      <c r="G255" s="668"/>
      <c r="H255" s="708"/>
      <c r="I255" s="675"/>
      <c r="J255" s="675"/>
      <c r="K255" s="707"/>
      <c r="L255" s="707"/>
    </row>
    <row r="256" spans="1:12" ht="15" outlineLevel="1" x14ac:dyDescent="0.65">
      <c r="B256" s="666"/>
      <c r="C256" s="670"/>
      <c r="D256" s="670"/>
      <c r="E256" s="670"/>
      <c r="F256" s="719"/>
      <c r="G256" s="719"/>
      <c r="H256" s="709"/>
      <c r="I256" s="719"/>
      <c r="J256" s="719"/>
      <c r="K256" s="712"/>
      <c r="L256" s="712"/>
    </row>
    <row r="257" spans="2:12" outlineLevel="1" x14ac:dyDescent="0.35">
      <c r="B257" s="666"/>
      <c r="C257" s="669"/>
      <c r="D257" s="669"/>
      <c r="E257" s="669"/>
      <c r="F257" s="669"/>
      <c r="G257" s="669"/>
      <c r="H257" s="710"/>
      <c r="I257" s="669"/>
      <c r="J257" s="669"/>
      <c r="K257" s="669"/>
      <c r="L257" s="669"/>
    </row>
    <row r="258" spans="2:12" outlineLevel="1" x14ac:dyDescent="0.35">
      <c r="B258" s="666"/>
      <c r="C258" s="669"/>
      <c r="D258" s="669"/>
      <c r="E258" s="669"/>
      <c r="F258" s="669"/>
      <c r="G258" s="669"/>
      <c r="H258" s="710"/>
      <c r="I258" s="669"/>
      <c r="J258" s="669"/>
      <c r="K258" s="669"/>
      <c r="L258" s="669"/>
    </row>
    <row r="259" spans="2:12" outlineLevel="1" x14ac:dyDescent="0.35">
      <c r="B259" s="666"/>
      <c r="C259" s="669"/>
      <c r="D259" s="669"/>
      <c r="E259" s="669"/>
      <c r="F259" s="669"/>
      <c r="G259" s="669"/>
      <c r="H259" s="710"/>
      <c r="I259" s="669"/>
      <c r="J259" s="669"/>
      <c r="K259" s="669"/>
      <c r="L259" s="669"/>
    </row>
    <row r="260" spans="2:12" ht="15" outlineLevel="1" x14ac:dyDescent="0.65">
      <c r="B260" s="666"/>
      <c r="C260" s="674"/>
      <c r="E260" s="683"/>
    </row>
    <row r="261" spans="2:12" outlineLevel="1" x14ac:dyDescent="0.35">
      <c r="B261" s="666"/>
      <c r="C261" s="669"/>
      <c r="E261" s="683"/>
    </row>
    <row r="262" spans="2:12" outlineLevel="1" x14ac:dyDescent="0.35">
      <c r="B262" s="666"/>
      <c r="C262" s="683"/>
      <c r="E262" s="683"/>
    </row>
    <row r="263" spans="2:12" ht="13.15" outlineLevel="1" x14ac:dyDescent="0.4">
      <c r="C263" s="677"/>
      <c r="D263" s="677"/>
      <c r="E263" s="677"/>
      <c r="F263" s="677"/>
      <c r="G263" s="677"/>
      <c r="H263" s="678"/>
      <c r="I263" s="677"/>
      <c r="J263" s="677"/>
      <c r="K263" s="677"/>
      <c r="L263" s="677"/>
    </row>
    <row r="264" spans="2:12" outlineLevel="1" x14ac:dyDescent="0.35"/>
    <row r="265" spans="2:12" outlineLevel="1" x14ac:dyDescent="0.35">
      <c r="C265" s="659"/>
      <c r="D265" s="659"/>
      <c r="E265" s="659"/>
    </row>
    <row r="266" spans="2:12" outlineLevel="1" x14ac:dyDescent="0.35">
      <c r="B266" s="666"/>
      <c r="C266" s="669"/>
      <c r="D266" s="718"/>
      <c r="E266" s="669"/>
    </row>
    <row r="267" spans="2:12" outlineLevel="1" x14ac:dyDescent="0.35">
      <c r="B267" s="666"/>
      <c r="C267" s="720"/>
      <c r="D267" s="721"/>
      <c r="E267" s="720"/>
    </row>
    <row r="268" spans="2:12" outlineLevel="1" x14ac:dyDescent="0.35">
      <c r="B268" s="666"/>
      <c r="C268" s="669"/>
      <c r="D268" s="669"/>
      <c r="E268" s="669"/>
      <c r="G268" s="666"/>
    </row>
    <row r="269" spans="2:12" outlineLevel="1" x14ac:dyDescent="0.35">
      <c r="C269" s="683"/>
      <c r="E269" s="683"/>
      <c r="G269" s="666"/>
    </row>
    <row r="270" spans="2:12" outlineLevel="1" x14ac:dyDescent="0.35">
      <c r="B270" s="694"/>
      <c r="C270" s="669"/>
      <c r="E270" s="715"/>
      <c r="G270" s="715"/>
    </row>
    <row r="271" spans="2:12" outlineLevel="1" x14ac:dyDescent="0.35">
      <c r="B271" s="666"/>
      <c r="C271" s="669"/>
      <c r="E271" s="716"/>
    </row>
    <row r="272" spans="2:12" outlineLevel="1" x14ac:dyDescent="0.35">
      <c r="B272" s="666"/>
      <c r="C272" s="720"/>
      <c r="E272" s="717"/>
    </row>
    <row r="273" spans="2:5" outlineLevel="1" x14ac:dyDescent="0.35">
      <c r="B273" s="666"/>
      <c r="C273" s="669"/>
      <c r="E273" s="716"/>
    </row>
    <row r="274" spans="2:5" outlineLevel="1" x14ac:dyDescent="0.35"/>
  </sheetData>
  <mergeCells count="2">
    <mergeCell ref="I2:M3"/>
    <mergeCell ref="D2:H3"/>
  </mergeCells>
  <pageMargins left="0.7" right="0.7" top="0.75" bottom="0.75" header="0.3" footer="0.3"/>
  <pageSetup scale="78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07F1A-E6A6-4964-AB2B-1382F579910C}">
  <sheetPr codeName="Sheet44">
    <pageSetUpPr autoPageBreaks="0" fitToPage="1"/>
  </sheetPr>
  <dimension ref="A1:AC1188"/>
  <sheetViews>
    <sheetView showGridLines="0" zoomScaleNormal="100" workbookViewId="0">
      <pane xSplit="4" ySplit="3" topLeftCell="E4" activePane="bottomRight" state="frozen"/>
      <selection activeCell="H152" sqref="H152"/>
      <selection pane="topRight" activeCell="H152" sqref="H152"/>
      <selection pane="bottomLeft" activeCell="H152" sqref="H152"/>
      <selection pane="bottomRight" activeCell="B1" sqref="B1"/>
    </sheetView>
  </sheetViews>
  <sheetFormatPr defaultColWidth="8.59765625" defaultRowHeight="15" customHeight="1" outlineLevelRow="1" outlineLevelCol="1" x14ac:dyDescent="0.35"/>
  <cols>
    <col min="1" max="1" width="24.86328125" style="622" hidden="1" customWidth="1" outlineLevel="1"/>
    <col min="2" max="2" width="15.3984375" style="624" customWidth="1" collapsed="1"/>
    <col min="3" max="3" width="16" style="624" bestFit="1" customWidth="1"/>
    <col min="4" max="4" width="11.59765625" style="624" customWidth="1"/>
    <col min="5" max="5" width="14.3984375" style="624" customWidth="1"/>
    <col min="6" max="6" width="12.86328125" style="622" customWidth="1"/>
    <col min="7" max="7" width="13.3984375" style="622" customWidth="1"/>
    <col min="8" max="8" width="19.3984375" style="622" customWidth="1"/>
    <col min="9" max="9" width="12.59765625" style="622" customWidth="1"/>
    <col min="10" max="10" width="35.265625" style="622" customWidth="1"/>
    <col min="11" max="11" width="19.59765625" style="622" customWidth="1"/>
    <col min="12" max="12" width="17" style="622" customWidth="1"/>
    <col min="13" max="13" width="22.265625" style="622" customWidth="1"/>
    <col min="14" max="14" width="11.3984375" style="622" customWidth="1"/>
    <col min="15" max="15" width="10.3984375" style="622" customWidth="1"/>
    <col min="16" max="16" width="18.265625" style="524" customWidth="1"/>
    <col min="17" max="17" width="15.86328125" style="622" customWidth="1"/>
    <col min="18" max="18" width="13.86328125" style="622" customWidth="1"/>
    <col min="19" max="19" width="14.73046875" style="622" customWidth="1"/>
    <col min="20" max="20" width="13.1328125" style="622" customWidth="1"/>
    <col min="21" max="22" width="9.1328125" style="622" customWidth="1"/>
    <col min="23" max="23" width="10.59765625" style="622" customWidth="1"/>
    <col min="24" max="24" width="12.1328125" style="622" customWidth="1"/>
    <col min="25" max="25" width="10.1328125" style="622" bestFit="1" customWidth="1"/>
    <col min="26" max="26" width="8.59765625" style="622"/>
    <col min="27" max="28" width="9.59765625" style="622" bestFit="1" customWidth="1"/>
    <col min="29" max="29" width="8.59765625" style="622"/>
    <col min="30" max="31" width="12.3984375" style="622" bestFit="1" customWidth="1"/>
    <col min="32" max="32" width="9.59765625" style="622" bestFit="1" customWidth="1"/>
    <col min="33" max="16384" width="8.59765625" style="622"/>
  </cols>
  <sheetData>
    <row r="1" spans="1:24" s="490" customFormat="1" ht="23.65" thickBot="1" x14ac:dyDescent="0.4">
      <c r="A1" s="484"/>
      <c r="B1" s="485" t="s">
        <v>523</v>
      </c>
      <c r="C1" s="486"/>
      <c r="D1" s="487"/>
      <c r="E1" s="485" t="s">
        <v>533</v>
      </c>
      <c r="F1" s="487"/>
      <c r="G1" s="487"/>
      <c r="H1" s="487"/>
      <c r="I1" s="487"/>
      <c r="J1" s="488"/>
      <c r="K1" s="488"/>
      <c r="L1" s="488"/>
      <c r="M1" s="488"/>
      <c r="N1" s="489"/>
      <c r="O1" s="786"/>
      <c r="P1" s="789"/>
      <c r="Q1" s="913"/>
      <c r="R1" s="913"/>
      <c r="S1" s="913"/>
      <c r="T1" s="913"/>
      <c r="U1" s="913"/>
      <c r="V1" s="913"/>
      <c r="W1" s="913"/>
      <c r="X1" s="913"/>
    </row>
    <row r="2" spans="1:24" s="490" customFormat="1" ht="15" customHeight="1" thickBot="1" x14ac:dyDescent="0.4">
      <c r="A2" s="491"/>
      <c r="B2" s="492"/>
      <c r="C2" s="493"/>
      <c r="D2" s="617"/>
      <c r="E2" s="494" t="s">
        <v>430</v>
      </c>
      <c r="F2" s="495"/>
      <c r="G2" s="494" t="s">
        <v>431</v>
      </c>
      <c r="H2" s="495"/>
      <c r="I2" s="495"/>
      <c r="J2" s="496"/>
      <c r="K2" s="496"/>
      <c r="L2" s="496"/>
      <c r="M2" s="496"/>
      <c r="N2" s="497">
        <f>P15</f>
        <v>776668</v>
      </c>
      <c r="O2" s="787"/>
      <c r="P2" s="790"/>
      <c r="Q2" s="914"/>
      <c r="R2" s="914"/>
      <c r="S2" s="914"/>
      <c r="T2" s="914"/>
      <c r="U2" s="914"/>
      <c r="V2" s="914"/>
      <c r="W2" s="914"/>
      <c r="X2" s="914"/>
    </row>
    <row r="3" spans="1:24" s="490" customFormat="1" ht="15" customHeight="1" thickBot="1" x14ac:dyDescent="0.4">
      <c r="A3" s="498"/>
      <c r="B3" s="499" t="s">
        <v>19</v>
      </c>
      <c r="C3" s="500" t="s">
        <v>308</v>
      </c>
      <c r="D3" s="500"/>
      <c r="E3" s="501" t="s">
        <v>432</v>
      </c>
      <c r="F3" s="502" t="s">
        <v>433</v>
      </c>
      <c r="G3" s="502" t="s">
        <v>434</v>
      </c>
      <c r="H3" s="502" t="s">
        <v>384</v>
      </c>
      <c r="I3" s="503" t="s">
        <v>19</v>
      </c>
      <c r="J3" s="504"/>
      <c r="K3" s="504"/>
      <c r="L3" s="504"/>
      <c r="M3" s="504"/>
      <c r="N3" s="505">
        <f>I18</f>
        <v>753314</v>
      </c>
      <c r="O3" s="788"/>
      <c r="P3" s="790"/>
      <c r="Q3" s="914"/>
      <c r="R3" s="914"/>
      <c r="S3" s="914"/>
      <c r="T3" s="914"/>
      <c r="U3" s="914"/>
      <c r="V3" s="914"/>
      <c r="W3" s="914"/>
      <c r="X3" s="914"/>
    </row>
    <row r="4" spans="1:24" s="490" customFormat="1" ht="15" customHeight="1" outlineLevel="1" x14ac:dyDescent="0.35">
      <c r="A4" s="506" t="s">
        <v>435</v>
      </c>
      <c r="B4" s="507"/>
      <c r="C4" s="508"/>
      <c r="D4" s="508"/>
      <c r="E4" s="509"/>
      <c r="F4" s="496"/>
      <c r="G4" s="510">
        <f>N15+G6+G18+G34</f>
        <v>1285009.4117575863</v>
      </c>
      <c r="H4" s="510">
        <f>O15+H6+H18+H34</f>
        <v>1486602.4964130297</v>
      </c>
      <c r="I4" s="510">
        <f>P15+I6+I18+I34</f>
        <v>3304558.9306120872</v>
      </c>
      <c r="J4" s="496" t="s">
        <v>436</v>
      </c>
      <c r="K4" s="496"/>
      <c r="L4" s="496"/>
      <c r="M4" s="496"/>
      <c r="N4" s="510">
        <f>I34</f>
        <v>1640524.930612087</v>
      </c>
      <c r="O4" s="496"/>
      <c r="P4" s="790"/>
      <c r="Q4" s="496"/>
      <c r="R4" s="496"/>
      <c r="S4" s="496"/>
      <c r="T4" s="496"/>
      <c r="U4" s="496"/>
      <c r="V4" s="496"/>
      <c r="W4" s="496"/>
      <c r="X4" s="496"/>
    </row>
    <row r="5" spans="1:24" s="490" customFormat="1" ht="15" customHeight="1" outlineLevel="1" x14ac:dyDescent="0.35">
      <c r="A5" s="506" t="s">
        <v>437</v>
      </c>
      <c r="B5" s="512"/>
      <c r="C5" s="513"/>
      <c r="D5" s="513"/>
      <c r="E5" s="512"/>
      <c r="F5" s="496"/>
      <c r="G5" s="496"/>
      <c r="H5" s="496"/>
      <c r="I5" s="510">
        <f>I4-I6</f>
        <v>3170506.9306120872</v>
      </c>
      <c r="J5" s="496" t="s">
        <v>438</v>
      </c>
      <c r="K5" s="496"/>
      <c r="L5" s="496"/>
      <c r="M5" s="496"/>
      <c r="N5" s="510">
        <f>SUM(N1:N4)</f>
        <v>3170506.9306120872</v>
      </c>
      <c r="O5" s="496"/>
      <c r="P5" s="790"/>
      <c r="Q5" s="496"/>
      <c r="R5" s="496"/>
      <c r="S5" s="496"/>
      <c r="T5" s="496"/>
      <c r="U5" s="496"/>
      <c r="V5" s="496"/>
      <c r="W5" s="496"/>
      <c r="X5" s="496"/>
    </row>
    <row r="6" spans="1:24" s="490" customFormat="1" ht="15" customHeight="1" outlineLevel="1" x14ac:dyDescent="0.35">
      <c r="A6" s="506" t="s">
        <v>439</v>
      </c>
      <c r="B6" s="507">
        <v>134052</v>
      </c>
      <c r="C6" s="514" t="s">
        <v>440</v>
      </c>
      <c r="D6" s="514"/>
      <c r="E6" s="766"/>
      <c r="F6" s="496"/>
      <c r="G6" s="510">
        <f>I6/3</f>
        <v>44684</v>
      </c>
      <c r="H6" s="510">
        <f>I6-G6</f>
        <v>89368</v>
      </c>
      <c r="I6" s="510">
        <f>B6</f>
        <v>134052</v>
      </c>
      <c r="J6" s="496"/>
      <c r="K6" s="496" t="s">
        <v>397</v>
      </c>
      <c r="L6" s="496" t="s">
        <v>441</v>
      </c>
      <c r="M6" s="496"/>
      <c r="N6" s="510">
        <f>SUM(N2:N4)</f>
        <v>3170506.9306120872</v>
      </c>
      <c r="O6" s="496"/>
      <c r="P6" s="790"/>
      <c r="Q6" s="496"/>
      <c r="R6" s="496"/>
      <c r="S6" s="496"/>
      <c r="T6" s="496"/>
      <c r="U6" s="496"/>
      <c r="V6" s="496"/>
      <c r="W6" s="496"/>
      <c r="X6" s="496"/>
    </row>
    <row r="7" spans="1:24" s="490" customFormat="1" ht="15" customHeight="1" outlineLevel="1" x14ac:dyDescent="0.5">
      <c r="A7" s="506"/>
      <c r="B7" s="515"/>
      <c r="C7" s="508"/>
      <c r="D7" s="508"/>
      <c r="E7" s="509"/>
      <c r="F7" s="496"/>
      <c r="G7" s="496"/>
      <c r="H7" s="496"/>
      <c r="I7" s="510"/>
      <c r="J7" s="496"/>
      <c r="K7" s="516">
        <v>0.7781594030434883</v>
      </c>
      <c r="L7" s="517">
        <f>I8-M7</f>
        <v>-2446.4950533707161</v>
      </c>
      <c r="M7" s="518">
        <f>B8*J16</f>
        <v>317291.71813713858</v>
      </c>
      <c r="N7" s="496"/>
      <c r="O7" s="496"/>
      <c r="P7" s="790"/>
      <c r="Q7" s="496"/>
      <c r="R7" s="496"/>
      <c r="S7" s="496"/>
      <c r="T7" s="496"/>
      <c r="U7" s="496"/>
      <c r="V7" s="496"/>
      <c r="W7" s="496"/>
      <c r="X7" s="496"/>
    </row>
    <row r="8" spans="1:24" s="490" customFormat="1" ht="15" customHeight="1" outlineLevel="1" x14ac:dyDescent="0.35">
      <c r="A8" s="506" t="s">
        <v>442</v>
      </c>
      <c r="B8" s="507">
        <v>302950.78143240709</v>
      </c>
      <c r="C8" s="508" t="s">
        <v>443</v>
      </c>
      <c r="D8" s="508" t="s">
        <v>119</v>
      </c>
      <c r="E8" s="767">
        <f>$M$8*K8*$K$7*$J$16</f>
        <v>0.16067966422807084</v>
      </c>
      <c r="F8" s="519">
        <f>$M$8*L8*$K$7*J16</f>
        <v>0.10711977615204722</v>
      </c>
      <c r="G8" s="510">
        <f>E8*E43</f>
        <v>168761.66920703222</v>
      </c>
      <c r="H8" s="510">
        <f>F8*F43</f>
        <v>146083.55387673565</v>
      </c>
      <c r="I8" s="510">
        <f>SUM(G8:H8)</f>
        <v>314845.22308376787</v>
      </c>
      <c r="J8" s="496"/>
      <c r="K8" s="520">
        <v>1.5</v>
      </c>
      <c r="L8" s="496">
        <v>1</v>
      </c>
      <c r="M8" s="521">
        <f>M7/$G$43</f>
        <v>0.13143602835288032</v>
      </c>
      <c r="N8" s="496"/>
      <c r="O8" s="496"/>
      <c r="P8" s="790"/>
      <c r="Q8" s="496"/>
      <c r="R8" s="496"/>
      <c r="S8" s="496"/>
      <c r="T8" s="496"/>
      <c r="U8" s="496"/>
      <c r="V8" s="496"/>
      <c r="W8" s="496"/>
      <c r="X8" s="496"/>
    </row>
    <row r="9" spans="1:24" s="490" customFormat="1" ht="15" customHeight="1" outlineLevel="1" x14ac:dyDescent="0.35">
      <c r="A9" s="506" t="str">
        <f>"on peak "&amp;K8&amp;" to 1 summer ratio "</f>
        <v xml:space="preserve">on peak 1.5 to 1 summer ratio </v>
      </c>
      <c r="B9" s="522"/>
      <c r="C9" s="508"/>
      <c r="D9" s="513" t="s">
        <v>444</v>
      </c>
      <c r="E9" s="767"/>
      <c r="F9" s="496"/>
      <c r="G9" s="510"/>
      <c r="H9" s="510"/>
      <c r="I9" s="510"/>
      <c r="J9" s="496"/>
      <c r="K9" s="496"/>
      <c r="L9" s="496"/>
      <c r="M9" s="496"/>
      <c r="N9" s="496"/>
      <c r="O9" s="496"/>
      <c r="P9" s="790"/>
      <c r="Q9" s="496"/>
      <c r="R9" s="496"/>
      <c r="S9" s="496"/>
      <c r="T9" s="496"/>
      <c r="U9" s="496"/>
      <c r="V9" s="496"/>
      <c r="W9" s="496"/>
      <c r="X9" s="496"/>
    </row>
    <row r="10" spans="1:24" s="490" customFormat="1" ht="15" customHeight="1" outlineLevel="1" x14ac:dyDescent="0.35">
      <c r="A10" s="506" t="s">
        <v>445</v>
      </c>
      <c r="B10" s="522"/>
      <c r="C10" s="508"/>
      <c r="D10" s="513" t="s">
        <v>120</v>
      </c>
      <c r="E10" s="767"/>
      <c r="F10" s="496"/>
      <c r="G10" s="510"/>
      <c r="H10" s="510"/>
      <c r="I10" s="510"/>
      <c r="J10" s="523"/>
      <c r="K10" s="496"/>
      <c r="L10" s="496"/>
      <c r="M10" s="496"/>
      <c r="N10" s="496"/>
      <c r="O10" s="496"/>
      <c r="P10" s="790"/>
      <c r="Q10" s="496"/>
      <c r="R10" s="496"/>
      <c r="S10" s="496"/>
      <c r="T10" s="496"/>
      <c r="U10" s="496"/>
      <c r="V10" s="496"/>
      <c r="W10" s="496"/>
      <c r="X10" s="496"/>
    </row>
    <row r="11" spans="1:24" s="490" customFormat="1" ht="15" customHeight="1" outlineLevel="1" x14ac:dyDescent="0.35">
      <c r="A11" s="506"/>
      <c r="B11" s="522"/>
      <c r="C11" s="508"/>
      <c r="D11" s="508"/>
      <c r="E11" s="767"/>
      <c r="F11" s="496"/>
      <c r="G11" s="510"/>
      <c r="H11" s="510"/>
      <c r="I11" s="510"/>
      <c r="J11" s="496"/>
      <c r="K11" s="496"/>
      <c r="L11" s="496"/>
      <c r="M11" s="496"/>
      <c r="N11" s="496"/>
      <c r="O11" s="496"/>
      <c r="P11" s="790"/>
      <c r="Q11" s="496"/>
      <c r="R11" s="496"/>
      <c r="S11" s="496"/>
      <c r="T11" s="496"/>
      <c r="U11" s="496"/>
      <c r="V11" s="496"/>
      <c r="W11" s="496"/>
      <c r="X11" s="496"/>
    </row>
    <row r="12" spans="1:24" s="490" customFormat="1" ht="15" customHeight="1" outlineLevel="1" x14ac:dyDescent="0.35">
      <c r="A12" s="506" t="s">
        <v>446</v>
      </c>
      <c r="B12" s="507">
        <v>438613.41348253138</v>
      </c>
      <c r="C12" s="508" t="s">
        <v>447</v>
      </c>
      <c r="D12" s="508" t="s">
        <v>119</v>
      </c>
      <c r="E12" s="767">
        <f>B12*J16/(G46)*K14</f>
        <v>3.794660054613104E-2</v>
      </c>
      <c r="F12" s="519">
        <f>E12</f>
        <v>3.794660054613104E-2</v>
      </c>
      <c r="G12" s="510">
        <f>E12*E43</f>
        <v>39855.27154082006</v>
      </c>
      <c r="H12" s="510">
        <f>F12*F43</f>
        <v>51749.307779091716</v>
      </c>
      <c r="I12" s="510">
        <f>SUM(G12:H12)</f>
        <v>91604.579319911776</v>
      </c>
      <c r="J12" s="496"/>
      <c r="K12" s="496"/>
      <c r="L12" s="496"/>
      <c r="M12" s="496"/>
      <c r="N12" s="496"/>
      <c r="O12" s="496"/>
      <c r="P12" s="790"/>
      <c r="Q12" s="496"/>
      <c r="R12" s="496"/>
      <c r="S12" s="496"/>
      <c r="T12" s="496"/>
      <c r="U12" s="496"/>
      <c r="V12" s="496"/>
      <c r="W12" s="496"/>
      <c r="X12" s="496"/>
    </row>
    <row r="13" spans="1:24" s="490" customFormat="1" ht="15" customHeight="1" outlineLevel="1" x14ac:dyDescent="0.35">
      <c r="A13" s="506" t="s">
        <v>448</v>
      </c>
      <c r="B13" s="522"/>
      <c r="C13" s="508"/>
      <c r="D13" s="513" t="s">
        <v>444</v>
      </c>
      <c r="E13" s="767">
        <f>E12</f>
        <v>3.794660054613104E-2</v>
      </c>
      <c r="F13" s="519">
        <f>F12</f>
        <v>3.794660054613104E-2</v>
      </c>
      <c r="G13" s="510">
        <f>E13*E44</f>
        <v>133681.78556582195</v>
      </c>
      <c r="H13" s="510">
        <f t="shared" ref="H13:H14" si="0">F13*F44</f>
        <v>182483.82653534497</v>
      </c>
      <c r="I13" s="510">
        <f t="shared" ref="I13:I14" si="1">SUM(G13:H13)</f>
        <v>316165.61210116692</v>
      </c>
      <c r="J13" s="496"/>
      <c r="K13" s="520">
        <v>0.5</v>
      </c>
      <c r="L13" s="496"/>
      <c r="M13" s="496"/>
      <c r="N13" s="496" t="s">
        <v>306</v>
      </c>
      <c r="O13" s="496" t="s">
        <v>307</v>
      </c>
      <c r="P13" s="790"/>
      <c r="Q13" s="496"/>
      <c r="R13" s="496"/>
      <c r="S13" s="496"/>
      <c r="T13" s="496"/>
      <c r="U13" s="496"/>
      <c r="V13" s="496"/>
      <c r="W13" s="496"/>
      <c r="X13" s="496"/>
    </row>
    <row r="14" spans="1:24" s="490" customFormat="1" ht="15" customHeight="1" outlineLevel="1" x14ac:dyDescent="0.35">
      <c r="A14" s="506" t="s">
        <v>449</v>
      </c>
      <c r="B14" s="522"/>
      <c r="C14" s="508"/>
      <c r="D14" s="513" t="s">
        <v>120</v>
      </c>
      <c r="E14" s="767">
        <f>K13*E12</f>
        <v>1.897330027306552E-2</v>
      </c>
      <c r="F14" s="519">
        <f>E14</f>
        <v>1.897330027306552E-2</v>
      </c>
      <c r="G14" s="510">
        <f t="shared" ref="G14" si="2">E14*E45</f>
        <v>19033.172976007154</v>
      </c>
      <c r="H14" s="510">
        <f t="shared" si="0"/>
        <v>32397.162234506133</v>
      </c>
      <c r="I14" s="510">
        <f t="shared" si="1"/>
        <v>51430.335210513287</v>
      </c>
      <c r="J14" s="496" t="s">
        <v>397</v>
      </c>
      <c r="K14" s="516">
        <v>1.1115742845307477</v>
      </c>
      <c r="L14" s="496"/>
      <c r="M14" s="496"/>
      <c r="N14" s="496" t="s">
        <v>450</v>
      </c>
      <c r="O14" s="496"/>
      <c r="P14" s="790"/>
      <c r="Q14" s="496"/>
      <c r="R14" s="496"/>
      <c r="S14" s="496"/>
      <c r="T14" s="496"/>
      <c r="U14" s="496"/>
      <c r="V14" s="496"/>
      <c r="W14" s="496"/>
      <c r="X14" s="496"/>
    </row>
    <row r="15" spans="1:24" s="490" customFormat="1" ht="15" customHeight="1" outlineLevel="1" x14ac:dyDescent="0.35">
      <c r="A15" s="506" t="s">
        <v>451</v>
      </c>
      <c r="B15" s="522">
        <f>SUM(B8:B12)</f>
        <v>741564.19491493842</v>
      </c>
      <c r="C15" s="508"/>
      <c r="D15" s="508"/>
      <c r="E15" s="509"/>
      <c r="F15" s="496"/>
      <c r="G15" s="510">
        <f>SUM(G12:G14)</f>
        <v>192570.23008264916</v>
      </c>
      <c r="H15" s="510">
        <f>SUM(H12:H14)</f>
        <v>266630.2965489428</v>
      </c>
      <c r="I15" s="510">
        <f>SUM(I12:I14)</f>
        <v>459200.52663159196</v>
      </c>
      <c r="J15" s="517">
        <f>I16-P15</f>
        <v>-2622.2502846401185</v>
      </c>
      <c r="K15" s="496" t="s">
        <v>452</v>
      </c>
      <c r="L15" s="496"/>
      <c r="M15" s="496"/>
      <c r="N15" s="525">
        <v>423667</v>
      </c>
      <c r="O15" s="525">
        <v>353001</v>
      </c>
      <c r="P15" s="791">
        <f>SUM(N15:O15)</f>
        <v>776668</v>
      </c>
      <c r="Q15" s="496"/>
      <c r="R15" s="496"/>
      <c r="S15" s="496"/>
      <c r="T15" s="496"/>
      <c r="U15" s="496"/>
      <c r="V15" s="496"/>
      <c r="W15" s="496"/>
      <c r="X15" s="496"/>
    </row>
    <row r="16" spans="1:24" s="490" customFormat="1" ht="15" customHeight="1" outlineLevel="1" x14ac:dyDescent="0.35">
      <c r="A16" s="506" t="s">
        <v>453</v>
      </c>
      <c r="B16" s="512"/>
      <c r="C16" s="513"/>
      <c r="D16" s="513"/>
      <c r="E16" s="512"/>
      <c r="F16" s="496"/>
      <c r="G16" s="510">
        <f>G8+G15</f>
        <v>361331.89928968134</v>
      </c>
      <c r="H16" s="510">
        <f>H8+H15</f>
        <v>412713.85042567842</v>
      </c>
      <c r="I16" s="510">
        <f>I8+I15</f>
        <v>774045.74971535988</v>
      </c>
      <c r="J16" s="526">
        <f>P15/B15</f>
        <v>1.0473375134961689</v>
      </c>
      <c r="K16" s="496" t="s">
        <v>454</v>
      </c>
      <c r="L16" s="496"/>
      <c r="M16" s="496"/>
      <c r="N16" s="496"/>
      <c r="O16" s="496"/>
      <c r="P16" s="790"/>
      <c r="Q16" s="496"/>
      <c r="R16" s="496"/>
      <c r="S16" s="496"/>
      <c r="T16" s="496"/>
      <c r="U16" s="496"/>
      <c r="V16" s="496"/>
      <c r="W16" s="496"/>
      <c r="X16" s="496"/>
    </row>
    <row r="17" spans="1:24" s="490" customFormat="1" ht="15" customHeight="1" outlineLevel="1" x14ac:dyDescent="0.35">
      <c r="A17" s="506"/>
      <c r="B17" s="512"/>
      <c r="C17" s="513"/>
      <c r="D17" s="513"/>
      <c r="E17" s="512"/>
      <c r="F17" s="496"/>
      <c r="G17" s="496"/>
      <c r="H17" s="496"/>
      <c r="I17" s="496"/>
      <c r="J17" s="496"/>
      <c r="K17" s="496"/>
      <c r="L17" s="496"/>
      <c r="M17" s="496"/>
      <c r="N17" s="496" t="s">
        <v>455</v>
      </c>
      <c r="O17" s="496"/>
      <c r="P17" s="790"/>
      <c r="Q17" s="496"/>
      <c r="R17" s="496"/>
      <c r="S17" s="496"/>
      <c r="T17" s="496"/>
      <c r="U17" s="496"/>
      <c r="V17" s="496"/>
      <c r="W17" s="496"/>
      <c r="X17" s="496"/>
    </row>
    <row r="18" spans="1:24" s="490" customFormat="1" ht="15" customHeight="1" outlineLevel="1" x14ac:dyDescent="0.45">
      <c r="A18" s="506" t="s">
        <v>101</v>
      </c>
      <c r="B18" s="507">
        <v>753314</v>
      </c>
      <c r="C18" s="508"/>
      <c r="D18" s="508" t="s">
        <v>119</v>
      </c>
      <c r="E18" s="529">
        <f>$I$19*$K$20*K18</f>
        <v>0.12722025190536071</v>
      </c>
      <c r="F18" s="527">
        <f>$I$19*$K$20*L18</f>
        <v>6.3610125952680355E-2</v>
      </c>
      <c r="G18" s="510">
        <f>E18*E43</f>
        <v>133619.28637100666</v>
      </c>
      <c r="H18" s="510">
        <f>F18*F43</f>
        <v>86747.691187522418</v>
      </c>
      <c r="I18" s="525">
        <f>B18</f>
        <v>753314</v>
      </c>
      <c r="J18" s="517">
        <f>P19-I18</f>
        <v>-2956.6117533646757</v>
      </c>
      <c r="K18" s="520">
        <v>2</v>
      </c>
      <c r="L18" s="528">
        <v>1</v>
      </c>
      <c r="M18" s="496"/>
      <c r="N18" s="496">
        <f>E18*E43</f>
        <v>133619.28637100666</v>
      </c>
      <c r="O18" s="496">
        <f>F18*F43</f>
        <v>86747.691187522418</v>
      </c>
      <c r="P18" s="790"/>
      <c r="Q18" s="496"/>
      <c r="R18" s="496"/>
      <c r="S18" s="496"/>
      <c r="T18" s="496"/>
      <c r="U18" s="496"/>
      <c r="V18" s="496"/>
      <c r="W18" s="496"/>
      <c r="X18" s="496"/>
    </row>
    <row r="19" spans="1:24" s="490" customFormat="1" ht="15" customHeight="1" outlineLevel="1" x14ac:dyDescent="0.45">
      <c r="A19" s="506" t="s">
        <v>456</v>
      </c>
      <c r="B19" s="522" t="s">
        <v>457</v>
      </c>
      <c r="C19" s="508"/>
      <c r="D19" s="513" t="s">
        <v>444</v>
      </c>
      <c r="E19" s="529">
        <f>$I$19*$K$20*K19</f>
        <v>6.3610125952680355E-2</v>
      </c>
      <c r="F19" s="527">
        <f>$I$19*$K$20*L19</f>
        <v>6.3610125952680355E-2</v>
      </c>
      <c r="G19" s="510">
        <f>E19*E44</f>
        <v>224091.62072590829</v>
      </c>
      <c r="H19" s="510">
        <f>F19*F44</f>
        <v>305898.789962198</v>
      </c>
      <c r="I19" s="516">
        <f>I18/($G$46-$G$45)</f>
        <v>7.0102489208902205E-2</v>
      </c>
      <c r="J19" s="496" t="s">
        <v>458</v>
      </c>
      <c r="K19" s="520">
        <v>1</v>
      </c>
      <c r="L19" s="528">
        <f>K19</f>
        <v>1</v>
      </c>
      <c r="M19" s="528"/>
      <c r="N19" s="496">
        <f>E19*E44</f>
        <v>224091.62072590829</v>
      </c>
      <c r="O19" s="496">
        <f>F19*F44</f>
        <v>305898.789962198</v>
      </c>
      <c r="P19" s="790">
        <f>SUM(N18:O19)</f>
        <v>750357.38824663532</v>
      </c>
      <c r="Q19" s="496"/>
      <c r="R19" s="496"/>
      <c r="S19" s="496"/>
      <c r="T19" s="496"/>
      <c r="U19" s="496"/>
      <c r="V19" s="496"/>
      <c r="W19" s="496"/>
      <c r="X19" s="496"/>
    </row>
    <row r="20" spans="1:24" s="490" customFormat="1" ht="15" customHeight="1" outlineLevel="1" thickBot="1" x14ac:dyDescent="0.5">
      <c r="A20" s="506" t="s">
        <v>459</v>
      </c>
      <c r="B20" s="522"/>
      <c r="C20" s="508"/>
      <c r="D20" s="513" t="s">
        <v>120</v>
      </c>
      <c r="E20" s="529"/>
      <c r="F20" s="521"/>
      <c r="G20" s="510"/>
      <c r="H20" s="510"/>
      <c r="I20" s="510"/>
      <c r="J20" s="496" t="s">
        <v>397</v>
      </c>
      <c r="K20" s="516">
        <v>0.90738755029261653</v>
      </c>
      <c r="L20" s="528"/>
      <c r="M20" s="528"/>
      <c r="N20" s="528"/>
      <c r="O20" s="496"/>
      <c r="P20" s="790"/>
      <c r="Q20" s="496"/>
      <c r="R20" s="496"/>
      <c r="S20" s="496"/>
      <c r="T20" s="496"/>
      <c r="U20" s="496"/>
      <c r="V20" s="496"/>
      <c r="W20" s="496"/>
      <c r="X20" s="496"/>
    </row>
    <row r="21" spans="1:24" s="490" customFormat="1" ht="15" customHeight="1" thickBot="1" x14ac:dyDescent="0.55000000000000004">
      <c r="A21" s="506"/>
      <c r="B21" s="530"/>
      <c r="C21" s="531"/>
      <c r="D21" s="531" t="s">
        <v>460</v>
      </c>
      <c r="E21" s="768"/>
      <c r="F21" s="532"/>
      <c r="G21" s="533">
        <f>'Attach2 - BidFactors'!E158</f>
        <v>122</v>
      </c>
      <c r="H21" s="533">
        <f>'Attach2 - BidFactors'!E159</f>
        <v>244</v>
      </c>
      <c r="I21" s="534">
        <f>SUM(G21:H21)</f>
        <v>366</v>
      </c>
      <c r="J21" s="535"/>
      <c r="K21" s="535"/>
      <c r="L21" s="535"/>
      <c r="M21" s="536"/>
      <c r="N21" s="769" t="s">
        <v>461</v>
      </c>
      <c r="O21" s="536"/>
      <c r="P21" s="780"/>
      <c r="Q21" s="496" t="s">
        <v>455</v>
      </c>
      <c r="R21" s="496"/>
      <c r="S21" s="496"/>
      <c r="T21" s="496"/>
      <c r="U21" s="496"/>
      <c r="V21" s="496"/>
      <c r="W21" s="496"/>
      <c r="X21" s="496"/>
    </row>
    <row r="22" spans="1:24" s="490" customFormat="1" ht="15" customHeight="1" x14ac:dyDescent="0.5">
      <c r="A22" s="506" t="s">
        <v>462</v>
      </c>
      <c r="B22" s="537">
        <f>I22</f>
        <v>538326.139797454</v>
      </c>
      <c r="C22" s="538" t="s">
        <v>463</v>
      </c>
      <c r="D22" s="765" t="s">
        <v>119</v>
      </c>
      <c r="E22" s="770">
        <f>$I$23*J22*$K$24</f>
        <v>9.1271157164593483E-2</v>
      </c>
      <c r="F22" s="539">
        <f>$I$23*K22*$K$24</f>
        <v>4.5635578582296742E-2</v>
      </c>
      <c r="G22" s="540">
        <f>E22*E43</f>
        <v>95861.992913371098</v>
      </c>
      <c r="H22" s="540">
        <f>F22*F43</f>
        <v>62235.076864427712</v>
      </c>
      <c r="I22" s="540">
        <f>I34*M22</f>
        <v>538326.139797454</v>
      </c>
      <c r="J22" s="541">
        <v>2</v>
      </c>
      <c r="K22" s="542">
        <v>1</v>
      </c>
      <c r="L22" s="771" t="s">
        <v>463</v>
      </c>
      <c r="M22" s="543">
        <f>N22/N23</f>
        <v>0.3281426144475611</v>
      </c>
      <c r="N22" s="544">
        <f>'Attach2 - BidFactors'!C187</f>
        <v>37.510728507212086</v>
      </c>
      <c r="O22" s="539">
        <f>N22/1000</f>
        <v>3.7510728507212085E-2</v>
      </c>
      <c r="P22" s="780"/>
      <c r="Q22" s="545">
        <f>E22*E43</f>
        <v>95861.992913371098</v>
      </c>
      <c r="R22" s="545">
        <f>F22*F43</f>
        <v>62235.076864427712</v>
      </c>
      <c r="S22" s="496"/>
      <c r="T22" s="496"/>
      <c r="X22" s="496"/>
    </row>
    <row r="23" spans="1:24" s="490" customFormat="1" ht="15" customHeight="1" x14ac:dyDescent="0.5">
      <c r="A23" s="506"/>
      <c r="B23" s="546"/>
      <c r="C23" s="538"/>
      <c r="D23" s="493" t="s">
        <v>444</v>
      </c>
      <c r="E23" s="770">
        <f>$I$23*J23*$K$24</f>
        <v>4.5635578582296742E-2</v>
      </c>
      <c r="F23" s="539">
        <f>$I$23*K23*$K$24</f>
        <v>4.5635578582296742E-2</v>
      </c>
      <c r="G23" s="540">
        <f>E23*E44</f>
        <v>160769.22681899683</v>
      </c>
      <c r="H23" s="540">
        <f>F23*F44</f>
        <v>219459.84320065856</v>
      </c>
      <c r="I23" s="548">
        <f>I22/($G$46-$G$45)</f>
        <v>5.0095979108341279E-2</v>
      </c>
      <c r="J23" s="541">
        <v>1</v>
      </c>
      <c r="K23" s="542">
        <f>J23</f>
        <v>1</v>
      </c>
      <c r="L23" s="549" t="s">
        <v>19</v>
      </c>
      <c r="M23" s="535"/>
      <c r="N23" s="544">
        <f>'Attach2 - BidFactors'!C210</f>
        <v>114.31227416275277</v>
      </c>
      <c r="O23" s="562"/>
      <c r="P23" s="780"/>
      <c r="Q23" s="545">
        <f>E23*E44</f>
        <v>160769.22681899683</v>
      </c>
      <c r="R23" s="545">
        <f>F23*F44</f>
        <v>219459.84320065856</v>
      </c>
      <c r="S23" s="496"/>
      <c r="T23" s="496"/>
      <c r="X23" s="496"/>
    </row>
    <row r="24" spans="1:24" s="490" customFormat="1" ht="15" customHeight="1" x14ac:dyDescent="0.35">
      <c r="A24" s="506"/>
      <c r="B24" s="546"/>
      <c r="C24" s="538"/>
      <c r="D24" s="493" t="s">
        <v>120</v>
      </c>
      <c r="E24" s="772"/>
      <c r="F24" s="535"/>
      <c r="G24" s="535"/>
      <c r="H24" s="535"/>
      <c r="I24" s="550"/>
      <c r="J24" s="551">
        <f>B22-S25</f>
        <v>0</v>
      </c>
      <c r="K24" s="552">
        <v>0.91096290350173326</v>
      </c>
      <c r="L24" s="535"/>
      <c r="M24" s="535"/>
      <c r="N24" s="535" t="s">
        <v>464</v>
      </c>
      <c r="O24" s="535"/>
      <c r="P24" s="780"/>
      <c r="Q24" s="545">
        <f>SUM(Q22:Q23)</f>
        <v>256631.21973236793</v>
      </c>
      <c r="R24" s="545">
        <f>SUM(R22:R23)</f>
        <v>281694.92006508628</v>
      </c>
      <c r="S24" s="496"/>
      <c r="T24" s="496"/>
      <c r="X24" s="496"/>
    </row>
    <row r="25" spans="1:24" s="490" customFormat="1" ht="28.5" customHeight="1" x14ac:dyDescent="0.35">
      <c r="A25" s="506"/>
      <c r="B25" s="537"/>
      <c r="C25" s="538"/>
      <c r="D25" s="538"/>
      <c r="E25" s="772"/>
      <c r="F25" s="535"/>
      <c r="G25" s="535"/>
      <c r="H25" s="535"/>
      <c r="I25" s="550"/>
      <c r="J25" s="554" t="s">
        <v>465</v>
      </c>
      <c r="K25" s="555" t="s">
        <v>466</v>
      </c>
      <c r="L25" s="535"/>
      <c r="M25" s="535"/>
      <c r="N25" s="556" t="s">
        <v>434</v>
      </c>
      <c r="O25" s="556" t="s">
        <v>384</v>
      </c>
      <c r="P25" s="780"/>
      <c r="S25" s="557">
        <f>SUM(Q24:R24)</f>
        <v>538326.13979745423</v>
      </c>
      <c r="V25" s="496"/>
    </row>
    <row r="26" spans="1:24" s="490" customFormat="1" ht="52.5" customHeight="1" x14ac:dyDescent="0.5">
      <c r="A26" s="506"/>
      <c r="B26" s="546">
        <f>I26</f>
        <v>1102198.790814633</v>
      </c>
      <c r="C26" s="535" t="s">
        <v>467</v>
      </c>
      <c r="D26" s="493" t="s">
        <v>468</v>
      </c>
      <c r="E26" s="773">
        <f>(N26+$R$58)*$Q$59*$I$27</f>
        <v>0.11482433707951528</v>
      </c>
      <c r="F26" s="558">
        <f t="shared" ref="E26:F28" si="3">(O26+$R$58)*$Q$59*$I$27</f>
        <v>8.983431250926345E-2</v>
      </c>
      <c r="G26" s="540">
        <f>G34-G22</f>
        <v>587177.13247320859</v>
      </c>
      <c r="H26" s="540">
        <f>H34-H22</f>
        <v>895250.7283610797</v>
      </c>
      <c r="I26" s="540">
        <f>I34-I22</f>
        <v>1102198.790814633</v>
      </c>
      <c r="J26" s="784">
        <v>1137683.1747729359</v>
      </c>
      <c r="K26" s="535"/>
      <c r="L26" s="771" t="s">
        <v>467</v>
      </c>
      <c r="M26" s="543">
        <f>1-M22</f>
        <v>0.6718573855524389</v>
      </c>
      <c r="N26" s="559">
        <v>7.1870891497615191E-2</v>
      </c>
      <c r="O26" s="559">
        <v>5.2039896670173252E-2</v>
      </c>
      <c r="P26" s="792" t="s">
        <v>528</v>
      </c>
      <c r="Q26" s="518">
        <f t="shared" ref="Q26:R28" si="4">E26*E43</f>
        <v>120599.87108029182</v>
      </c>
      <c r="R26" s="518">
        <f t="shared" si="4"/>
        <v>122510.67079153607</v>
      </c>
      <c r="V26" s="496"/>
    </row>
    <row r="27" spans="1:24" s="490" customFormat="1" ht="15.75" x14ac:dyDescent="0.5">
      <c r="A27" s="506"/>
      <c r="B27" s="492"/>
      <c r="C27" s="493"/>
      <c r="D27" s="535" t="s">
        <v>469</v>
      </c>
      <c r="E27" s="803">
        <f>(N27+$R$58)*$Q$59*$I$27+L29</f>
        <v>9.4046245764081909E-2</v>
      </c>
      <c r="F27" s="804">
        <f>(O27+$R$58)*$Q$59*$I$27+M29</f>
        <v>7.1806859870223741E-2</v>
      </c>
      <c r="G27" s="550"/>
      <c r="H27" s="550"/>
      <c r="I27" s="560">
        <v>1.1812383721891917</v>
      </c>
      <c r="J27" s="561">
        <f>I26-S28</f>
        <v>0</v>
      </c>
      <c r="K27" s="490">
        <f>N109/1.06625</f>
        <v>0</v>
      </c>
      <c r="L27" s="535"/>
      <c r="M27" s="562"/>
      <c r="N27" s="559">
        <v>4.5292926438321335E-2</v>
      </c>
      <c r="O27" s="559">
        <v>4.5125248866129931E-2</v>
      </c>
      <c r="P27" s="792"/>
      <c r="Q27" s="518">
        <f t="shared" si="4"/>
        <v>331314.79180119687</v>
      </c>
      <c r="R27" s="518">
        <f t="shared" si="4"/>
        <v>345316.58625588659</v>
      </c>
      <c r="V27" s="496"/>
    </row>
    <row r="28" spans="1:24" s="490" customFormat="1" ht="39.75" customHeight="1" x14ac:dyDescent="0.5">
      <c r="A28" s="506"/>
      <c r="B28" s="492"/>
      <c r="C28" s="493"/>
      <c r="D28" s="493" t="s">
        <v>120</v>
      </c>
      <c r="E28" s="773">
        <f t="shared" si="3"/>
        <v>6.0500305933477688E-2</v>
      </c>
      <c r="F28" s="558">
        <f>(O28+$R$58)*$Q$59*$I$27</f>
        <v>7.1311684447621815E-2</v>
      </c>
      <c r="G28" s="550"/>
      <c r="H28" s="550"/>
      <c r="I28" s="563" t="s">
        <v>465</v>
      </c>
      <c r="J28" s="564" t="s">
        <v>466</v>
      </c>
      <c r="K28" s="814">
        <f>K27*F44</f>
        <v>0</v>
      </c>
      <c r="L28" s="815">
        <f>-K28/E44</f>
        <v>0</v>
      </c>
      <c r="M28" s="816">
        <f>K28/F44</f>
        <v>0</v>
      </c>
      <c r="N28" s="559">
        <v>2.876170696542845E-2</v>
      </c>
      <c r="O28" s="559">
        <v>3.7341145964729469E-2</v>
      </c>
      <c r="P28" s="780"/>
      <c r="Q28" s="518">
        <f t="shared" si="4"/>
        <v>60691.222473715825</v>
      </c>
      <c r="R28" s="518">
        <f t="shared" si="4"/>
        <v>121765.64841200592</v>
      </c>
      <c r="S28" s="725">
        <f>SUM(Q26:R28)</f>
        <v>1102198.790814633</v>
      </c>
      <c r="V28" s="496"/>
    </row>
    <row r="29" spans="1:24" s="490" customFormat="1" ht="15" customHeight="1" thickBot="1" x14ac:dyDescent="0.55000000000000004">
      <c r="A29" s="506"/>
      <c r="B29" s="492"/>
      <c r="C29" s="493"/>
      <c r="D29" s="493"/>
      <c r="E29" s="492"/>
      <c r="F29" s="535"/>
      <c r="G29" s="550"/>
      <c r="H29" s="550"/>
      <c r="I29" s="535"/>
      <c r="J29" s="535"/>
      <c r="K29" s="536" t="s">
        <v>529</v>
      </c>
      <c r="L29" s="817">
        <v>1.2714126580763992E-2</v>
      </c>
      <c r="M29" s="817">
        <v>-9.3139604506112614E-3</v>
      </c>
      <c r="N29" s="562"/>
      <c r="O29" s="535"/>
      <c r="P29" s="780"/>
      <c r="Q29" s="496"/>
      <c r="R29" s="496"/>
      <c r="S29" s="496"/>
      <c r="T29" s="496"/>
      <c r="V29" s="496"/>
    </row>
    <row r="30" spans="1:24" s="490" customFormat="1" ht="15" hidden="1" customHeight="1" outlineLevel="1" x14ac:dyDescent="0.5">
      <c r="A30" s="506"/>
      <c r="B30" s="492"/>
      <c r="C30" s="535" t="s">
        <v>470</v>
      </c>
      <c r="D30" s="493" t="s">
        <v>468</v>
      </c>
      <c r="E30" s="774">
        <f>ROUND(E8+E12,6)</f>
        <v>0.198626</v>
      </c>
      <c r="F30" s="532">
        <f>ROUND(F8+F12,6)</f>
        <v>0.145066</v>
      </c>
      <c r="G30" s="550"/>
      <c r="H30" s="550"/>
      <c r="I30" s="550"/>
      <c r="J30" s="535"/>
      <c r="K30" s="535"/>
      <c r="L30" s="536"/>
      <c r="M30" s="562"/>
      <c r="N30" s="562"/>
      <c r="O30" s="535"/>
      <c r="P30" s="780"/>
      <c r="Q30" s="496"/>
      <c r="R30" s="496"/>
      <c r="S30" s="496"/>
      <c r="T30" s="496"/>
      <c r="V30" s="496"/>
      <c r="W30" s="496"/>
      <c r="X30" s="496"/>
    </row>
    <row r="31" spans="1:24" s="490" customFormat="1" ht="15" hidden="1" customHeight="1" outlineLevel="1" x14ac:dyDescent="0.5">
      <c r="A31" s="506"/>
      <c r="B31" s="492"/>
      <c r="C31" s="493"/>
      <c r="D31" s="493" t="s">
        <v>469</v>
      </c>
      <c r="E31" s="774">
        <f>ROUND(E9+E13,6)</f>
        <v>3.7947000000000002E-2</v>
      </c>
      <c r="F31" s="565">
        <f t="shared" ref="E31:F32" si="5">ROUND(F9+F13,6)</f>
        <v>3.7947000000000002E-2</v>
      </c>
      <c r="G31" s="550"/>
      <c r="H31" s="550"/>
      <c r="I31" s="550"/>
      <c r="J31" s="535"/>
      <c r="K31" s="535"/>
      <c r="L31" s="536"/>
      <c r="M31" s="562"/>
      <c r="N31" s="562"/>
      <c r="O31" s="535"/>
      <c r="P31" s="780"/>
      <c r="Q31" s="496"/>
      <c r="R31" s="496"/>
      <c r="S31" s="496"/>
      <c r="T31" s="496"/>
      <c r="V31" s="496"/>
      <c r="W31" s="496"/>
      <c r="X31" s="496"/>
    </row>
    <row r="32" spans="1:24" s="490" customFormat="1" ht="15" hidden="1" customHeight="1" outlineLevel="1" x14ac:dyDescent="0.5">
      <c r="A32" s="506"/>
      <c r="B32" s="492"/>
      <c r="C32" s="493"/>
      <c r="D32" s="493" t="s">
        <v>120</v>
      </c>
      <c r="E32" s="774">
        <f t="shared" si="5"/>
        <v>1.8973E-2</v>
      </c>
      <c r="F32" s="565">
        <f t="shared" si="5"/>
        <v>1.8973E-2</v>
      </c>
      <c r="G32" s="550"/>
      <c r="H32" s="550"/>
      <c r="I32" s="550"/>
      <c r="J32" s="535"/>
      <c r="K32" s="535"/>
      <c r="L32" s="536"/>
      <c r="M32" s="562"/>
      <c r="N32" s="562"/>
      <c r="O32" s="535">
        <v>90</v>
      </c>
      <c r="P32" s="780"/>
      <c r="Q32" s="496"/>
      <c r="R32" s="496"/>
      <c r="S32" s="496"/>
      <c r="T32" s="496"/>
      <c r="V32" s="496"/>
      <c r="W32" s="496"/>
      <c r="X32" s="496"/>
    </row>
    <row r="33" spans="1:24" s="490" customFormat="1" ht="15" hidden="1" customHeight="1" outlineLevel="1" thickBot="1" x14ac:dyDescent="0.55000000000000004">
      <c r="A33" s="506"/>
      <c r="B33" s="492"/>
      <c r="C33" s="493"/>
      <c r="D33" s="493"/>
      <c r="E33" s="492"/>
      <c r="F33" s="535"/>
      <c r="G33" s="550"/>
      <c r="H33" s="550"/>
      <c r="I33" s="550"/>
      <c r="J33" s="535"/>
      <c r="K33" s="535"/>
      <c r="L33" s="536"/>
      <c r="M33" s="562"/>
      <c r="N33" s="562"/>
      <c r="O33" s="535"/>
      <c r="P33" s="780"/>
      <c r="Q33" s="496"/>
      <c r="R33" s="496"/>
      <c r="S33" s="496"/>
      <c r="T33" s="496"/>
      <c r="V33" s="496"/>
      <c r="W33" s="496"/>
      <c r="X33" s="496"/>
    </row>
    <row r="34" spans="1:24" s="490" customFormat="1" ht="15" customHeight="1" collapsed="1" thickBot="1" x14ac:dyDescent="0.55000000000000004">
      <c r="A34" s="506" t="s">
        <v>471</v>
      </c>
      <c r="B34" s="546">
        <f>I34</f>
        <v>1640524.930612087</v>
      </c>
      <c r="C34" s="493" t="s">
        <v>472</v>
      </c>
      <c r="D34" s="493" t="s">
        <v>468</v>
      </c>
      <c r="E34" s="775">
        <f>E22+E26</f>
        <v>0.20609549424410878</v>
      </c>
      <c r="F34" s="566">
        <f>F22+F26</f>
        <v>0.13546989109156019</v>
      </c>
      <c r="G34" s="567">
        <f>'Attach3 - AuctionRateResult'!C194</f>
        <v>683039.12538657966</v>
      </c>
      <c r="H34" s="567">
        <f>'Attach3 - AuctionRateResult'!C195</f>
        <v>957485.80522550736</v>
      </c>
      <c r="I34" s="568">
        <f>SUM(G34:H34)</f>
        <v>1640524.930612087</v>
      </c>
      <c r="J34" s="535"/>
      <c r="K34" s="535"/>
      <c r="L34" s="535"/>
      <c r="M34" s="535"/>
      <c r="N34" s="562"/>
      <c r="O34" s="535"/>
      <c r="P34" s="780"/>
      <c r="Q34" s="812" t="s">
        <v>396</v>
      </c>
      <c r="R34" s="535" t="s">
        <v>455</v>
      </c>
      <c r="S34" s="535"/>
      <c r="T34" s="496"/>
      <c r="V34" s="496"/>
      <c r="W34" s="496"/>
      <c r="X34" s="496"/>
    </row>
    <row r="35" spans="1:24" s="490" customFormat="1" ht="15" customHeight="1" x14ac:dyDescent="0.35">
      <c r="A35" s="506"/>
      <c r="B35" s="492"/>
      <c r="C35" s="493"/>
      <c r="D35" s="493" t="s">
        <v>469</v>
      </c>
      <c r="E35" s="775">
        <f t="shared" ref="E35:F36" si="6">E23+E27</f>
        <v>0.13968182434637866</v>
      </c>
      <c r="F35" s="566">
        <f t="shared" si="6"/>
        <v>0.11744243845252048</v>
      </c>
      <c r="G35" s="535"/>
      <c r="H35" s="535"/>
      <c r="I35" s="535"/>
      <c r="J35" s="535"/>
      <c r="K35" s="535"/>
      <c r="L35" s="535"/>
      <c r="M35" s="535"/>
      <c r="N35" s="744"/>
      <c r="O35" s="744"/>
      <c r="P35" s="780"/>
      <c r="Q35" s="813">
        <f>SUM(N26:O26)</f>
        <v>0.12391078816778844</v>
      </c>
      <c r="R35" s="810">
        <f>E43*E26</f>
        <v>120599.87108029182</v>
      </c>
      <c r="S35" s="810">
        <f>F43*F26</f>
        <v>122510.67079153607</v>
      </c>
      <c r="T35" s="573">
        <f>R35+S35</f>
        <v>243110.54187182791</v>
      </c>
      <c r="V35" s="496"/>
      <c r="W35" s="496"/>
      <c r="X35" s="496"/>
    </row>
    <row r="36" spans="1:24" s="490" customFormat="1" ht="15" customHeight="1" x14ac:dyDescent="0.5">
      <c r="A36" s="506"/>
      <c r="B36" s="492"/>
      <c r="C36" s="493"/>
      <c r="D36" s="493" t="s">
        <v>120</v>
      </c>
      <c r="E36" s="775">
        <f t="shared" si="6"/>
        <v>6.0500305933477688E-2</v>
      </c>
      <c r="F36" s="566">
        <f t="shared" si="6"/>
        <v>7.1311684447621815E-2</v>
      </c>
      <c r="G36" s="535"/>
      <c r="H36" s="535"/>
      <c r="I36" s="535"/>
      <c r="J36" s="535"/>
      <c r="K36" s="536"/>
      <c r="L36" s="562"/>
      <c r="M36" s="535"/>
      <c r="N36" s="744"/>
      <c r="O36" s="744"/>
      <c r="P36" s="780"/>
      <c r="Q36" s="813">
        <f t="shared" ref="Q36:Q37" si="7">SUM(N27:O27)</f>
        <v>9.0418175304451259E-2</v>
      </c>
      <c r="R36" s="810">
        <f t="shared" ref="R36:S41" si="8">E44*E27</f>
        <v>331314.79180119687</v>
      </c>
      <c r="S36" s="810">
        <f t="shared" si="8"/>
        <v>345316.58625588659</v>
      </c>
      <c r="T36" s="573">
        <f t="shared" ref="T36:T37" si="9">R36+S36</f>
        <v>676631.37805708346</v>
      </c>
      <c r="V36" s="496"/>
      <c r="W36" s="496"/>
      <c r="X36" s="496"/>
    </row>
    <row r="37" spans="1:24" s="490" customFormat="1" ht="15" customHeight="1" x14ac:dyDescent="0.35">
      <c r="A37" s="506"/>
      <c r="B37" s="492"/>
      <c r="C37" s="493"/>
      <c r="D37" s="493"/>
      <c r="E37" s="492"/>
      <c r="F37" s="535"/>
      <c r="G37" s="535"/>
      <c r="H37" s="535"/>
      <c r="J37" s="535"/>
      <c r="K37" s="535"/>
      <c r="L37" s="535"/>
      <c r="M37" s="535"/>
      <c r="N37" s="744"/>
      <c r="O37" s="744"/>
      <c r="P37" s="780"/>
      <c r="Q37" s="813">
        <f t="shared" si="7"/>
        <v>6.6102852930157913E-2</v>
      </c>
      <c r="R37" s="810">
        <f t="shared" si="8"/>
        <v>60691.222473715825</v>
      </c>
      <c r="S37" s="810">
        <f t="shared" si="8"/>
        <v>121765.64841200592</v>
      </c>
      <c r="T37" s="573">
        <f t="shared" si="9"/>
        <v>182456.87088572176</v>
      </c>
      <c r="V37" s="496"/>
      <c r="W37" s="496"/>
      <c r="X37" s="496"/>
    </row>
    <row r="38" spans="1:24" s="490" customFormat="1" ht="15" customHeight="1" x14ac:dyDescent="0.35">
      <c r="A38" s="506">
        <v>1360</v>
      </c>
      <c r="B38" s="492"/>
      <c r="C38" s="535"/>
      <c r="D38" s="493"/>
      <c r="E38" s="808"/>
      <c r="F38" s="809"/>
      <c r="G38" s="810"/>
      <c r="H38" s="810"/>
      <c r="I38" s="728"/>
      <c r="J38" s="535"/>
      <c r="K38" s="729"/>
      <c r="L38" s="729"/>
      <c r="M38" s="535"/>
      <c r="N38" s="535"/>
      <c r="O38" s="535"/>
      <c r="P38" s="780"/>
      <c r="Q38" s="813">
        <f>SUM(Q35:Q37)</f>
        <v>0.28043181640239762</v>
      </c>
      <c r="R38" s="810"/>
      <c r="S38" s="810">
        <f t="shared" si="8"/>
        <v>0</v>
      </c>
      <c r="T38" s="496"/>
      <c r="U38" s="496"/>
      <c r="V38" s="496"/>
      <c r="W38" s="496"/>
      <c r="X38" s="496"/>
    </row>
    <row r="39" spans="1:24" s="490" customFormat="1" ht="15" customHeight="1" x14ac:dyDescent="0.35">
      <c r="A39" s="506">
        <v>6920</v>
      </c>
      <c r="B39" s="571"/>
      <c r="C39" s="493"/>
      <c r="D39" s="493"/>
      <c r="E39" s="808"/>
      <c r="F39" s="809"/>
      <c r="G39" s="810"/>
      <c r="H39" s="810"/>
      <c r="I39" s="728"/>
      <c r="J39" s="535"/>
      <c r="K39" s="729"/>
      <c r="L39" s="729"/>
      <c r="M39" s="535"/>
      <c r="N39" s="535"/>
      <c r="O39" s="535"/>
      <c r="P39" s="780"/>
      <c r="Q39" s="593"/>
      <c r="R39" s="496"/>
      <c r="S39" s="810">
        <f t="shared" si="8"/>
        <v>0</v>
      </c>
      <c r="T39" s="496"/>
      <c r="U39" s="496"/>
      <c r="V39" s="496"/>
      <c r="W39" s="496"/>
      <c r="X39" s="496"/>
    </row>
    <row r="40" spans="1:24" s="490" customFormat="1" ht="15" customHeight="1" x14ac:dyDescent="0.35">
      <c r="A40" s="572">
        <f>A38/A39</f>
        <v>0.19653179190751446</v>
      </c>
      <c r="B40" s="571"/>
      <c r="C40" s="493"/>
      <c r="D40" s="493"/>
      <c r="E40" s="808"/>
      <c r="F40" s="809"/>
      <c r="G40" s="811"/>
      <c r="H40" s="811"/>
      <c r="I40" s="730"/>
      <c r="J40" s="535"/>
      <c r="K40" s="729"/>
      <c r="L40" s="729"/>
      <c r="M40" s="535"/>
      <c r="N40" s="535"/>
      <c r="O40" s="535"/>
      <c r="P40" s="780"/>
      <c r="Q40" s="593"/>
      <c r="R40" s="496"/>
      <c r="S40" s="810">
        <f t="shared" si="8"/>
        <v>0</v>
      </c>
      <c r="T40" s="496"/>
      <c r="U40" s="496"/>
      <c r="V40" s="496"/>
      <c r="W40" s="496"/>
      <c r="X40" s="496"/>
    </row>
    <row r="41" spans="1:24" s="490" customFormat="1" ht="15" customHeight="1" x14ac:dyDescent="0.35">
      <c r="A41" s="506"/>
      <c r="B41" s="492"/>
      <c r="C41" s="493"/>
      <c r="D41" s="493"/>
      <c r="E41" s="492"/>
      <c r="F41" s="535"/>
      <c r="G41" s="728"/>
      <c r="H41" s="728"/>
      <c r="I41" s="535" t="s">
        <v>473</v>
      </c>
      <c r="J41" s="731"/>
      <c r="K41" s="535"/>
      <c r="L41" s="535"/>
      <c r="M41" s="535"/>
      <c r="N41" s="535"/>
      <c r="O41" s="535"/>
      <c r="P41" s="780"/>
      <c r="Q41" s="593"/>
      <c r="R41" s="496"/>
      <c r="S41" s="810">
        <f t="shared" si="8"/>
        <v>0</v>
      </c>
      <c r="T41" s="496"/>
      <c r="U41" s="496"/>
      <c r="V41" s="496"/>
      <c r="W41" s="496"/>
      <c r="X41" s="496"/>
    </row>
    <row r="42" spans="1:24" s="490" customFormat="1" ht="15" customHeight="1" x14ac:dyDescent="0.35">
      <c r="A42" s="506"/>
      <c r="B42" s="492"/>
      <c r="C42" s="493"/>
      <c r="D42" s="493"/>
      <c r="E42" s="608" t="s">
        <v>434</v>
      </c>
      <c r="F42" s="556" t="s">
        <v>384</v>
      </c>
      <c r="G42" s="535"/>
      <c r="H42" s="535"/>
      <c r="I42" s="556" t="s">
        <v>434</v>
      </c>
      <c r="J42" s="556" t="s">
        <v>384</v>
      </c>
      <c r="K42" s="535" t="s">
        <v>19</v>
      </c>
      <c r="L42" s="535"/>
      <c r="M42" s="782"/>
      <c r="N42" s="736"/>
      <c r="O42" s="736"/>
      <c r="P42" s="780"/>
      <c r="Q42" s="818">
        <f>SUM(Q38)</f>
        <v>0.28043181640239762</v>
      </c>
      <c r="R42" s="573">
        <f>+R35+R36+R37</f>
        <v>512605.88535520452</v>
      </c>
      <c r="S42" s="573">
        <f>+S35+S36+S37</f>
        <v>589592.90545942867</v>
      </c>
      <c r="T42" s="573">
        <f>SUM(T35:T41)</f>
        <v>1102198.790814633</v>
      </c>
      <c r="U42" s="496"/>
      <c r="V42" s="496"/>
      <c r="W42" s="496"/>
      <c r="X42" s="496"/>
    </row>
    <row r="43" spans="1:24" s="490" customFormat="1" ht="15" customHeight="1" x14ac:dyDescent="0.5">
      <c r="A43" s="506"/>
      <c r="B43" s="574"/>
      <c r="C43" s="575" t="s">
        <v>237</v>
      </c>
      <c r="D43" s="493" t="s">
        <v>468</v>
      </c>
      <c r="E43" s="776">
        <f>$E$46*I43</f>
        <v>1050298.8664918398</v>
      </c>
      <c r="F43" s="576">
        <f>$F$46*J43</f>
        <v>1363740.2833010287</v>
      </c>
      <c r="G43" s="577">
        <f>F43+E43</f>
        <v>2414039.1497928686</v>
      </c>
      <c r="H43" s="535"/>
      <c r="I43" s="732">
        <v>0.18834891577699345</v>
      </c>
      <c r="J43" s="732">
        <v>0.17305871504117543</v>
      </c>
      <c r="K43" s="733">
        <f>G43/G$46</f>
        <v>0.17939491355741302</v>
      </c>
      <c r="L43" s="535"/>
      <c r="M43" s="535"/>
      <c r="N43" s="736"/>
      <c r="O43" s="736"/>
      <c r="P43" s="780"/>
      <c r="Q43" s="593"/>
      <c r="R43" s="496"/>
      <c r="S43" s="573">
        <f>R42+S42</f>
        <v>1102198.7908146332</v>
      </c>
      <c r="T43" s="496"/>
      <c r="U43" s="496"/>
      <c r="V43" s="496"/>
      <c r="W43" s="496"/>
      <c r="X43" s="496"/>
    </row>
    <row r="44" spans="1:24" s="490" customFormat="1" ht="15" customHeight="1" x14ac:dyDescent="0.5">
      <c r="A44" s="578"/>
      <c r="B44" s="492"/>
      <c r="C44" s="493"/>
      <c r="D44" s="493" t="s">
        <v>469</v>
      </c>
      <c r="E44" s="776">
        <f>$E$46*I44</f>
        <v>3522892.2654957529</v>
      </c>
      <c r="F44" s="576">
        <f>$F$46*J44</f>
        <v>4808963.7519308869</v>
      </c>
      <c r="G44" s="577">
        <f>F44+E44</f>
        <v>8331856.0174266398</v>
      </c>
      <c r="H44" s="535"/>
      <c r="I44" s="732">
        <v>0.63175631220243389</v>
      </c>
      <c r="J44" s="732">
        <v>0.61025775785860836</v>
      </c>
      <c r="K44" s="733">
        <f t="shared" ref="K44:K45" si="10">G44/G$46</f>
        <v>0.61916667347640664</v>
      </c>
      <c r="L44" s="535"/>
      <c r="M44" s="535"/>
      <c r="N44" s="736"/>
      <c r="O44" s="736"/>
      <c r="P44" s="780"/>
      <c r="Q44" s="593"/>
      <c r="R44" s="496"/>
      <c r="S44" s="573">
        <f>S43-I26</f>
        <v>0</v>
      </c>
      <c r="T44" s="496"/>
      <c r="U44" s="496"/>
      <c r="V44" s="496"/>
      <c r="W44" s="496"/>
      <c r="X44" s="496"/>
    </row>
    <row r="45" spans="1:24" s="490" customFormat="1" ht="15" customHeight="1" x14ac:dyDescent="0.5">
      <c r="A45" s="578"/>
      <c r="B45" s="492"/>
      <c r="C45" s="493"/>
      <c r="D45" s="493" t="s">
        <v>120</v>
      </c>
      <c r="E45" s="776">
        <f>$E$46*I45</f>
        <v>1003155.6293359584</v>
      </c>
      <c r="F45" s="576">
        <f>$F$46*J45</f>
        <v>1707513.2827838664</v>
      </c>
      <c r="G45" s="577">
        <f>F45+E45</f>
        <v>2710668.9121198249</v>
      </c>
      <c r="H45" s="550"/>
      <c r="I45" s="732">
        <v>0.17989477202057255</v>
      </c>
      <c r="J45" s="732">
        <v>0.21668352710021629</v>
      </c>
      <c r="K45" s="733">
        <f t="shared" si="10"/>
        <v>0.20143841296618034</v>
      </c>
      <c r="L45" s="535"/>
      <c r="M45" s="535"/>
      <c r="N45" s="535"/>
      <c r="O45" s="535"/>
      <c r="P45" s="780"/>
      <c r="Q45" s="593"/>
      <c r="R45" s="496"/>
      <c r="S45" s="496" t="b">
        <f>S43=I26</f>
        <v>1</v>
      </c>
      <c r="T45" s="496"/>
      <c r="U45" s="496"/>
      <c r="V45" s="496"/>
      <c r="W45" s="496"/>
      <c r="X45" s="496"/>
    </row>
    <row r="46" spans="1:24" s="490" customFormat="1" ht="15" customHeight="1" x14ac:dyDescent="0.5">
      <c r="A46" s="578"/>
      <c r="B46" s="492"/>
      <c r="C46" s="493"/>
      <c r="D46" s="493" t="s">
        <v>502</v>
      </c>
      <c r="E46" s="777">
        <f>SUM('Attach2 - BidFactors'!C50:C53)</f>
        <v>5576346.7613235516</v>
      </c>
      <c r="F46" s="579">
        <f>SUM('Attach2 - BidFactors'!C40:C56)-E46</f>
        <v>7880217.3180157812</v>
      </c>
      <c r="G46" s="580">
        <f>F46+E46</f>
        <v>13456564.079339333</v>
      </c>
      <c r="H46" s="535"/>
      <c r="I46" s="734">
        <v>1</v>
      </c>
      <c r="J46" s="734">
        <v>1</v>
      </c>
      <c r="K46" s="735">
        <f>SUM(K43:K45)</f>
        <v>1</v>
      </c>
      <c r="L46" s="535"/>
      <c r="M46" s="535"/>
      <c r="N46" s="535"/>
      <c r="O46" s="535"/>
      <c r="P46" s="780"/>
      <c r="Q46" s="593"/>
      <c r="R46" s="496"/>
      <c r="S46" s="496"/>
      <c r="T46" s="496"/>
      <c r="U46" s="496"/>
      <c r="V46" s="496"/>
      <c r="W46" s="496"/>
      <c r="X46" s="496"/>
    </row>
    <row r="47" spans="1:24" s="490" customFormat="1" ht="15" customHeight="1" thickBot="1" x14ac:dyDescent="0.4">
      <c r="A47" s="581"/>
      <c r="B47" s="582"/>
      <c r="C47" s="583"/>
      <c r="D47" s="585"/>
      <c r="E47" s="778"/>
      <c r="F47" s="585"/>
      <c r="G47" s="585"/>
      <c r="H47" s="585"/>
      <c r="I47" s="585"/>
      <c r="J47" s="585"/>
      <c r="K47" s="585"/>
      <c r="L47" s="585"/>
      <c r="M47" s="585"/>
      <c r="N47" s="585"/>
      <c r="O47" s="585"/>
      <c r="P47" s="781"/>
      <c r="Q47" s="819"/>
      <c r="R47" s="504"/>
      <c r="S47" s="504"/>
      <c r="T47" s="504"/>
      <c r="U47" s="504"/>
      <c r="V47" s="504"/>
      <c r="W47" s="504"/>
      <c r="X47" s="504"/>
    </row>
    <row r="48" spans="1:24" s="490" customFormat="1" ht="15" hidden="1" customHeight="1" outlineLevel="1" x14ac:dyDescent="0.35">
      <c r="A48" s="506"/>
      <c r="B48" s="586"/>
      <c r="C48" s="575" t="s">
        <v>474</v>
      </c>
      <c r="D48" s="547" t="s">
        <v>468</v>
      </c>
      <c r="E48" s="587">
        <f>E38*E43</f>
        <v>0</v>
      </c>
      <c r="F48" s="569">
        <f>F38*F43</f>
        <v>0</v>
      </c>
      <c r="G48" s="570">
        <f>SUM(E48:F48)</f>
        <v>0</v>
      </c>
      <c r="H48" s="535"/>
      <c r="I48" s="535"/>
      <c r="J48" s="535"/>
      <c r="K48" s="535"/>
      <c r="L48" s="535"/>
      <c r="M48" s="535"/>
      <c r="N48" s="535"/>
      <c r="O48" s="553"/>
      <c r="P48" s="779"/>
      <c r="Q48" s="593"/>
      <c r="R48" s="496"/>
      <c r="S48" s="496"/>
      <c r="T48" s="496"/>
      <c r="U48" s="496"/>
      <c r="V48" s="496"/>
      <c r="W48" s="496"/>
      <c r="X48" s="496"/>
    </row>
    <row r="49" spans="1:29" s="490" customFormat="1" ht="15" hidden="1" customHeight="1" outlineLevel="1" x14ac:dyDescent="0.35">
      <c r="A49" s="581"/>
      <c r="B49" s="492"/>
      <c r="C49" s="535"/>
      <c r="D49" s="547" t="s">
        <v>469</v>
      </c>
      <c r="E49" s="587">
        <f t="shared" ref="E49:F50" si="11">E39*E44</f>
        <v>0</v>
      </c>
      <c r="F49" s="569">
        <f t="shared" si="11"/>
        <v>0</v>
      </c>
      <c r="G49" s="570">
        <f t="shared" ref="G49:G51" si="12">SUM(E49:F49)</f>
        <v>0</v>
      </c>
      <c r="H49" s="535"/>
      <c r="I49" s="535"/>
      <c r="J49" s="535"/>
      <c r="K49" s="535"/>
      <c r="L49" s="535"/>
      <c r="M49" s="535"/>
      <c r="N49" s="535"/>
      <c r="O49" s="553"/>
      <c r="P49" s="780"/>
      <c r="Q49" s="593"/>
      <c r="R49" s="496"/>
      <c r="S49" s="496"/>
      <c r="T49" s="496"/>
      <c r="U49" s="496"/>
      <c r="V49" s="496"/>
      <c r="W49" s="496"/>
      <c r="X49" s="496"/>
    </row>
    <row r="50" spans="1:29" s="490" customFormat="1" ht="15" hidden="1" customHeight="1" outlineLevel="1" x14ac:dyDescent="0.35">
      <c r="A50" s="578"/>
      <c r="B50" s="492"/>
      <c r="C50" s="535"/>
      <c r="D50" s="547" t="s">
        <v>120</v>
      </c>
      <c r="E50" s="587">
        <f>E40*E45</f>
        <v>0</v>
      </c>
      <c r="F50" s="569">
        <f t="shared" si="11"/>
        <v>0</v>
      </c>
      <c r="G50" s="570">
        <f t="shared" si="12"/>
        <v>0</v>
      </c>
      <c r="H50" s="535"/>
      <c r="I50" s="535"/>
      <c r="J50" s="535"/>
      <c r="K50" s="535"/>
      <c r="L50" s="535"/>
      <c r="M50" s="535"/>
      <c r="N50" s="535"/>
      <c r="O50" s="553"/>
      <c r="P50" s="780"/>
      <c r="Q50" s="593"/>
      <c r="R50" s="496"/>
      <c r="S50" s="496"/>
      <c r="T50" s="496"/>
      <c r="U50" s="496"/>
      <c r="V50" s="496"/>
      <c r="W50" s="496"/>
      <c r="X50" s="496"/>
    </row>
    <row r="51" spans="1:29" s="496" customFormat="1" ht="15" hidden="1" customHeight="1" outlineLevel="1" thickBot="1" x14ac:dyDescent="0.4">
      <c r="B51" s="588"/>
      <c r="C51" s="585"/>
      <c r="D51" s="583" t="s">
        <v>19</v>
      </c>
      <c r="E51" s="589">
        <f>SUM(E48:E50)</f>
        <v>0</v>
      </c>
      <c r="F51" s="589">
        <f>SUM(F48:F50)</f>
        <v>0</v>
      </c>
      <c r="G51" s="589">
        <f t="shared" si="12"/>
        <v>0</v>
      </c>
      <c r="H51" s="585"/>
      <c r="I51" s="585"/>
      <c r="J51" s="590"/>
      <c r="K51" s="591"/>
      <c r="L51" s="585"/>
      <c r="M51" s="585"/>
      <c r="N51" s="585"/>
      <c r="O51" s="584"/>
      <c r="P51" s="781"/>
      <c r="Q51" s="593"/>
    </row>
    <row r="52" spans="1:29" s="528" customFormat="1" ht="15" customHeight="1" collapsed="1" x14ac:dyDescent="0.5">
      <c r="B52" s="536"/>
      <c r="C52" s="536"/>
      <c r="D52" s="536"/>
      <c r="E52" s="536"/>
      <c r="F52" s="536"/>
      <c r="G52" s="536"/>
      <c r="H52" s="536"/>
      <c r="I52" s="536"/>
      <c r="J52" s="536"/>
      <c r="K52" s="536"/>
      <c r="L52" s="536"/>
      <c r="M52" s="536"/>
      <c r="N52" s="536"/>
      <c r="O52" s="536"/>
      <c r="P52" s="594"/>
    </row>
    <row r="53" spans="1:29" s="595" customFormat="1" ht="15.75" x14ac:dyDescent="0.35">
      <c r="A53" s="496"/>
      <c r="B53" s="493"/>
      <c r="C53" s="493"/>
      <c r="D53" s="493"/>
      <c r="E53" s="493"/>
      <c r="F53" s="535"/>
      <c r="G53" s="535"/>
      <c r="H53" s="535"/>
      <c r="I53" s="535"/>
      <c r="J53" s="535"/>
      <c r="K53" s="535"/>
      <c r="L53" s="535"/>
      <c r="M53" s="535"/>
      <c r="N53" s="535"/>
      <c r="O53" s="535"/>
      <c r="P53" s="592"/>
      <c r="Q53" s="593"/>
      <c r="R53" s="496"/>
      <c r="S53" s="496"/>
      <c r="T53" s="496"/>
      <c r="U53" s="496"/>
      <c r="V53" s="496" t="s">
        <v>427</v>
      </c>
      <c r="W53" s="496"/>
      <c r="X53" s="496"/>
      <c r="Y53" s="496"/>
      <c r="Z53" s="496"/>
      <c r="AA53" s="496"/>
      <c r="AB53" s="496"/>
      <c r="AC53" s="496"/>
    </row>
    <row r="54" spans="1:29" s="595" customFormat="1" ht="15" customHeight="1" thickBot="1" x14ac:dyDescent="0.4">
      <c r="A54" s="496"/>
      <c r="B54" s="493"/>
      <c r="C54" s="493"/>
      <c r="D54" s="493"/>
      <c r="E54" s="493"/>
      <c r="F54" s="535"/>
      <c r="G54" s="596" t="s">
        <v>503</v>
      </c>
      <c r="H54" s="493"/>
      <c r="I54" s="535"/>
      <c r="J54" s="535"/>
      <c r="K54" s="597">
        <v>1.0662499999999999</v>
      </c>
      <c r="L54" s="535" t="s">
        <v>475</v>
      </c>
      <c r="M54" s="535"/>
      <c r="N54" s="535"/>
      <c r="O54" s="535"/>
      <c r="P54" s="592"/>
      <c r="Q54" s="598" t="s">
        <v>318</v>
      </c>
      <c r="R54" s="599">
        <f>'Attach2 - BidFactors'!D175</f>
        <v>2</v>
      </c>
      <c r="S54" s="496" t="s">
        <v>142</v>
      </c>
      <c r="T54" s="496"/>
      <c r="U54" s="496"/>
      <c r="V54" s="496" t="s">
        <v>318</v>
      </c>
      <c r="W54" s="496">
        <v>2</v>
      </c>
      <c r="X54" s="496" t="s">
        <v>142</v>
      </c>
      <c r="Y54" s="496"/>
      <c r="Z54" s="496"/>
      <c r="AA54" s="496"/>
      <c r="AB54" s="496"/>
      <c r="AC54" s="496"/>
    </row>
    <row r="55" spans="1:29" s="595" customFormat="1" ht="15" customHeight="1" thickBot="1" x14ac:dyDescent="0.4">
      <c r="A55" s="496"/>
      <c r="B55" s="493"/>
      <c r="C55" s="493"/>
      <c r="D55" s="493"/>
      <c r="E55" s="493"/>
      <c r="F55" s="535"/>
      <c r="G55" s="600" t="s">
        <v>476</v>
      </c>
      <c r="H55" s="601"/>
      <c r="I55" s="602" t="s">
        <v>477</v>
      </c>
      <c r="J55" s="603"/>
      <c r="K55" s="602" t="s">
        <v>478</v>
      </c>
      <c r="L55" s="603"/>
      <c r="M55" s="535"/>
      <c r="N55" s="535"/>
      <c r="O55" s="535"/>
      <c r="P55" s="592"/>
      <c r="Q55" s="835" t="s">
        <v>319</v>
      </c>
      <c r="R55" s="724">
        <f>'Attach2 - BidFactors'!D176</f>
        <v>16.043333333333333</v>
      </c>
      <c r="S55" s="496" t="s">
        <v>142</v>
      </c>
      <c r="T55" s="496"/>
      <c r="U55" s="496"/>
      <c r="V55" s="496" t="s">
        <v>319</v>
      </c>
      <c r="W55" s="496">
        <v>18.02</v>
      </c>
      <c r="X55" s="496" t="s">
        <v>142</v>
      </c>
      <c r="Y55" s="496"/>
      <c r="Z55" s="496"/>
      <c r="AA55" s="496"/>
      <c r="AB55" s="496"/>
      <c r="AC55" s="496"/>
    </row>
    <row r="56" spans="1:29" s="595" customFormat="1" ht="15" customHeight="1" thickBot="1" x14ac:dyDescent="0.4">
      <c r="A56" s="496"/>
      <c r="B56" s="493"/>
      <c r="C56" s="493"/>
      <c r="D56" s="493"/>
      <c r="E56" s="493"/>
      <c r="F56" s="535"/>
      <c r="G56" s="604" t="s">
        <v>479</v>
      </c>
      <c r="H56" s="605" t="s">
        <v>480</v>
      </c>
      <c r="I56" s="606" t="s">
        <v>53</v>
      </c>
      <c r="J56" s="607" t="s">
        <v>54</v>
      </c>
      <c r="K56" s="606" t="s">
        <v>53</v>
      </c>
      <c r="L56" s="607" t="s">
        <v>54</v>
      </c>
      <c r="M56" s="496"/>
      <c r="N56" s="496"/>
      <c r="O56" s="496"/>
      <c r="P56" s="592"/>
      <c r="Q56" s="496"/>
      <c r="R56" s="496">
        <f>SUM(R54:R55)</f>
        <v>18.043333333333333</v>
      </c>
      <c r="S56" s="496"/>
      <c r="T56" s="496"/>
      <c r="U56" s="496"/>
      <c r="V56" s="496"/>
      <c r="W56" s="496">
        <v>20.02</v>
      </c>
      <c r="X56" s="496"/>
      <c r="Y56" s="496"/>
      <c r="Z56" s="496"/>
      <c r="AA56" s="496"/>
      <c r="AB56" s="496"/>
      <c r="AC56" s="496"/>
    </row>
    <row r="57" spans="1:29" s="595" customFormat="1" ht="15" customHeight="1" x14ac:dyDescent="0.35">
      <c r="A57" s="496"/>
      <c r="B57" s="493"/>
      <c r="C57" s="493"/>
      <c r="D57" s="493"/>
      <c r="E57" s="493"/>
      <c r="F57" s="535"/>
      <c r="G57" s="608" t="s">
        <v>481</v>
      </c>
      <c r="H57" s="535" t="s">
        <v>468</v>
      </c>
      <c r="I57" s="609">
        <f t="shared" ref="I57:J59" si="13">E34</f>
        <v>0.20609549424410878</v>
      </c>
      <c r="J57" s="610">
        <f t="shared" si="13"/>
        <v>0.13546989109156019</v>
      </c>
      <c r="K57" s="609">
        <f t="shared" ref="K57:L59" si="14">I57*$K$54</f>
        <v>0.21974932073778097</v>
      </c>
      <c r="L57" s="610">
        <f t="shared" si="14"/>
        <v>0.14444477137637604</v>
      </c>
      <c r="M57" s="496"/>
      <c r="N57" s="496"/>
      <c r="O57" s="496"/>
      <c r="P57" s="783"/>
      <c r="Q57" s="496"/>
      <c r="R57" s="496">
        <f>R56/1000</f>
        <v>1.8043333333333331E-2</v>
      </c>
      <c r="S57" s="496"/>
      <c r="T57" s="496"/>
      <c r="U57" s="496"/>
      <c r="V57" s="496"/>
      <c r="W57" s="496">
        <v>2.002E-2</v>
      </c>
      <c r="X57" s="496"/>
      <c r="Y57" s="742"/>
      <c r="Z57" s="496"/>
      <c r="AA57" s="496"/>
      <c r="AB57" s="496"/>
      <c r="AC57" s="496"/>
    </row>
    <row r="58" spans="1:29" s="595" customFormat="1" ht="15" customHeight="1" x14ac:dyDescent="0.35">
      <c r="A58" s="496"/>
      <c r="B58" s="493"/>
      <c r="C58" s="493"/>
      <c r="D58" s="493"/>
      <c r="E58" s="493"/>
      <c r="F58" s="535"/>
      <c r="G58" s="608"/>
      <c r="H58" s="535" t="s">
        <v>469</v>
      </c>
      <c r="I58" s="609">
        <f t="shared" si="13"/>
        <v>0.13968182434637866</v>
      </c>
      <c r="J58" s="610">
        <f t="shared" si="13"/>
        <v>0.11744243845252048</v>
      </c>
      <c r="K58" s="609">
        <f t="shared" si="14"/>
        <v>0.14893574520932623</v>
      </c>
      <c r="L58" s="610">
        <f t="shared" si="14"/>
        <v>0.12522299999999995</v>
      </c>
      <c r="M58" s="496"/>
      <c r="N58" s="496"/>
      <c r="O58" s="496"/>
      <c r="P58" s="783"/>
      <c r="Q58" s="496"/>
      <c r="R58" s="496">
        <f>R57*Q59</f>
        <v>1.9248700173333334E-2</v>
      </c>
      <c r="S58" s="742">
        <f>(R58-W58)/W58</f>
        <v>-9.8734598734598694E-2</v>
      </c>
      <c r="T58" s="496"/>
      <c r="U58" s="496"/>
      <c r="V58" s="496"/>
      <c r="W58" s="496">
        <v>2.135741608E-2</v>
      </c>
      <c r="X58" s="496"/>
      <c r="Y58" s="496"/>
      <c r="Z58" s="496"/>
      <c r="AA58" s="496"/>
      <c r="AB58" s="496"/>
      <c r="AC58" s="496"/>
    </row>
    <row r="59" spans="1:29" s="595" customFormat="1" ht="21.75" customHeight="1" thickBot="1" x14ac:dyDescent="0.4">
      <c r="A59" s="496"/>
      <c r="B59" s="493"/>
      <c r="C59" s="493"/>
      <c r="D59" s="493"/>
      <c r="E59" s="493"/>
      <c r="F59" s="535"/>
      <c r="G59" s="501"/>
      <c r="H59" s="585" t="s">
        <v>120</v>
      </c>
      <c r="I59" s="611">
        <f t="shared" si="13"/>
        <v>6.0500305933477688E-2</v>
      </c>
      <c r="J59" s="612">
        <f t="shared" si="13"/>
        <v>7.1311684447621815E-2</v>
      </c>
      <c r="K59" s="611">
        <f t="shared" si="14"/>
        <v>6.4508451201570574E-2</v>
      </c>
      <c r="L59" s="612">
        <f t="shared" si="14"/>
        <v>7.6036083542276756E-2</v>
      </c>
      <c r="M59" s="496"/>
      <c r="N59" s="496"/>
      <c r="O59" s="496"/>
      <c r="P59" s="783"/>
      <c r="Q59" s="613">
        <f>'Attach2 - BidFactors'!C80</f>
        <v>1.0668040000000001</v>
      </c>
      <c r="R59" s="496" t="s">
        <v>482</v>
      </c>
      <c r="S59" s="496"/>
      <c r="T59" s="496"/>
      <c r="U59" s="496"/>
      <c r="V59" s="496">
        <v>1.0668040000000001</v>
      </c>
      <c r="W59" s="496" t="s">
        <v>482</v>
      </c>
      <c r="X59" s="496"/>
      <c r="Y59" s="496"/>
      <c r="Z59" s="496"/>
      <c r="AA59" s="496"/>
      <c r="AB59" s="496"/>
      <c r="AC59" s="496"/>
    </row>
    <row r="60" spans="1:29" s="595" customFormat="1" ht="15" customHeight="1" x14ac:dyDescent="0.5">
      <c r="A60" s="496"/>
      <c r="B60" s="493"/>
      <c r="C60" s="493"/>
      <c r="D60" s="493"/>
      <c r="E60" s="493"/>
      <c r="F60" s="535"/>
      <c r="G60" s="614"/>
      <c r="H60" s="615"/>
      <c r="I60" s="616"/>
      <c r="J60" s="616"/>
      <c r="K60" s="616"/>
      <c r="L60" s="616"/>
      <c r="M60" s="535"/>
      <c r="N60" s="535"/>
      <c r="O60" s="535"/>
      <c r="P60" s="592"/>
      <c r="Q60" s="593"/>
      <c r="R60" s="496"/>
      <c r="S60" s="496"/>
      <c r="T60" s="496"/>
      <c r="U60" s="496"/>
      <c r="V60" s="496"/>
      <c r="W60" s="496"/>
      <c r="X60" s="496"/>
      <c r="Y60" s="496"/>
      <c r="Z60" s="496"/>
      <c r="AA60" s="496"/>
      <c r="AB60" s="496"/>
      <c r="AC60" s="496"/>
    </row>
    <row r="61" spans="1:29" s="595" customFormat="1" ht="15" customHeight="1" x14ac:dyDescent="0.35">
      <c r="A61" s="496"/>
      <c r="B61" s="493"/>
      <c r="C61" s="493"/>
      <c r="D61" s="493"/>
      <c r="E61" s="493"/>
      <c r="F61" s="535"/>
      <c r="G61" s="535"/>
      <c r="H61" s="535"/>
      <c r="I61" s="535"/>
      <c r="J61" s="535"/>
      <c r="K61" s="535"/>
      <c r="L61" s="535"/>
      <c r="M61" s="764"/>
      <c r="N61" s="496"/>
      <c r="O61" s="535"/>
      <c r="P61" s="592"/>
      <c r="Q61" s="618"/>
      <c r="R61" s="618"/>
      <c r="S61" s="496"/>
      <c r="T61" s="496"/>
      <c r="U61" s="496"/>
      <c r="V61" s="496"/>
      <c r="W61" s="496"/>
      <c r="X61" s="496"/>
      <c r="Y61" s="496"/>
      <c r="Z61" s="496"/>
      <c r="AA61" s="496"/>
      <c r="AB61" s="496"/>
      <c r="AC61" s="496"/>
    </row>
    <row r="62" spans="1:29" s="595" customFormat="1" ht="15" hidden="1" customHeight="1" outlineLevel="1" x14ac:dyDescent="0.35">
      <c r="A62" s="496"/>
      <c r="B62" s="493"/>
      <c r="C62" s="493"/>
      <c r="D62" s="493"/>
      <c r="E62" s="496"/>
      <c r="F62" s="496"/>
      <c r="G62" s="535"/>
      <c r="H62" s="535"/>
      <c r="I62" s="535"/>
      <c r="J62" s="535"/>
      <c r="K62" s="744"/>
      <c r="L62" s="535"/>
      <c r="M62" s="736"/>
      <c r="N62" s="736"/>
      <c r="O62" s="783"/>
      <c r="P62" s="592"/>
      <c r="Q62" s="618"/>
      <c r="R62" s="618"/>
      <c r="S62" s="496"/>
      <c r="T62" s="496"/>
      <c r="U62" s="496"/>
      <c r="V62" s="496"/>
      <c r="W62" s="496"/>
      <c r="X62" s="496"/>
      <c r="Y62" s="496"/>
      <c r="Z62" s="496"/>
      <c r="AA62" s="496"/>
      <c r="AB62" s="496"/>
      <c r="AC62" s="496"/>
    </row>
    <row r="63" spans="1:29" ht="15" hidden="1" customHeight="1" outlineLevel="1" x14ac:dyDescent="0.35">
      <c r="A63" s="490"/>
      <c r="B63" s="619"/>
      <c r="C63" s="619"/>
      <c r="D63" s="619"/>
      <c r="E63" s="619"/>
      <c r="F63" s="620"/>
      <c r="G63" s="620"/>
      <c r="H63" s="620"/>
      <c r="I63" s="620"/>
      <c r="J63" s="620"/>
      <c r="K63" s="620"/>
      <c r="L63" s="620"/>
      <c r="M63" s="736"/>
      <c r="N63" s="736"/>
      <c r="O63" s="783"/>
      <c r="P63" s="621"/>
      <c r="Q63" s="490"/>
      <c r="R63" s="490"/>
      <c r="S63" s="490"/>
      <c r="T63" s="490"/>
      <c r="U63" s="490"/>
      <c r="V63" s="490"/>
      <c r="W63" s="490"/>
      <c r="X63" s="490"/>
      <c r="Y63" s="490"/>
      <c r="Z63" s="490"/>
      <c r="AA63" s="490"/>
      <c r="AB63" s="490"/>
      <c r="AC63" s="490"/>
    </row>
    <row r="64" spans="1:29" ht="15" hidden="1" customHeight="1" outlineLevel="1" x14ac:dyDescent="0.35">
      <c r="A64" s="490"/>
      <c r="B64" s="619"/>
      <c r="C64" s="619"/>
      <c r="D64" s="619"/>
      <c r="E64" s="619"/>
      <c r="F64" s="620"/>
      <c r="G64" s="620"/>
      <c r="H64" s="620"/>
      <c r="I64" s="620"/>
      <c r="J64" s="490"/>
      <c r="K64" s="490"/>
      <c r="L64" s="490"/>
      <c r="M64" s="736"/>
      <c r="N64" s="736"/>
      <c r="O64" s="783"/>
      <c r="P64" s="621"/>
      <c r="Q64" s="806"/>
      <c r="R64" s="490"/>
      <c r="S64" s="490"/>
      <c r="T64" s="490"/>
      <c r="U64" s="490"/>
      <c r="V64" s="490"/>
      <c r="W64" s="490"/>
      <c r="X64" s="490"/>
      <c r="Y64" s="490"/>
      <c r="Z64" s="490"/>
      <c r="AA64" s="490"/>
      <c r="AB64" s="490"/>
      <c r="AC64" s="490"/>
    </row>
    <row r="65" spans="1:29" ht="15" hidden="1" customHeight="1" outlineLevel="1" x14ac:dyDescent="0.35">
      <c r="A65" s="490"/>
      <c r="B65" s="619"/>
      <c r="C65" s="619"/>
      <c r="D65" s="619"/>
      <c r="E65" s="619"/>
      <c r="F65" s="620"/>
      <c r="G65" s="620"/>
      <c r="H65" s="620"/>
      <c r="I65" s="620"/>
      <c r="J65" s="490"/>
      <c r="K65" s="490"/>
      <c r="L65" s="490"/>
      <c r="M65" s="620"/>
      <c r="N65" s="620"/>
      <c r="O65" s="620"/>
      <c r="P65" s="621"/>
      <c r="Q65" s="806"/>
      <c r="R65" s="490"/>
      <c r="S65" s="490"/>
      <c r="T65" s="490"/>
      <c r="U65" s="490"/>
      <c r="V65" s="490"/>
      <c r="W65" s="490"/>
      <c r="X65" s="490"/>
      <c r="Y65" s="490"/>
      <c r="Z65" s="490"/>
      <c r="AA65" s="490"/>
      <c r="AB65" s="490"/>
      <c r="AC65" s="490"/>
    </row>
    <row r="66" spans="1:29" ht="15" hidden="1" customHeight="1" outlineLevel="1" x14ac:dyDescent="0.35">
      <c r="A66" s="490"/>
      <c r="B66" s="619"/>
      <c r="C66" s="619"/>
      <c r="D66" s="619"/>
      <c r="E66" s="619"/>
      <c r="F66" s="490"/>
      <c r="G66" s="620"/>
      <c r="H66" s="620"/>
      <c r="I66" s="620"/>
      <c r="J66" s="490"/>
      <c r="K66" s="490"/>
      <c r="L66" s="490"/>
      <c r="M66" s="620"/>
      <c r="N66" s="620"/>
      <c r="O66" s="620"/>
      <c r="P66" s="621"/>
      <c r="Q66" s="806"/>
      <c r="R66" s="490"/>
      <c r="S66" s="490"/>
      <c r="T66" s="490"/>
      <c r="U66" s="490"/>
      <c r="V66" s="490"/>
      <c r="W66" s="490"/>
      <c r="X66" s="490"/>
      <c r="Y66" s="490"/>
      <c r="Z66" s="490"/>
      <c r="AA66" s="490"/>
      <c r="AB66" s="490"/>
      <c r="AC66" s="490"/>
    </row>
    <row r="67" spans="1:29" ht="15" hidden="1" customHeight="1" outlineLevel="1" x14ac:dyDescent="0.35">
      <c r="A67" s="490"/>
      <c r="B67" s="619"/>
      <c r="C67" s="619"/>
      <c r="D67" s="619"/>
      <c r="E67" s="619"/>
      <c r="F67" s="620"/>
      <c r="G67" s="620"/>
      <c r="H67" s="620"/>
      <c r="I67" s="620"/>
      <c r="J67" s="490"/>
      <c r="K67" s="490"/>
      <c r="L67" s="490"/>
      <c r="M67" s="620"/>
      <c r="N67" s="620"/>
      <c r="O67" s="556"/>
      <c r="P67" s="556"/>
      <c r="Q67" s="535"/>
      <c r="R67" s="490"/>
      <c r="S67" s="490"/>
      <c r="T67" s="490"/>
      <c r="U67" s="490"/>
      <c r="V67" s="490"/>
      <c r="W67" s="490"/>
      <c r="X67" s="490"/>
      <c r="Y67" s="490"/>
      <c r="Z67" s="490"/>
      <c r="AA67" s="490"/>
      <c r="AB67" s="490"/>
      <c r="AC67" s="490"/>
    </row>
    <row r="68" spans="1:29" ht="15" hidden="1" customHeight="1" outlineLevel="1" x14ac:dyDescent="0.35">
      <c r="B68" s="743"/>
      <c r="C68" s="743"/>
      <c r="D68" s="743"/>
      <c r="E68" s="743"/>
      <c r="F68" s="490"/>
      <c r="G68" s="490"/>
      <c r="H68" s="490"/>
      <c r="I68" s="490"/>
      <c r="J68" s="490"/>
      <c r="K68" s="490"/>
      <c r="L68" s="490"/>
      <c r="M68" s="490"/>
      <c r="N68" s="490"/>
      <c r="O68" s="490"/>
      <c r="Q68" s="806"/>
      <c r="R68" s="490"/>
      <c r="S68" s="490"/>
      <c r="T68" s="490"/>
      <c r="U68" s="490"/>
      <c r="V68" s="490"/>
      <c r="W68" s="490"/>
      <c r="X68" s="490"/>
      <c r="Y68" s="490"/>
      <c r="Z68" s="490"/>
      <c r="AA68" s="490"/>
      <c r="AB68" s="490"/>
      <c r="AC68" s="490"/>
    </row>
    <row r="69" spans="1:29" ht="15" hidden="1" customHeight="1" outlineLevel="1" x14ac:dyDescent="0.35">
      <c r="B69" s="743"/>
      <c r="C69" s="743"/>
      <c r="D69" s="743"/>
      <c r="E69" s="743"/>
      <c r="F69" s="490"/>
      <c r="G69" s="490"/>
      <c r="H69" s="490"/>
      <c r="I69" s="490"/>
      <c r="J69" s="490"/>
      <c r="K69" s="490"/>
      <c r="L69" s="490"/>
      <c r="M69" s="490"/>
      <c r="N69" s="490"/>
      <c r="O69" s="490"/>
      <c r="Q69" s="806"/>
      <c r="R69" s="490"/>
      <c r="S69" s="490"/>
      <c r="T69" s="490"/>
      <c r="U69" s="490"/>
      <c r="V69" s="490"/>
      <c r="W69" s="490"/>
      <c r="X69" s="490"/>
      <c r="Y69" s="490"/>
      <c r="Z69" s="490"/>
      <c r="AA69" s="490"/>
      <c r="AB69" s="490"/>
      <c r="AC69" s="490"/>
    </row>
    <row r="70" spans="1:29" ht="15" hidden="1" customHeight="1" outlineLevel="1" x14ac:dyDescent="0.35">
      <c r="B70" s="743"/>
      <c r="C70" s="743"/>
      <c r="D70" s="743"/>
      <c r="E70" s="743"/>
      <c r="F70" s="490"/>
      <c r="G70" s="490"/>
      <c r="H70" s="490"/>
      <c r="I70" s="490"/>
      <c r="J70" s="490"/>
      <c r="K70" s="490"/>
      <c r="L70" s="490"/>
      <c r="M70" s="490"/>
      <c r="N70" s="490"/>
      <c r="O70" s="490"/>
      <c r="Q70" s="806"/>
      <c r="R70" s="490"/>
      <c r="S70" s="490"/>
      <c r="T70" s="490"/>
      <c r="U70" s="490"/>
      <c r="V70" s="490"/>
      <c r="W70" s="490"/>
      <c r="X70" s="490"/>
      <c r="Y70" s="490"/>
      <c r="Z70" s="490"/>
      <c r="AA70" s="490"/>
      <c r="AB70" s="490"/>
      <c r="AC70" s="490"/>
    </row>
    <row r="71" spans="1:29" ht="15" hidden="1" customHeight="1" outlineLevel="1" x14ac:dyDescent="0.35">
      <c r="B71" s="743"/>
      <c r="C71" s="743"/>
      <c r="D71" s="743"/>
      <c r="E71" s="743"/>
      <c r="F71" s="490"/>
      <c r="G71" s="490"/>
      <c r="H71" s="490"/>
      <c r="I71" s="490"/>
      <c r="J71" s="490"/>
      <c r="K71" s="490"/>
      <c r="L71" s="490"/>
      <c r="M71" s="490"/>
      <c r="N71" s="490"/>
      <c r="O71" s="490"/>
      <c r="Q71" s="806"/>
      <c r="R71" s="490"/>
      <c r="S71" s="490"/>
      <c r="T71" s="490"/>
      <c r="U71" s="490"/>
      <c r="V71" s="490"/>
      <c r="W71" s="490"/>
      <c r="X71" s="490"/>
      <c r="Y71" s="490"/>
      <c r="Z71" s="490"/>
      <c r="AA71" s="490"/>
      <c r="AB71" s="490"/>
      <c r="AC71" s="490"/>
    </row>
    <row r="72" spans="1:29" ht="15" hidden="1" customHeight="1" outlineLevel="1" x14ac:dyDescent="0.35">
      <c r="B72" s="743"/>
      <c r="C72" s="743"/>
      <c r="D72" s="743"/>
      <c r="E72" s="743"/>
      <c r="F72" s="490"/>
      <c r="G72" s="490"/>
      <c r="H72" s="490"/>
      <c r="I72" s="490"/>
      <c r="J72" s="490"/>
      <c r="K72" s="490"/>
      <c r="L72" s="490"/>
      <c r="M72" s="490"/>
      <c r="N72" s="490"/>
      <c r="O72" s="490"/>
      <c r="Q72" s="806"/>
      <c r="R72" s="490"/>
      <c r="S72" s="490"/>
      <c r="T72" s="490"/>
      <c r="U72" s="490"/>
      <c r="V72" s="490"/>
      <c r="W72" s="490"/>
      <c r="X72" s="490"/>
      <c r="Y72" s="490"/>
      <c r="Z72" s="490"/>
      <c r="AA72" s="490"/>
      <c r="AB72" s="490"/>
      <c r="AC72" s="490"/>
    </row>
    <row r="73" spans="1:29" ht="15" hidden="1" customHeight="1" outlineLevel="1" x14ac:dyDescent="0.35">
      <c r="B73" s="743"/>
      <c r="C73" s="743"/>
      <c r="D73" s="743"/>
      <c r="E73" s="743"/>
      <c r="F73" s="490"/>
      <c r="G73" s="490"/>
      <c r="H73" s="490"/>
      <c r="I73" s="490"/>
      <c r="J73" s="490"/>
      <c r="K73" s="490"/>
      <c r="L73" s="490"/>
      <c r="M73" s="490"/>
      <c r="N73" s="490"/>
      <c r="O73" s="490"/>
      <c r="Q73" s="806"/>
      <c r="R73" s="490"/>
      <c r="S73" s="490"/>
      <c r="T73" s="490"/>
      <c r="U73" s="490"/>
      <c r="V73" s="490"/>
      <c r="W73" s="490"/>
      <c r="X73" s="490"/>
      <c r="Y73" s="490"/>
      <c r="Z73" s="490"/>
      <c r="AA73" s="490"/>
      <c r="AB73" s="490"/>
      <c r="AC73" s="490"/>
    </row>
    <row r="74" spans="1:29" ht="15" hidden="1" customHeight="1" outlineLevel="1" x14ac:dyDescent="0.35">
      <c r="B74" s="743"/>
      <c r="C74" s="743"/>
      <c r="D74" s="743"/>
      <c r="E74" s="743"/>
      <c r="F74" s="490"/>
      <c r="G74" s="490"/>
      <c r="H74" s="490"/>
      <c r="I74" s="490"/>
      <c r="J74" s="490"/>
      <c r="K74" s="490"/>
      <c r="L74" s="490"/>
      <c r="M74" s="490"/>
      <c r="N74" s="490"/>
      <c r="O74" s="490"/>
      <c r="Q74" s="806"/>
      <c r="R74" s="490"/>
      <c r="S74" s="490"/>
      <c r="T74" s="490"/>
      <c r="U74" s="490"/>
      <c r="V74" s="490"/>
      <c r="W74" s="490"/>
      <c r="X74" s="490"/>
      <c r="Y74" s="490"/>
      <c r="Z74" s="490"/>
      <c r="AA74" s="490"/>
      <c r="AB74" s="490"/>
      <c r="AC74" s="490"/>
    </row>
    <row r="75" spans="1:29" ht="15" hidden="1" customHeight="1" outlineLevel="1" x14ac:dyDescent="0.35">
      <c r="B75" s="743"/>
      <c r="C75" s="743"/>
      <c r="D75" s="743"/>
      <c r="E75" s="743"/>
      <c r="F75" s="490"/>
      <c r="G75" s="490"/>
      <c r="H75" s="490"/>
      <c r="I75" s="490"/>
      <c r="J75" s="490"/>
      <c r="K75" s="490"/>
      <c r="L75" s="490"/>
      <c r="M75" s="490"/>
      <c r="N75" s="490"/>
      <c r="O75" s="490"/>
      <c r="Q75" s="806"/>
      <c r="R75" s="490"/>
      <c r="S75" s="490"/>
      <c r="T75" s="490"/>
      <c r="U75" s="490"/>
      <c r="V75" s="490"/>
      <c r="W75" s="490"/>
      <c r="X75" s="490"/>
      <c r="Y75" s="490"/>
      <c r="Z75" s="490"/>
      <c r="AA75" s="490"/>
      <c r="AB75" s="490"/>
      <c r="AC75" s="490"/>
    </row>
    <row r="76" spans="1:29" ht="15" hidden="1" customHeight="1" outlineLevel="1" x14ac:dyDescent="0.35">
      <c r="B76" s="743"/>
      <c r="C76" s="743"/>
      <c r="D76" s="743"/>
      <c r="E76" s="743"/>
      <c r="F76" s="490"/>
      <c r="G76" s="490"/>
      <c r="H76" s="490"/>
      <c r="I76" s="490"/>
      <c r="J76" s="490"/>
      <c r="K76" s="490"/>
      <c r="L76" s="490"/>
      <c r="M76" s="490"/>
      <c r="N76" s="490"/>
      <c r="O76" s="490"/>
      <c r="Q76" s="806"/>
      <c r="R76" s="490"/>
      <c r="S76" s="490"/>
      <c r="T76" s="490"/>
      <c r="U76" s="490"/>
      <c r="V76" s="490"/>
      <c r="W76" s="490"/>
      <c r="X76" s="490"/>
      <c r="Y76" s="490"/>
      <c r="Z76" s="490"/>
      <c r="AA76" s="490"/>
      <c r="AB76" s="490"/>
      <c r="AC76" s="490"/>
    </row>
    <row r="77" spans="1:29" ht="15" hidden="1" customHeight="1" outlineLevel="1" x14ac:dyDescent="0.35">
      <c r="B77" s="743"/>
      <c r="C77" s="743"/>
      <c r="D77" s="743"/>
      <c r="E77" s="743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Q77" s="806"/>
      <c r="R77" s="490"/>
      <c r="S77" s="490"/>
      <c r="T77" s="490"/>
      <c r="U77" s="490"/>
      <c r="V77" s="490"/>
      <c r="W77" s="490"/>
      <c r="X77" s="490"/>
      <c r="Y77" s="490"/>
      <c r="Z77" s="490"/>
      <c r="AA77" s="490"/>
      <c r="AB77" s="490"/>
      <c r="AC77" s="490"/>
    </row>
    <row r="78" spans="1:29" ht="15" customHeight="1" collapsed="1" x14ac:dyDescent="0.35">
      <c r="B78" s="743"/>
      <c r="C78" s="743"/>
      <c r="D78" s="743"/>
      <c r="E78" s="743"/>
      <c r="F78" s="490"/>
      <c r="G78" s="490"/>
      <c r="H78" s="490"/>
      <c r="I78" s="490"/>
      <c r="J78" s="490"/>
      <c r="K78" s="490"/>
      <c r="L78" s="490"/>
      <c r="M78" s="490"/>
      <c r="N78" s="490"/>
      <c r="O78" s="490"/>
      <c r="Q78" s="806"/>
      <c r="R78" s="490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</row>
    <row r="79" spans="1:29" ht="15" customHeight="1" x14ac:dyDescent="0.35">
      <c r="B79" s="743"/>
      <c r="C79" s="743"/>
      <c r="D79" s="743"/>
      <c r="E79" s="743"/>
      <c r="F79" s="490"/>
      <c r="G79" s="490"/>
      <c r="H79" s="490"/>
      <c r="I79" s="490"/>
      <c r="J79" s="490"/>
      <c r="K79" s="490"/>
      <c r="L79" s="490"/>
      <c r="M79" s="490"/>
      <c r="N79" s="490"/>
      <c r="O79" s="490"/>
      <c r="Q79" s="806"/>
      <c r="R79" s="490"/>
      <c r="S79" s="490"/>
      <c r="T79" s="490"/>
      <c r="U79" s="490"/>
      <c r="V79" s="490"/>
      <c r="W79" s="490"/>
      <c r="X79" s="490"/>
      <c r="Y79" s="490"/>
      <c r="Z79" s="490"/>
      <c r="AA79" s="490"/>
      <c r="AB79" s="490"/>
      <c r="AC79" s="490"/>
    </row>
    <row r="80" spans="1:29" ht="15" customHeight="1" x14ac:dyDescent="0.35">
      <c r="B80" s="743"/>
      <c r="C80" s="743"/>
      <c r="D80" s="743"/>
      <c r="E80" s="743"/>
      <c r="F80" s="490"/>
      <c r="G80" s="490"/>
      <c r="H80" s="490"/>
      <c r="I80" s="490"/>
      <c r="J80" s="490"/>
      <c r="K80" s="490"/>
      <c r="L80" s="490"/>
      <c r="M80" s="490"/>
      <c r="N80" s="490"/>
      <c r="O80" s="490"/>
      <c r="Q80" s="806"/>
      <c r="R80" s="490"/>
      <c r="S80" s="490"/>
      <c r="T80" s="490"/>
      <c r="U80" s="490"/>
      <c r="V80" s="490"/>
      <c r="W80" s="490"/>
      <c r="X80" s="490"/>
      <c r="Y80" s="490"/>
      <c r="Z80" s="490"/>
      <c r="AA80" s="490"/>
      <c r="AB80" s="490"/>
      <c r="AC80" s="490"/>
    </row>
    <row r="81" spans="2:29" ht="15" customHeight="1" x14ac:dyDescent="0.35">
      <c r="B81" s="743"/>
      <c r="C81" s="743"/>
      <c r="D81" s="743"/>
      <c r="E81" s="743"/>
      <c r="F81" s="490"/>
      <c r="G81" s="490"/>
      <c r="H81" s="490"/>
      <c r="I81" s="490"/>
      <c r="J81" s="620"/>
      <c r="K81" s="620" t="s">
        <v>53</v>
      </c>
      <c r="L81" s="620" t="s">
        <v>54</v>
      </c>
      <c r="M81" s="490"/>
      <c r="N81" s="490"/>
      <c r="O81" s="490"/>
      <c r="Q81" s="806"/>
      <c r="R81" s="490"/>
      <c r="S81" s="490"/>
      <c r="T81" s="490"/>
      <c r="U81" s="490"/>
      <c r="V81" s="490"/>
      <c r="W81" s="490"/>
      <c r="X81" s="490"/>
      <c r="Y81" s="490"/>
      <c r="Z81" s="490"/>
      <c r="AA81" s="490"/>
      <c r="AB81" s="490"/>
      <c r="AC81" s="490"/>
    </row>
    <row r="82" spans="2:29" ht="15" customHeight="1" x14ac:dyDescent="0.35">
      <c r="B82" s="743"/>
      <c r="C82" s="743"/>
      <c r="D82" s="743"/>
      <c r="E82" s="743"/>
      <c r="F82" s="490"/>
      <c r="G82" s="490"/>
      <c r="H82" s="490"/>
      <c r="I82" s="490"/>
      <c r="J82" s="490" t="s">
        <v>505</v>
      </c>
      <c r="K82" s="820">
        <v>0.22688</v>
      </c>
      <c r="L82" s="741">
        <v>0.14094100000000001</v>
      </c>
      <c r="M82" s="490"/>
      <c r="N82" s="490"/>
      <c r="O82" s="490"/>
      <c r="Q82" s="806"/>
      <c r="R82" s="490"/>
      <c r="S82" s="490"/>
      <c r="T82" s="490"/>
      <c r="U82" s="490"/>
      <c r="V82" s="490"/>
      <c r="W82" s="490"/>
      <c r="X82" s="490"/>
      <c r="Y82" s="490"/>
      <c r="Z82" s="490"/>
      <c r="AA82" s="490"/>
      <c r="AB82" s="490"/>
      <c r="AC82" s="490"/>
    </row>
    <row r="83" spans="2:29" ht="15" customHeight="1" x14ac:dyDescent="0.35">
      <c r="B83" s="743"/>
      <c r="C83" s="743"/>
      <c r="D83" s="743"/>
      <c r="E83" s="743"/>
      <c r="F83" s="490"/>
      <c r="G83" s="490"/>
      <c r="H83" s="490"/>
      <c r="I83" s="490"/>
      <c r="J83" s="620"/>
      <c r="K83" s="741">
        <v>0.137905</v>
      </c>
      <c r="L83" s="741">
        <v>0.131749</v>
      </c>
      <c r="M83" s="490"/>
      <c r="N83" s="490"/>
      <c r="O83" s="490"/>
      <c r="Q83" s="806"/>
      <c r="R83" s="490"/>
      <c r="S83" s="490"/>
      <c r="T83" s="490"/>
      <c r="U83" s="490"/>
      <c r="V83" s="490"/>
      <c r="W83" s="490"/>
      <c r="X83" s="490"/>
      <c r="Y83" s="490"/>
      <c r="Z83" s="490"/>
      <c r="AA83" s="490"/>
      <c r="AB83" s="490"/>
      <c r="AC83" s="490"/>
    </row>
    <row r="84" spans="2:29" ht="15" customHeight="1" x14ac:dyDescent="0.35">
      <c r="B84" s="743"/>
      <c r="C84" s="743"/>
      <c r="D84" s="743"/>
      <c r="E84" s="743"/>
      <c r="F84" s="490"/>
      <c r="G84" s="490"/>
      <c r="H84" s="490"/>
      <c r="I84" s="490"/>
      <c r="J84" s="620"/>
      <c r="K84" s="741">
        <v>6.6905000000000006E-2</v>
      </c>
      <c r="L84" s="741">
        <v>7.3783000000000001E-2</v>
      </c>
      <c r="M84" s="490"/>
      <c r="N84" s="490"/>
      <c r="O84" s="490"/>
      <c r="Q84" s="806"/>
      <c r="R84" s="490"/>
      <c r="S84" s="490"/>
      <c r="T84" s="490"/>
      <c r="U84" s="490"/>
      <c r="V84" s="490"/>
      <c r="W84" s="490"/>
      <c r="X84" s="490"/>
      <c r="Y84" s="490"/>
      <c r="Z84" s="490"/>
      <c r="AA84" s="490"/>
      <c r="AB84" s="490"/>
      <c r="AC84" s="490"/>
    </row>
    <row r="85" spans="2:29" ht="15" customHeight="1" x14ac:dyDescent="0.35">
      <c r="B85" s="743"/>
      <c r="C85" s="743"/>
      <c r="D85" s="743"/>
      <c r="E85" s="743"/>
      <c r="F85" s="490"/>
      <c r="G85" s="490"/>
      <c r="H85" s="490"/>
      <c r="I85" s="490"/>
      <c r="J85" s="490"/>
      <c r="K85" s="490"/>
      <c r="L85" s="490"/>
      <c r="M85" s="490"/>
      <c r="N85" s="490"/>
      <c r="O85" s="490"/>
      <c r="Q85" s="490"/>
      <c r="R85" s="490"/>
      <c r="S85" s="490"/>
      <c r="T85" s="490"/>
      <c r="U85" s="490"/>
      <c r="V85" s="490"/>
      <c r="W85" s="490"/>
      <c r="X85" s="490"/>
      <c r="Y85" s="490"/>
      <c r="Z85" s="490"/>
      <c r="AA85" s="490"/>
      <c r="AB85" s="490"/>
      <c r="AC85" s="490"/>
    </row>
    <row r="86" spans="2:29" ht="15" customHeight="1" x14ac:dyDescent="0.35">
      <c r="B86" s="743"/>
      <c r="C86" s="743"/>
      <c r="D86" s="743"/>
      <c r="E86" s="743"/>
      <c r="F86" s="490"/>
      <c r="G86" s="490"/>
      <c r="H86" s="490"/>
      <c r="I86" s="490"/>
      <c r="J86" s="490"/>
      <c r="K86" s="490"/>
      <c r="L86" s="490"/>
      <c r="M86" s="490"/>
      <c r="N86" s="490"/>
      <c r="O86" s="490"/>
      <c r="Q86" s="490"/>
      <c r="R86" s="490"/>
      <c r="S86" s="490"/>
      <c r="T86" s="490"/>
      <c r="U86" s="490"/>
      <c r="V86" s="490"/>
      <c r="W86" s="490"/>
      <c r="X86" s="490"/>
      <c r="Y86" s="490"/>
      <c r="Z86" s="490"/>
      <c r="AA86" s="490"/>
      <c r="AB86" s="490"/>
      <c r="AC86" s="490"/>
    </row>
    <row r="87" spans="2:29" ht="15" customHeight="1" x14ac:dyDescent="0.35">
      <c r="B87" s="743"/>
      <c r="C87" s="743"/>
      <c r="D87" s="743"/>
      <c r="E87" s="743"/>
      <c r="F87" s="490"/>
      <c r="G87" s="490"/>
      <c r="H87" s="490"/>
      <c r="I87" s="490"/>
      <c r="J87" s="490"/>
      <c r="K87" s="490"/>
      <c r="L87" s="490"/>
      <c r="M87" s="490"/>
      <c r="N87" s="490"/>
      <c r="O87" s="490"/>
      <c r="Q87" s="490"/>
      <c r="R87" s="490"/>
      <c r="S87" s="490"/>
      <c r="T87" s="490"/>
      <c r="U87" s="490"/>
      <c r="V87" s="490"/>
      <c r="W87" s="490"/>
      <c r="X87" s="490"/>
      <c r="Y87" s="490"/>
      <c r="Z87" s="490"/>
      <c r="AA87" s="490"/>
      <c r="AB87" s="490"/>
      <c r="AC87" s="490"/>
    </row>
    <row r="88" spans="2:29" ht="15" customHeight="1" x14ac:dyDescent="0.35">
      <c r="B88" s="743"/>
      <c r="C88" s="743"/>
      <c r="D88" s="743"/>
      <c r="E88" s="743"/>
      <c r="F88" s="490"/>
      <c r="G88" s="490"/>
      <c r="H88" s="490"/>
      <c r="I88" s="490"/>
      <c r="J88" s="490"/>
      <c r="K88" s="490"/>
      <c r="L88" s="490"/>
      <c r="M88" s="490"/>
      <c r="N88" s="490"/>
      <c r="O88" s="490"/>
      <c r="Q88" s="490"/>
      <c r="R88" s="490"/>
      <c r="S88" s="490"/>
      <c r="T88" s="490"/>
      <c r="U88" s="490"/>
      <c r="V88" s="490"/>
      <c r="W88" s="490"/>
      <c r="X88" s="490"/>
      <c r="Y88" s="490"/>
      <c r="Z88" s="490"/>
      <c r="AA88" s="490"/>
      <c r="AB88" s="490"/>
      <c r="AC88" s="490"/>
    </row>
    <row r="89" spans="2:29" ht="15" customHeight="1" x14ac:dyDescent="0.35">
      <c r="B89" s="743"/>
      <c r="C89" s="743"/>
      <c r="D89" s="743"/>
      <c r="E89" s="743"/>
      <c r="F89" s="490"/>
      <c r="G89" s="490"/>
      <c r="H89" s="490"/>
      <c r="I89" s="490"/>
      <c r="J89" s="490"/>
      <c r="K89" s="490"/>
      <c r="L89" s="490"/>
      <c r="M89" s="490"/>
      <c r="N89" s="490"/>
      <c r="O89" s="490"/>
      <c r="Q89" s="490"/>
      <c r="R89" s="490"/>
      <c r="S89" s="490"/>
      <c r="T89" s="490"/>
      <c r="U89" s="490"/>
      <c r="V89" s="490"/>
      <c r="W89" s="490"/>
      <c r="X89" s="490"/>
      <c r="Y89" s="490"/>
      <c r="Z89" s="490"/>
      <c r="AA89" s="490"/>
      <c r="AB89" s="490"/>
      <c r="AC89" s="490"/>
    </row>
    <row r="90" spans="2:29" ht="15" customHeight="1" x14ac:dyDescent="0.35">
      <c r="B90" s="743"/>
      <c r="C90" s="743"/>
      <c r="D90" s="743"/>
      <c r="E90" s="743"/>
      <c r="F90" s="490"/>
      <c r="G90" s="490"/>
      <c r="H90" s="490"/>
      <c r="I90" s="490"/>
      <c r="J90" s="761" t="s">
        <v>526</v>
      </c>
      <c r="K90" s="762" t="s">
        <v>506</v>
      </c>
      <c r="L90" s="763" t="s">
        <v>507</v>
      </c>
      <c r="M90" s="490"/>
      <c r="N90" s="490"/>
      <c r="O90" s="490"/>
      <c r="Q90" s="490"/>
      <c r="R90" s="490"/>
      <c r="S90" s="490"/>
      <c r="T90" s="490"/>
      <c r="U90" s="490"/>
      <c r="V90" s="490"/>
      <c r="W90" s="490"/>
      <c r="X90" s="490"/>
      <c r="Y90" s="490"/>
      <c r="Z90" s="490"/>
      <c r="AA90" s="490"/>
      <c r="AB90" s="490"/>
      <c r="AC90" s="490"/>
    </row>
    <row r="91" spans="2:29" ht="15" customHeight="1" x14ac:dyDescent="0.35">
      <c r="B91" s="743"/>
      <c r="C91" s="743"/>
      <c r="D91" s="743"/>
      <c r="E91" s="743"/>
      <c r="F91" s="490"/>
      <c r="G91" s="490"/>
      <c r="H91" s="490"/>
      <c r="I91" s="490"/>
      <c r="J91" s="755" t="s">
        <v>510</v>
      </c>
      <c r="K91" s="535">
        <v>0.127167</v>
      </c>
      <c r="L91" s="756">
        <v>0.129555</v>
      </c>
      <c r="M91" s="490"/>
      <c r="N91" s="490"/>
      <c r="O91" s="490"/>
      <c r="Q91" s="490"/>
      <c r="R91" s="490"/>
      <c r="S91" s="490"/>
      <c r="T91" s="490"/>
      <c r="U91" s="490"/>
      <c r="V91" s="490"/>
      <c r="W91" s="490"/>
      <c r="X91" s="490"/>
      <c r="Y91" s="490"/>
      <c r="Z91" s="490"/>
      <c r="AA91" s="490"/>
      <c r="AB91" s="490"/>
      <c r="AC91" s="490"/>
    </row>
    <row r="92" spans="2:29" ht="15" customHeight="1" x14ac:dyDescent="0.35">
      <c r="B92" s="743"/>
      <c r="C92" s="743"/>
      <c r="D92" s="743"/>
      <c r="E92" s="743"/>
      <c r="F92" s="490"/>
      <c r="G92" s="490"/>
      <c r="H92" s="490"/>
      <c r="I92" s="490"/>
      <c r="J92" s="755" t="s">
        <v>511</v>
      </c>
      <c r="K92" s="535">
        <v>0.136792</v>
      </c>
      <c r="L92" s="756">
        <v>0.129555</v>
      </c>
      <c r="M92" s="490"/>
      <c r="N92" s="490"/>
      <c r="O92" s="490"/>
      <c r="Q92" s="806"/>
      <c r="R92" s="490"/>
      <c r="S92" s="490"/>
      <c r="T92" s="490"/>
      <c r="U92" s="490"/>
      <c r="V92" s="490"/>
      <c r="W92" s="490"/>
      <c r="X92" s="490"/>
      <c r="Y92" s="490"/>
      <c r="Z92" s="490"/>
      <c r="AA92" s="490"/>
      <c r="AB92" s="490"/>
      <c r="AC92" s="490"/>
    </row>
    <row r="93" spans="2:29" ht="15" customHeight="1" x14ac:dyDescent="0.35">
      <c r="B93" s="743"/>
      <c r="C93" s="743"/>
      <c r="D93" s="743"/>
      <c r="E93" s="743"/>
      <c r="F93" s="490"/>
      <c r="G93" s="490"/>
      <c r="H93" s="490"/>
      <c r="I93" s="490"/>
      <c r="J93" s="755" t="s">
        <v>512</v>
      </c>
      <c r="K93" s="535">
        <v>0.12674299999999999</v>
      </c>
      <c r="L93" s="757">
        <v>0.12912000000000001</v>
      </c>
      <c r="M93" s="490"/>
      <c r="N93" s="490"/>
      <c r="O93" s="490"/>
      <c r="Q93" s="806"/>
      <c r="R93" s="490"/>
      <c r="S93" s="490"/>
      <c r="T93" s="490"/>
      <c r="U93" s="490"/>
      <c r="V93" s="490"/>
      <c r="W93" s="490"/>
      <c r="X93" s="490"/>
      <c r="Y93" s="490"/>
      <c r="Z93" s="490"/>
      <c r="AA93" s="490"/>
      <c r="AB93" s="490"/>
      <c r="AC93" s="490"/>
    </row>
    <row r="94" spans="2:29" ht="15" customHeight="1" x14ac:dyDescent="0.35">
      <c r="B94" s="743"/>
      <c r="C94" s="743"/>
      <c r="D94" s="743"/>
      <c r="E94" s="743"/>
      <c r="F94" s="490"/>
      <c r="G94" s="490"/>
      <c r="H94" s="490"/>
      <c r="I94" s="490"/>
      <c r="J94" s="758" t="s">
        <v>513</v>
      </c>
      <c r="K94" s="759">
        <v>0.136239</v>
      </c>
      <c r="L94" s="760">
        <v>0.12912000000000001</v>
      </c>
      <c r="M94" s="490"/>
      <c r="N94" s="490"/>
      <c r="O94" s="490"/>
      <c r="Q94" s="806"/>
      <c r="R94" s="490"/>
      <c r="S94" s="490"/>
      <c r="T94" s="490"/>
      <c r="U94" s="490"/>
      <c r="V94" s="490"/>
      <c r="W94" s="490"/>
      <c r="X94" s="490"/>
      <c r="Y94" s="490"/>
      <c r="Z94" s="490"/>
      <c r="AA94" s="490"/>
      <c r="AB94" s="490"/>
      <c r="AC94" s="490"/>
    </row>
    <row r="95" spans="2:29" ht="15" customHeight="1" thickBot="1" x14ac:dyDescent="0.4">
      <c r="B95" s="743"/>
      <c r="C95" s="743"/>
      <c r="D95" s="743"/>
      <c r="E95" s="743"/>
      <c r="F95" s="490"/>
      <c r="G95" s="490"/>
      <c r="H95" s="490"/>
      <c r="I95" s="490"/>
      <c r="J95" s="620"/>
      <c r="K95" s="620"/>
      <c r="L95" s="745"/>
      <c r="M95" s="490"/>
      <c r="N95" s="490"/>
      <c r="O95" s="490"/>
      <c r="Q95" s="806"/>
      <c r="R95" s="490"/>
      <c r="S95" s="490"/>
      <c r="T95" s="490"/>
      <c r="U95" s="490"/>
      <c r="V95" s="490"/>
      <c r="W95" s="490"/>
      <c r="X95" s="490"/>
      <c r="Y95" s="490"/>
      <c r="Z95" s="490"/>
      <c r="AA95" s="490"/>
      <c r="AB95" s="490"/>
      <c r="AC95" s="490"/>
    </row>
    <row r="96" spans="2:29" ht="15" customHeight="1" x14ac:dyDescent="0.35">
      <c r="B96" s="743"/>
      <c r="C96" s="743"/>
      <c r="D96" s="743"/>
      <c r="E96" s="743"/>
      <c r="F96" s="490"/>
      <c r="G96" s="490"/>
      <c r="H96" s="490"/>
      <c r="I96" s="490"/>
      <c r="J96" s="746"/>
      <c r="K96" s="747" t="s">
        <v>53</v>
      </c>
      <c r="L96" s="748" t="s">
        <v>54</v>
      </c>
      <c r="M96" s="490"/>
      <c r="N96" s="490"/>
      <c r="O96" s="490"/>
      <c r="Q96" s="806"/>
      <c r="R96" s="490"/>
      <c r="S96" s="490"/>
      <c r="T96" s="490"/>
      <c r="U96" s="490"/>
      <c r="V96" s="490"/>
      <c r="W96" s="490"/>
      <c r="X96" s="490"/>
      <c r="Y96" s="490"/>
      <c r="Z96" s="490"/>
      <c r="AA96" s="490"/>
      <c r="AB96" s="490"/>
      <c r="AC96" s="490"/>
    </row>
    <row r="97" spans="2:29" ht="15" customHeight="1" x14ac:dyDescent="0.35">
      <c r="B97" s="743"/>
      <c r="C97" s="743"/>
      <c r="D97" s="743"/>
      <c r="E97" s="743"/>
      <c r="F97" s="490"/>
      <c r="G97" s="490"/>
      <c r="H97" s="490"/>
      <c r="I97" s="490"/>
      <c r="J97" s="749" t="s">
        <v>518</v>
      </c>
      <c r="K97" s="496"/>
      <c r="L97" s="511"/>
      <c r="M97" s="490"/>
      <c r="N97" s="490"/>
      <c r="O97" s="490"/>
      <c r="Q97" s="806"/>
      <c r="R97" s="490"/>
      <c r="S97" s="490"/>
      <c r="T97" s="490"/>
      <c r="U97" s="490"/>
      <c r="V97" s="490"/>
      <c r="W97" s="490"/>
      <c r="X97" s="490"/>
      <c r="Y97" s="490"/>
      <c r="Z97" s="490"/>
      <c r="AA97" s="490"/>
      <c r="AB97" s="490"/>
      <c r="AC97" s="490"/>
    </row>
    <row r="98" spans="2:29" ht="15" customHeight="1" x14ac:dyDescent="0.35">
      <c r="B98" s="743"/>
      <c r="C98" s="743"/>
      <c r="D98" s="743"/>
      <c r="E98" s="743"/>
      <c r="F98" s="490"/>
      <c r="G98" s="490"/>
      <c r="H98" s="490"/>
      <c r="I98" s="490"/>
      <c r="J98" s="506" t="s">
        <v>508</v>
      </c>
      <c r="K98" s="496">
        <v>0.280858</v>
      </c>
      <c r="L98" s="750">
        <v>0.24862200000000001</v>
      </c>
      <c r="M98" s="490"/>
      <c r="N98" s="490"/>
      <c r="O98" s="490"/>
      <c r="Q98" s="806"/>
      <c r="R98" s="490"/>
      <c r="S98" s="490"/>
      <c r="T98" s="490"/>
      <c r="U98" s="490"/>
      <c r="V98" s="490"/>
      <c r="W98" s="490"/>
      <c r="X98" s="490"/>
      <c r="Y98" s="490"/>
      <c r="Z98" s="490"/>
      <c r="AA98" s="490"/>
      <c r="AB98" s="490"/>
      <c r="AC98" s="490"/>
    </row>
    <row r="99" spans="2:29" ht="15" customHeight="1" x14ac:dyDescent="0.35">
      <c r="B99" s="743"/>
      <c r="C99" s="743"/>
      <c r="D99" s="743"/>
      <c r="E99" s="743"/>
      <c r="F99" s="490"/>
      <c r="G99" s="490"/>
      <c r="H99" s="490"/>
      <c r="I99" s="490"/>
      <c r="J99" s="506" t="s">
        <v>509</v>
      </c>
      <c r="K99" s="496">
        <v>0.294429</v>
      </c>
      <c r="L99" s="750">
        <v>0.24862200000000001</v>
      </c>
      <c r="M99" s="490"/>
      <c r="N99" s="490"/>
      <c r="O99" s="490"/>
      <c r="Q99" s="806"/>
      <c r="R99" s="490"/>
      <c r="S99" s="490"/>
      <c r="T99" s="490"/>
      <c r="U99" s="490"/>
      <c r="V99" s="490"/>
      <c r="W99" s="490"/>
      <c r="X99" s="490"/>
      <c r="Y99" s="490"/>
      <c r="Z99" s="490"/>
      <c r="AA99" s="490"/>
      <c r="AB99" s="490"/>
      <c r="AC99" s="490"/>
    </row>
    <row r="100" spans="2:29" ht="15" customHeight="1" x14ac:dyDescent="0.35">
      <c r="B100" s="743"/>
      <c r="C100" s="743"/>
      <c r="D100" s="743"/>
      <c r="E100" s="743"/>
      <c r="F100" s="490"/>
      <c r="G100" s="490"/>
      <c r="H100" s="490"/>
      <c r="I100" s="490"/>
      <c r="J100" s="506" t="s">
        <v>524</v>
      </c>
      <c r="K100" s="751">
        <v>0.28250718448023426</v>
      </c>
      <c r="L100" s="750"/>
      <c r="M100" s="490"/>
      <c r="N100" s="490"/>
      <c r="O100" s="490"/>
      <c r="Q100" s="806"/>
      <c r="R100" s="490"/>
      <c r="S100" s="490"/>
      <c r="T100" s="490"/>
      <c r="U100" s="490"/>
      <c r="V100" s="490"/>
      <c r="W100" s="490"/>
      <c r="X100" s="490"/>
      <c r="Y100" s="490"/>
      <c r="Z100" s="490"/>
      <c r="AA100" s="490"/>
      <c r="AB100" s="490"/>
      <c r="AC100" s="490"/>
    </row>
    <row r="101" spans="2:29" ht="15" customHeight="1" x14ac:dyDescent="0.35">
      <c r="B101" s="743"/>
      <c r="C101" s="743"/>
      <c r="D101" s="743"/>
      <c r="E101" s="743"/>
      <c r="F101" s="490"/>
      <c r="G101" s="490"/>
      <c r="H101" s="490"/>
      <c r="I101" s="490"/>
      <c r="J101" s="506"/>
      <c r="K101" s="496"/>
      <c r="L101" s="750"/>
      <c r="M101" s="490"/>
      <c r="N101" s="490"/>
      <c r="O101" s="490"/>
      <c r="Q101" s="806"/>
      <c r="R101" s="490"/>
      <c r="S101" s="490"/>
      <c r="T101" s="490"/>
      <c r="U101" s="490"/>
      <c r="V101" s="490"/>
      <c r="W101" s="490"/>
      <c r="X101" s="490"/>
      <c r="Y101" s="490"/>
      <c r="Z101" s="490"/>
      <c r="AA101" s="490"/>
      <c r="AB101" s="490"/>
      <c r="AC101" s="490"/>
    </row>
    <row r="102" spans="2:29" ht="15" customHeight="1" x14ac:dyDescent="0.35">
      <c r="B102" s="743"/>
      <c r="C102" s="743"/>
      <c r="D102" s="743"/>
      <c r="E102" s="743"/>
      <c r="F102" s="490"/>
      <c r="G102" s="490"/>
      <c r="H102" s="490"/>
      <c r="I102" s="490"/>
      <c r="J102" s="506" t="s">
        <v>510</v>
      </c>
      <c r="K102" s="496">
        <v>0.28128200000000003</v>
      </c>
      <c r="L102" s="750">
        <v>0.249057</v>
      </c>
      <c r="M102" s="490"/>
      <c r="N102" s="490"/>
      <c r="O102" s="490"/>
      <c r="Q102" s="806"/>
      <c r="R102" s="490"/>
      <c r="S102" s="490"/>
      <c r="T102" s="490"/>
      <c r="U102" s="490"/>
      <c r="V102" s="490"/>
      <c r="W102" s="490"/>
      <c r="X102" s="490"/>
      <c r="Y102" s="490"/>
      <c r="Z102" s="490"/>
      <c r="AA102" s="490"/>
      <c r="AB102" s="490"/>
      <c r="AC102" s="490"/>
    </row>
    <row r="103" spans="2:29" ht="15" customHeight="1" x14ac:dyDescent="0.35">
      <c r="B103" s="743"/>
      <c r="C103" s="743"/>
      <c r="D103" s="743"/>
      <c r="E103" s="743"/>
      <c r="F103" s="490"/>
      <c r="G103" s="490"/>
      <c r="H103" s="490"/>
      <c r="I103" s="490"/>
      <c r="J103" s="506" t="s">
        <v>514</v>
      </c>
      <c r="K103" s="496">
        <v>0.29090700000000003</v>
      </c>
      <c r="L103" s="750">
        <v>0.249057</v>
      </c>
      <c r="M103" s="490"/>
      <c r="N103" s="490"/>
      <c r="O103" s="490"/>
      <c r="Q103" s="806"/>
      <c r="R103" s="490"/>
      <c r="S103" s="490"/>
      <c r="T103" s="490"/>
      <c r="U103" s="490"/>
      <c r="V103" s="490"/>
      <c r="W103" s="490"/>
      <c r="X103" s="490"/>
      <c r="Y103" s="490"/>
      <c r="Z103" s="490"/>
      <c r="AA103" s="490"/>
      <c r="AB103" s="490"/>
      <c r="AC103" s="490"/>
    </row>
    <row r="104" spans="2:29" ht="15" customHeight="1" x14ac:dyDescent="0.35">
      <c r="B104" s="743"/>
      <c r="C104" s="743"/>
      <c r="D104" s="743"/>
      <c r="E104" s="743"/>
      <c r="F104" s="490"/>
      <c r="G104" s="490"/>
      <c r="H104" s="490"/>
      <c r="I104" s="490"/>
      <c r="J104" s="506" t="s">
        <v>525</v>
      </c>
      <c r="K104" s="751">
        <v>0.28245165592972182</v>
      </c>
      <c r="L104" s="750"/>
      <c r="M104" s="490"/>
      <c r="N104" s="490"/>
      <c r="O104" s="490"/>
      <c r="Q104" s="806"/>
      <c r="R104" s="490"/>
      <c r="S104" s="490"/>
      <c r="T104" s="490"/>
      <c r="U104" s="490"/>
      <c r="V104" s="490"/>
      <c r="W104" s="490"/>
      <c r="X104" s="490"/>
      <c r="Y104" s="490"/>
      <c r="Z104" s="490"/>
      <c r="AA104" s="490"/>
      <c r="AB104" s="490"/>
      <c r="AC104" s="490"/>
    </row>
    <row r="105" spans="2:29" ht="15" customHeight="1" x14ac:dyDescent="0.35">
      <c r="B105" s="743"/>
      <c r="C105" s="743"/>
      <c r="D105" s="743"/>
      <c r="E105" s="743"/>
      <c r="F105" s="490"/>
      <c r="G105" s="490"/>
      <c r="H105" s="490"/>
      <c r="I105" s="490"/>
      <c r="J105" s="506"/>
      <c r="K105" s="496"/>
      <c r="L105" s="511"/>
      <c r="M105" s="490"/>
      <c r="N105" s="490"/>
      <c r="O105" s="490"/>
      <c r="Q105" s="806"/>
      <c r="R105" s="490" t="s">
        <v>530</v>
      </c>
      <c r="S105" s="490"/>
      <c r="T105" s="490"/>
      <c r="U105" s="490"/>
      <c r="V105" s="490"/>
      <c r="W105" s="490"/>
      <c r="X105" s="490"/>
      <c r="Y105" s="490"/>
      <c r="Z105" s="490"/>
      <c r="AA105" s="490"/>
      <c r="AB105" s="490"/>
      <c r="AC105" s="490"/>
    </row>
    <row r="106" spans="2:29" ht="15" customHeight="1" x14ac:dyDescent="0.35">
      <c r="B106" s="743"/>
      <c r="C106" s="743"/>
      <c r="D106" s="743"/>
      <c r="E106" s="743"/>
      <c r="F106" s="490"/>
      <c r="G106" s="490"/>
      <c r="H106" s="490"/>
      <c r="I106" s="490"/>
      <c r="J106" s="506"/>
      <c r="K106" s="496"/>
      <c r="L106" s="511"/>
      <c r="M106" s="490"/>
      <c r="N106" s="490"/>
      <c r="O106" s="490"/>
      <c r="Q106" s="806" t="s">
        <v>531</v>
      </c>
      <c r="R106" s="807">
        <v>0.14587</v>
      </c>
      <c r="S106" s="490">
        <f>R107</f>
        <v>7.2936000000000001E-2</v>
      </c>
      <c r="T106" s="490"/>
      <c r="U106" s="490"/>
      <c r="V106" s="490"/>
      <c r="W106" s="490"/>
      <c r="X106" s="490"/>
      <c r="Y106" s="490"/>
      <c r="Z106" s="490"/>
      <c r="AA106" s="490"/>
      <c r="AB106" s="490"/>
      <c r="AC106" s="490"/>
    </row>
    <row r="107" spans="2:29" ht="15" customHeight="1" x14ac:dyDescent="0.35">
      <c r="B107" s="743"/>
      <c r="C107" s="743"/>
      <c r="D107" s="743"/>
      <c r="E107" s="743"/>
      <c r="F107" s="490"/>
      <c r="G107" s="490"/>
      <c r="H107" s="490"/>
      <c r="I107" s="490"/>
      <c r="J107" s="749" t="s">
        <v>519</v>
      </c>
      <c r="K107" s="496"/>
      <c r="L107" s="511"/>
      <c r="M107" s="490"/>
      <c r="N107" s="490"/>
      <c r="O107" s="490"/>
      <c r="Q107" s="806"/>
      <c r="R107" s="490">
        <v>7.2936000000000001E-2</v>
      </c>
      <c r="S107" s="490">
        <f>R107</f>
        <v>7.2936000000000001E-2</v>
      </c>
      <c r="T107" s="490"/>
      <c r="U107" s="490"/>
      <c r="V107" s="490"/>
      <c r="W107" s="490"/>
      <c r="X107" s="490"/>
      <c r="Y107" s="490"/>
      <c r="Z107" s="490"/>
      <c r="AA107" s="490"/>
      <c r="AB107" s="490"/>
      <c r="AC107" s="490"/>
    </row>
    <row r="108" spans="2:29" ht="15" customHeight="1" x14ac:dyDescent="0.35">
      <c r="B108" s="743"/>
      <c r="C108" s="743"/>
      <c r="D108" s="743"/>
      <c r="E108" s="743"/>
      <c r="F108" s="490"/>
      <c r="G108" s="490"/>
      <c r="H108" s="490"/>
      <c r="I108" s="490"/>
      <c r="J108" s="506" t="s">
        <v>515</v>
      </c>
      <c r="K108" s="751">
        <v>0.59189499999999995</v>
      </c>
      <c r="L108" s="511">
        <v>0.37660700000000003</v>
      </c>
      <c r="M108" s="490"/>
      <c r="N108" s="490"/>
      <c r="O108" s="490"/>
      <c r="Q108" s="806"/>
      <c r="R108" s="490"/>
      <c r="S108" s="490"/>
      <c r="T108" s="490"/>
      <c r="U108" s="490"/>
      <c r="V108" s="490"/>
      <c r="W108" s="490"/>
      <c r="X108" s="490"/>
      <c r="Y108" s="490"/>
      <c r="Z108" s="490"/>
      <c r="AA108" s="490"/>
      <c r="AB108" s="490"/>
      <c r="AC108" s="490"/>
    </row>
    <row r="109" spans="2:29" ht="15" customHeight="1" x14ac:dyDescent="0.35">
      <c r="B109" s="743"/>
      <c r="C109" s="743"/>
      <c r="D109" s="743"/>
      <c r="E109" s="743"/>
      <c r="F109" s="490"/>
      <c r="G109" s="490"/>
      <c r="H109" s="490"/>
      <c r="I109" s="490"/>
      <c r="J109" s="506" t="s">
        <v>516</v>
      </c>
      <c r="K109" s="496">
        <v>0.260739</v>
      </c>
      <c r="L109" s="511">
        <v>0.254583</v>
      </c>
      <c r="M109" s="785">
        <f>L102-0.001</f>
        <v>0.248057</v>
      </c>
      <c r="N109" s="785">
        <f>M109-L113</f>
        <v>0</v>
      </c>
      <c r="O109" s="490"/>
      <c r="Q109" s="806" t="s">
        <v>532</v>
      </c>
      <c r="R109" s="807">
        <v>0.21162400000000001</v>
      </c>
      <c r="S109" s="807">
        <v>0.15520900000000001</v>
      </c>
      <c r="T109" s="490"/>
      <c r="U109" s="490"/>
      <c r="V109" s="490"/>
      <c r="W109" s="490"/>
      <c r="X109" s="490"/>
      <c r="Y109" s="490"/>
      <c r="Z109" s="490"/>
      <c r="AA109" s="490"/>
      <c r="AB109" s="490"/>
      <c r="AC109" s="490"/>
    </row>
    <row r="110" spans="2:29" ht="15" customHeight="1" x14ac:dyDescent="0.35">
      <c r="B110" s="743"/>
      <c r="C110" s="743"/>
      <c r="D110" s="743"/>
      <c r="E110" s="743"/>
      <c r="F110" s="490"/>
      <c r="G110" s="490"/>
      <c r="H110" s="490"/>
      <c r="I110" s="490"/>
      <c r="J110" s="506" t="s">
        <v>517</v>
      </c>
      <c r="K110" s="496">
        <v>9.5615000000000006E-2</v>
      </c>
      <c r="L110" s="511">
        <v>0.102493</v>
      </c>
      <c r="M110" s="490"/>
      <c r="N110" s="490"/>
      <c r="O110" s="490"/>
      <c r="Q110" s="806"/>
      <c r="R110" s="807">
        <v>4.2376999999999998E-2</v>
      </c>
      <c r="S110" s="490">
        <f>R110</f>
        <v>4.2376999999999998E-2</v>
      </c>
      <c r="T110" s="490"/>
      <c r="U110" s="490"/>
      <c r="V110" s="490"/>
      <c r="W110" s="490"/>
      <c r="X110" s="490"/>
      <c r="Y110" s="490"/>
      <c r="Z110" s="490"/>
      <c r="AA110" s="490"/>
      <c r="AB110" s="490"/>
      <c r="AC110" s="490"/>
    </row>
    <row r="111" spans="2:29" ht="15" customHeight="1" x14ac:dyDescent="0.35">
      <c r="B111" s="743"/>
      <c r="C111" s="743"/>
      <c r="D111" s="743"/>
      <c r="E111" s="743"/>
      <c r="F111" s="490"/>
      <c r="G111" s="490"/>
      <c r="H111" s="490"/>
      <c r="I111" s="490"/>
      <c r="J111" s="506"/>
      <c r="K111" s="496"/>
      <c r="L111" s="511"/>
      <c r="M111" s="490"/>
      <c r="N111" s="490"/>
      <c r="O111" s="490"/>
      <c r="Q111" s="806"/>
      <c r="R111" s="807">
        <v>2.1189E-2</v>
      </c>
      <c r="S111" s="490">
        <f>R111</f>
        <v>2.1189E-2</v>
      </c>
      <c r="T111" s="490"/>
      <c r="U111" s="490"/>
      <c r="V111" s="490"/>
      <c r="W111" s="490"/>
      <c r="X111" s="490"/>
      <c r="Y111" s="490"/>
      <c r="Z111" s="490"/>
      <c r="AA111" s="490"/>
      <c r="AB111" s="490"/>
      <c r="AC111" s="490"/>
    </row>
    <row r="112" spans="2:29" ht="15" customHeight="1" x14ac:dyDescent="0.35">
      <c r="B112" s="743"/>
      <c r="C112" s="743"/>
      <c r="D112" s="743"/>
      <c r="E112" s="743"/>
      <c r="F112" s="490"/>
      <c r="G112" s="490"/>
      <c r="H112" s="490"/>
      <c r="I112" s="490"/>
      <c r="J112" s="506" t="s">
        <v>520</v>
      </c>
      <c r="K112" s="821">
        <v>0.58476432073778095</v>
      </c>
      <c r="L112" s="752">
        <v>0.38011077137637606</v>
      </c>
      <c r="M112" s="490"/>
      <c r="N112" s="490"/>
      <c r="O112" s="490"/>
      <c r="Q112" s="806"/>
      <c r="R112" s="490"/>
      <c r="S112" s="490"/>
      <c r="T112" s="490"/>
      <c r="U112" s="490"/>
      <c r="V112" s="490"/>
      <c r="W112" s="490"/>
      <c r="X112" s="490"/>
      <c r="Y112" s="490"/>
      <c r="Z112" s="490"/>
      <c r="AA112" s="490"/>
      <c r="AB112" s="490"/>
      <c r="AC112" s="490"/>
    </row>
    <row r="113" spans="2:29" ht="15" customHeight="1" x14ac:dyDescent="0.35">
      <c r="B113" s="743"/>
      <c r="C113" s="743"/>
      <c r="D113" s="743"/>
      <c r="E113" s="743"/>
      <c r="F113" s="490"/>
      <c r="G113" s="490"/>
      <c r="H113" s="490"/>
      <c r="I113" s="490"/>
      <c r="J113" s="506" t="s">
        <v>521</v>
      </c>
      <c r="K113" s="822">
        <v>0.27176974520932623</v>
      </c>
      <c r="L113" s="752">
        <v>0.24805699999999994</v>
      </c>
      <c r="M113" s="490"/>
      <c r="N113" s="490"/>
      <c r="O113" s="490"/>
      <c r="Q113" s="806"/>
      <c r="R113" s="490"/>
      <c r="S113" s="490"/>
      <c r="T113" s="490"/>
      <c r="U113" s="490"/>
      <c r="V113" s="490"/>
      <c r="W113" s="490"/>
      <c r="X113" s="490"/>
      <c r="Y113" s="490"/>
      <c r="Z113" s="490"/>
      <c r="AA113" s="490"/>
      <c r="AB113" s="490"/>
      <c r="AC113" s="490"/>
    </row>
    <row r="114" spans="2:29" ht="15" customHeight="1" thickBot="1" x14ac:dyDescent="0.4">
      <c r="B114" s="743"/>
      <c r="C114" s="743"/>
      <c r="D114" s="743"/>
      <c r="E114" s="743"/>
      <c r="F114" s="490"/>
      <c r="G114" s="490"/>
      <c r="H114" s="490"/>
      <c r="I114" s="490"/>
      <c r="J114" s="753" t="s">
        <v>522</v>
      </c>
      <c r="K114" s="823">
        <v>9.3218451201570574E-2</v>
      </c>
      <c r="L114" s="754">
        <v>0.10474608354227675</v>
      </c>
      <c r="M114" s="490"/>
      <c r="N114" s="490"/>
      <c r="O114" s="490"/>
      <c r="Q114" s="806"/>
      <c r="R114" s="490"/>
      <c r="S114" s="490"/>
      <c r="T114" s="490"/>
      <c r="U114" s="490"/>
      <c r="V114" s="490"/>
      <c r="W114" s="490"/>
      <c r="X114" s="490"/>
      <c r="Y114" s="490"/>
      <c r="Z114" s="490"/>
      <c r="AA114" s="490"/>
      <c r="AB114" s="490"/>
      <c r="AC114" s="490"/>
    </row>
    <row r="115" spans="2:29" ht="15" customHeight="1" x14ac:dyDescent="0.35">
      <c r="B115" s="743"/>
      <c r="C115" s="743"/>
      <c r="D115" s="743"/>
      <c r="E115" s="743"/>
      <c r="F115" s="490"/>
      <c r="G115" s="490"/>
      <c r="H115" s="490"/>
      <c r="I115" s="490"/>
      <c r="J115" s="490"/>
      <c r="K115" s="490"/>
      <c r="L115" s="490"/>
      <c r="M115" s="490"/>
      <c r="N115" s="490"/>
      <c r="O115" s="490"/>
      <c r="Q115" s="806"/>
      <c r="R115" s="490"/>
      <c r="S115" s="490"/>
      <c r="T115" s="490"/>
      <c r="U115" s="490"/>
      <c r="V115" s="490"/>
      <c r="W115" s="490"/>
      <c r="X115" s="490"/>
      <c r="Y115" s="490"/>
      <c r="Z115" s="490"/>
      <c r="AA115" s="490"/>
      <c r="AB115" s="490"/>
      <c r="AC115" s="490"/>
    </row>
    <row r="116" spans="2:29" ht="15" customHeight="1" x14ac:dyDescent="0.35">
      <c r="E116" s="743"/>
      <c r="F116" s="490"/>
      <c r="G116" s="490"/>
      <c r="H116" s="490"/>
      <c r="I116" s="490"/>
      <c r="J116" s="490"/>
      <c r="K116" s="490"/>
      <c r="L116" s="490"/>
      <c r="M116" s="490"/>
      <c r="N116" s="490"/>
      <c r="O116" s="490"/>
      <c r="Q116" s="806"/>
      <c r="R116" s="490"/>
      <c r="S116" s="490"/>
      <c r="T116" s="490"/>
      <c r="U116" s="490"/>
      <c r="V116" s="490"/>
      <c r="W116" s="490"/>
      <c r="X116" s="490"/>
      <c r="Y116" s="490"/>
      <c r="Z116" s="490"/>
      <c r="AA116" s="490"/>
      <c r="AB116" s="490"/>
      <c r="AC116" s="490"/>
    </row>
    <row r="117" spans="2:29" ht="15" customHeight="1" x14ac:dyDescent="0.35">
      <c r="E117" s="743"/>
      <c r="F117" s="490"/>
      <c r="G117" s="490"/>
      <c r="H117" s="490"/>
      <c r="I117" s="490"/>
      <c r="J117" s="490"/>
      <c r="K117" s="490"/>
      <c r="L117" s="490"/>
      <c r="M117" s="490"/>
      <c r="N117" s="490"/>
      <c r="O117" s="490"/>
      <c r="Q117" s="806"/>
      <c r="R117" s="490"/>
      <c r="S117" s="490"/>
      <c r="T117" s="490"/>
      <c r="U117" s="490"/>
      <c r="V117" s="490"/>
      <c r="W117" s="490"/>
      <c r="X117" s="490"/>
      <c r="Y117" s="490"/>
      <c r="Z117" s="490"/>
      <c r="AA117" s="490"/>
      <c r="AB117" s="490"/>
      <c r="AC117" s="490"/>
    </row>
    <row r="118" spans="2:29" ht="15" customHeight="1" x14ac:dyDescent="0.35">
      <c r="E118" s="743"/>
      <c r="F118" s="490"/>
      <c r="G118" s="490"/>
      <c r="H118" s="490"/>
      <c r="I118" s="490"/>
      <c r="J118" s="490"/>
      <c r="K118" s="490"/>
      <c r="L118" s="490"/>
      <c r="M118" s="490"/>
      <c r="N118" s="490"/>
      <c r="O118" s="490"/>
      <c r="Q118" s="806"/>
      <c r="R118" s="490"/>
      <c r="S118" s="490"/>
      <c r="T118" s="490"/>
      <c r="U118" s="490"/>
      <c r="V118" s="490"/>
      <c r="W118" s="490"/>
      <c r="X118" s="490"/>
      <c r="Y118" s="490"/>
      <c r="Z118" s="490"/>
      <c r="AA118" s="490"/>
      <c r="AB118" s="490"/>
      <c r="AC118" s="490"/>
    </row>
    <row r="119" spans="2:29" ht="15" customHeight="1" x14ac:dyDescent="0.35">
      <c r="E119" s="743"/>
      <c r="F119" s="490"/>
      <c r="G119" s="490"/>
      <c r="H119" s="490"/>
      <c r="I119" s="490"/>
      <c r="J119" s="490"/>
      <c r="K119" s="490"/>
      <c r="L119" s="490"/>
      <c r="M119" s="490"/>
      <c r="N119" s="490"/>
      <c r="O119" s="490"/>
      <c r="Q119" s="806"/>
      <c r="R119" s="490"/>
      <c r="S119" s="490"/>
      <c r="T119" s="490"/>
      <c r="U119" s="490"/>
      <c r="V119" s="490"/>
      <c r="W119" s="490"/>
      <c r="X119" s="490"/>
      <c r="Y119" s="490"/>
      <c r="Z119" s="490"/>
      <c r="AA119" s="490"/>
      <c r="AB119" s="490"/>
      <c r="AC119" s="490"/>
    </row>
    <row r="120" spans="2:29" ht="15" customHeight="1" x14ac:dyDescent="0.35">
      <c r="E120" s="743"/>
      <c r="F120" s="490"/>
      <c r="G120" s="490"/>
      <c r="H120" s="490"/>
      <c r="I120" s="490"/>
      <c r="J120" s="490"/>
      <c r="K120" s="490"/>
      <c r="L120" s="490"/>
      <c r="M120" s="490"/>
      <c r="N120" s="490"/>
      <c r="O120" s="490"/>
      <c r="Q120" s="806"/>
      <c r="R120" s="490"/>
      <c r="S120" s="490"/>
      <c r="T120" s="490"/>
      <c r="U120" s="490"/>
      <c r="V120" s="490"/>
      <c r="W120" s="490"/>
      <c r="X120" s="490"/>
      <c r="Y120" s="490"/>
      <c r="Z120" s="490"/>
      <c r="AA120" s="490"/>
      <c r="AB120" s="490"/>
      <c r="AC120" s="490"/>
    </row>
    <row r="121" spans="2:29" ht="15" customHeight="1" x14ac:dyDescent="0.35">
      <c r="E121" s="743"/>
      <c r="F121" s="490"/>
      <c r="G121" s="490"/>
      <c r="H121" s="490"/>
      <c r="I121" s="490"/>
      <c r="J121" s="490"/>
      <c r="K121" s="490"/>
      <c r="L121" s="490"/>
      <c r="M121" s="490"/>
      <c r="N121" s="490"/>
      <c r="O121" s="490"/>
      <c r="Q121" s="806"/>
      <c r="R121" s="490"/>
      <c r="S121" s="490"/>
      <c r="T121" s="490"/>
      <c r="U121" s="490"/>
      <c r="V121" s="490"/>
      <c r="W121" s="490"/>
      <c r="X121" s="490"/>
      <c r="Y121" s="490"/>
      <c r="Z121" s="490"/>
      <c r="AA121" s="490"/>
      <c r="AB121" s="490"/>
      <c r="AC121" s="490"/>
    </row>
    <row r="122" spans="2:29" ht="15" customHeight="1" x14ac:dyDescent="0.35">
      <c r="E122" s="743"/>
      <c r="F122" s="490"/>
      <c r="G122" s="490"/>
      <c r="H122" s="490"/>
      <c r="I122" s="490"/>
      <c r="J122" s="490"/>
      <c r="K122" s="490"/>
      <c r="L122" s="490"/>
      <c r="M122" s="490"/>
      <c r="N122" s="490"/>
      <c r="O122" s="490"/>
      <c r="Q122" s="806"/>
      <c r="R122" s="490"/>
      <c r="S122" s="490"/>
      <c r="T122" s="490"/>
      <c r="U122" s="490"/>
      <c r="V122" s="490"/>
      <c r="W122" s="490"/>
      <c r="X122" s="490"/>
      <c r="Y122" s="490"/>
      <c r="Z122" s="490"/>
      <c r="AA122" s="490"/>
      <c r="AB122" s="490"/>
      <c r="AC122" s="490"/>
    </row>
    <row r="123" spans="2:29" ht="15" customHeight="1" x14ac:dyDescent="0.35">
      <c r="E123" s="743"/>
      <c r="F123" s="490"/>
      <c r="G123" s="490"/>
      <c r="H123" s="490"/>
      <c r="I123" s="490"/>
      <c r="J123" s="490"/>
      <c r="K123" s="490"/>
      <c r="L123" s="490"/>
      <c r="M123" s="490"/>
      <c r="N123" s="490"/>
      <c r="O123" s="490"/>
      <c r="Q123" s="806"/>
      <c r="R123" s="490"/>
      <c r="S123" s="490"/>
      <c r="T123" s="490"/>
      <c r="U123" s="490"/>
      <c r="V123" s="490"/>
      <c r="W123" s="490"/>
      <c r="X123" s="490"/>
      <c r="Y123" s="490"/>
      <c r="Z123" s="490"/>
      <c r="AA123" s="490"/>
      <c r="AB123" s="490"/>
      <c r="AC123" s="490"/>
    </row>
    <row r="124" spans="2:29" ht="15" customHeight="1" x14ac:dyDescent="0.35">
      <c r="E124" s="743"/>
      <c r="F124" s="490"/>
      <c r="G124" s="490"/>
      <c r="H124" s="490"/>
      <c r="I124" s="490"/>
      <c r="J124" s="490"/>
      <c r="K124" s="490"/>
      <c r="L124" s="490"/>
      <c r="M124" s="490"/>
      <c r="N124" s="490"/>
      <c r="O124" s="490"/>
      <c r="Q124" s="806"/>
      <c r="R124" s="490"/>
      <c r="S124" s="490"/>
      <c r="T124" s="490"/>
      <c r="U124" s="490"/>
      <c r="V124" s="490"/>
      <c r="W124" s="490"/>
      <c r="X124" s="490"/>
      <c r="Y124" s="490"/>
      <c r="Z124" s="490"/>
      <c r="AA124" s="490"/>
      <c r="AB124" s="490"/>
      <c r="AC124" s="490"/>
    </row>
    <row r="125" spans="2:29" ht="15" customHeight="1" x14ac:dyDescent="0.35">
      <c r="E125" s="743"/>
      <c r="F125" s="490"/>
      <c r="G125" s="490"/>
      <c r="H125" s="490"/>
      <c r="I125" s="490"/>
      <c r="J125" s="490"/>
      <c r="K125" s="490"/>
      <c r="L125" s="490"/>
      <c r="M125" s="490"/>
      <c r="N125" s="490"/>
      <c r="O125" s="490"/>
      <c r="Q125" s="806"/>
      <c r="R125" s="490"/>
      <c r="S125" s="490"/>
      <c r="T125" s="490"/>
      <c r="U125" s="490"/>
      <c r="V125" s="490"/>
      <c r="W125" s="490"/>
      <c r="X125" s="490"/>
      <c r="Y125" s="490"/>
      <c r="Z125" s="490"/>
      <c r="AA125" s="490"/>
      <c r="AB125" s="490"/>
      <c r="AC125" s="490"/>
    </row>
    <row r="126" spans="2:29" ht="15" customHeight="1" x14ac:dyDescent="0.35">
      <c r="E126" s="743"/>
      <c r="F126" s="490"/>
      <c r="G126" s="490"/>
      <c r="H126" s="490"/>
      <c r="I126" s="490"/>
      <c r="J126" s="490"/>
      <c r="K126" s="490"/>
      <c r="L126" s="490"/>
      <c r="M126" s="490"/>
      <c r="N126" s="490"/>
      <c r="O126" s="490"/>
      <c r="Q126" s="806"/>
      <c r="R126" s="490"/>
      <c r="S126" s="490"/>
      <c r="T126" s="490"/>
      <c r="U126" s="490"/>
      <c r="V126" s="490"/>
      <c r="W126" s="490"/>
      <c r="X126" s="490"/>
      <c r="Y126" s="490"/>
      <c r="Z126" s="490"/>
      <c r="AA126" s="490"/>
      <c r="AB126" s="490"/>
      <c r="AC126" s="490"/>
    </row>
    <row r="127" spans="2:29" ht="15" customHeight="1" x14ac:dyDescent="0.35">
      <c r="Q127" s="623"/>
    </row>
    <row r="128" spans="2:29" ht="15" customHeight="1" x14ac:dyDescent="0.35">
      <c r="Q128" s="623"/>
    </row>
    <row r="129" spans="17:17" ht="15" customHeight="1" x14ac:dyDescent="0.35">
      <c r="Q129" s="623"/>
    </row>
    <row r="130" spans="17:17" ht="15" customHeight="1" x14ac:dyDescent="0.35">
      <c r="Q130" s="623"/>
    </row>
    <row r="131" spans="17:17" ht="15" customHeight="1" x14ac:dyDescent="0.35">
      <c r="Q131" s="623"/>
    </row>
    <row r="132" spans="17:17" ht="15" customHeight="1" x14ac:dyDescent="0.35">
      <c r="Q132" s="623"/>
    </row>
    <row r="133" spans="17:17" ht="15" customHeight="1" x14ac:dyDescent="0.35">
      <c r="Q133" s="623"/>
    </row>
    <row r="134" spans="17:17" ht="15" customHeight="1" x14ac:dyDescent="0.35">
      <c r="Q134" s="623"/>
    </row>
    <row r="135" spans="17:17" ht="15" customHeight="1" x14ac:dyDescent="0.35">
      <c r="Q135" s="623"/>
    </row>
    <row r="136" spans="17:17" ht="15" customHeight="1" x14ac:dyDescent="0.35">
      <c r="Q136" s="623"/>
    </row>
    <row r="137" spans="17:17" ht="15" customHeight="1" x14ac:dyDescent="0.35">
      <c r="Q137" s="623"/>
    </row>
    <row r="138" spans="17:17" ht="15" customHeight="1" x14ac:dyDescent="0.35">
      <c r="Q138" s="623"/>
    </row>
    <row r="139" spans="17:17" ht="15" customHeight="1" x14ac:dyDescent="0.35">
      <c r="Q139" s="623"/>
    </row>
    <row r="140" spans="17:17" ht="15" customHeight="1" x14ac:dyDescent="0.35">
      <c r="Q140" s="623"/>
    </row>
    <row r="141" spans="17:17" ht="15" customHeight="1" x14ac:dyDescent="0.35">
      <c r="Q141" s="623"/>
    </row>
    <row r="142" spans="17:17" ht="15" customHeight="1" x14ac:dyDescent="0.35">
      <c r="Q142" s="623"/>
    </row>
    <row r="143" spans="17:17" ht="15" customHeight="1" x14ac:dyDescent="0.35">
      <c r="Q143" s="623"/>
    </row>
    <row r="144" spans="17:17" ht="15" customHeight="1" x14ac:dyDescent="0.35">
      <c r="Q144" s="623"/>
    </row>
    <row r="145" spans="17:17" ht="15" customHeight="1" x14ac:dyDescent="0.35">
      <c r="Q145" s="623"/>
    </row>
    <row r="146" spans="17:17" ht="15" customHeight="1" x14ac:dyDescent="0.35">
      <c r="Q146" s="623"/>
    </row>
    <row r="147" spans="17:17" ht="15" customHeight="1" x14ac:dyDescent="0.35">
      <c r="Q147" s="623"/>
    </row>
    <row r="148" spans="17:17" ht="15" customHeight="1" x14ac:dyDescent="0.35">
      <c r="Q148" s="623"/>
    </row>
    <row r="149" spans="17:17" ht="15" customHeight="1" x14ac:dyDescent="0.35">
      <c r="Q149" s="623"/>
    </row>
    <row r="150" spans="17:17" ht="15" customHeight="1" x14ac:dyDescent="0.35">
      <c r="Q150" s="623"/>
    </row>
    <row r="151" spans="17:17" ht="15" customHeight="1" x14ac:dyDescent="0.35">
      <c r="Q151" s="623"/>
    </row>
    <row r="152" spans="17:17" ht="15" customHeight="1" x14ac:dyDescent="0.35">
      <c r="Q152" s="623"/>
    </row>
    <row r="153" spans="17:17" ht="15" customHeight="1" x14ac:dyDescent="0.35">
      <c r="Q153" s="623"/>
    </row>
    <row r="154" spans="17:17" ht="15" customHeight="1" x14ac:dyDescent="0.35">
      <c r="Q154" s="623"/>
    </row>
    <row r="155" spans="17:17" ht="15" customHeight="1" x14ac:dyDescent="0.35">
      <c r="Q155" s="623"/>
    </row>
    <row r="156" spans="17:17" ht="15" customHeight="1" x14ac:dyDescent="0.35">
      <c r="Q156" s="623"/>
    </row>
    <row r="157" spans="17:17" ht="15" customHeight="1" x14ac:dyDescent="0.35">
      <c r="Q157" s="623"/>
    </row>
    <row r="158" spans="17:17" ht="15" customHeight="1" x14ac:dyDescent="0.35">
      <c r="Q158" s="623"/>
    </row>
    <row r="159" spans="17:17" ht="15" customHeight="1" x14ac:dyDescent="0.35">
      <c r="Q159" s="623"/>
    </row>
    <row r="160" spans="17:17" ht="15" customHeight="1" x14ac:dyDescent="0.35">
      <c r="Q160" s="623"/>
    </row>
    <row r="161" spans="17:17" ht="15" customHeight="1" x14ac:dyDescent="0.35">
      <c r="Q161" s="623"/>
    </row>
    <row r="162" spans="17:17" ht="15" customHeight="1" x14ac:dyDescent="0.35">
      <c r="Q162" s="623"/>
    </row>
    <row r="163" spans="17:17" ht="15" customHeight="1" x14ac:dyDescent="0.35">
      <c r="Q163" s="623"/>
    </row>
    <row r="164" spans="17:17" ht="15" customHeight="1" x14ac:dyDescent="0.35">
      <c r="Q164" s="623"/>
    </row>
    <row r="165" spans="17:17" ht="15" customHeight="1" x14ac:dyDescent="0.35">
      <c r="Q165" s="623"/>
    </row>
    <row r="166" spans="17:17" ht="15" customHeight="1" x14ac:dyDescent="0.35">
      <c r="Q166" s="623"/>
    </row>
    <row r="167" spans="17:17" ht="15" customHeight="1" x14ac:dyDescent="0.35">
      <c r="Q167" s="623"/>
    </row>
    <row r="168" spans="17:17" ht="15" customHeight="1" x14ac:dyDescent="0.35">
      <c r="Q168" s="623"/>
    </row>
    <row r="169" spans="17:17" ht="15" customHeight="1" x14ac:dyDescent="0.35">
      <c r="Q169" s="623"/>
    </row>
    <row r="170" spans="17:17" ht="15" customHeight="1" x14ac:dyDescent="0.35">
      <c r="Q170" s="623"/>
    </row>
    <row r="171" spans="17:17" ht="15" customHeight="1" x14ac:dyDescent="0.35">
      <c r="Q171" s="623"/>
    </row>
    <row r="172" spans="17:17" ht="15" customHeight="1" x14ac:dyDescent="0.35">
      <c r="Q172" s="623"/>
    </row>
    <row r="173" spans="17:17" ht="15" customHeight="1" x14ac:dyDescent="0.35">
      <c r="Q173" s="623"/>
    </row>
    <row r="174" spans="17:17" ht="15" customHeight="1" x14ac:dyDescent="0.35">
      <c r="Q174" s="623"/>
    </row>
    <row r="175" spans="17:17" ht="15" customHeight="1" x14ac:dyDescent="0.35">
      <c r="Q175" s="623"/>
    </row>
    <row r="176" spans="17:17" ht="15" customHeight="1" x14ac:dyDescent="0.35">
      <c r="Q176" s="623"/>
    </row>
    <row r="177" spans="17:17" ht="15" customHeight="1" x14ac:dyDescent="0.35">
      <c r="Q177" s="623"/>
    </row>
    <row r="178" spans="17:17" ht="15" customHeight="1" x14ac:dyDescent="0.35">
      <c r="Q178" s="623"/>
    </row>
    <row r="179" spans="17:17" ht="15" customHeight="1" x14ac:dyDescent="0.35">
      <c r="Q179" s="623"/>
    </row>
    <row r="180" spans="17:17" ht="15" customHeight="1" x14ac:dyDescent="0.35">
      <c r="Q180" s="623"/>
    </row>
    <row r="181" spans="17:17" ht="15" customHeight="1" x14ac:dyDescent="0.35">
      <c r="Q181" s="623"/>
    </row>
    <row r="182" spans="17:17" ht="15" customHeight="1" x14ac:dyDescent="0.35">
      <c r="Q182" s="623"/>
    </row>
    <row r="183" spans="17:17" ht="15" customHeight="1" x14ac:dyDescent="0.35">
      <c r="Q183" s="623"/>
    </row>
    <row r="184" spans="17:17" ht="15" customHeight="1" x14ac:dyDescent="0.35">
      <c r="Q184" s="623"/>
    </row>
    <row r="185" spans="17:17" ht="15" customHeight="1" x14ac:dyDescent="0.35">
      <c r="Q185" s="623"/>
    </row>
    <row r="186" spans="17:17" ht="15" customHeight="1" x14ac:dyDescent="0.35">
      <c r="Q186" s="623"/>
    </row>
    <row r="187" spans="17:17" ht="15" customHeight="1" x14ac:dyDescent="0.35">
      <c r="Q187" s="623"/>
    </row>
    <row r="188" spans="17:17" ht="15" customHeight="1" x14ac:dyDescent="0.35">
      <c r="Q188" s="623"/>
    </row>
    <row r="189" spans="17:17" ht="15" customHeight="1" x14ac:dyDescent="0.35">
      <c r="Q189" s="623"/>
    </row>
    <row r="190" spans="17:17" ht="15" customHeight="1" x14ac:dyDescent="0.35">
      <c r="Q190" s="623"/>
    </row>
    <row r="191" spans="17:17" ht="15" customHeight="1" x14ac:dyDescent="0.35">
      <c r="Q191" s="623"/>
    </row>
    <row r="192" spans="17:17" ht="15" customHeight="1" x14ac:dyDescent="0.35">
      <c r="Q192" s="623"/>
    </row>
    <row r="193" spans="17:17" ht="15" customHeight="1" x14ac:dyDescent="0.35">
      <c r="Q193" s="623"/>
    </row>
    <row r="194" spans="17:17" ht="15" customHeight="1" x14ac:dyDescent="0.35">
      <c r="Q194" s="623"/>
    </row>
    <row r="195" spans="17:17" ht="15" customHeight="1" x14ac:dyDescent="0.35">
      <c r="Q195" s="623"/>
    </row>
    <row r="196" spans="17:17" ht="15" customHeight="1" x14ac:dyDescent="0.35">
      <c r="Q196" s="623"/>
    </row>
    <row r="197" spans="17:17" ht="15" customHeight="1" x14ac:dyDescent="0.35">
      <c r="Q197" s="623"/>
    </row>
    <row r="198" spans="17:17" ht="15" customHeight="1" x14ac:dyDescent="0.35">
      <c r="Q198" s="623"/>
    </row>
    <row r="199" spans="17:17" ht="15" customHeight="1" x14ac:dyDescent="0.35">
      <c r="Q199" s="623"/>
    </row>
    <row r="200" spans="17:17" ht="15" customHeight="1" x14ac:dyDescent="0.35">
      <c r="Q200" s="623"/>
    </row>
    <row r="201" spans="17:17" ht="15" customHeight="1" x14ac:dyDescent="0.35">
      <c r="Q201" s="623"/>
    </row>
    <row r="202" spans="17:17" ht="15" customHeight="1" x14ac:dyDescent="0.35">
      <c r="Q202" s="623"/>
    </row>
    <row r="203" spans="17:17" ht="15" customHeight="1" x14ac:dyDescent="0.35">
      <c r="Q203" s="623"/>
    </row>
    <row r="204" spans="17:17" ht="15" customHeight="1" x14ac:dyDescent="0.35">
      <c r="Q204" s="623"/>
    </row>
    <row r="205" spans="17:17" ht="15" customHeight="1" x14ac:dyDescent="0.35">
      <c r="Q205" s="623"/>
    </row>
    <row r="206" spans="17:17" ht="15" customHeight="1" x14ac:dyDescent="0.35">
      <c r="Q206" s="623"/>
    </row>
    <row r="207" spans="17:17" ht="15" customHeight="1" x14ac:dyDescent="0.35">
      <c r="Q207" s="623"/>
    </row>
    <row r="208" spans="17:17" ht="15" customHeight="1" x14ac:dyDescent="0.35">
      <c r="Q208" s="623"/>
    </row>
    <row r="209" spans="17:17" ht="15" customHeight="1" x14ac:dyDescent="0.35">
      <c r="Q209" s="623"/>
    </row>
    <row r="210" spans="17:17" ht="15" customHeight="1" x14ac:dyDescent="0.35">
      <c r="Q210" s="623"/>
    </row>
    <row r="211" spans="17:17" ht="15" customHeight="1" x14ac:dyDescent="0.35">
      <c r="Q211" s="623"/>
    </row>
    <row r="212" spans="17:17" ht="15" customHeight="1" x14ac:dyDescent="0.35">
      <c r="Q212" s="623"/>
    </row>
    <row r="213" spans="17:17" ht="15" customHeight="1" x14ac:dyDescent="0.35">
      <c r="Q213" s="623"/>
    </row>
    <row r="214" spans="17:17" ht="15" customHeight="1" x14ac:dyDescent="0.35">
      <c r="Q214" s="623"/>
    </row>
    <row r="215" spans="17:17" ht="15" customHeight="1" x14ac:dyDescent="0.35">
      <c r="Q215" s="623"/>
    </row>
    <row r="216" spans="17:17" ht="15" customHeight="1" x14ac:dyDescent="0.35">
      <c r="Q216" s="623"/>
    </row>
    <row r="217" spans="17:17" ht="15" customHeight="1" x14ac:dyDescent="0.35">
      <c r="Q217" s="623"/>
    </row>
    <row r="218" spans="17:17" ht="15" customHeight="1" x14ac:dyDescent="0.35">
      <c r="Q218" s="623"/>
    </row>
    <row r="219" spans="17:17" ht="15" customHeight="1" x14ac:dyDescent="0.35">
      <c r="Q219" s="623"/>
    </row>
    <row r="220" spans="17:17" ht="15" customHeight="1" x14ac:dyDescent="0.35">
      <c r="Q220" s="623"/>
    </row>
    <row r="221" spans="17:17" ht="15" customHeight="1" x14ac:dyDescent="0.35">
      <c r="Q221" s="623"/>
    </row>
    <row r="222" spans="17:17" ht="15" customHeight="1" x14ac:dyDescent="0.35">
      <c r="Q222" s="623"/>
    </row>
    <row r="223" spans="17:17" ht="15" customHeight="1" x14ac:dyDescent="0.35">
      <c r="Q223" s="623"/>
    </row>
    <row r="224" spans="17:17" ht="15" customHeight="1" x14ac:dyDescent="0.35">
      <c r="Q224" s="623"/>
    </row>
    <row r="225" spans="17:17" ht="15" customHeight="1" x14ac:dyDescent="0.35">
      <c r="Q225" s="623"/>
    </row>
    <row r="226" spans="17:17" ht="15" customHeight="1" x14ac:dyDescent="0.35">
      <c r="Q226" s="623"/>
    </row>
    <row r="227" spans="17:17" ht="15" customHeight="1" x14ac:dyDescent="0.35">
      <c r="Q227" s="623"/>
    </row>
    <row r="228" spans="17:17" ht="15" customHeight="1" x14ac:dyDescent="0.35">
      <c r="Q228" s="623"/>
    </row>
    <row r="229" spans="17:17" ht="15" customHeight="1" x14ac:dyDescent="0.35">
      <c r="Q229" s="623"/>
    </row>
    <row r="230" spans="17:17" ht="15" customHeight="1" x14ac:dyDescent="0.35">
      <c r="Q230" s="623"/>
    </row>
    <row r="231" spans="17:17" ht="15" customHeight="1" x14ac:dyDescent="0.35">
      <c r="Q231" s="623"/>
    </row>
    <row r="232" spans="17:17" ht="15" customHeight="1" x14ac:dyDescent="0.35">
      <c r="Q232" s="623"/>
    </row>
    <row r="233" spans="17:17" ht="15" customHeight="1" x14ac:dyDescent="0.35">
      <c r="Q233" s="623"/>
    </row>
    <row r="234" spans="17:17" ht="15" customHeight="1" x14ac:dyDescent="0.35">
      <c r="Q234" s="623"/>
    </row>
    <row r="235" spans="17:17" ht="15" customHeight="1" x14ac:dyDescent="0.35">
      <c r="Q235" s="623"/>
    </row>
    <row r="236" spans="17:17" ht="15" customHeight="1" x14ac:dyDescent="0.35">
      <c r="Q236" s="623"/>
    </row>
    <row r="237" spans="17:17" ht="15" customHeight="1" x14ac:dyDescent="0.35">
      <c r="Q237" s="623"/>
    </row>
    <row r="238" spans="17:17" ht="15" customHeight="1" x14ac:dyDescent="0.35">
      <c r="Q238" s="623"/>
    </row>
    <row r="239" spans="17:17" ht="15" customHeight="1" x14ac:dyDescent="0.35">
      <c r="Q239" s="623"/>
    </row>
    <row r="240" spans="17:17" ht="15" customHeight="1" x14ac:dyDescent="0.35">
      <c r="Q240" s="623"/>
    </row>
    <row r="241" spans="17:17" ht="15" customHeight="1" x14ac:dyDescent="0.35">
      <c r="Q241" s="623"/>
    </row>
    <row r="242" spans="17:17" ht="15" customHeight="1" x14ac:dyDescent="0.35">
      <c r="Q242" s="623"/>
    </row>
    <row r="243" spans="17:17" ht="15" customHeight="1" x14ac:dyDescent="0.35">
      <c r="Q243" s="623"/>
    </row>
    <row r="244" spans="17:17" ht="15" customHeight="1" x14ac:dyDescent="0.35">
      <c r="Q244" s="623"/>
    </row>
    <row r="245" spans="17:17" ht="15" customHeight="1" x14ac:dyDescent="0.35">
      <c r="Q245" s="623"/>
    </row>
    <row r="246" spans="17:17" ht="15" customHeight="1" x14ac:dyDescent="0.35">
      <c r="Q246" s="623"/>
    </row>
    <row r="247" spans="17:17" ht="15" customHeight="1" x14ac:dyDescent="0.35">
      <c r="Q247" s="623"/>
    </row>
    <row r="248" spans="17:17" ht="15" customHeight="1" x14ac:dyDescent="0.35">
      <c r="Q248" s="623"/>
    </row>
    <row r="249" spans="17:17" ht="15" customHeight="1" x14ac:dyDescent="0.35">
      <c r="Q249" s="623"/>
    </row>
    <row r="250" spans="17:17" ht="15" customHeight="1" x14ac:dyDescent="0.35">
      <c r="Q250" s="623"/>
    </row>
    <row r="251" spans="17:17" ht="15" customHeight="1" x14ac:dyDescent="0.35">
      <c r="Q251" s="623"/>
    </row>
    <row r="252" spans="17:17" ht="15" customHeight="1" x14ac:dyDescent="0.35">
      <c r="Q252" s="623"/>
    </row>
    <row r="253" spans="17:17" ht="15" customHeight="1" x14ac:dyDescent="0.35">
      <c r="Q253" s="623"/>
    </row>
    <row r="254" spans="17:17" ht="15" customHeight="1" x14ac:dyDescent="0.35">
      <c r="Q254" s="623"/>
    </row>
    <row r="255" spans="17:17" ht="15" customHeight="1" x14ac:dyDescent="0.35">
      <c r="Q255" s="623"/>
    </row>
    <row r="256" spans="17:17" ht="15" customHeight="1" x14ac:dyDescent="0.35">
      <c r="Q256" s="623"/>
    </row>
    <row r="257" spans="17:17" ht="15" customHeight="1" x14ac:dyDescent="0.35">
      <c r="Q257" s="623"/>
    </row>
    <row r="258" spans="17:17" ht="15" customHeight="1" x14ac:dyDescent="0.35">
      <c r="Q258" s="623"/>
    </row>
    <row r="259" spans="17:17" ht="15" customHeight="1" x14ac:dyDescent="0.35">
      <c r="Q259" s="623"/>
    </row>
    <row r="260" spans="17:17" ht="15" customHeight="1" x14ac:dyDescent="0.35">
      <c r="Q260" s="623"/>
    </row>
    <row r="261" spans="17:17" ht="15" customHeight="1" x14ac:dyDescent="0.35">
      <c r="Q261" s="623"/>
    </row>
    <row r="262" spans="17:17" ht="15" customHeight="1" x14ac:dyDescent="0.35">
      <c r="Q262" s="623"/>
    </row>
    <row r="263" spans="17:17" ht="15" customHeight="1" x14ac:dyDescent="0.35">
      <c r="Q263" s="623"/>
    </row>
    <row r="264" spans="17:17" ht="15" customHeight="1" x14ac:dyDescent="0.35">
      <c r="Q264" s="623"/>
    </row>
    <row r="265" spans="17:17" ht="15" customHeight="1" x14ac:dyDescent="0.35">
      <c r="Q265" s="623"/>
    </row>
    <row r="266" spans="17:17" ht="15" customHeight="1" x14ac:dyDescent="0.35">
      <c r="Q266" s="623"/>
    </row>
    <row r="267" spans="17:17" ht="15" customHeight="1" x14ac:dyDescent="0.35">
      <c r="Q267" s="623"/>
    </row>
    <row r="268" spans="17:17" ht="15" customHeight="1" x14ac:dyDescent="0.35">
      <c r="Q268" s="623"/>
    </row>
    <row r="269" spans="17:17" ht="15" customHeight="1" x14ac:dyDescent="0.35">
      <c r="Q269" s="623"/>
    </row>
    <row r="270" spans="17:17" ht="15" customHeight="1" x14ac:dyDescent="0.35">
      <c r="Q270" s="623"/>
    </row>
    <row r="271" spans="17:17" ht="15" customHeight="1" x14ac:dyDescent="0.35">
      <c r="Q271" s="623"/>
    </row>
    <row r="272" spans="17:17" ht="15" customHeight="1" x14ac:dyDescent="0.35">
      <c r="Q272" s="623"/>
    </row>
    <row r="273" spans="17:17" ht="15" customHeight="1" x14ac:dyDescent="0.35">
      <c r="Q273" s="623"/>
    </row>
    <row r="274" spans="17:17" ht="15" customHeight="1" x14ac:dyDescent="0.35">
      <c r="Q274" s="623"/>
    </row>
    <row r="275" spans="17:17" ht="15" customHeight="1" x14ac:dyDescent="0.35">
      <c r="Q275" s="623"/>
    </row>
    <row r="276" spans="17:17" ht="15" customHeight="1" x14ac:dyDescent="0.35">
      <c r="Q276" s="623"/>
    </row>
    <row r="277" spans="17:17" ht="15" customHeight="1" x14ac:dyDescent="0.35">
      <c r="Q277" s="623"/>
    </row>
    <row r="278" spans="17:17" ht="15" customHeight="1" x14ac:dyDescent="0.35">
      <c r="Q278" s="623"/>
    </row>
    <row r="279" spans="17:17" ht="15" customHeight="1" x14ac:dyDescent="0.35">
      <c r="Q279" s="623"/>
    </row>
    <row r="280" spans="17:17" ht="15" customHeight="1" x14ac:dyDescent="0.35">
      <c r="Q280" s="623"/>
    </row>
    <row r="281" spans="17:17" ht="15" customHeight="1" x14ac:dyDescent="0.35">
      <c r="Q281" s="623"/>
    </row>
    <row r="282" spans="17:17" ht="15" customHeight="1" x14ac:dyDescent="0.35">
      <c r="Q282" s="623"/>
    </row>
    <row r="283" spans="17:17" ht="15" customHeight="1" x14ac:dyDescent="0.35">
      <c r="Q283" s="623"/>
    </row>
    <row r="284" spans="17:17" ht="15" customHeight="1" x14ac:dyDescent="0.35">
      <c r="Q284" s="623"/>
    </row>
    <row r="285" spans="17:17" ht="15" customHeight="1" x14ac:dyDescent="0.35">
      <c r="Q285" s="623"/>
    </row>
    <row r="286" spans="17:17" ht="15" customHeight="1" x14ac:dyDescent="0.35">
      <c r="Q286" s="623"/>
    </row>
    <row r="287" spans="17:17" ht="15" customHeight="1" x14ac:dyDescent="0.35">
      <c r="Q287" s="623"/>
    </row>
    <row r="288" spans="17:17" ht="15" customHeight="1" x14ac:dyDescent="0.35">
      <c r="Q288" s="623"/>
    </row>
    <row r="289" spans="17:17" ht="15" customHeight="1" x14ac:dyDescent="0.35">
      <c r="Q289" s="623"/>
    </row>
    <row r="290" spans="17:17" ht="15" customHeight="1" x14ac:dyDescent="0.35">
      <c r="Q290" s="623"/>
    </row>
    <row r="291" spans="17:17" ht="15" customHeight="1" x14ac:dyDescent="0.35">
      <c r="Q291" s="623"/>
    </row>
    <row r="292" spans="17:17" ht="15" customHeight="1" x14ac:dyDescent="0.35">
      <c r="Q292" s="623"/>
    </row>
    <row r="293" spans="17:17" ht="15" customHeight="1" x14ac:dyDescent="0.35">
      <c r="Q293" s="623"/>
    </row>
    <row r="294" spans="17:17" ht="15" customHeight="1" x14ac:dyDescent="0.35">
      <c r="Q294" s="623"/>
    </row>
    <row r="295" spans="17:17" ht="15" customHeight="1" x14ac:dyDescent="0.35">
      <c r="Q295" s="623"/>
    </row>
    <row r="296" spans="17:17" ht="15" customHeight="1" x14ac:dyDescent="0.35">
      <c r="Q296" s="623"/>
    </row>
    <row r="297" spans="17:17" ht="15" customHeight="1" x14ac:dyDescent="0.35">
      <c r="Q297" s="623"/>
    </row>
    <row r="298" spans="17:17" ht="15" customHeight="1" x14ac:dyDescent="0.35">
      <c r="Q298" s="623"/>
    </row>
    <row r="299" spans="17:17" ht="15" customHeight="1" x14ac:dyDescent="0.35">
      <c r="Q299" s="623"/>
    </row>
    <row r="300" spans="17:17" ht="15" customHeight="1" x14ac:dyDescent="0.35">
      <c r="Q300" s="623"/>
    </row>
    <row r="301" spans="17:17" ht="15" customHeight="1" x14ac:dyDescent="0.35">
      <c r="Q301" s="623"/>
    </row>
    <row r="302" spans="17:17" ht="15" customHeight="1" x14ac:dyDescent="0.35">
      <c r="Q302" s="623"/>
    </row>
    <row r="303" spans="17:17" ht="15" customHeight="1" x14ac:dyDescent="0.35">
      <c r="Q303" s="623"/>
    </row>
    <row r="304" spans="17:17" ht="15" customHeight="1" x14ac:dyDescent="0.35">
      <c r="Q304" s="623"/>
    </row>
    <row r="305" spans="17:17" ht="15" customHeight="1" x14ac:dyDescent="0.35">
      <c r="Q305" s="623"/>
    </row>
    <row r="306" spans="17:17" ht="15" customHeight="1" x14ac:dyDescent="0.35">
      <c r="Q306" s="623"/>
    </row>
    <row r="307" spans="17:17" ht="15" customHeight="1" x14ac:dyDescent="0.35">
      <c r="Q307" s="623"/>
    </row>
    <row r="308" spans="17:17" ht="15" customHeight="1" x14ac:dyDescent="0.35">
      <c r="Q308" s="623"/>
    </row>
    <row r="309" spans="17:17" ht="15" customHeight="1" x14ac:dyDescent="0.35">
      <c r="Q309" s="623"/>
    </row>
    <row r="310" spans="17:17" ht="15" customHeight="1" x14ac:dyDescent="0.35">
      <c r="Q310" s="623"/>
    </row>
    <row r="311" spans="17:17" ht="15" customHeight="1" x14ac:dyDescent="0.35">
      <c r="Q311" s="623"/>
    </row>
    <row r="312" spans="17:17" ht="15" customHeight="1" x14ac:dyDescent="0.35">
      <c r="Q312" s="623"/>
    </row>
    <row r="313" spans="17:17" ht="15" customHeight="1" x14ac:dyDescent="0.35">
      <c r="Q313" s="623"/>
    </row>
    <row r="314" spans="17:17" ht="15" customHeight="1" x14ac:dyDescent="0.35">
      <c r="Q314" s="623"/>
    </row>
    <row r="315" spans="17:17" ht="15" customHeight="1" x14ac:dyDescent="0.35">
      <c r="Q315" s="623"/>
    </row>
    <row r="316" spans="17:17" ht="15" customHeight="1" x14ac:dyDescent="0.35">
      <c r="Q316" s="623"/>
    </row>
    <row r="317" spans="17:17" ht="15" customHeight="1" x14ac:dyDescent="0.35">
      <c r="Q317" s="623"/>
    </row>
    <row r="318" spans="17:17" ht="15" customHeight="1" x14ac:dyDescent="0.35">
      <c r="Q318" s="623"/>
    </row>
    <row r="319" spans="17:17" ht="15" customHeight="1" x14ac:dyDescent="0.35">
      <c r="Q319" s="623"/>
    </row>
    <row r="320" spans="17:17" ht="15" customHeight="1" x14ac:dyDescent="0.35">
      <c r="Q320" s="623"/>
    </row>
    <row r="321" spans="17:17" ht="15" customHeight="1" x14ac:dyDescent="0.35">
      <c r="Q321" s="623"/>
    </row>
    <row r="322" spans="17:17" ht="15" customHeight="1" x14ac:dyDescent="0.35">
      <c r="Q322" s="623"/>
    </row>
    <row r="323" spans="17:17" ht="15" customHeight="1" x14ac:dyDescent="0.35">
      <c r="Q323" s="623"/>
    </row>
    <row r="324" spans="17:17" ht="15" customHeight="1" x14ac:dyDescent="0.35">
      <c r="Q324" s="623"/>
    </row>
    <row r="325" spans="17:17" ht="15" customHeight="1" x14ac:dyDescent="0.35">
      <c r="Q325" s="623"/>
    </row>
    <row r="326" spans="17:17" ht="15" customHeight="1" x14ac:dyDescent="0.35">
      <c r="Q326" s="623"/>
    </row>
    <row r="327" spans="17:17" ht="15" customHeight="1" x14ac:dyDescent="0.35">
      <c r="Q327" s="623"/>
    </row>
    <row r="328" spans="17:17" ht="15" customHeight="1" x14ac:dyDescent="0.35">
      <c r="Q328" s="623"/>
    </row>
    <row r="329" spans="17:17" ht="15" customHeight="1" x14ac:dyDescent="0.35">
      <c r="Q329" s="623"/>
    </row>
    <row r="330" spans="17:17" ht="15" customHeight="1" x14ac:dyDescent="0.35">
      <c r="Q330" s="623"/>
    </row>
    <row r="331" spans="17:17" ht="15" customHeight="1" x14ac:dyDescent="0.35">
      <c r="Q331" s="623"/>
    </row>
    <row r="332" spans="17:17" ht="15" customHeight="1" x14ac:dyDescent="0.35">
      <c r="Q332" s="623"/>
    </row>
    <row r="333" spans="17:17" ht="15" customHeight="1" x14ac:dyDescent="0.35">
      <c r="Q333" s="623"/>
    </row>
    <row r="334" spans="17:17" ht="15" customHeight="1" x14ac:dyDescent="0.35">
      <c r="Q334" s="623"/>
    </row>
    <row r="335" spans="17:17" ht="15" customHeight="1" x14ac:dyDescent="0.35">
      <c r="Q335" s="623"/>
    </row>
    <row r="336" spans="17:17" ht="15" customHeight="1" x14ac:dyDescent="0.35">
      <c r="Q336" s="623"/>
    </row>
    <row r="337" spans="17:17" ht="15" customHeight="1" x14ac:dyDescent="0.35">
      <c r="Q337" s="623"/>
    </row>
    <row r="338" spans="17:17" ht="15" customHeight="1" x14ac:dyDescent="0.35">
      <c r="Q338" s="623"/>
    </row>
    <row r="339" spans="17:17" ht="15" customHeight="1" x14ac:dyDescent="0.35">
      <c r="Q339" s="623"/>
    </row>
    <row r="340" spans="17:17" ht="15" customHeight="1" x14ac:dyDescent="0.35">
      <c r="Q340" s="623"/>
    </row>
    <row r="341" spans="17:17" ht="15" customHeight="1" x14ac:dyDescent="0.35">
      <c r="Q341" s="623"/>
    </row>
    <row r="342" spans="17:17" ht="15" customHeight="1" x14ac:dyDescent="0.35">
      <c r="Q342" s="623"/>
    </row>
    <row r="343" spans="17:17" ht="15" customHeight="1" x14ac:dyDescent="0.35">
      <c r="Q343" s="623"/>
    </row>
    <row r="344" spans="17:17" ht="15" customHeight="1" x14ac:dyDescent="0.35">
      <c r="Q344" s="623"/>
    </row>
    <row r="345" spans="17:17" ht="15" customHeight="1" x14ac:dyDescent="0.35">
      <c r="Q345" s="623"/>
    </row>
    <row r="346" spans="17:17" ht="15" customHeight="1" x14ac:dyDescent="0.35">
      <c r="Q346" s="623"/>
    </row>
    <row r="347" spans="17:17" ht="15" customHeight="1" x14ac:dyDescent="0.35">
      <c r="Q347" s="623"/>
    </row>
    <row r="348" spans="17:17" ht="15" customHeight="1" x14ac:dyDescent="0.35">
      <c r="Q348" s="623"/>
    </row>
    <row r="349" spans="17:17" ht="15" customHeight="1" x14ac:dyDescent="0.35">
      <c r="Q349" s="623"/>
    </row>
    <row r="350" spans="17:17" ht="15" customHeight="1" x14ac:dyDescent="0.35">
      <c r="Q350" s="623"/>
    </row>
    <row r="351" spans="17:17" ht="15" customHeight="1" x14ac:dyDescent="0.35">
      <c r="Q351" s="623"/>
    </row>
    <row r="352" spans="17:17" ht="15" customHeight="1" x14ac:dyDescent="0.35">
      <c r="Q352" s="623"/>
    </row>
    <row r="353" spans="17:17" ht="15" customHeight="1" x14ac:dyDescent="0.35">
      <c r="Q353" s="623"/>
    </row>
    <row r="354" spans="17:17" ht="15" customHeight="1" x14ac:dyDescent="0.35">
      <c r="Q354" s="623"/>
    </row>
    <row r="355" spans="17:17" ht="15" customHeight="1" x14ac:dyDescent="0.35">
      <c r="Q355" s="623"/>
    </row>
    <row r="356" spans="17:17" ht="15" customHeight="1" x14ac:dyDescent="0.35">
      <c r="Q356" s="623"/>
    </row>
    <row r="357" spans="17:17" ht="15" customHeight="1" x14ac:dyDescent="0.35">
      <c r="Q357" s="623"/>
    </row>
    <row r="358" spans="17:17" ht="15" customHeight="1" x14ac:dyDescent="0.35">
      <c r="Q358" s="623"/>
    </row>
    <row r="359" spans="17:17" ht="15" customHeight="1" x14ac:dyDescent="0.35">
      <c r="Q359" s="623"/>
    </row>
    <row r="360" spans="17:17" ht="15" customHeight="1" x14ac:dyDescent="0.35">
      <c r="Q360" s="623"/>
    </row>
    <row r="361" spans="17:17" ht="15" customHeight="1" x14ac:dyDescent="0.35">
      <c r="Q361" s="623"/>
    </row>
    <row r="362" spans="17:17" ht="15" customHeight="1" x14ac:dyDescent="0.35">
      <c r="Q362" s="623"/>
    </row>
    <row r="363" spans="17:17" ht="15" customHeight="1" x14ac:dyDescent="0.35">
      <c r="Q363" s="623"/>
    </row>
    <row r="364" spans="17:17" ht="15" customHeight="1" x14ac:dyDescent="0.35">
      <c r="Q364" s="623"/>
    </row>
    <row r="365" spans="17:17" ht="15" customHeight="1" x14ac:dyDescent="0.35">
      <c r="Q365" s="623"/>
    </row>
    <row r="366" spans="17:17" ht="15" customHeight="1" x14ac:dyDescent="0.35">
      <c r="Q366" s="623"/>
    </row>
    <row r="367" spans="17:17" ht="15" customHeight="1" x14ac:dyDescent="0.35">
      <c r="Q367" s="623"/>
    </row>
    <row r="368" spans="17:17" ht="15" customHeight="1" x14ac:dyDescent="0.35">
      <c r="Q368" s="623"/>
    </row>
    <row r="369" spans="17:17" ht="15" customHeight="1" x14ac:dyDescent="0.35">
      <c r="Q369" s="623"/>
    </row>
    <row r="370" spans="17:17" ht="15" customHeight="1" x14ac:dyDescent="0.35">
      <c r="Q370" s="623"/>
    </row>
    <row r="371" spans="17:17" ht="15" customHeight="1" x14ac:dyDescent="0.35">
      <c r="Q371" s="623"/>
    </row>
    <row r="372" spans="17:17" ht="15" customHeight="1" x14ac:dyDescent="0.35">
      <c r="Q372" s="623"/>
    </row>
    <row r="373" spans="17:17" ht="15" customHeight="1" x14ac:dyDescent="0.35">
      <c r="Q373" s="623"/>
    </row>
    <row r="374" spans="17:17" ht="15" customHeight="1" x14ac:dyDescent="0.35">
      <c r="Q374" s="623"/>
    </row>
    <row r="375" spans="17:17" ht="15" customHeight="1" x14ac:dyDescent="0.35">
      <c r="Q375" s="623"/>
    </row>
    <row r="376" spans="17:17" ht="15" customHeight="1" x14ac:dyDescent="0.35">
      <c r="Q376" s="623"/>
    </row>
    <row r="377" spans="17:17" ht="15" customHeight="1" x14ac:dyDescent="0.35">
      <c r="Q377" s="623"/>
    </row>
    <row r="378" spans="17:17" ht="15" customHeight="1" x14ac:dyDescent="0.35">
      <c r="Q378" s="623"/>
    </row>
    <row r="379" spans="17:17" ht="15" customHeight="1" x14ac:dyDescent="0.35">
      <c r="Q379" s="623"/>
    </row>
    <row r="380" spans="17:17" ht="15" customHeight="1" x14ac:dyDescent="0.35">
      <c r="Q380" s="623"/>
    </row>
    <row r="381" spans="17:17" ht="15" customHeight="1" x14ac:dyDescent="0.35">
      <c r="Q381" s="623"/>
    </row>
    <row r="382" spans="17:17" ht="15" customHeight="1" x14ac:dyDescent="0.35">
      <c r="Q382" s="623"/>
    </row>
    <row r="383" spans="17:17" ht="15" customHeight="1" x14ac:dyDescent="0.35">
      <c r="Q383" s="623"/>
    </row>
    <row r="384" spans="17:17" ht="15" customHeight="1" x14ac:dyDescent="0.35">
      <c r="Q384" s="623"/>
    </row>
    <row r="385" spans="17:17" ht="15" customHeight="1" x14ac:dyDescent="0.35">
      <c r="Q385" s="623"/>
    </row>
    <row r="386" spans="17:17" ht="15" customHeight="1" x14ac:dyDescent="0.35">
      <c r="Q386" s="623"/>
    </row>
    <row r="387" spans="17:17" ht="15" customHeight="1" x14ac:dyDescent="0.35">
      <c r="Q387" s="623"/>
    </row>
    <row r="388" spans="17:17" ht="15" customHeight="1" x14ac:dyDescent="0.35">
      <c r="Q388" s="623"/>
    </row>
    <row r="389" spans="17:17" ht="15" customHeight="1" x14ac:dyDescent="0.35">
      <c r="Q389" s="623"/>
    </row>
    <row r="390" spans="17:17" ht="15" customHeight="1" x14ac:dyDescent="0.35">
      <c r="Q390" s="623"/>
    </row>
    <row r="391" spans="17:17" ht="15" customHeight="1" x14ac:dyDescent="0.35">
      <c r="Q391" s="623"/>
    </row>
    <row r="392" spans="17:17" ht="15" customHeight="1" x14ac:dyDescent="0.35">
      <c r="Q392" s="623"/>
    </row>
    <row r="393" spans="17:17" ht="15" customHeight="1" x14ac:dyDescent="0.35">
      <c r="Q393" s="623"/>
    </row>
    <row r="394" spans="17:17" ht="15" customHeight="1" x14ac:dyDescent="0.35">
      <c r="Q394" s="623"/>
    </row>
    <row r="395" spans="17:17" ht="15" customHeight="1" x14ac:dyDescent="0.35">
      <c r="Q395" s="623"/>
    </row>
    <row r="396" spans="17:17" ht="15" customHeight="1" x14ac:dyDescent="0.35">
      <c r="Q396" s="623"/>
    </row>
    <row r="397" spans="17:17" ht="15" customHeight="1" x14ac:dyDescent="0.35">
      <c r="Q397" s="623"/>
    </row>
    <row r="398" spans="17:17" ht="15" customHeight="1" x14ac:dyDescent="0.35">
      <c r="Q398" s="623"/>
    </row>
    <row r="399" spans="17:17" ht="15" customHeight="1" x14ac:dyDescent="0.35">
      <c r="Q399" s="623"/>
    </row>
    <row r="400" spans="17:17" ht="15" customHeight="1" x14ac:dyDescent="0.35">
      <c r="Q400" s="623"/>
    </row>
    <row r="401" spans="17:17" ht="15" customHeight="1" x14ac:dyDescent="0.35">
      <c r="Q401" s="623"/>
    </row>
    <row r="402" spans="17:17" ht="15" customHeight="1" x14ac:dyDescent="0.35">
      <c r="Q402" s="623"/>
    </row>
    <row r="403" spans="17:17" ht="15" customHeight="1" x14ac:dyDescent="0.35">
      <c r="Q403" s="623"/>
    </row>
    <row r="404" spans="17:17" ht="15" customHeight="1" x14ac:dyDescent="0.35">
      <c r="Q404" s="623"/>
    </row>
    <row r="405" spans="17:17" ht="15" customHeight="1" x14ac:dyDescent="0.35">
      <c r="Q405" s="623"/>
    </row>
    <row r="406" spans="17:17" ht="15" customHeight="1" x14ac:dyDescent="0.35">
      <c r="Q406" s="623"/>
    </row>
    <row r="407" spans="17:17" ht="15" customHeight="1" x14ac:dyDescent="0.35">
      <c r="Q407" s="623"/>
    </row>
    <row r="408" spans="17:17" ht="15" customHeight="1" x14ac:dyDescent="0.35">
      <c r="Q408" s="623"/>
    </row>
    <row r="409" spans="17:17" ht="15" customHeight="1" x14ac:dyDescent="0.35">
      <c r="Q409" s="623"/>
    </row>
    <row r="410" spans="17:17" ht="15" customHeight="1" x14ac:dyDescent="0.35">
      <c r="Q410" s="623"/>
    </row>
    <row r="411" spans="17:17" ht="15" customHeight="1" x14ac:dyDescent="0.35">
      <c r="Q411" s="623"/>
    </row>
    <row r="412" spans="17:17" ht="15" customHeight="1" x14ac:dyDescent="0.35">
      <c r="Q412" s="623"/>
    </row>
    <row r="413" spans="17:17" ht="15" customHeight="1" x14ac:dyDescent="0.35">
      <c r="Q413" s="623"/>
    </row>
    <row r="414" spans="17:17" ht="15" customHeight="1" x14ac:dyDescent="0.35">
      <c r="Q414" s="623"/>
    </row>
    <row r="415" spans="17:17" ht="15" customHeight="1" x14ac:dyDescent="0.35">
      <c r="Q415" s="623"/>
    </row>
    <row r="416" spans="17:17" ht="15" customHeight="1" x14ac:dyDescent="0.35">
      <c r="Q416" s="623"/>
    </row>
    <row r="417" spans="17:17" ht="15" customHeight="1" x14ac:dyDescent="0.35">
      <c r="Q417" s="623"/>
    </row>
    <row r="418" spans="17:17" ht="15" customHeight="1" x14ac:dyDescent="0.35">
      <c r="Q418" s="623"/>
    </row>
    <row r="419" spans="17:17" ht="15" customHeight="1" x14ac:dyDescent="0.35">
      <c r="Q419" s="623"/>
    </row>
    <row r="420" spans="17:17" ht="15" customHeight="1" x14ac:dyDescent="0.35">
      <c r="Q420" s="623"/>
    </row>
    <row r="421" spans="17:17" ht="15" customHeight="1" x14ac:dyDescent="0.35">
      <c r="Q421" s="623"/>
    </row>
    <row r="422" spans="17:17" ht="15" customHeight="1" x14ac:dyDescent="0.35">
      <c r="Q422" s="623"/>
    </row>
    <row r="423" spans="17:17" ht="15" customHeight="1" x14ac:dyDescent="0.35">
      <c r="Q423" s="623"/>
    </row>
    <row r="424" spans="17:17" ht="15" customHeight="1" x14ac:dyDescent="0.35">
      <c r="Q424" s="623"/>
    </row>
    <row r="425" spans="17:17" ht="15" customHeight="1" x14ac:dyDescent="0.35">
      <c r="Q425" s="623"/>
    </row>
    <row r="426" spans="17:17" ht="15" customHeight="1" x14ac:dyDescent="0.35">
      <c r="Q426" s="623"/>
    </row>
    <row r="427" spans="17:17" ht="15" customHeight="1" x14ac:dyDescent="0.35">
      <c r="Q427" s="623"/>
    </row>
    <row r="428" spans="17:17" ht="15" customHeight="1" x14ac:dyDescent="0.35">
      <c r="Q428" s="623"/>
    </row>
    <row r="429" spans="17:17" ht="15" customHeight="1" x14ac:dyDescent="0.35">
      <c r="Q429" s="623"/>
    </row>
    <row r="430" spans="17:17" ht="15" customHeight="1" x14ac:dyDescent="0.35">
      <c r="Q430" s="623"/>
    </row>
    <row r="431" spans="17:17" ht="15" customHeight="1" x14ac:dyDescent="0.35">
      <c r="Q431" s="623"/>
    </row>
    <row r="432" spans="17:17" ht="15" customHeight="1" x14ac:dyDescent="0.35">
      <c r="Q432" s="623"/>
    </row>
    <row r="433" spans="17:17" ht="15" customHeight="1" x14ac:dyDescent="0.35">
      <c r="Q433" s="623"/>
    </row>
    <row r="434" spans="17:17" ht="15" customHeight="1" x14ac:dyDescent="0.35">
      <c r="Q434" s="623"/>
    </row>
    <row r="435" spans="17:17" ht="15" customHeight="1" x14ac:dyDescent="0.35">
      <c r="Q435" s="623"/>
    </row>
    <row r="436" spans="17:17" ht="15" customHeight="1" x14ac:dyDescent="0.35">
      <c r="Q436" s="623"/>
    </row>
    <row r="437" spans="17:17" ht="15" customHeight="1" x14ac:dyDescent="0.35">
      <c r="Q437" s="623"/>
    </row>
    <row r="438" spans="17:17" ht="15" customHeight="1" x14ac:dyDescent="0.35">
      <c r="Q438" s="623"/>
    </row>
    <row r="439" spans="17:17" ht="15" customHeight="1" x14ac:dyDescent="0.35">
      <c r="Q439" s="623"/>
    </row>
    <row r="440" spans="17:17" ht="15" customHeight="1" x14ac:dyDescent="0.35">
      <c r="Q440" s="623"/>
    </row>
    <row r="441" spans="17:17" ht="15" customHeight="1" x14ac:dyDescent="0.35">
      <c r="Q441" s="623"/>
    </row>
    <row r="442" spans="17:17" ht="15" customHeight="1" x14ac:dyDescent="0.35">
      <c r="Q442" s="623"/>
    </row>
    <row r="443" spans="17:17" ht="15" customHeight="1" x14ac:dyDescent="0.35">
      <c r="Q443" s="623"/>
    </row>
    <row r="444" spans="17:17" ht="15" customHeight="1" x14ac:dyDescent="0.35">
      <c r="Q444" s="623"/>
    </row>
    <row r="445" spans="17:17" ht="15" customHeight="1" x14ac:dyDescent="0.35">
      <c r="Q445" s="623"/>
    </row>
    <row r="446" spans="17:17" ht="15" customHeight="1" x14ac:dyDescent="0.35">
      <c r="Q446" s="623"/>
    </row>
    <row r="447" spans="17:17" ht="15" customHeight="1" x14ac:dyDescent="0.35">
      <c r="Q447" s="623"/>
    </row>
    <row r="448" spans="17:17" ht="15" customHeight="1" x14ac:dyDescent="0.35">
      <c r="Q448" s="623"/>
    </row>
    <row r="449" spans="17:17" ht="15" customHeight="1" x14ac:dyDescent="0.35">
      <c r="Q449" s="623"/>
    </row>
    <row r="450" spans="17:17" ht="15" customHeight="1" x14ac:dyDescent="0.35">
      <c r="Q450" s="623"/>
    </row>
    <row r="451" spans="17:17" ht="15" customHeight="1" x14ac:dyDescent="0.35">
      <c r="Q451" s="623"/>
    </row>
    <row r="452" spans="17:17" ht="15" customHeight="1" x14ac:dyDescent="0.35">
      <c r="Q452" s="623"/>
    </row>
    <row r="453" spans="17:17" ht="15" customHeight="1" x14ac:dyDescent="0.35">
      <c r="Q453" s="623"/>
    </row>
    <row r="454" spans="17:17" ht="15" customHeight="1" x14ac:dyDescent="0.35">
      <c r="Q454" s="623"/>
    </row>
    <row r="455" spans="17:17" ht="15" customHeight="1" x14ac:dyDescent="0.35">
      <c r="Q455" s="623"/>
    </row>
    <row r="456" spans="17:17" ht="15" customHeight="1" x14ac:dyDescent="0.35">
      <c r="Q456" s="623"/>
    </row>
    <row r="457" spans="17:17" ht="15" customHeight="1" x14ac:dyDescent="0.35">
      <c r="Q457" s="623"/>
    </row>
    <row r="458" spans="17:17" ht="15" customHeight="1" x14ac:dyDescent="0.35">
      <c r="Q458" s="623"/>
    </row>
    <row r="459" spans="17:17" ht="15" customHeight="1" x14ac:dyDescent="0.35">
      <c r="Q459" s="623"/>
    </row>
    <row r="460" spans="17:17" ht="15" customHeight="1" x14ac:dyDescent="0.35">
      <c r="Q460" s="623"/>
    </row>
    <row r="461" spans="17:17" ht="15" customHeight="1" x14ac:dyDescent="0.35">
      <c r="Q461" s="623"/>
    </row>
    <row r="462" spans="17:17" ht="15" customHeight="1" x14ac:dyDescent="0.35">
      <c r="Q462" s="623"/>
    </row>
    <row r="463" spans="17:17" ht="15" customHeight="1" x14ac:dyDescent="0.35">
      <c r="Q463" s="623"/>
    </row>
    <row r="464" spans="17:17" ht="15" customHeight="1" x14ac:dyDescent="0.35">
      <c r="Q464" s="623"/>
    </row>
    <row r="465" spans="17:17" ht="15" customHeight="1" x14ac:dyDescent="0.35">
      <c r="Q465" s="623"/>
    </row>
    <row r="466" spans="17:17" ht="15" customHeight="1" x14ac:dyDescent="0.35">
      <c r="Q466" s="623"/>
    </row>
    <row r="467" spans="17:17" ht="15" customHeight="1" x14ac:dyDescent="0.35">
      <c r="Q467" s="623"/>
    </row>
    <row r="468" spans="17:17" ht="15" customHeight="1" x14ac:dyDescent="0.35">
      <c r="Q468" s="623"/>
    </row>
    <row r="469" spans="17:17" ht="15" customHeight="1" x14ac:dyDescent="0.35">
      <c r="Q469" s="623"/>
    </row>
    <row r="470" spans="17:17" ht="15" customHeight="1" x14ac:dyDescent="0.35">
      <c r="Q470" s="623"/>
    </row>
    <row r="471" spans="17:17" ht="15" customHeight="1" x14ac:dyDescent="0.35">
      <c r="Q471" s="623"/>
    </row>
    <row r="472" spans="17:17" ht="15" customHeight="1" x14ac:dyDescent="0.35">
      <c r="Q472" s="623"/>
    </row>
    <row r="473" spans="17:17" ht="15" customHeight="1" x14ac:dyDescent="0.35">
      <c r="Q473" s="623"/>
    </row>
    <row r="474" spans="17:17" ht="15" customHeight="1" x14ac:dyDescent="0.35">
      <c r="Q474" s="623"/>
    </row>
    <row r="475" spans="17:17" ht="15" customHeight="1" x14ac:dyDescent="0.35">
      <c r="Q475" s="623"/>
    </row>
    <row r="476" spans="17:17" ht="15" customHeight="1" x14ac:dyDescent="0.35">
      <c r="Q476" s="623"/>
    </row>
    <row r="477" spans="17:17" ht="15" customHeight="1" x14ac:dyDescent="0.35">
      <c r="Q477" s="623"/>
    </row>
    <row r="478" spans="17:17" ht="15" customHeight="1" x14ac:dyDescent="0.35">
      <c r="Q478" s="623"/>
    </row>
    <row r="479" spans="17:17" ht="15" customHeight="1" x14ac:dyDescent="0.35">
      <c r="Q479" s="623"/>
    </row>
    <row r="480" spans="17:17" ht="15" customHeight="1" x14ac:dyDescent="0.35">
      <c r="Q480" s="623"/>
    </row>
    <row r="481" spans="17:17" ht="15" customHeight="1" x14ac:dyDescent="0.35">
      <c r="Q481" s="623"/>
    </row>
    <row r="482" spans="17:17" ht="15" customHeight="1" x14ac:dyDescent="0.35">
      <c r="Q482" s="623"/>
    </row>
    <row r="483" spans="17:17" ht="15" customHeight="1" x14ac:dyDescent="0.35">
      <c r="Q483" s="623"/>
    </row>
    <row r="484" spans="17:17" ht="15" customHeight="1" x14ac:dyDescent="0.35">
      <c r="Q484" s="623"/>
    </row>
    <row r="485" spans="17:17" ht="15" customHeight="1" x14ac:dyDescent="0.35">
      <c r="Q485" s="623"/>
    </row>
    <row r="486" spans="17:17" ht="15" customHeight="1" x14ac:dyDescent="0.35">
      <c r="Q486" s="623"/>
    </row>
    <row r="487" spans="17:17" ht="15" customHeight="1" x14ac:dyDescent="0.35">
      <c r="Q487" s="623"/>
    </row>
    <row r="488" spans="17:17" ht="15" customHeight="1" x14ac:dyDescent="0.35">
      <c r="Q488" s="623"/>
    </row>
    <row r="489" spans="17:17" ht="15" customHeight="1" x14ac:dyDescent="0.35">
      <c r="Q489" s="623"/>
    </row>
    <row r="490" spans="17:17" ht="15" customHeight="1" x14ac:dyDescent="0.35">
      <c r="Q490" s="623"/>
    </row>
    <row r="491" spans="17:17" ht="15" customHeight="1" x14ac:dyDescent="0.35">
      <c r="Q491" s="623"/>
    </row>
    <row r="492" spans="17:17" ht="15" customHeight="1" x14ac:dyDescent="0.35">
      <c r="Q492" s="623"/>
    </row>
    <row r="493" spans="17:17" ht="15" customHeight="1" x14ac:dyDescent="0.35">
      <c r="Q493" s="623"/>
    </row>
    <row r="494" spans="17:17" ht="15" customHeight="1" x14ac:dyDescent="0.35">
      <c r="Q494" s="623"/>
    </row>
    <row r="495" spans="17:17" ht="15" customHeight="1" x14ac:dyDescent="0.35">
      <c r="Q495" s="623"/>
    </row>
    <row r="496" spans="17:17" ht="15" customHeight="1" x14ac:dyDescent="0.35">
      <c r="Q496" s="623"/>
    </row>
    <row r="497" spans="17:17" ht="15" customHeight="1" x14ac:dyDescent="0.35">
      <c r="Q497" s="623"/>
    </row>
    <row r="498" spans="17:17" ht="15" customHeight="1" x14ac:dyDescent="0.35">
      <c r="Q498" s="623"/>
    </row>
    <row r="499" spans="17:17" ht="15" customHeight="1" x14ac:dyDescent="0.35">
      <c r="Q499" s="623"/>
    </row>
    <row r="500" spans="17:17" ht="15" customHeight="1" x14ac:dyDescent="0.35">
      <c r="Q500" s="623"/>
    </row>
    <row r="501" spans="17:17" ht="15" customHeight="1" x14ac:dyDescent="0.35">
      <c r="Q501" s="623"/>
    </row>
    <row r="502" spans="17:17" ht="15" customHeight="1" x14ac:dyDescent="0.35">
      <c r="Q502" s="623"/>
    </row>
    <row r="503" spans="17:17" ht="15" customHeight="1" x14ac:dyDescent="0.35">
      <c r="Q503" s="623"/>
    </row>
    <row r="504" spans="17:17" ht="15" customHeight="1" x14ac:dyDescent="0.35">
      <c r="Q504" s="623"/>
    </row>
    <row r="505" spans="17:17" ht="15" customHeight="1" x14ac:dyDescent="0.35">
      <c r="Q505" s="623"/>
    </row>
    <row r="506" spans="17:17" ht="15" customHeight="1" x14ac:dyDescent="0.35">
      <c r="Q506" s="623"/>
    </row>
    <row r="507" spans="17:17" ht="15" customHeight="1" x14ac:dyDescent="0.35">
      <c r="Q507" s="623"/>
    </row>
    <row r="508" spans="17:17" ht="15" customHeight="1" x14ac:dyDescent="0.35">
      <c r="Q508" s="623"/>
    </row>
    <row r="509" spans="17:17" ht="15" customHeight="1" x14ac:dyDescent="0.35">
      <c r="Q509" s="623"/>
    </row>
    <row r="510" spans="17:17" ht="15" customHeight="1" x14ac:dyDescent="0.35">
      <c r="Q510" s="623"/>
    </row>
    <row r="511" spans="17:17" ht="15" customHeight="1" x14ac:dyDescent="0.35">
      <c r="Q511" s="623"/>
    </row>
    <row r="512" spans="17:17" ht="15" customHeight="1" x14ac:dyDescent="0.35">
      <c r="Q512" s="623"/>
    </row>
    <row r="513" spans="17:17" ht="15" customHeight="1" x14ac:dyDescent="0.35">
      <c r="Q513" s="623"/>
    </row>
    <row r="514" spans="17:17" ht="15" customHeight="1" x14ac:dyDescent="0.35">
      <c r="Q514" s="623"/>
    </row>
    <row r="515" spans="17:17" ht="15" customHeight="1" x14ac:dyDescent="0.35">
      <c r="Q515" s="623"/>
    </row>
    <row r="516" spans="17:17" ht="15" customHeight="1" x14ac:dyDescent="0.35">
      <c r="Q516" s="623"/>
    </row>
    <row r="517" spans="17:17" ht="15" customHeight="1" x14ac:dyDescent="0.35">
      <c r="Q517" s="623"/>
    </row>
    <row r="518" spans="17:17" ht="15" customHeight="1" x14ac:dyDescent="0.35">
      <c r="Q518" s="623"/>
    </row>
    <row r="519" spans="17:17" ht="15" customHeight="1" x14ac:dyDescent="0.35">
      <c r="Q519" s="623"/>
    </row>
    <row r="520" spans="17:17" ht="15" customHeight="1" x14ac:dyDescent="0.35">
      <c r="Q520" s="623"/>
    </row>
    <row r="521" spans="17:17" ht="15" customHeight="1" x14ac:dyDescent="0.35">
      <c r="Q521" s="623"/>
    </row>
    <row r="522" spans="17:17" ht="15" customHeight="1" x14ac:dyDescent="0.35">
      <c r="Q522" s="623"/>
    </row>
    <row r="523" spans="17:17" ht="15" customHeight="1" x14ac:dyDescent="0.35">
      <c r="Q523" s="623"/>
    </row>
    <row r="524" spans="17:17" ht="15" customHeight="1" x14ac:dyDescent="0.35">
      <c r="Q524" s="623"/>
    </row>
    <row r="525" spans="17:17" ht="15" customHeight="1" x14ac:dyDescent="0.35">
      <c r="Q525" s="623"/>
    </row>
    <row r="526" spans="17:17" ht="15" customHeight="1" x14ac:dyDescent="0.35">
      <c r="Q526" s="623"/>
    </row>
    <row r="527" spans="17:17" ht="15" customHeight="1" x14ac:dyDescent="0.35">
      <c r="Q527" s="623"/>
    </row>
    <row r="528" spans="17:17" ht="15" customHeight="1" x14ac:dyDescent="0.35">
      <c r="Q528" s="623"/>
    </row>
    <row r="529" spans="17:17" ht="15" customHeight="1" x14ac:dyDescent="0.35">
      <c r="Q529" s="623"/>
    </row>
    <row r="530" spans="17:17" ht="15" customHeight="1" x14ac:dyDescent="0.35">
      <c r="Q530" s="623"/>
    </row>
    <row r="531" spans="17:17" ht="15" customHeight="1" x14ac:dyDescent="0.35">
      <c r="Q531" s="623"/>
    </row>
    <row r="532" spans="17:17" ht="15" customHeight="1" x14ac:dyDescent="0.35">
      <c r="Q532" s="623"/>
    </row>
    <row r="533" spans="17:17" ht="15" customHeight="1" x14ac:dyDescent="0.35">
      <c r="Q533" s="623"/>
    </row>
    <row r="534" spans="17:17" ht="15" customHeight="1" x14ac:dyDescent="0.35">
      <c r="Q534" s="623"/>
    </row>
    <row r="535" spans="17:17" ht="15" customHeight="1" x14ac:dyDescent="0.35">
      <c r="Q535" s="623"/>
    </row>
    <row r="536" spans="17:17" ht="15" customHeight="1" x14ac:dyDescent="0.35">
      <c r="Q536" s="623"/>
    </row>
    <row r="537" spans="17:17" ht="15" customHeight="1" x14ac:dyDescent="0.35">
      <c r="Q537" s="623"/>
    </row>
    <row r="538" spans="17:17" ht="15" customHeight="1" x14ac:dyDescent="0.35">
      <c r="Q538" s="623"/>
    </row>
    <row r="539" spans="17:17" ht="15" customHeight="1" x14ac:dyDescent="0.35">
      <c r="Q539" s="623"/>
    </row>
    <row r="540" spans="17:17" ht="15" customHeight="1" x14ac:dyDescent="0.35">
      <c r="Q540" s="623"/>
    </row>
    <row r="541" spans="17:17" ht="15" customHeight="1" x14ac:dyDescent="0.35">
      <c r="Q541" s="623"/>
    </row>
    <row r="542" spans="17:17" ht="15" customHeight="1" x14ac:dyDescent="0.35">
      <c r="Q542" s="623"/>
    </row>
    <row r="543" spans="17:17" ht="15" customHeight="1" x14ac:dyDescent="0.35">
      <c r="Q543" s="623"/>
    </row>
    <row r="544" spans="17:17" ht="15" customHeight="1" x14ac:dyDescent="0.35">
      <c r="Q544" s="623"/>
    </row>
    <row r="545" spans="17:17" ht="15" customHeight="1" x14ac:dyDescent="0.35">
      <c r="Q545" s="623"/>
    </row>
    <row r="546" spans="17:17" ht="15" customHeight="1" x14ac:dyDescent="0.35">
      <c r="Q546" s="623"/>
    </row>
    <row r="547" spans="17:17" ht="15" customHeight="1" x14ac:dyDescent="0.35">
      <c r="Q547" s="623"/>
    </row>
    <row r="548" spans="17:17" ht="15" customHeight="1" x14ac:dyDescent="0.35">
      <c r="Q548" s="623"/>
    </row>
    <row r="549" spans="17:17" ht="15" customHeight="1" x14ac:dyDescent="0.35">
      <c r="Q549" s="623"/>
    </row>
    <row r="550" spans="17:17" ht="15" customHeight="1" x14ac:dyDescent="0.35">
      <c r="Q550" s="623"/>
    </row>
    <row r="551" spans="17:17" ht="15" customHeight="1" x14ac:dyDescent="0.35">
      <c r="Q551" s="623"/>
    </row>
    <row r="552" spans="17:17" ht="15" customHeight="1" x14ac:dyDescent="0.35">
      <c r="Q552" s="623"/>
    </row>
    <row r="553" spans="17:17" ht="15" customHeight="1" x14ac:dyDescent="0.35">
      <c r="Q553" s="623"/>
    </row>
    <row r="554" spans="17:17" ht="15" customHeight="1" x14ac:dyDescent="0.35">
      <c r="Q554" s="623"/>
    </row>
    <row r="555" spans="17:17" ht="15" customHeight="1" x14ac:dyDescent="0.35">
      <c r="Q555" s="623"/>
    </row>
    <row r="556" spans="17:17" ht="15" customHeight="1" x14ac:dyDescent="0.35">
      <c r="Q556" s="623"/>
    </row>
    <row r="557" spans="17:17" ht="15" customHeight="1" x14ac:dyDescent="0.35">
      <c r="Q557" s="623"/>
    </row>
    <row r="558" spans="17:17" ht="15" customHeight="1" x14ac:dyDescent="0.35">
      <c r="Q558" s="623"/>
    </row>
    <row r="559" spans="17:17" ht="15" customHeight="1" x14ac:dyDescent="0.35">
      <c r="Q559" s="623"/>
    </row>
    <row r="560" spans="17:17" ht="15" customHeight="1" x14ac:dyDescent="0.35">
      <c r="Q560" s="623"/>
    </row>
    <row r="561" spans="17:17" ht="15" customHeight="1" x14ac:dyDescent="0.35">
      <c r="Q561" s="623"/>
    </row>
    <row r="562" spans="17:17" ht="15" customHeight="1" x14ac:dyDescent="0.35">
      <c r="Q562" s="623"/>
    </row>
    <row r="563" spans="17:17" ht="15" customHeight="1" x14ac:dyDescent="0.35">
      <c r="Q563" s="623"/>
    </row>
    <row r="564" spans="17:17" ht="15" customHeight="1" x14ac:dyDescent="0.35">
      <c r="Q564" s="623"/>
    </row>
    <row r="565" spans="17:17" ht="15" customHeight="1" x14ac:dyDescent="0.35">
      <c r="Q565" s="623"/>
    </row>
    <row r="566" spans="17:17" ht="15" customHeight="1" x14ac:dyDescent="0.35">
      <c r="Q566" s="623"/>
    </row>
    <row r="567" spans="17:17" ht="15" customHeight="1" x14ac:dyDescent="0.35">
      <c r="Q567" s="623"/>
    </row>
    <row r="568" spans="17:17" ht="15" customHeight="1" x14ac:dyDescent="0.35">
      <c r="Q568" s="623"/>
    </row>
    <row r="569" spans="17:17" ht="15" customHeight="1" x14ac:dyDescent="0.35">
      <c r="Q569" s="623"/>
    </row>
    <row r="570" spans="17:17" ht="15" customHeight="1" x14ac:dyDescent="0.35">
      <c r="Q570" s="623"/>
    </row>
    <row r="571" spans="17:17" ht="15" customHeight="1" x14ac:dyDescent="0.35">
      <c r="Q571" s="623"/>
    </row>
    <row r="572" spans="17:17" ht="15" customHeight="1" x14ac:dyDescent="0.35">
      <c r="Q572" s="623"/>
    </row>
    <row r="573" spans="17:17" ht="15" customHeight="1" x14ac:dyDescent="0.35">
      <c r="Q573" s="623"/>
    </row>
    <row r="574" spans="17:17" ht="15" customHeight="1" x14ac:dyDescent="0.35">
      <c r="Q574" s="623"/>
    </row>
    <row r="575" spans="17:17" ht="15" customHeight="1" x14ac:dyDescent="0.35">
      <c r="Q575" s="623"/>
    </row>
    <row r="576" spans="17:17" ht="15" customHeight="1" x14ac:dyDescent="0.35">
      <c r="Q576" s="623"/>
    </row>
    <row r="577" spans="17:17" ht="15" customHeight="1" x14ac:dyDescent="0.35">
      <c r="Q577" s="623"/>
    </row>
    <row r="578" spans="17:17" ht="15" customHeight="1" x14ac:dyDescent="0.35">
      <c r="Q578" s="623"/>
    </row>
    <row r="579" spans="17:17" ht="15" customHeight="1" x14ac:dyDescent="0.35">
      <c r="Q579" s="623"/>
    </row>
    <row r="580" spans="17:17" ht="15" customHeight="1" x14ac:dyDescent="0.35">
      <c r="Q580" s="623"/>
    </row>
    <row r="581" spans="17:17" ht="15" customHeight="1" x14ac:dyDescent="0.35">
      <c r="Q581" s="623"/>
    </row>
    <row r="582" spans="17:17" ht="15" customHeight="1" x14ac:dyDescent="0.35">
      <c r="Q582" s="623"/>
    </row>
    <row r="583" spans="17:17" ht="15" customHeight="1" x14ac:dyDescent="0.35">
      <c r="Q583" s="623"/>
    </row>
    <row r="584" spans="17:17" ht="15" customHeight="1" x14ac:dyDescent="0.35">
      <c r="Q584" s="623"/>
    </row>
    <row r="585" spans="17:17" ht="15" customHeight="1" x14ac:dyDescent="0.35">
      <c r="Q585" s="623"/>
    </row>
    <row r="586" spans="17:17" ht="15" customHeight="1" x14ac:dyDescent="0.35">
      <c r="Q586" s="623"/>
    </row>
    <row r="587" spans="17:17" ht="15" customHeight="1" x14ac:dyDescent="0.35">
      <c r="Q587" s="623"/>
    </row>
    <row r="588" spans="17:17" ht="15" customHeight="1" x14ac:dyDescent="0.35">
      <c r="Q588" s="623"/>
    </row>
    <row r="589" spans="17:17" ht="15" customHeight="1" x14ac:dyDescent="0.35">
      <c r="Q589" s="623"/>
    </row>
    <row r="590" spans="17:17" ht="15" customHeight="1" x14ac:dyDescent="0.35">
      <c r="Q590" s="623"/>
    </row>
    <row r="591" spans="17:17" ht="15" customHeight="1" x14ac:dyDescent="0.35">
      <c r="Q591" s="623"/>
    </row>
    <row r="592" spans="17:17" ht="15" customHeight="1" x14ac:dyDescent="0.35">
      <c r="Q592" s="623"/>
    </row>
    <row r="593" spans="17:17" ht="15" customHeight="1" x14ac:dyDescent="0.35">
      <c r="Q593" s="623"/>
    </row>
    <row r="594" spans="17:17" ht="15" customHeight="1" x14ac:dyDescent="0.35">
      <c r="Q594" s="623"/>
    </row>
    <row r="595" spans="17:17" ht="15" customHeight="1" x14ac:dyDescent="0.35">
      <c r="Q595" s="623"/>
    </row>
    <row r="596" spans="17:17" ht="15" customHeight="1" x14ac:dyDescent="0.35">
      <c r="Q596" s="623"/>
    </row>
    <row r="597" spans="17:17" ht="15" customHeight="1" x14ac:dyDescent="0.35">
      <c r="Q597" s="623"/>
    </row>
    <row r="598" spans="17:17" ht="15" customHeight="1" x14ac:dyDescent="0.35">
      <c r="Q598" s="623"/>
    </row>
    <row r="599" spans="17:17" ht="15" customHeight="1" x14ac:dyDescent="0.35">
      <c r="Q599" s="623"/>
    </row>
    <row r="600" spans="17:17" ht="15" customHeight="1" x14ac:dyDescent="0.35">
      <c r="Q600" s="623"/>
    </row>
    <row r="601" spans="17:17" ht="15" customHeight="1" x14ac:dyDescent="0.35">
      <c r="Q601" s="623"/>
    </row>
    <row r="602" spans="17:17" ht="15" customHeight="1" x14ac:dyDescent="0.35">
      <c r="Q602" s="623"/>
    </row>
    <row r="603" spans="17:17" ht="15" customHeight="1" x14ac:dyDescent="0.35">
      <c r="Q603" s="623"/>
    </row>
    <row r="604" spans="17:17" ht="15" customHeight="1" x14ac:dyDescent="0.35">
      <c r="Q604" s="623"/>
    </row>
    <row r="605" spans="17:17" ht="15" customHeight="1" x14ac:dyDescent="0.35">
      <c r="Q605" s="623"/>
    </row>
    <row r="606" spans="17:17" ht="15" customHeight="1" x14ac:dyDescent="0.35">
      <c r="Q606" s="623"/>
    </row>
    <row r="607" spans="17:17" ht="15" customHeight="1" x14ac:dyDescent="0.35">
      <c r="Q607" s="623"/>
    </row>
    <row r="608" spans="17:17" ht="15" customHeight="1" x14ac:dyDescent="0.35">
      <c r="Q608" s="623"/>
    </row>
    <row r="609" spans="17:17" ht="15" customHeight="1" x14ac:dyDescent="0.35">
      <c r="Q609" s="623"/>
    </row>
    <row r="610" spans="17:17" ht="15" customHeight="1" x14ac:dyDescent="0.35">
      <c r="Q610" s="623"/>
    </row>
    <row r="611" spans="17:17" ht="15" customHeight="1" x14ac:dyDescent="0.35">
      <c r="Q611" s="623"/>
    </row>
    <row r="612" spans="17:17" ht="15" customHeight="1" x14ac:dyDescent="0.35">
      <c r="Q612" s="623"/>
    </row>
    <row r="613" spans="17:17" ht="15" customHeight="1" x14ac:dyDescent="0.35">
      <c r="Q613" s="623"/>
    </row>
    <row r="614" spans="17:17" ht="15" customHeight="1" x14ac:dyDescent="0.35">
      <c r="Q614" s="623"/>
    </row>
    <row r="615" spans="17:17" ht="15" customHeight="1" x14ac:dyDescent="0.35">
      <c r="Q615" s="623"/>
    </row>
    <row r="616" spans="17:17" ht="15" customHeight="1" x14ac:dyDescent="0.35">
      <c r="Q616" s="623"/>
    </row>
    <row r="617" spans="17:17" ht="15" customHeight="1" x14ac:dyDescent="0.35">
      <c r="Q617" s="623"/>
    </row>
    <row r="618" spans="17:17" ht="15" customHeight="1" x14ac:dyDescent="0.35">
      <c r="Q618" s="623"/>
    </row>
    <row r="619" spans="17:17" ht="15" customHeight="1" x14ac:dyDescent="0.35">
      <c r="Q619" s="623"/>
    </row>
    <row r="620" spans="17:17" ht="15" customHeight="1" x14ac:dyDescent="0.35">
      <c r="Q620" s="623"/>
    </row>
    <row r="621" spans="17:17" ht="15" customHeight="1" x14ac:dyDescent="0.35">
      <c r="Q621" s="623"/>
    </row>
    <row r="622" spans="17:17" ht="15" customHeight="1" x14ac:dyDescent="0.35">
      <c r="Q622" s="623"/>
    </row>
    <row r="623" spans="17:17" ht="15" customHeight="1" x14ac:dyDescent="0.35">
      <c r="Q623" s="623"/>
    </row>
    <row r="624" spans="17:17" ht="15" customHeight="1" x14ac:dyDescent="0.35">
      <c r="Q624" s="623"/>
    </row>
    <row r="625" spans="17:17" ht="15" customHeight="1" x14ac:dyDescent="0.35">
      <c r="Q625" s="623"/>
    </row>
    <row r="626" spans="17:17" ht="15" customHeight="1" x14ac:dyDescent="0.35">
      <c r="Q626" s="623"/>
    </row>
    <row r="627" spans="17:17" ht="15" customHeight="1" x14ac:dyDescent="0.35">
      <c r="Q627" s="623"/>
    </row>
    <row r="628" spans="17:17" ht="15" customHeight="1" x14ac:dyDescent="0.35">
      <c r="Q628" s="623"/>
    </row>
    <row r="629" spans="17:17" ht="15" customHeight="1" x14ac:dyDescent="0.35">
      <c r="Q629" s="623"/>
    </row>
    <row r="630" spans="17:17" ht="15" customHeight="1" x14ac:dyDescent="0.35">
      <c r="Q630" s="623"/>
    </row>
    <row r="631" spans="17:17" ht="15" customHeight="1" x14ac:dyDescent="0.35">
      <c r="Q631" s="623"/>
    </row>
    <row r="632" spans="17:17" ht="15" customHeight="1" x14ac:dyDescent="0.35">
      <c r="Q632" s="623"/>
    </row>
    <row r="633" spans="17:17" ht="15" customHeight="1" x14ac:dyDescent="0.35">
      <c r="Q633" s="623"/>
    </row>
    <row r="634" spans="17:17" ht="15" customHeight="1" x14ac:dyDescent="0.35">
      <c r="Q634" s="623"/>
    </row>
    <row r="635" spans="17:17" ht="15" customHeight="1" x14ac:dyDescent="0.35">
      <c r="Q635" s="623"/>
    </row>
    <row r="636" spans="17:17" ht="15" customHeight="1" x14ac:dyDescent="0.35">
      <c r="Q636" s="623"/>
    </row>
    <row r="637" spans="17:17" ht="15" customHeight="1" x14ac:dyDescent="0.35">
      <c r="Q637" s="623"/>
    </row>
    <row r="638" spans="17:17" ht="15" customHeight="1" x14ac:dyDescent="0.35">
      <c r="Q638" s="623"/>
    </row>
    <row r="639" spans="17:17" ht="15" customHeight="1" x14ac:dyDescent="0.35">
      <c r="Q639" s="623"/>
    </row>
    <row r="640" spans="17:17" ht="15" customHeight="1" x14ac:dyDescent="0.35">
      <c r="Q640" s="623"/>
    </row>
    <row r="641" spans="17:17" ht="15" customHeight="1" x14ac:dyDescent="0.35">
      <c r="Q641" s="623"/>
    </row>
    <row r="642" spans="17:17" ht="15" customHeight="1" x14ac:dyDescent="0.35">
      <c r="Q642" s="623"/>
    </row>
    <row r="643" spans="17:17" ht="15" customHeight="1" x14ac:dyDescent="0.35">
      <c r="Q643" s="623"/>
    </row>
    <row r="644" spans="17:17" ht="15" customHeight="1" x14ac:dyDescent="0.35">
      <c r="Q644" s="623"/>
    </row>
    <row r="645" spans="17:17" ht="15" customHeight="1" x14ac:dyDescent="0.35">
      <c r="Q645" s="623"/>
    </row>
    <row r="646" spans="17:17" ht="15" customHeight="1" x14ac:dyDescent="0.35">
      <c r="Q646" s="623"/>
    </row>
    <row r="647" spans="17:17" ht="15" customHeight="1" x14ac:dyDescent="0.35">
      <c r="Q647" s="623"/>
    </row>
    <row r="648" spans="17:17" ht="15" customHeight="1" x14ac:dyDescent="0.35">
      <c r="Q648" s="623"/>
    </row>
    <row r="649" spans="17:17" ht="15" customHeight="1" x14ac:dyDescent="0.35">
      <c r="Q649" s="623"/>
    </row>
    <row r="650" spans="17:17" ht="15" customHeight="1" x14ac:dyDescent="0.35">
      <c r="Q650" s="623"/>
    </row>
    <row r="651" spans="17:17" ht="15" customHeight="1" x14ac:dyDescent="0.35">
      <c r="Q651" s="623"/>
    </row>
    <row r="652" spans="17:17" ht="15" customHeight="1" x14ac:dyDescent="0.35">
      <c r="Q652" s="623"/>
    </row>
    <row r="653" spans="17:17" ht="15" customHeight="1" x14ac:dyDescent="0.35">
      <c r="Q653" s="623"/>
    </row>
    <row r="654" spans="17:17" ht="15" customHeight="1" x14ac:dyDescent="0.35">
      <c r="Q654" s="623"/>
    </row>
    <row r="655" spans="17:17" ht="15" customHeight="1" x14ac:dyDescent="0.35">
      <c r="Q655" s="623"/>
    </row>
    <row r="656" spans="17:17" ht="15" customHeight="1" x14ac:dyDescent="0.35">
      <c r="Q656" s="623"/>
    </row>
    <row r="657" spans="17:17" ht="15" customHeight="1" x14ac:dyDescent="0.35">
      <c r="Q657" s="623"/>
    </row>
    <row r="658" spans="17:17" ht="15" customHeight="1" x14ac:dyDescent="0.35">
      <c r="Q658" s="623"/>
    </row>
    <row r="659" spans="17:17" ht="15" customHeight="1" x14ac:dyDescent="0.35">
      <c r="Q659" s="623"/>
    </row>
    <row r="660" spans="17:17" ht="15" customHeight="1" x14ac:dyDescent="0.35">
      <c r="Q660" s="623"/>
    </row>
    <row r="661" spans="17:17" ht="15" customHeight="1" x14ac:dyDescent="0.35">
      <c r="Q661" s="623"/>
    </row>
    <row r="662" spans="17:17" ht="15" customHeight="1" x14ac:dyDescent="0.35">
      <c r="Q662" s="623"/>
    </row>
    <row r="663" spans="17:17" ht="15" customHeight="1" x14ac:dyDescent="0.35">
      <c r="Q663" s="623"/>
    </row>
    <row r="664" spans="17:17" ht="15" customHeight="1" x14ac:dyDescent="0.35">
      <c r="Q664" s="623"/>
    </row>
    <row r="665" spans="17:17" ht="15" customHeight="1" x14ac:dyDescent="0.35">
      <c r="Q665" s="623"/>
    </row>
    <row r="666" spans="17:17" ht="15" customHeight="1" x14ac:dyDescent="0.35">
      <c r="Q666" s="623"/>
    </row>
    <row r="667" spans="17:17" ht="15" customHeight="1" x14ac:dyDescent="0.35">
      <c r="Q667" s="623"/>
    </row>
    <row r="668" spans="17:17" ht="15" customHeight="1" x14ac:dyDescent="0.35">
      <c r="Q668" s="623"/>
    </row>
    <row r="669" spans="17:17" ht="15" customHeight="1" x14ac:dyDescent="0.35">
      <c r="Q669" s="623"/>
    </row>
    <row r="670" spans="17:17" ht="15" customHeight="1" x14ac:dyDescent="0.35">
      <c r="Q670" s="623"/>
    </row>
    <row r="671" spans="17:17" ht="15" customHeight="1" x14ac:dyDescent="0.35">
      <c r="Q671" s="623"/>
    </row>
    <row r="672" spans="17:17" ht="15" customHeight="1" x14ac:dyDescent="0.35">
      <c r="Q672" s="623"/>
    </row>
    <row r="673" spans="17:17" ht="15" customHeight="1" x14ac:dyDescent="0.35">
      <c r="Q673" s="623"/>
    </row>
    <row r="674" spans="17:17" ht="15" customHeight="1" x14ac:dyDescent="0.35">
      <c r="Q674" s="623"/>
    </row>
    <row r="675" spans="17:17" ht="15" customHeight="1" x14ac:dyDescent="0.35">
      <c r="Q675" s="623"/>
    </row>
    <row r="676" spans="17:17" ht="15" customHeight="1" x14ac:dyDescent="0.35">
      <c r="Q676" s="623"/>
    </row>
    <row r="677" spans="17:17" ht="15" customHeight="1" x14ac:dyDescent="0.35">
      <c r="Q677" s="623"/>
    </row>
    <row r="678" spans="17:17" ht="15" customHeight="1" x14ac:dyDescent="0.35">
      <c r="Q678" s="623"/>
    </row>
    <row r="679" spans="17:17" ht="15" customHeight="1" x14ac:dyDescent="0.35">
      <c r="Q679" s="623"/>
    </row>
    <row r="680" spans="17:17" ht="15" customHeight="1" x14ac:dyDescent="0.35">
      <c r="Q680" s="623"/>
    </row>
    <row r="681" spans="17:17" ht="15" customHeight="1" x14ac:dyDescent="0.35">
      <c r="Q681" s="623"/>
    </row>
    <row r="682" spans="17:17" ht="15" customHeight="1" x14ac:dyDescent="0.35">
      <c r="Q682" s="623"/>
    </row>
    <row r="683" spans="17:17" ht="15" customHeight="1" x14ac:dyDescent="0.35">
      <c r="Q683" s="623"/>
    </row>
    <row r="684" spans="17:17" ht="15" customHeight="1" x14ac:dyDescent="0.35">
      <c r="Q684" s="623"/>
    </row>
    <row r="685" spans="17:17" ht="15" customHeight="1" x14ac:dyDescent="0.35">
      <c r="Q685" s="623"/>
    </row>
    <row r="686" spans="17:17" ht="15" customHeight="1" x14ac:dyDescent="0.35">
      <c r="Q686" s="623"/>
    </row>
    <row r="687" spans="17:17" ht="15" customHeight="1" x14ac:dyDescent="0.35">
      <c r="Q687" s="623"/>
    </row>
    <row r="688" spans="17:17" ht="15" customHeight="1" x14ac:dyDescent="0.35">
      <c r="Q688" s="623"/>
    </row>
    <row r="689" spans="17:17" ht="15" customHeight="1" x14ac:dyDescent="0.35">
      <c r="Q689" s="623"/>
    </row>
    <row r="690" spans="17:17" ht="15" customHeight="1" x14ac:dyDescent="0.35">
      <c r="Q690" s="623"/>
    </row>
    <row r="691" spans="17:17" ht="15" customHeight="1" x14ac:dyDescent="0.35">
      <c r="Q691" s="623"/>
    </row>
    <row r="692" spans="17:17" ht="15" customHeight="1" x14ac:dyDescent="0.35">
      <c r="Q692" s="623"/>
    </row>
    <row r="693" spans="17:17" ht="15" customHeight="1" x14ac:dyDescent="0.35">
      <c r="Q693" s="623"/>
    </row>
    <row r="694" spans="17:17" ht="15" customHeight="1" x14ac:dyDescent="0.35">
      <c r="Q694" s="623"/>
    </row>
    <row r="695" spans="17:17" ht="15" customHeight="1" x14ac:dyDescent="0.35">
      <c r="Q695" s="623"/>
    </row>
    <row r="696" spans="17:17" ht="15" customHeight="1" x14ac:dyDescent="0.35">
      <c r="Q696" s="623"/>
    </row>
    <row r="697" spans="17:17" ht="15" customHeight="1" x14ac:dyDescent="0.35">
      <c r="Q697" s="623"/>
    </row>
    <row r="698" spans="17:17" ht="15" customHeight="1" x14ac:dyDescent="0.35">
      <c r="Q698" s="623"/>
    </row>
    <row r="699" spans="17:17" ht="15" customHeight="1" x14ac:dyDescent="0.35">
      <c r="Q699" s="623"/>
    </row>
    <row r="700" spans="17:17" ht="15" customHeight="1" x14ac:dyDescent="0.35">
      <c r="Q700" s="623"/>
    </row>
    <row r="701" spans="17:17" ht="15" customHeight="1" x14ac:dyDescent="0.35">
      <c r="Q701" s="623"/>
    </row>
    <row r="702" spans="17:17" ht="15" customHeight="1" x14ac:dyDescent="0.35">
      <c r="Q702" s="623"/>
    </row>
    <row r="703" spans="17:17" ht="15" customHeight="1" x14ac:dyDescent="0.35">
      <c r="Q703" s="623"/>
    </row>
    <row r="704" spans="17:17" ht="15" customHeight="1" x14ac:dyDescent="0.35">
      <c r="Q704" s="623"/>
    </row>
    <row r="705" spans="17:17" ht="15" customHeight="1" x14ac:dyDescent="0.35">
      <c r="Q705" s="623"/>
    </row>
    <row r="706" spans="17:17" ht="15" customHeight="1" x14ac:dyDescent="0.35">
      <c r="Q706" s="623"/>
    </row>
    <row r="707" spans="17:17" ht="15" customHeight="1" x14ac:dyDescent="0.35">
      <c r="Q707" s="623"/>
    </row>
    <row r="708" spans="17:17" ht="15" customHeight="1" x14ac:dyDescent="0.35">
      <c r="Q708" s="623"/>
    </row>
    <row r="709" spans="17:17" ht="15" customHeight="1" x14ac:dyDescent="0.35">
      <c r="Q709" s="623"/>
    </row>
    <row r="710" spans="17:17" ht="15" customHeight="1" x14ac:dyDescent="0.35">
      <c r="Q710" s="623"/>
    </row>
    <row r="711" spans="17:17" ht="15" customHeight="1" x14ac:dyDescent="0.35">
      <c r="Q711" s="623"/>
    </row>
    <row r="712" spans="17:17" ht="15" customHeight="1" x14ac:dyDescent="0.35">
      <c r="Q712" s="623"/>
    </row>
    <row r="713" spans="17:17" ht="15" customHeight="1" x14ac:dyDescent="0.35">
      <c r="Q713" s="623"/>
    </row>
    <row r="714" spans="17:17" ht="15" customHeight="1" x14ac:dyDescent="0.35">
      <c r="Q714" s="623"/>
    </row>
    <row r="715" spans="17:17" ht="15" customHeight="1" x14ac:dyDescent="0.35">
      <c r="Q715" s="623"/>
    </row>
    <row r="716" spans="17:17" ht="15" customHeight="1" x14ac:dyDescent="0.35">
      <c r="Q716" s="623"/>
    </row>
    <row r="717" spans="17:17" ht="15" customHeight="1" x14ac:dyDescent="0.35">
      <c r="Q717" s="623"/>
    </row>
    <row r="718" spans="17:17" ht="15" customHeight="1" x14ac:dyDescent="0.35">
      <c r="Q718" s="623"/>
    </row>
    <row r="719" spans="17:17" ht="15" customHeight="1" x14ac:dyDescent="0.35">
      <c r="Q719" s="623"/>
    </row>
    <row r="720" spans="17:17" ht="15" customHeight="1" x14ac:dyDescent="0.35">
      <c r="Q720" s="623"/>
    </row>
    <row r="721" spans="17:17" ht="15" customHeight="1" x14ac:dyDescent="0.35">
      <c r="Q721" s="623"/>
    </row>
    <row r="722" spans="17:17" ht="15" customHeight="1" x14ac:dyDescent="0.35">
      <c r="Q722" s="623"/>
    </row>
    <row r="723" spans="17:17" ht="15" customHeight="1" x14ac:dyDescent="0.35">
      <c r="Q723" s="623"/>
    </row>
    <row r="724" spans="17:17" ht="15" customHeight="1" x14ac:dyDescent="0.35">
      <c r="Q724" s="623"/>
    </row>
    <row r="725" spans="17:17" ht="15" customHeight="1" x14ac:dyDescent="0.35">
      <c r="Q725" s="623"/>
    </row>
    <row r="726" spans="17:17" ht="15" customHeight="1" x14ac:dyDescent="0.35">
      <c r="Q726" s="623"/>
    </row>
    <row r="727" spans="17:17" ht="15" customHeight="1" x14ac:dyDescent="0.35">
      <c r="Q727" s="623"/>
    </row>
    <row r="728" spans="17:17" ht="15" customHeight="1" x14ac:dyDescent="0.35">
      <c r="Q728" s="623"/>
    </row>
    <row r="729" spans="17:17" ht="15" customHeight="1" x14ac:dyDescent="0.35">
      <c r="Q729" s="623"/>
    </row>
    <row r="730" spans="17:17" ht="15" customHeight="1" x14ac:dyDescent="0.35">
      <c r="Q730" s="623"/>
    </row>
    <row r="731" spans="17:17" ht="15" customHeight="1" x14ac:dyDescent="0.35">
      <c r="Q731" s="623"/>
    </row>
    <row r="732" spans="17:17" ht="15" customHeight="1" x14ac:dyDescent="0.35">
      <c r="Q732" s="623"/>
    </row>
    <row r="733" spans="17:17" ht="15" customHeight="1" x14ac:dyDescent="0.35">
      <c r="Q733" s="623"/>
    </row>
    <row r="734" spans="17:17" ht="15" customHeight="1" x14ac:dyDescent="0.35">
      <c r="Q734" s="623"/>
    </row>
    <row r="735" spans="17:17" ht="15" customHeight="1" x14ac:dyDescent="0.35">
      <c r="Q735" s="623"/>
    </row>
    <row r="736" spans="17:17" ht="15" customHeight="1" x14ac:dyDescent="0.35">
      <c r="Q736" s="623"/>
    </row>
    <row r="737" spans="17:17" ht="15" customHeight="1" x14ac:dyDescent="0.35">
      <c r="Q737" s="623"/>
    </row>
    <row r="738" spans="17:17" ht="15" customHeight="1" x14ac:dyDescent="0.35">
      <c r="Q738" s="623"/>
    </row>
    <row r="739" spans="17:17" ht="15" customHeight="1" x14ac:dyDescent="0.35">
      <c r="Q739" s="623"/>
    </row>
    <row r="740" spans="17:17" ht="15" customHeight="1" x14ac:dyDescent="0.35">
      <c r="Q740" s="623"/>
    </row>
    <row r="741" spans="17:17" ht="15" customHeight="1" x14ac:dyDescent="0.35">
      <c r="Q741" s="623"/>
    </row>
    <row r="742" spans="17:17" ht="15" customHeight="1" x14ac:dyDescent="0.35">
      <c r="Q742" s="623"/>
    </row>
    <row r="743" spans="17:17" ht="15" customHeight="1" x14ac:dyDescent="0.35">
      <c r="Q743" s="623"/>
    </row>
    <row r="744" spans="17:17" ht="15" customHeight="1" x14ac:dyDescent="0.35">
      <c r="Q744" s="623"/>
    </row>
    <row r="745" spans="17:17" ht="15" customHeight="1" x14ac:dyDescent="0.35">
      <c r="Q745" s="623"/>
    </row>
    <row r="746" spans="17:17" ht="15" customHeight="1" x14ac:dyDescent="0.35">
      <c r="Q746" s="623"/>
    </row>
    <row r="747" spans="17:17" ht="15" customHeight="1" x14ac:dyDescent="0.35">
      <c r="Q747" s="623"/>
    </row>
    <row r="748" spans="17:17" ht="15" customHeight="1" x14ac:dyDescent="0.35">
      <c r="Q748" s="623"/>
    </row>
    <row r="749" spans="17:17" ht="15" customHeight="1" x14ac:dyDescent="0.35">
      <c r="Q749" s="623"/>
    </row>
    <row r="750" spans="17:17" ht="15" customHeight="1" x14ac:dyDescent="0.35">
      <c r="Q750" s="623"/>
    </row>
    <row r="751" spans="17:17" ht="15" customHeight="1" x14ac:dyDescent="0.35">
      <c r="Q751" s="623"/>
    </row>
    <row r="752" spans="17:17" ht="15" customHeight="1" x14ac:dyDescent="0.35">
      <c r="Q752" s="623"/>
    </row>
    <row r="753" spans="17:17" ht="15" customHeight="1" x14ac:dyDescent="0.35">
      <c r="Q753" s="623"/>
    </row>
    <row r="754" spans="17:17" ht="15" customHeight="1" x14ac:dyDescent="0.35">
      <c r="Q754" s="623"/>
    </row>
    <row r="755" spans="17:17" ht="15" customHeight="1" x14ac:dyDescent="0.35">
      <c r="Q755" s="623"/>
    </row>
    <row r="756" spans="17:17" ht="15" customHeight="1" x14ac:dyDescent="0.35">
      <c r="Q756" s="623"/>
    </row>
    <row r="757" spans="17:17" ht="15" customHeight="1" x14ac:dyDescent="0.35">
      <c r="Q757" s="623"/>
    </row>
    <row r="758" spans="17:17" ht="15" customHeight="1" x14ac:dyDescent="0.35">
      <c r="Q758" s="623"/>
    </row>
    <row r="759" spans="17:17" ht="15" customHeight="1" x14ac:dyDescent="0.35">
      <c r="Q759" s="623"/>
    </row>
    <row r="760" spans="17:17" ht="15" customHeight="1" x14ac:dyDescent="0.35">
      <c r="Q760" s="623"/>
    </row>
    <row r="761" spans="17:17" ht="15" customHeight="1" x14ac:dyDescent="0.35">
      <c r="Q761" s="623"/>
    </row>
    <row r="762" spans="17:17" ht="15" customHeight="1" x14ac:dyDescent="0.35">
      <c r="Q762" s="623"/>
    </row>
    <row r="763" spans="17:17" ht="15" customHeight="1" x14ac:dyDescent="0.35">
      <c r="Q763" s="623"/>
    </row>
    <row r="764" spans="17:17" ht="15" customHeight="1" x14ac:dyDescent="0.35">
      <c r="Q764" s="623"/>
    </row>
    <row r="765" spans="17:17" ht="15" customHeight="1" x14ac:dyDescent="0.35">
      <c r="Q765" s="623"/>
    </row>
    <row r="766" spans="17:17" ht="15" customHeight="1" x14ac:dyDescent="0.35">
      <c r="Q766" s="623"/>
    </row>
    <row r="767" spans="17:17" ht="15" customHeight="1" x14ac:dyDescent="0.35">
      <c r="Q767" s="623"/>
    </row>
    <row r="768" spans="17:17" ht="15" customHeight="1" x14ac:dyDescent="0.35">
      <c r="Q768" s="623"/>
    </row>
    <row r="769" spans="17:17" ht="15" customHeight="1" x14ac:dyDescent="0.35">
      <c r="Q769" s="623"/>
    </row>
    <row r="770" spans="17:17" ht="15" customHeight="1" x14ac:dyDescent="0.35">
      <c r="Q770" s="623"/>
    </row>
    <row r="771" spans="17:17" ht="15" customHeight="1" x14ac:dyDescent="0.35">
      <c r="Q771" s="623"/>
    </row>
    <row r="772" spans="17:17" ht="15" customHeight="1" x14ac:dyDescent="0.35">
      <c r="Q772" s="623"/>
    </row>
    <row r="773" spans="17:17" ht="15" customHeight="1" x14ac:dyDescent="0.35">
      <c r="Q773" s="623"/>
    </row>
    <row r="774" spans="17:17" ht="15" customHeight="1" x14ac:dyDescent="0.35">
      <c r="Q774" s="623"/>
    </row>
    <row r="775" spans="17:17" ht="15" customHeight="1" x14ac:dyDescent="0.35">
      <c r="Q775" s="623"/>
    </row>
    <row r="776" spans="17:17" ht="15" customHeight="1" x14ac:dyDescent="0.35">
      <c r="Q776" s="623"/>
    </row>
    <row r="777" spans="17:17" ht="15" customHeight="1" x14ac:dyDescent="0.35">
      <c r="Q777" s="623"/>
    </row>
    <row r="778" spans="17:17" ht="15" customHeight="1" x14ac:dyDescent="0.35">
      <c r="Q778" s="623"/>
    </row>
    <row r="779" spans="17:17" ht="15" customHeight="1" x14ac:dyDescent="0.35">
      <c r="Q779" s="623"/>
    </row>
    <row r="780" spans="17:17" ht="15" customHeight="1" x14ac:dyDescent="0.35">
      <c r="Q780" s="623"/>
    </row>
    <row r="781" spans="17:17" ht="15" customHeight="1" x14ac:dyDescent="0.35">
      <c r="Q781" s="623"/>
    </row>
    <row r="782" spans="17:17" ht="15" customHeight="1" x14ac:dyDescent="0.35">
      <c r="Q782" s="623"/>
    </row>
    <row r="783" spans="17:17" ht="15" customHeight="1" x14ac:dyDescent="0.35">
      <c r="Q783" s="623"/>
    </row>
    <row r="784" spans="17:17" ht="15" customHeight="1" x14ac:dyDescent="0.35">
      <c r="Q784" s="623"/>
    </row>
    <row r="785" spans="17:17" ht="15" customHeight="1" x14ac:dyDescent="0.35">
      <c r="Q785" s="623"/>
    </row>
    <row r="786" spans="17:17" ht="15" customHeight="1" x14ac:dyDescent="0.35">
      <c r="Q786" s="623"/>
    </row>
    <row r="787" spans="17:17" ht="15" customHeight="1" x14ac:dyDescent="0.35">
      <c r="Q787" s="623"/>
    </row>
    <row r="788" spans="17:17" ht="15" customHeight="1" x14ac:dyDescent="0.35">
      <c r="Q788" s="623"/>
    </row>
    <row r="789" spans="17:17" ht="15" customHeight="1" x14ac:dyDescent="0.35">
      <c r="Q789" s="623"/>
    </row>
    <row r="790" spans="17:17" ht="15" customHeight="1" x14ac:dyDescent="0.35">
      <c r="Q790" s="623"/>
    </row>
    <row r="791" spans="17:17" ht="15" customHeight="1" x14ac:dyDescent="0.35">
      <c r="Q791" s="623"/>
    </row>
    <row r="792" spans="17:17" ht="15" customHeight="1" x14ac:dyDescent="0.35">
      <c r="Q792" s="623"/>
    </row>
    <row r="793" spans="17:17" ht="15" customHeight="1" x14ac:dyDescent="0.35">
      <c r="Q793" s="623"/>
    </row>
    <row r="794" spans="17:17" ht="15" customHeight="1" x14ac:dyDescent="0.35">
      <c r="Q794" s="623"/>
    </row>
    <row r="795" spans="17:17" ht="15" customHeight="1" x14ac:dyDescent="0.35">
      <c r="Q795" s="623"/>
    </row>
    <row r="796" spans="17:17" ht="15" customHeight="1" x14ac:dyDescent="0.35">
      <c r="Q796" s="623"/>
    </row>
    <row r="797" spans="17:17" ht="15" customHeight="1" x14ac:dyDescent="0.35">
      <c r="Q797" s="623"/>
    </row>
    <row r="798" spans="17:17" ht="15" customHeight="1" x14ac:dyDescent="0.35">
      <c r="Q798" s="623"/>
    </row>
    <row r="799" spans="17:17" ht="15" customHeight="1" x14ac:dyDescent="0.35">
      <c r="Q799" s="623"/>
    </row>
    <row r="800" spans="17:17" ht="15" customHeight="1" x14ac:dyDescent="0.35">
      <c r="Q800" s="623"/>
    </row>
    <row r="801" spans="17:17" ht="15" customHeight="1" x14ac:dyDescent="0.35">
      <c r="Q801" s="623"/>
    </row>
    <row r="802" spans="17:17" ht="15" customHeight="1" x14ac:dyDescent="0.35">
      <c r="Q802" s="623"/>
    </row>
    <row r="803" spans="17:17" ht="15" customHeight="1" x14ac:dyDescent="0.35">
      <c r="Q803" s="623"/>
    </row>
    <row r="804" spans="17:17" ht="15" customHeight="1" x14ac:dyDescent="0.35">
      <c r="Q804" s="623"/>
    </row>
    <row r="805" spans="17:17" ht="15" customHeight="1" x14ac:dyDescent="0.35">
      <c r="Q805" s="623"/>
    </row>
    <row r="806" spans="17:17" ht="15" customHeight="1" x14ac:dyDescent="0.35">
      <c r="Q806" s="623"/>
    </row>
    <row r="807" spans="17:17" ht="15" customHeight="1" x14ac:dyDescent="0.35">
      <c r="Q807" s="623"/>
    </row>
    <row r="808" spans="17:17" ht="15" customHeight="1" x14ac:dyDescent="0.35">
      <c r="Q808" s="623"/>
    </row>
    <row r="809" spans="17:17" ht="15" customHeight="1" x14ac:dyDescent="0.35">
      <c r="Q809" s="623"/>
    </row>
    <row r="810" spans="17:17" ht="15" customHeight="1" x14ac:dyDescent="0.35">
      <c r="Q810" s="623"/>
    </row>
    <row r="811" spans="17:17" ht="15" customHeight="1" x14ac:dyDescent="0.35">
      <c r="Q811" s="623"/>
    </row>
    <row r="812" spans="17:17" ht="15" customHeight="1" x14ac:dyDescent="0.35">
      <c r="Q812" s="623"/>
    </row>
    <row r="813" spans="17:17" ht="15" customHeight="1" x14ac:dyDescent="0.35">
      <c r="Q813" s="623"/>
    </row>
    <row r="814" spans="17:17" ht="15" customHeight="1" x14ac:dyDescent="0.35">
      <c r="Q814" s="623"/>
    </row>
    <row r="815" spans="17:17" ht="15" customHeight="1" x14ac:dyDescent="0.35">
      <c r="Q815" s="623"/>
    </row>
    <row r="816" spans="17:17" ht="15" customHeight="1" x14ac:dyDescent="0.35">
      <c r="Q816" s="623"/>
    </row>
    <row r="817" spans="17:17" ht="15" customHeight="1" x14ac:dyDescent="0.35">
      <c r="Q817" s="623"/>
    </row>
    <row r="818" spans="17:17" ht="15" customHeight="1" x14ac:dyDescent="0.35">
      <c r="Q818" s="623"/>
    </row>
    <row r="819" spans="17:17" ht="15" customHeight="1" x14ac:dyDescent="0.35">
      <c r="Q819" s="623"/>
    </row>
    <row r="820" spans="17:17" ht="15" customHeight="1" x14ac:dyDescent="0.35">
      <c r="Q820" s="623"/>
    </row>
    <row r="821" spans="17:17" ht="15" customHeight="1" x14ac:dyDescent="0.35">
      <c r="Q821" s="623"/>
    </row>
    <row r="822" spans="17:17" ht="15" customHeight="1" x14ac:dyDescent="0.35">
      <c r="Q822" s="623"/>
    </row>
    <row r="823" spans="17:17" ht="15" customHeight="1" x14ac:dyDescent="0.35">
      <c r="Q823" s="623"/>
    </row>
    <row r="824" spans="17:17" ht="15" customHeight="1" x14ac:dyDescent="0.35">
      <c r="Q824" s="623"/>
    </row>
    <row r="825" spans="17:17" ht="15" customHeight="1" x14ac:dyDescent="0.35">
      <c r="Q825" s="623"/>
    </row>
    <row r="826" spans="17:17" ht="15" customHeight="1" x14ac:dyDescent="0.35">
      <c r="Q826" s="623"/>
    </row>
    <row r="827" spans="17:17" ht="15" customHeight="1" x14ac:dyDescent="0.35">
      <c r="Q827" s="623"/>
    </row>
    <row r="828" spans="17:17" ht="15" customHeight="1" x14ac:dyDescent="0.35">
      <c r="Q828" s="623"/>
    </row>
    <row r="829" spans="17:17" ht="15" customHeight="1" x14ac:dyDescent="0.35">
      <c r="Q829" s="623"/>
    </row>
    <row r="830" spans="17:17" ht="15" customHeight="1" x14ac:dyDescent="0.35">
      <c r="Q830" s="623"/>
    </row>
    <row r="831" spans="17:17" ht="15" customHeight="1" x14ac:dyDescent="0.35">
      <c r="Q831" s="623"/>
    </row>
    <row r="832" spans="17:17" ht="15" customHeight="1" x14ac:dyDescent="0.35">
      <c r="Q832" s="623"/>
    </row>
    <row r="833" spans="17:17" ht="15" customHeight="1" x14ac:dyDescent="0.35">
      <c r="Q833" s="623"/>
    </row>
    <row r="834" spans="17:17" ht="15" customHeight="1" x14ac:dyDescent="0.35">
      <c r="Q834" s="623"/>
    </row>
    <row r="835" spans="17:17" ht="15" customHeight="1" x14ac:dyDescent="0.35">
      <c r="Q835" s="623"/>
    </row>
    <row r="836" spans="17:17" ht="15" customHeight="1" x14ac:dyDescent="0.35">
      <c r="Q836" s="623"/>
    </row>
    <row r="837" spans="17:17" ht="15" customHeight="1" x14ac:dyDescent="0.35">
      <c r="Q837" s="623"/>
    </row>
    <row r="838" spans="17:17" ht="15" customHeight="1" x14ac:dyDescent="0.35">
      <c r="Q838" s="623"/>
    </row>
    <row r="839" spans="17:17" ht="15" customHeight="1" x14ac:dyDescent="0.35">
      <c r="Q839" s="623"/>
    </row>
    <row r="840" spans="17:17" ht="15" customHeight="1" x14ac:dyDescent="0.35">
      <c r="Q840" s="623"/>
    </row>
    <row r="841" spans="17:17" ht="15" customHeight="1" x14ac:dyDescent="0.35">
      <c r="Q841" s="623"/>
    </row>
    <row r="842" spans="17:17" ht="15" customHeight="1" x14ac:dyDescent="0.35">
      <c r="Q842" s="623"/>
    </row>
    <row r="843" spans="17:17" ht="15" customHeight="1" x14ac:dyDescent="0.35">
      <c r="Q843" s="623"/>
    </row>
    <row r="844" spans="17:17" ht="15" customHeight="1" x14ac:dyDescent="0.35">
      <c r="Q844" s="623"/>
    </row>
    <row r="845" spans="17:17" ht="15" customHeight="1" x14ac:dyDescent="0.35">
      <c r="Q845" s="623"/>
    </row>
    <row r="846" spans="17:17" ht="15" customHeight="1" x14ac:dyDescent="0.35">
      <c r="Q846" s="623"/>
    </row>
    <row r="847" spans="17:17" ht="15" customHeight="1" x14ac:dyDescent="0.35">
      <c r="Q847" s="623"/>
    </row>
    <row r="848" spans="17:17" ht="15" customHeight="1" x14ac:dyDescent="0.35">
      <c r="Q848" s="623"/>
    </row>
    <row r="849" spans="17:17" ht="15" customHeight="1" x14ac:dyDescent="0.35">
      <c r="Q849" s="623"/>
    </row>
    <row r="850" spans="17:17" ht="15" customHeight="1" x14ac:dyDescent="0.35">
      <c r="Q850" s="623"/>
    </row>
    <row r="851" spans="17:17" ht="15" customHeight="1" x14ac:dyDescent="0.35">
      <c r="Q851" s="623"/>
    </row>
    <row r="852" spans="17:17" ht="15" customHeight="1" x14ac:dyDescent="0.35">
      <c r="Q852" s="623"/>
    </row>
    <row r="853" spans="17:17" ht="15" customHeight="1" x14ac:dyDescent="0.35">
      <c r="Q853" s="623"/>
    </row>
    <row r="854" spans="17:17" ht="15" customHeight="1" x14ac:dyDescent="0.35">
      <c r="Q854" s="623"/>
    </row>
    <row r="855" spans="17:17" ht="15" customHeight="1" x14ac:dyDescent="0.35">
      <c r="Q855" s="623"/>
    </row>
    <row r="856" spans="17:17" ht="15" customHeight="1" x14ac:dyDescent="0.35">
      <c r="Q856" s="623"/>
    </row>
    <row r="857" spans="17:17" ht="15" customHeight="1" x14ac:dyDescent="0.35">
      <c r="Q857" s="623"/>
    </row>
    <row r="858" spans="17:17" ht="15" customHeight="1" x14ac:dyDescent="0.35">
      <c r="Q858" s="623"/>
    </row>
    <row r="859" spans="17:17" ht="15" customHeight="1" x14ac:dyDescent="0.35">
      <c r="Q859" s="623"/>
    </row>
    <row r="860" spans="17:17" ht="15" customHeight="1" x14ac:dyDescent="0.35">
      <c r="Q860" s="623"/>
    </row>
    <row r="861" spans="17:17" ht="15" customHeight="1" x14ac:dyDescent="0.35">
      <c r="Q861" s="623"/>
    </row>
    <row r="862" spans="17:17" ht="15" customHeight="1" x14ac:dyDescent="0.35">
      <c r="Q862" s="623"/>
    </row>
    <row r="863" spans="17:17" ht="15" customHeight="1" x14ac:dyDescent="0.35">
      <c r="Q863" s="623"/>
    </row>
    <row r="864" spans="17:17" ht="15" customHeight="1" x14ac:dyDescent="0.35">
      <c r="Q864" s="623"/>
    </row>
    <row r="865" spans="17:17" ht="15" customHeight="1" x14ac:dyDescent="0.35">
      <c r="Q865" s="623"/>
    </row>
    <row r="866" spans="17:17" ht="15" customHeight="1" x14ac:dyDescent="0.35">
      <c r="Q866" s="623"/>
    </row>
    <row r="867" spans="17:17" ht="15" customHeight="1" x14ac:dyDescent="0.35">
      <c r="Q867" s="623"/>
    </row>
    <row r="868" spans="17:17" ht="15" customHeight="1" x14ac:dyDescent="0.35">
      <c r="Q868" s="623"/>
    </row>
    <row r="869" spans="17:17" ht="15" customHeight="1" x14ac:dyDescent="0.35">
      <c r="Q869" s="623"/>
    </row>
    <row r="870" spans="17:17" ht="15" customHeight="1" x14ac:dyDescent="0.35">
      <c r="Q870" s="623"/>
    </row>
    <row r="871" spans="17:17" ht="15" customHeight="1" x14ac:dyDescent="0.35">
      <c r="Q871" s="623"/>
    </row>
    <row r="872" spans="17:17" ht="15" customHeight="1" x14ac:dyDescent="0.35">
      <c r="Q872" s="623"/>
    </row>
    <row r="873" spans="17:17" ht="15" customHeight="1" x14ac:dyDescent="0.35">
      <c r="Q873" s="623"/>
    </row>
    <row r="874" spans="17:17" ht="15" customHeight="1" x14ac:dyDescent="0.35">
      <c r="Q874" s="623"/>
    </row>
    <row r="875" spans="17:17" ht="15" customHeight="1" x14ac:dyDescent="0.35">
      <c r="Q875" s="623"/>
    </row>
    <row r="876" spans="17:17" ht="15" customHeight="1" x14ac:dyDescent="0.35">
      <c r="Q876" s="623"/>
    </row>
    <row r="877" spans="17:17" ht="15" customHeight="1" x14ac:dyDescent="0.35">
      <c r="Q877" s="623"/>
    </row>
    <row r="878" spans="17:17" ht="15" customHeight="1" x14ac:dyDescent="0.35">
      <c r="Q878" s="623"/>
    </row>
    <row r="879" spans="17:17" ht="15" customHeight="1" x14ac:dyDescent="0.35">
      <c r="Q879" s="623"/>
    </row>
    <row r="880" spans="17:17" ht="15" customHeight="1" x14ac:dyDescent="0.35">
      <c r="Q880" s="623"/>
    </row>
    <row r="881" spans="17:17" ht="15" customHeight="1" x14ac:dyDescent="0.35">
      <c r="Q881" s="623"/>
    </row>
    <row r="882" spans="17:17" ht="15" customHeight="1" x14ac:dyDescent="0.35">
      <c r="Q882" s="623"/>
    </row>
    <row r="883" spans="17:17" ht="15" customHeight="1" x14ac:dyDescent="0.35">
      <c r="Q883" s="623"/>
    </row>
    <row r="884" spans="17:17" ht="15" customHeight="1" x14ac:dyDescent="0.35">
      <c r="Q884" s="623"/>
    </row>
    <row r="885" spans="17:17" ht="15" customHeight="1" x14ac:dyDescent="0.35">
      <c r="Q885" s="623"/>
    </row>
    <row r="886" spans="17:17" ht="15" customHeight="1" x14ac:dyDescent="0.35">
      <c r="Q886" s="623"/>
    </row>
    <row r="887" spans="17:17" ht="15" customHeight="1" x14ac:dyDescent="0.35">
      <c r="Q887" s="623"/>
    </row>
    <row r="888" spans="17:17" ht="15" customHeight="1" x14ac:dyDescent="0.35">
      <c r="Q888" s="623"/>
    </row>
    <row r="889" spans="17:17" ht="15" customHeight="1" x14ac:dyDescent="0.35">
      <c r="Q889" s="623"/>
    </row>
    <row r="890" spans="17:17" ht="15" customHeight="1" x14ac:dyDescent="0.35">
      <c r="Q890" s="623"/>
    </row>
    <row r="891" spans="17:17" ht="15" customHeight="1" x14ac:dyDescent="0.35">
      <c r="Q891" s="623"/>
    </row>
    <row r="892" spans="17:17" ht="15" customHeight="1" x14ac:dyDescent="0.35">
      <c r="Q892" s="623"/>
    </row>
    <row r="893" spans="17:17" ht="15" customHeight="1" x14ac:dyDescent="0.35">
      <c r="Q893" s="623"/>
    </row>
    <row r="894" spans="17:17" ht="15" customHeight="1" x14ac:dyDescent="0.35">
      <c r="Q894" s="623"/>
    </row>
    <row r="895" spans="17:17" ht="15" customHeight="1" x14ac:dyDescent="0.35">
      <c r="Q895" s="623"/>
    </row>
    <row r="896" spans="17:17" ht="15" customHeight="1" x14ac:dyDescent="0.35">
      <c r="Q896" s="623"/>
    </row>
    <row r="897" spans="17:17" ht="15" customHeight="1" x14ac:dyDescent="0.35">
      <c r="Q897" s="623"/>
    </row>
    <row r="898" spans="17:17" ht="15" customHeight="1" x14ac:dyDescent="0.35">
      <c r="Q898" s="623"/>
    </row>
    <row r="899" spans="17:17" ht="15" customHeight="1" x14ac:dyDescent="0.35">
      <c r="Q899" s="623"/>
    </row>
    <row r="900" spans="17:17" ht="15" customHeight="1" x14ac:dyDescent="0.35">
      <c r="Q900" s="623"/>
    </row>
    <row r="901" spans="17:17" ht="15" customHeight="1" x14ac:dyDescent="0.35">
      <c r="Q901" s="623"/>
    </row>
    <row r="902" spans="17:17" ht="15" customHeight="1" x14ac:dyDescent="0.35">
      <c r="Q902" s="623"/>
    </row>
    <row r="903" spans="17:17" ht="15" customHeight="1" x14ac:dyDescent="0.35">
      <c r="Q903" s="623"/>
    </row>
    <row r="904" spans="17:17" ht="15" customHeight="1" x14ac:dyDescent="0.35">
      <c r="Q904" s="623"/>
    </row>
    <row r="905" spans="17:17" ht="15" customHeight="1" x14ac:dyDescent="0.35">
      <c r="Q905" s="623"/>
    </row>
    <row r="906" spans="17:17" ht="15" customHeight="1" x14ac:dyDescent="0.35">
      <c r="Q906" s="623"/>
    </row>
    <row r="907" spans="17:17" ht="15" customHeight="1" x14ac:dyDescent="0.35">
      <c r="Q907" s="623"/>
    </row>
    <row r="908" spans="17:17" ht="15" customHeight="1" x14ac:dyDescent="0.35">
      <c r="Q908" s="623"/>
    </row>
    <row r="909" spans="17:17" ht="15" customHeight="1" x14ac:dyDescent="0.35">
      <c r="Q909" s="623"/>
    </row>
    <row r="910" spans="17:17" ht="15" customHeight="1" x14ac:dyDescent="0.35">
      <c r="Q910" s="623"/>
    </row>
    <row r="911" spans="17:17" ht="15" customHeight="1" x14ac:dyDescent="0.35">
      <c r="Q911" s="623"/>
    </row>
    <row r="912" spans="17:17" ht="15" customHeight="1" x14ac:dyDescent="0.35">
      <c r="Q912" s="623"/>
    </row>
    <row r="913" spans="17:17" ht="15" customHeight="1" x14ac:dyDescent="0.35">
      <c r="Q913" s="623"/>
    </row>
    <row r="914" spans="17:17" ht="15" customHeight="1" x14ac:dyDescent="0.35">
      <c r="Q914" s="623"/>
    </row>
    <row r="915" spans="17:17" ht="15" customHeight="1" x14ac:dyDescent="0.35">
      <c r="Q915" s="623"/>
    </row>
    <row r="916" spans="17:17" ht="15" customHeight="1" x14ac:dyDescent="0.35">
      <c r="Q916" s="623"/>
    </row>
    <row r="917" spans="17:17" ht="15" customHeight="1" x14ac:dyDescent="0.35">
      <c r="Q917" s="623"/>
    </row>
    <row r="918" spans="17:17" ht="15" customHeight="1" x14ac:dyDescent="0.35">
      <c r="Q918" s="623"/>
    </row>
    <row r="919" spans="17:17" ht="15" customHeight="1" x14ac:dyDescent="0.35">
      <c r="Q919" s="623"/>
    </row>
    <row r="920" spans="17:17" ht="15" customHeight="1" x14ac:dyDescent="0.35">
      <c r="Q920" s="623"/>
    </row>
    <row r="921" spans="17:17" ht="15" customHeight="1" x14ac:dyDescent="0.35">
      <c r="Q921" s="623"/>
    </row>
    <row r="922" spans="17:17" ht="15" customHeight="1" x14ac:dyDescent="0.35">
      <c r="Q922" s="623"/>
    </row>
    <row r="923" spans="17:17" ht="15" customHeight="1" x14ac:dyDescent="0.35">
      <c r="Q923" s="623"/>
    </row>
    <row r="924" spans="17:17" ht="15" customHeight="1" x14ac:dyDescent="0.35">
      <c r="Q924" s="623"/>
    </row>
    <row r="925" spans="17:17" ht="15" customHeight="1" x14ac:dyDescent="0.35">
      <c r="Q925" s="623"/>
    </row>
    <row r="926" spans="17:17" ht="15" customHeight="1" x14ac:dyDescent="0.35">
      <c r="Q926" s="623"/>
    </row>
    <row r="927" spans="17:17" ht="15" customHeight="1" x14ac:dyDescent="0.35">
      <c r="Q927" s="623"/>
    </row>
    <row r="928" spans="17:17" ht="15" customHeight="1" x14ac:dyDescent="0.35">
      <c r="Q928" s="623"/>
    </row>
    <row r="929" spans="17:17" ht="15" customHeight="1" x14ac:dyDescent="0.35">
      <c r="Q929" s="623"/>
    </row>
    <row r="930" spans="17:17" ht="15" customHeight="1" x14ac:dyDescent="0.35">
      <c r="Q930" s="623"/>
    </row>
    <row r="931" spans="17:17" ht="15" customHeight="1" x14ac:dyDescent="0.35">
      <c r="Q931" s="623"/>
    </row>
    <row r="932" spans="17:17" ht="15" customHeight="1" x14ac:dyDescent="0.35">
      <c r="Q932" s="623"/>
    </row>
    <row r="933" spans="17:17" ht="15" customHeight="1" x14ac:dyDescent="0.35">
      <c r="Q933" s="623"/>
    </row>
    <row r="934" spans="17:17" ht="15" customHeight="1" x14ac:dyDescent="0.35">
      <c r="Q934" s="623"/>
    </row>
    <row r="935" spans="17:17" ht="15" customHeight="1" x14ac:dyDescent="0.35">
      <c r="Q935" s="623"/>
    </row>
    <row r="936" spans="17:17" ht="15" customHeight="1" x14ac:dyDescent="0.35">
      <c r="Q936" s="623"/>
    </row>
    <row r="937" spans="17:17" ht="15" customHeight="1" x14ac:dyDescent="0.35">
      <c r="Q937" s="623"/>
    </row>
    <row r="938" spans="17:17" ht="15" customHeight="1" x14ac:dyDescent="0.35">
      <c r="Q938" s="623"/>
    </row>
    <row r="939" spans="17:17" ht="15" customHeight="1" x14ac:dyDescent="0.35">
      <c r="Q939" s="623"/>
    </row>
    <row r="940" spans="17:17" ht="15" customHeight="1" x14ac:dyDescent="0.35">
      <c r="Q940" s="623"/>
    </row>
    <row r="941" spans="17:17" ht="15" customHeight="1" x14ac:dyDescent="0.35">
      <c r="Q941" s="623"/>
    </row>
    <row r="942" spans="17:17" ht="15" customHeight="1" x14ac:dyDescent="0.35">
      <c r="Q942" s="623"/>
    </row>
    <row r="943" spans="17:17" ht="15" customHeight="1" x14ac:dyDescent="0.35">
      <c r="Q943" s="623"/>
    </row>
    <row r="944" spans="17:17" ht="15" customHeight="1" x14ac:dyDescent="0.35">
      <c r="Q944" s="623"/>
    </row>
    <row r="945" spans="17:17" ht="15" customHeight="1" x14ac:dyDescent="0.35">
      <c r="Q945" s="623"/>
    </row>
    <row r="946" spans="17:17" ht="15" customHeight="1" x14ac:dyDescent="0.35">
      <c r="Q946" s="623"/>
    </row>
    <row r="947" spans="17:17" ht="15" customHeight="1" x14ac:dyDescent="0.35">
      <c r="Q947" s="623"/>
    </row>
    <row r="948" spans="17:17" ht="15" customHeight="1" x14ac:dyDescent="0.35">
      <c r="Q948" s="623"/>
    </row>
    <row r="949" spans="17:17" ht="15" customHeight="1" x14ac:dyDescent="0.35">
      <c r="Q949" s="623"/>
    </row>
    <row r="950" spans="17:17" ht="15" customHeight="1" x14ac:dyDescent="0.35">
      <c r="Q950" s="623"/>
    </row>
    <row r="951" spans="17:17" ht="15" customHeight="1" x14ac:dyDescent="0.35">
      <c r="Q951" s="623"/>
    </row>
    <row r="952" spans="17:17" ht="15" customHeight="1" x14ac:dyDescent="0.35">
      <c r="Q952" s="623"/>
    </row>
    <row r="953" spans="17:17" ht="15" customHeight="1" x14ac:dyDescent="0.35">
      <c r="Q953" s="623"/>
    </row>
    <row r="954" spans="17:17" ht="15" customHeight="1" x14ac:dyDescent="0.35">
      <c r="Q954" s="623"/>
    </row>
    <row r="955" spans="17:17" ht="15" customHeight="1" x14ac:dyDescent="0.35">
      <c r="Q955" s="623"/>
    </row>
    <row r="956" spans="17:17" ht="15" customHeight="1" x14ac:dyDescent="0.35">
      <c r="Q956" s="623"/>
    </row>
    <row r="957" spans="17:17" ht="15" customHeight="1" x14ac:dyDescent="0.35">
      <c r="Q957" s="623"/>
    </row>
    <row r="958" spans="17:17" ht="15" customHeight="1" x14ac:dyDescent="0.35">
      <c r="Q958" s="623"/>
    </row>
    <row r="959" spans="17:17" ht="15" customHeight="1" x14ac:dyDescent="0.35">
      <c r="Q959" s="623"/>
    </row>
    <row r="960" spans="17:17" ht="15" customHeight="1" x14ac:dyDescent="0.35">
      <c r="Q960" s="623"/>
    </row>
    <row r="961" spans="17:17" ht="15" customHeight="1" x14ac:dyDescent="0.35">
      <c r="Q961" s="623"/>
    </row>
    <row r="962" spans="17:17" ht="15" customHeight="1" x14ac:dyDescent="0.35">
      <c r="Q962" s="623"/>
    </row>
    <row r="963" spans="17:17" ht="15" customHeight="1" x14ac:dyDescent="0.35">
      <c r="Q963" s="623"/>
    </row>
    <row r="964" spans="17:17" ht="15" customHeight="1" x14ac:dyDescent="0.35">
      <c r="Q964" s="623"/>
    </row>
    <row r="965" spans="17:17" ht="15" customHeight="1" x14ac:dyDescent="0.35">
      <c r="Q965" s="623"/>
    </row>
    <row r="966" spans="17:17" ht="15" customHeight="1" x14ac:dyDescent="0.35">
      <c r="Q966" s="623"/>
    </row>
    <row r="967" spans="17:17" ht="15" customHeight="1" x14ac:dyDescent="0.35">
      <c r="Q967" s="623"/>
    </row>
    <row r="968" spans="17:17" ht="15" customHeight="1" x14ac:dyDescent="0.35">
      <c r="Q968" s="623"/>
    </row>
    <row r="969" spans="17:17" ht="15" customHeight="1" x14ac:dyDescent="0.35">
      <c r="Q969" s="623"/>
    </row>
    <row r="970" spans="17:17" ht="15" customHeight="1" x14ac:dyDescent="0.35">
      <c r="Q970" s="623"/>
    </row>
    <row r="971" spans="17:17" ht="15" customHeight="1" x14ac:dyDescent="0.35">
      <c r="Q971" s="623"/>
    </row>
    <row r="972" spans="17:17" ht="15" customHeight="1" x14ac:dyDescent="0.35">
      <c r="Q972" s="623"/>
    </row>
    <row r="973" spans="17:17" ht="15" customHeight="1" x14ac:dyDescent="0.35">
      <c r="Q973" s="623"/>
    </row>
    <row r="974" spans="17:17" ht="15" customHeight="1" x14ac:dyDescent="0.35">
      <c r="Q974" s="623"/>
    </row>
    <row r="975" spans="17:17" ht="15" customHeight="1" x14ac:dyDescent="0.35">
      <c r="Q975" s="623"/>
    </row>
    <row r="976" spans="17:17" ht="15" customHeight="1" x14ac:dyDescent="0.35">
      <c r="Q976" s="623"/>
    </row>
    <row r="977" spans="17:17" ht="15" customHeight="1" x14ac:dyDescent="0.35">
      <c r="Q977" s="623"/>
    </row>
    <row r="978" spans="17:17" ht="15" customHeight="1" x14ac:dyDescent="0.35">
      <c r="Q978" s="623"/>
    </row>
    <row r="979" spans="17:17" ht="15" customHeight="1" x14ac:dyDescent="0.35">
      <c r="Q979" s="623"/>
    </row>
    <row r="980" spans="17:17" ht="15" customHeight="1" x14ac:dyDescent="0.35">
      <c r="Q980" s="623"/>
    </row>
    <row r="981" spans="17:17" ht="15" customHeight="1" x14ac:dyDescent="0.35">
      <c r="Q981" s="623"/>
    </row>
    <row r="982" spans="17:17" ht="15" customHeight="1" x14ac:dyDescent="0.35">
      <c r="Q982" s="623"/>
    </row>
    <row r="983" spans="17:17" ht="15" customHeight="1" x14ac:dyDescent="0.35">
      <c r="Q983" s="623"/>
    </row>
    <row r="984" spans="17:17" ht="15" customHeight="1" x14ac:dyDescent="0.35">
      <c r="Q984" s="623"/>
    </row>
    <row r="985" spans="17:17" ht="15" customHeight="1" x14ac:dyDescent="0.35">
      <c r="Q985" s="623"/>
    </row>
    <row r="986" spans="17:17" ht="15" customHeight="1" x14ac:dyDescent="0.35">
      <c r="Q986" s="623"/>
    </row>
    <row r="987" spans="17:17" ht="15" customHeight="1" x14ac:dyDescent="0.35">
      <c r="Q987" s="623"/>
    </row>
    <row r="988" spans="17:17" ht="15" customHeight="1" x14ac:dyDescent="0.35">
      <c r="Q988" s="623"/>
    </row>
    <row r="989" spans="17:17" ht="15" customHeight="1" x14ac:dyDescent="0.35">
      <c r="Q989" s="623"/>
    </row>
    <row r="990" spans="17:17" ht="15" customHeight="1" x14ac:dyDescent="0.35">
      <c r="Q990" s="623"/>
    </row>
    <row r="991" spans="17:17" ht="15" customHeight="1" x14ac:dyDescent="0.35">
      <c r="Q991" s="623"/>
    </row>
    <row r="992" spans="17:17" ht="15" customHeight="1" x14ac:dyDescent="0.35">
      <c r="Q992" s="623"/>
    </row>
    <row r="993" spans="17:17" ht="15" customHeight="1" x14ac:dyDescent="0.35">
      <c r="Q993" s="623"/>
    </row>
    <row r="994" spans="17:17" ht="15" customHeight="1" x14ac:dyDescent="0.35">
      <c r="Q994" s="623"/>
    </row>
    <row r="995" spans="17:17" ht="15" customHeight="1" x14ac:dyDescent="0.35">
      <c r="Q995" s="623"/>
    </row>
    <row r="996" spans="17:17" ht="15" customHeight="1" x14ac:dyDescent="0.35">
      <c r="Q996" s="623"/>
    </row>
    <row r="997" spans="17:17" ht="15" customHeight="1" x14ac:dyDescent="0.35">
      <c r="Q997" s="623"/>
    </row>
    <row r="998" spans="17:17" ht="15" customHeight="1" x14ac:dyDescent="0.35">
      <c r="Q998" s="623"/>
    </row>
    <row r="999" spans="17:17" ht="15" customHeight="1" x14ac:dyDescent="0.35">
      <c r="Q999" s="623"/>
    </row>
    <row r="1000" spans="17:17" ht="15" customHeight="1" x14ac:dyDescent="0.35">
      <c r="Q1000" s="623"/>
    </row>
    <row r="1001" spans="17:17" ht="15" customHeight="1" x14ac:dyDescent="0.35">
      <c r="Q1001" s="623"/>
    </row>
    <row r="1002" spans="17:17" ht="15" customHeight="1" x14ac:dyDescent="0.35">
      <c r="Q1002" s="623"/>
    </row>
    <row r="1003" spans="17:17" ht="15" customHeight="1" x14ac:dyDescent="0.35">
      <c r="Q1003" s="623"/>
    </row>
    <row r="1004" spans="17:17" ht="15" customHeight="1" x14ac:dyDescent="0.35">
      <c r="Q1004" s="623"/>
    </row>
    <row r="1005" spans="17:17" ht="15" customHeight="1" x14ac:dyDescent="0.35">
      <c r="Q1005" s="623"/>
    </row>
    <row r="1006" spans="17:17" ht="15" customHeight="1" x14ac:dyDescent="0.35">
      <c r="Q1006" s="623"/>
    </row>
    <row r="1007" spans="17:17" ht="15" customHeight="1" x14ac:dyDescent="0.35">
      <c r="Q1007" s="623"/>
    </row>
    <row r="1008" spans="17:17" ht="15" customHeight="1" x14ac:dyDescent="0.35">
      <c r="Q1008" s="623"/>
    </row>
    <row r="1009" spans="17:17" ht="15" customHeight="1" x14ac:dyDescent="0.35">
      <c r="Q1009" s="623"/>
    </row>
    <row r="1010" spans="17:17" ht="15" customHeight="1" x14ac:dyDescent="0.35">
      <c r="Q1010" s="623"/>
    </row>
    <row r="1011" spans="17:17" ht="15" customHeight="1" x14ac:dyDescent="0.35">
      <c r="Q1011" s="623"/>
    </row>
    <row r="1012" spans="17:17" ht="15" customHeight="1" x14ac:dyDescent="0.35">
      <c r="Q1012" s="623"/>
    </row>
    <row r="1013" spans="17:17" ht="15" customHeight="1" x14ac:dyDescent="0.35">
      <c r="Q1013" s="623"/>
    </row>
    <row r="1014" spans="17:17" ht="15" customHeight="1" x14ac:dyDescent="0.35">
      <c r="Q1014" s="623"/>
    </row>
    <row r="1015" spans="17:17" ht="15" customHeight="1" x14ac:dyDescent="0.35">
      <c r="Q1015" s="623"/>
    </row>
    <row r="1016" spans="17:17" ht="15" customHeight="1" x14ac:dyDescent="0.35">
      <c r="Q1016" s="623"/>
    </row>
    <row r="1017" spans="17:17" ht="15" customHeight="1" x14ac:dyDescent="0.35">
      <c r="Q1017" s="623"/>
    </row>
    <row r="1018" spans="17:17" ht="15" customHeight="1" x14ac:dyDescent="0.35">
      <c r="Q1018" s="623"/>
    </row>
    <row r="1019" spans="17:17" ht="15" customHeight="1" x14ac:dyDescent="0.35">
      <c r="Q1019" s="623"/>
    </row>
    <row r="1020" spans="17:17" ht="15" customHeight="1" x14ac:dyDescent="0.35">
      <c r="Q1020" s="623"/>
    </row>
    <row r="1021" spans="17:17" ht="15" customHeight="1" x14ac:dyDescent="0.35">
      <c r="Q1021" s="623"/>
    </row>
    <row r="1022" spans="17:17" ht="15" customHeight="1" x14ac:dyDescent="0.35">
      <c r="Q1022" s="623"/>
    </row>
    <row r="1023" spans="17:17" ht="15" customHeight="1" x14ac:dyDescent="0.35">
      <c r="Q1023" s="623"/>
    </row>
    <row r="1024" spans="17:17" ht="15" customHeight="1" x14ac:dyDescent="0.35">
      <c r="Q1024" s="623"/>
    </row>
    <row r="1025" spans="17:17" ht="15" customHeight="1" x14ac:dyDescent="0.35">
      <c r="Q1025" s="623"/>
    </row>
    <row r="1026" spans="17:17" ht="15" customHeight="1" x14ac:dyDescent="0.35">
      <c r="Q1026" s="623"/>
    </row>
    <row r="1027" spans="17:17" ht="15" customHeight="1" x14ac:dyDescent="0.35">
      <c r="Q1027" s="623"/>
    </row>
    <row r="1028" spans="17:17" ht="15" customHeight="1" x14ac:dyDescent="0.35">
      <c r="Q1028" s="623"/>
    </row>
    <row r="1029" spans="17:17" ht="15" customHeight="1" x14ac:dyDescent="0.35">
      <c r="Q1029" s="623"/>
    </row>
    <row r="1030" spans="17:17" ht="15" customHeight="1" x14ac:dyDescent="0.35">
      <c r="Q1030" s="623"/>
    </row>
    <row r="1031" spans="17:17" ht="15" customHeight="1" x14ac:dyDescent="0.35">
      <c r="Q1031" s="623"/>
    </row>
    <row r="1032" spans="17:17" ht="15" customHeight="1" x14ac:dyDescent="0.35">
      <c r="Q1032" s="623"/>
    </row>
    <row r="1033" spans="17:17" ht="15" customHeight="1" x14ac:dyDescent="0.35">
      <c r="Q1033" s="623"/>
    </row>
    <row r="1034" spans="17:17" ht="15" customHeight="1" x14ac:dyDescent="0.35">
      <c r="Q1034" s="623"/>
    </row>
    <row r="1035" spans="17:17" ht="15" customHeight="1" x14ac:dyDescent="0.35">
      <c r="Q1035" s="623"/>
    </row>
    <row r="1036" spans="17:17" ht="15" customHeight="1" x14ac:dyDescent="0.35">
      <c r="Q1036" s="623"/>
    </row>
    <row r="1037" spans="17:17" ht="15" customHeight="1" x14ac:dyDescent="0.35">
      <c r="Q1037" s="623"/>
    </row>
    <row r="1038" spans="17:17" ht="15" customHeight="1" x14ac:dyDescent="0.35">
      <c r="Q1038" s="623"/>
    </row>
    <row r="1039" spans="17:17" ht="15" customHeight="1" x14ac:dyDescent="0.35">
      <c r="Q1039" s="623"/>
    </row>
    <row r="1040" spans="17:17" ht="15" customHeight="1" x14ac:dyDescent="0.35">
      <c r="Q1040" s="623"/>
    </row>
    <row r="1041" spans="17:17" ht="15" customHeight="1" x14ac:dyDescent="0.35">
      <c r="Q1041" s="623"/>
    </row>
    <row r="1042" spans="17:17" ht="15" customHeight="1" x14ac:dyDescent="0.35">
      <c r="Q1042" s="623"/>
    </row>
    <row r="1043" spans="17:17" ht="15" customHeight="1" x14ac:dyDescent="0.35">
      <c r="Q1043" s="623"/>
    </row>
    <row r="1044" spans="17:17" ht="15" customHeight="1" x14ac:dyDescent="0.35">
      <c r="Q1044" s="623"/>
    </row>
    <row r="1045" spans="17:17" ht="15" customHeight="1" x14ac:dyDescent="0.35">
      <c r="Q1045" s="623"/>
    </row>
    <row r="1046" spans="17:17" ht="15" customHeight="1" x14ac:dyDescent="0.35">
      <c r="Q1046" s="623"/>
    </row>
    <row r="1047" spans="17:17" ht="15" customHeight="1" x14ac:dyDescent="0.35">
      <c r="Q1047" s="623"/>
    </row>
    <row r="1048" spans="17:17" ht="15" customHeight="1" x14ac:dyDescent="0.35">
      <c r="Q1048" s="623"/>
    </row>
    <row r="1049" spans="17:17" ht="15" customHeight="1" x14ac:dyDescent="0.35">
      <c r="Q1049" s="623"/>
    </row>
    <row r="1050" spans="17:17" ht="15" customHeight="1" x14ac:dyDescent="0.35">
      <c r="Q1050" s="623"/>
    </row>
    <row r="1051" spans="17:17" ht="15" customHeight="1" x14ac:dyDescent="0.35">
      <c r="Q1051" s="623"/>
    </row>
    <row r="1052" spans="17:17" ht="15" customHeight="1" x14ac:dyDescent="0.35">
      <c r="Q1052" s="623"/>
    </row>
    <row r="1053" spans="17:17" ht="15" customHeight="1" x14ac:dyDescent="0.35">
      <c r="Q1053" s="623"/>
    </row>
    <row r="1054" spans="17:17" ht="15" customHeight="1" x14ac:dyDescent="0.35">
      <c r="Q1054" s="623"/>
    </row>
    <row r="1055" spans="17:17" ht="15" customHeight="1" x14ac:dyDescent="0.35">
      <c r="Q1055" s="623"/>
    </row>
    <row r="1056" spans="17:17" ht="15" customHeight="1" x14ac:dyDescent="0.35">
      <c r="Q1056" s="623"/>
    </row>
    <row r="1057" spans="17:17" ht="15" customHeight="1" x14ac:dyDescent="0.35">
      <c r="Q1057" s="623"/>
    </row>
    <row r="1058" spans="17:17" ht="15" customHeight="1" x14ac:dyDescent="0.35">
      <c r="Q1058" s="623"/>
    </row>
    <row r="1059" spans="17:17" ht="15" customHeight="1" x14ac:dyDescent="0.35">
      <c r="Q1059" s="623"/>
    </row>
    <row r="1060" spans="17:17" ht="15" customHeight="1" x14ac:dyDescent="0.35">
      <c r="Q1060" s="623"/>
    </row>
    <row r="1061" spans="17:17" ht="15" customHeight="1" x14ac:dyDescent="0.35">
      <c r="Q1061" s="623"/>
    </row>
    <row r="1062" spans="17:17" ht="15" customHeight="1" x14ac:dyDescent="0.35">
      <c r="Q1062" s="623"/>
    </row>
    <row r="1063" spans="17:17" ht="15" customHeight="1" x14ac:dyDescent="0.35">
      <c r="Q1063" s="623"/>
    </row>
    <row r="1064" spans="17:17" ht="15" customHeight="1" x14ac:dyDescent="0.35">
      <c r="Q1064" s="623"/>
    </row>
    <row r="1065" spans="17:17" ht="15" customHeight="1" x14ac:dyDescent="0.35">
      <c r="Q1065" s="623"/>
    </row>
    <row r="1066" spans="17:17" ht="15" customHeight="1" x14ac:dyDescent="0.35">
      <c r="Q1066" s="623"/>
    </row>
    <row r="1067" spans="17:17" ht="15" customHeight="1" x14ac:dyDescent="0.35">
      <c r="Q1067" s="623"/>
    </row>
    <row r="1068" spans="17:17" ht="15" customHeight="1" x14ac:dyDescent="0.35">
      <c r="Q1068" s="623"/>
    </row>
    <row r="1069" spans="17:17" ht="15" customHeight="1" x14ac:dyDescent="0.35">
      <c r="Q1069" s="623"/>
    </row>
    <row r="1070" spans="17:17" ht="15" customHeight="1" x14ac:dyDescent="0.35">
      <c r="Q1070" s="623"/>
    </row>
    <row r="1071" spans="17:17" ht="15" customHeight="1" x14ac:dyDescent="0.35">
      <c r="Q1071" s="623"/>
    </row>
    <row r="1072" spans="17:17" ht="15" customHeight="1" x14ac:dyDescent="0.35">
      <c r="Q1072" s="623"/>
    </row>
    <row r="1073" spans="17:17" ht="15" customHeight="1" x14ac:dyDescent="0.35">
      <c r="Q1073" s="623"/>
    </row>
    <row r="1074" spans="17:17" ht="15" customHeight="1" x14ac:dyDescent="0.35">
      <c r="Q1074" s="623"/>
    </row>
    <row r="1075" spans="17:17" ht="15" customHeight="1" x14ac:dyDescent="0.35">
      <c r="Q1075" s="623"/>
    </row>
    <row r="1076" spans="17:17" ht="15" customHeight="1" x14ac:dyDescent="0.35">
      <c r="Q1076" s="623"/>
    </row>
    <row r="1077" spans="17:17" ht="15" customHeight="1" x14ac:dyDescent="0.35">
      <c r="Q1077" s="623"/>
    </row>
    <row r="1078" spans="17:17" ht="15" customHeight="1" x14ac:dyDescent="0.35">
      <c r="Q1078" s="623"/>
    </row>
    <row r="1079" spans="17:17" ht="15" customHeight="1" x14ac:dyDescent="0.35">
      <c r="Q1079" s="623"/>
    </row>
    <row r="1080" spans="17:17" ht="15" customHeight="1" x14ac:dyDescent="0.35">
      <c r="Q1080" s="623"/>
    </row>
    <row r="1081" spans="17:17" ht="15" customHeight="1" x14ac:dyDescent="0.35">
      <c r="Q1081" s="623"/>
    </row>
    <row r="1082" spans="17:17" ht="15" customHeight="1" x14ac:dyDescent="0.35">
      <c r="Q1082" s="623"/>
    </row>
    <row r="1083" spans="17:17" ht="15" customHeight="1" x14ac:dyDescent="0.35">
      <c r="Q1083" s="623"/>
    </row>
    <row r="1084" spans="17:17" ht="15" customHeight="1" x14ac:dyDescent="0.35">
      <c r="Q1084" s="623"/>
    </row>
    <row r="1085" spans="17:17" ht="15" customHeight="1" x14ac:dyDescent="0.35">
      <c r="Q1085" s="623"/>
    </row>
    <row r="1086" spans="17:17" ht="15" customHeight="1" x14ac:dyDescent="0.35">
      <c r="Q1086" s="623"/>
    </row>
    <row r="1087" spans="17:17" ht="15" customHeight="1" x14ac:dyDescent="0.35">
      <c r="Q1087" s="623"/>
    </row>
    <row r="1088" spans="17:17" ht="15" customHeight="1" x14ac:dyDescent="0.35">
      <c r="Q1088" s="623"/>
    </row>
    <row r="1089" spans="17:17" ht="15" customHeight="1" x14ac:dyDescent="0.35">
      <c r="Q1089" s="623"/>
    </row>
    <row r="1090" spans="17:17" ht="15" customHeight="1" x14ac:dyDescent="0.35">
      <c r="Q1090" s="623"/>
    </row>
    <row r="1091" spans="17:17" ht="15" customHeight="1" x14ac:dyDescent="0.35">
      <c r="Q1091" s="623"/>
    </row>
    <row r="1092" spans="17:17" ht="15" customHeight="1" x14ac:dyDescent="0.35">
      <c r="Q1092" s="623"/>
    </row>
    <row r="1093" spans="17:17" ht="15" customHeight="1" x14ac:dyDescent="0.35">
      <c r="Q1093" s="623"/>
    </row>
    <row r="1094" spans="17:17" ht="15" customHeight="1" x14ac:dyDescent="0.35">
      <c r="Q1094" s="623"/>
    </row>
    <row r="1095" spans="17:17" ht="15" customHeight="1" x14ac:dyDescent="0.35">
      <c r="Q1095" s="623"/>
    </row>
    <row r="1096" spans="17:17" ht="15" customHeight="1" x14ac:dyDescent="0.35">
      <c r="Q1096" s="623"/>
    </row>
    <row r="1097" spans="17:17" ht="15" customHeight="1" x14ac:dyDescent="0.35">
      <c r="Q1097" s="623"/>
    </row>
    <row r="1098" spans="17:17" ht="15" customHeight="1" x14ac:dyDescent="0.35">
      <c r="Q1098" s="623"/>
    </row>
    <row r="1099" spans="17:17" ht="15" customHeight="1" x14ac:dyDescent="0.35">
      <c r="Q1099" s="623"/>
    </row>
    <row r="1100" spans="17:17" ht="15" customHeight="1" x14ac:dyDescent="0.35">
      <c r="Q1100" s="623"/>
    </row>
    <row r="1101" spans="17:17" ht="15" customHeight="1" x14ac:dyDescent="0.35">
      <c r="Q1101" s="623"/>
    </row>
    <row r="1102" spans="17:17" ht="15" customHeight="1" x14ac:dyDescent="0.35">
      <c r="Q1102" s="623"/>
    </row>
    <row r="1103" spans="17:17" ht="15" customHeight="1" x14ac:dyDescent="0.35">
      <c r="Q1103" s="623"/>
    </row>
    <row r="1104" spans="17:17" ht="15" customHeight="1" x14ac:dyDescent="0.35">
      <c r="Q1104" s="623"/>
    </row>
    <row r="1105" spans="17:17" ht="15" customHeight="1" x14ac:dyDescent="0.35">
      <c r="Q1105" s="623"/>
    </row>
    <row r="1106" spans="17:17" ht="15" customHeight="1" x14ac:dyDescent="0.35">
      <c r="Q1106" s="623"/>
    </row>
    <row r="1107" spans="17:17" ht="15" customHeight="1" x14ac:dyDescent="0.35">
      <c r="Q1107" s="623"/>
    </row>
    <row r="1108" spans="17:17" ht="15" customHeight="1" x14ac:dyDescent="0.35">
      <c r="Q1108" s="623"/>
    </row>
    <row r="1109" spans="17:17" ht="15" customHeight="1" x14ac:dyDescent="0.35">
      <c r="Q1109" s="623"/>
    </row>
    <row r="1110" spans="17:17" ht="15" customHeight="1" x14ac:dyDescent="0.35">
      <c r="Q1110" s="623"/>
    </row>
    <row r="1111" spans="17:17" ht="15" customHeight="1" x14ac:dyDescent="0.35">
      <c r="Q1111" s="623"/>
    </row>
    <row r="1112" spans="17:17" ht="15" customHeight="1" x14ac:dyDescent="0.35">
      <c r="Q1112" s="623"/>
    </row>
    <row r="1113" spans="17:17" ht="15" customHeight="1" x14ac:dyDescent="0.35">
      <c r="Q1113" s="623"/>
    </row>
    <row r="1114" spans="17:17" ht="15" customHeight="1" x14ac:dyDescent="0.35">
      <c r="Q1114" s="623"/>
    </row>
    <row r="1115" spans="17:17" ht="15" customHeight="1" x14ac:dyDescent="0.35">
      <c r="Q1115" s="623"/>
    </row>
    <row r="1116" spans="17:17" ht="15" customHeight="1" x14ac:dyDescent="0.35">
      <c r="Q1116" s="623"/>
    </row>
    <row r="1117" spans="17:17" ht="15" customHeight="1" x14ac:dyDescent="0.35">
      <c r="Q1117" s="623"/>
    </row>
    <row r="1118" spans="17:17" ht="15" customHeight="1" x14ac:dyDescent="0.35">
      <c r="Q1118" s="623"/>
    </row>
    <row r="1119" spans="17:17" ht="15" customHeight="1" x14ac:dyDescent="0.35">
      <c r="Q1119" s="623"/>
    </row>
    <row r="1120" spans="17:17" ht="15" customHeight="1" x14ac:dyDescent="0.35">
      <c r="Q1120" s="623"/>
    </row>
    <row r="1121" spans="17:17" ht="15" customHeight="1" x14ac:dyDescent="0.35">
      <c r="Q1121" s="623"/>
    </row>
    <row r="1122" spans="17:17" ht="15" customHeight="1" x14ac:dyDescent="0.35">
      <c r="Q1122" s="623"/>
    </row>
    <row r="1123" spans="17:17" ht="15" customHeight="1" x14ac:dyDescent="0.35">
      <c r="Q1123" s="623"/>
    </row>
    <row r="1124" spans="17:17" ht="15" customHeight="1" x14ac:dyDescent="0.35">
      <c r="Q1124" s="623"/>
    </row>
    <row r="1125" spans="17:17" ht="15" customHeight="1" x14ac:dyDescent="0.35">
      <c r="Q1125" s="623"/>
    </row>
    <row r="1126" spans="17:17" ht="15" customHeight="1" x14ac:dyDescent="0.35">
      <c r="Q1126" s="623"/>
    </row>
    <row r="1127" spans="17:17" ht="15" customHeight="1" x14ac:dyDescent="0.35">
      <c r="Q1127" s="623"/>
    </row>
    <row r="1128" spans="17:17" ht="15" customHeight="1" x14ac:dyDescent="0.35">
      <c r="Q1128" s="623"/>
    </row>
    <row r="1129" spans="17:17" ht="15" customHeight="1" x14ac:dyDescent="0.35">
      <c r="Q1129" s="623"/>
    </row>
    <row r="1130" spans="17:17" ht="15" customHeight="1" x14ac:dyDescent="0.35">
      <c r="Q1130" s="623"/>
    </row>
    <row r="1131" spans="17:17" ht="15" customHeight="1" x14ac:dyDescent="0.35">
      <c r="Q1131" s="623"/>
    </row>
    <row r="1132" spans="17:17" ht="15" customHeight="1" x14ac:dyDescent="0.35">
      <c r="Q1132" s="623"/>
    </row>
    <row r="1133" spans="17:17" ht="15" customHeight="1" x14ac:dyDescent="0.35">
      <c r="Q1133" s="623"/>
    </row>
    <row r="1134" spans="17:17" ht="15" customHeight="1" x14ac:dyDescent="0.35">
      <c r="Q1134" s="623"/>
    </row>
    <row r="1135" spans="17:17" ht="15" customHeight="1" x14ac:dyDescent="0.35">
      <c r="Q1135" s="623"/>
    </row>
    <row r="1136" spans="17:17" ht="15" customHeight="1" x14ac:dyDescent="0.35">
      <c r="Q1136" s="623"/>
    </row>
    <row r="1137" spans="17:17" ht="15" customHeight="1" x14ac:dyDescent="0.35">
      <c r="Q1137" s="623"/>
    </row>
    <row r="1138" spans="17:17" ht="15" customHeight="1" x14ac:dyDescent="0.35">
      <c r="Q1138" s="623"/>
    </row>
    <row r="1139" spans="17:17" ht="15" customHeight="1" x14ac:dyDescent="0.35">
      <c r="Q1139" s="623"/>
    </row>
    <row r="1140" spans="17:17" ht="15" customHeight="1" x14ac:dyDescent="0.35">
      <c r="Q1140" s="623"/>
    </row>
    <row r="1141" spans="17:17" ht="15" customHeight="1" x14ac:dyDescent="0.35">
      <c r="Q1141" s="623"/>
    </row>
    <row r="1142" spans="17:17" ht="15" customHeight="1" x14ac:dyDescent="0.35">
      <c r="Q1142" s="623"/>
    </row>
    <row r="1143" spans="17:17" ht="15" customHeight="1" x14ac:dyDescent="0.35">
      <c r="Q1143" s="623"/>
    </row>
    <row r="1144" spans="17:17" ht="15" customHeight="1" x14ac:dyDescent="0.35">
      <c r="Q1144" s="623"/>
    </row>
    <row r="1145" spans="17:17" ht="15" customHeight="1" x14ac:dyDescent="0.35">
      <c r="Q1145" s="623"/>
    </row>
    <row r="1146" spans="17:17" ht="15" customHeight="1" x14ac:dyDescent="0.35">
      <c r="Q1146" s="623"/>
    </row>
    <row r="1147" spans="17:17" ht="15" customHeight="1" x14ac:dyDescent="0.35">
      <c r="Q1147" s="623"/>
    </row>
    <row r="1148" spans="17:17" ht="15" customHeight="1" x14ac:dyDescent="0.35">
      <c r="Q1148" s="623"/>
    </row>
    <row r="1149" spans="17:17" ht="15" customHeight="1" x14ac:dyDescent="0.35">
      <c r="Q1149" s="623"/>
    </row>
    <row r="1150" spans="17:17" ht="15" customHeight="1" x14ac:dyDescent="0.35">
      <c r="Q1150" s="623"/>
    </row>
    <row r="1151" spans="17:17" ht="15" customHeight="1" x14ac:dyDescent="0.35">
      <c r="Q1151" s="623"/>
    </row>
    <row r="1152" spans="17:17" ht="15" customHeight="1" x14ac:dyDescent="0.35">
      <c r="Q1152" s="623"/>
    </row>
    <row r="1153" spans="17:17" ht="15" customHeight="1" x14ac:dyDescent="0.35">
      <c r="Q1153" s="623"/>
    </row>
    <row r="1154" spans="17:17" ht="15" customHeight="1" x14ac:dyDescent="0.35">
      <c r="Q1154" s="623"/>
    </row>
    <row r="1155" spans="17:17" ht="15" customHeight="1" x14ac:dyDescent="0.35">
      <c r="Q1155" s="623"/>
    </row>
    <row r="1156" spans="17:17" ht="15" customHeight="1" x14ac:dyDescent="0.35">
      <c r="Q1156" s="623"/>
    </row>
    <row r="1157" spans="17:17" ht="15" customHeight="1" x14ac:dyDescent="0.35">
      <c r="Q1157" s="623"/>
    </row>
    <row r="1158" spans="17:17" ht="15" customHeight="1" x14ac:dyDescent="0.35">
      <c r="Q1158" s="623"/>
    </row>
    <row r="1159" spans="17:17" ht="15" customHeight="1" x14ac:dyDescent="0.35">
      <c r="Q1159" s="623"/>
    </row>
    <row r="1160" spans="17:17" ht="15" customHeight="1" x14ac:dyDescent="0.35">
      <c r="Q1160" s="623"/>
    </row>
    <row r="1161" spans="17:17" ht="15" customHeight="1" x14ac:dyDescent="0.35">
      <c r="Q1161" s="623"/>
    </row>
    <row r="1162" spans="17:17" ht="15" customHeight="1" x14ac:dyDescent="0.35">
      <c r="Q1162" s="623"/>
    </row>
    <row r="1163" spans="17:17" ht="15" customHeight="1" x14ac:dyDescent="0.35">
      <c r="Q1163" s="623"/>
    </row>
    <row r="1164" spans="17:17" ht="15" customHeight="1" x14ac:dyDescent="0.35">
      <c r="Q1164" s="623"/>
    </row>
    <row r="1165" spans="17:17" ht="15" customHeight="1" x14ac:dyDescent="0.35">
      <c r="Q1165" s="623"/>
    </row>
    <row r="1166" spans="17:17" ht="15" customHeight="1" x14ac:dyDescent="0.35">
      <c r="Q1166" s="623"/>
    </row>
    <row r="1167" spans="17:17" ht="15" customHeight="1" x14ac:dyDescent="0.35">
      <c r="Q1167" s="623"/>
    </row>
    <row r="1168" spans="17:17" ht="15" customHeight="1" x14ac:dyDescent="0.35">
      <c r="Q1168" s="623"/>
    </row>
    <row r="1169" spans="17:17" ht="15" customHeight="1" x14ac:dyDescent="0.35">
      <c r="Q1169" s="623"/>
    </row>
    <row r="1170" spans="17:17" ht="15" customHeight="1" x14ac:dyDescent="0.35">
      <c r="Q1170" s="623"/>
    </row>
    <row r="1171" spans="17:17" ht="15" customHeight="1" x14ac:dyDescent="0.35">
      <c r="Q1171" s="623"/>
    </row>
    <row r="1172" spans="17:17" ht="15" customHeight="1" x14ac:dyDescent="0.35">
      <c r="Q1172" s="623"/>
    </row>
    <row r="1173" spans="17:17" ht="15" customHeight="1" x14ac:dyDescent="0.35">
      <c r="Q1173" s="623"/>
    </row>
    <row r="1174" spans="17:17" ht="15" customHeight="1" x14ac:dyDescent="0.35">
      <c r="Q1174" s="623"/>
    </row>
    <row r="1175" spans="17:17" ht="15" customHeight="1" x14ac:dyDescent="0.35">
      <c r="Q1175" s="623"/>
    </row>
    <row r="1176" spans="17:17" ht="15" customHeight="1" x14ac:dyDescent="0.35">
      <c r="Q1176" s="623"/>
    </row>
    <row r="1177" spans="17:17" ht="15" customHeight="1" x14ac:dyDescent="0.35">
      <c r="Q1177" s="623"/>
    </row>
    <row r="1178" spans="17:17" ht="15" customHeight="1" x14ac:dyDescent="0.35">
      <c r="Q1178" s="623"/>
    </row>
    <row r="1179" spans="17:17" ht="15" customHeight="1" x14ac:dyDescent="0.35">
      <c r="Q1179" s="623"/>
    </row>
    <row r="1180" spans="17:17" ht="15" customHeight="1" x14ac:dyDescent="0.35">
      <c r="Q1180" s="623"/>
    </row>
    <row r="1181" spans="17:17" ht="15" customHeight="1" x14ac:dyDescent="0.35">
      <c r="Q1181" s="623"/>
    </row>
    <row r="1182" spans="17:17" ht="15" customHeight="1" x14ac:dyDescent="0.35">
      <c r="Q1182" s="623"/>
    </row>
    <row r="1183" spans="17:17" ht="15" customHeight="1" x14ac:dyDescent="0.35">
      <c r="Q1183" s="623"/>
    </row>
    <row r="1184" spans="17:17" ht="15" customHeight="1" x14ac:dyDescent="0.35">
      <c r="Q1184" s="623"/>
    </row>
    <row r="1185" spans="17:17" ht="15" customHeight="1" x14ac:dyDescent="0.35">
      <c r="Q1185" s="623"/>
    </row>
    <row r="1186" spans="17:17" ht="15" customHeight="1" x14ac:dyDescent="0.35">
      <c r="Q1186" s="623"/>
    </row>
    <row r="1187" spans="17:17" ht="15" customHeight="1" x14ac:dyDescent="0.35">
      <c r="Q1187" s="623"/>
    </row>
    <row r="1188" spans="17:17" ht="15" customHeight="1" x14ac:dyDescent="0.35">
      <c r="Q1188" s="623"/>
    </row>
  </sheetData>
  <printOptions horizontalCentered="1" verticalCentered="1"/>
  <pageMargins left="0.25" right="0.25" top="0.75" bottom="0.75" header="0.3" footer="0.3"/>
  <pageSetup scale="45" pageOrder="overThenDown" orientation="landscape" horizontalDpi="1200" verticalDpi="1200" r:id="rId1"/>
  <headerFooter scaleWithDoc="0"/>
  <colBreaks count="1" manualBreakCount="1">
    <brk id="15" max="119" man="1"/>
  </colBreaks>
</worksheet>
</file>

<file path=docMetadata/LabelInfo.xml><?xml version="1.0" encoding="utf-8"?>
<clbl:labelList xmlns:clbl="http://schemas.microsoft.com/office/2020/mipLabelMetadata">
  <clbl:label id="{91735711-3074-40fb-abee-245951e65a67}" enabled="1" method="Standard" siteId="{490bf92a-5045-4d52-9812-6b2f8bf300d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Inputs</vt:lpstr>
      <vt:lpstr>Attach2 - BidFactors</vt:lpstr>
      <vt:lpstr>Attach3 - AuctionRateResult</vt:lpstr>
      <vt:lpstr>Attach4 P1</vt:lpstr>
      <vt:lpstr>Attach4 P2</vt:lpstr>
      <vt:lpstr>Attach4 P3</vt:lpstr>
      <vt:lpstr>Attach4 P4</vt:lpstr>
      <vt:lpstr>Attach4 P5</vt:lpstr>
      <vt:lpstr>Attachment 5</vt:lpstr>
      <vt:lpstr>'Attach2 - BidFactors'!Print_Area</vt:lpstr>
      <vt:lpstr>'Attach3 - AuctionRateResult'!Print_Area</vt:lpstr>
      <vt:lpstr>'Attach4 P1'!Print_Area</vt:lpstr>
      <vt:lpstr>'Attach4 P2'!Print_Area</vt:lpstr>
      <vt:lpstr>'Attach4 P3'!Print_Area</vt:lpstr>
      <vt:lpstr>'Attach4 P4'!Print_Area</vt:lpstr>
      <vt:lpstr>'Attach4 P5'!Print_Area</vt:lpstr>
      <vt:lpstr>'Attachment 5'!Print_Area</vt:lpstr>
      <vt:lpstr>'Attach3 - AuctionRateResult'!Print_Titles</vt:lpstr>
      <vt:lpstr>'Attach4 P4'!Print_Titles</vt:lpstr>
      <vt:lpstr>'Attachment 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2026-06-30T14:04:59Z</dcterms:created>
  <dcterms:modified xsi:type="dcterms:W3CDTF">2026-06-30T23:12:04Z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2026-06-30T23:09:19Z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8752d07d-aaaa-4d7e-811f-b44d3a36f8f4</vt:lpwstr>
  </property>
  <property fmtid="{D5CDD505-2E9C-101B-9397-08002B2CF9AE}" pid="8" name="MSIP_Label_38f1469a-2c2a-4aee-b92b-090d4c5468ff_ContentBits">
    <vt:lpwstr>0</vt:lpwstr>
  </property>
  <property fmtid="{D5CDD505-2E9C-101B-9397-08002B2CF9AE}" pid="9" name="MSIP_Label_38f1469a-2c2a-4aee-b92b-090d4c5468ff_Tag">
    <vt:lpwstr>10, 3, 0, 1</vt:lpwstr>
  </property>
</Properties>
</file>