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5 BGS\3 RSCP Rates\2 Compliance Filing\2 Received from EDCs\to post\"/>
    </mc:Choice>
  </mc:AlternateContent>
  <xr:revisionPtr revIDLastSave="0" documentId="13_ncr:1_{4CFED2B0-862D-4D39-B37F-CAC0C91E4A54}" xr6:coauthVersionLast="47" xr6:coauthVersionMax="47" xr10:uidLastSave="{00000000-0000-0000-0000-000000000000}"/>
  <bookViews>
    <workbookView xWindow="28380" yWindow="-16320" windowWidth="29040" windowHeight="15720" xr2:uid="{097E7131-BBB1-4BBF-91B6-384A79FD160B}"/>
  </bookViews>
  <sheets>
    <sheet name="Input" sheetId="1" r:id="rId1"/>
    <sheet name="Attachment 2" sheetId="2" r:id="rId2"/>
    <sheet name="Attachment 3" sheetId="3" r:id="rId3"/>
    <sheet name="Attach 4 P1" sheetId="4" r:id="rId4"/>
    <sheet name="Attach 4 P2" sheetId="5" r:id="rId5"/>
    <sheet name="Attach 4 P3 " sheetId="6" r:id="rId6"/>
    <sheet name="Attach 4 P4" sheetId="7" r:id="rId7"/>
    <sheet name="Attach 4 P5 " sheetId="8" r:id="rId8"/>
  </sheets>
  <definedNames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>#REF!</definedName>
    <definedName name="_xlnm._FilterDatabase" localSheetId="0" hidden="1">Input!$N$13:$W$141</definedName>
    <definedName name="Co_letter" localSheetId="3">#REF!</definedName>
    <definedName name="Co_letter" localSheetId="4">#REF!</definedName>
    <definedName name="Co_letter" localSheetId="5">#REF!</definedName>
    <definedName name="Co_letter" localSheetId="6">#REF!</definedName>
    <definedName name="Co_letter" localSheetId="7">#REF!</definedName>
    <definedName name="Co_letter">#REF!</definedName>
    <definedName name="Co_List" localSheetId="3">#REF!</definedName>
    <definedName name="Co_List" localSheetId="4">#REF!</definedName>
    <definedName name="Co_List" localSheetId="5">#REF!</definedName>
    <definedName name="Co_List" localSheetId="6">#REF!</definedName>
    <definedName name="Co_List" localSheetId="7">#REF!</definedName>
    <definedName name="Co_List">#REF!</definedName>
    <definedName name="Co_Listc" localSheetId="3">#REF!</definedName>
    <definedName name="Co_Listc" localSheetId="4">#REF!</definedName>
    <definedName name="Co_Listc" localSheetId="5">#REF!</definedName>
    <definedName name="Co_Listc" localSheetId="6">#REF!</definedName>
    <definedName name="Co_Listc" localSheetId="7">#REF!</definedName>
    <definedName name="Co_Listc">#REF!</definedName>
    <definedName name="Co_Name" localSheetId="3">#REF!</definedName>
    <definedName name="Co_Name" localSheetId="4">#REF!</definedName>
    <definedName name="Co_Name" localSheetId="5">#REF!</definedName>
    <definedName name="Co_Name" localSheetId="6">#REF!</definedName>
    <definedName name="Co_Name" localSheetId="7">#REF!</definedName>
    <definedName name="Co_Name">#REF!</definedName>
    <definedName name="Co_Picked" localSheetId="3">#REF!</definedName>
    <definedName name="Co_Picked" localSheetId="4">#REF!</definedName>
    <definedName name="Co_Picked" localSheetId="5">#REF!</definedName>
    <definedName name="Co_Picked" localSheetId="6">#REF!</definedName>
    <definedName name="Co_Picked" localSheetId="7">#REF!</definedName>
    <definedName name="Co_Picked">#REF!</definedName>
    <definedName name="Get_Co" localSheetId="3">#REF!</definedName>
    <definedName name="Get_Co" localSheetId="4">#REF!</definedName>
    <definedName name="Get_Co" localSheetId="5">#REF!</definedName>
    <definedName name="Get_Co" localSheetId="6">#REF!</definedName>
    <definedName name="Get_Co" localSheetId="7">#REF!</definedName>
    <definedName name="Get_Co">#REF!</definedName>
    <definedName name="Get_Mo" localSheetId="3">#REF!</definedName>
    <definedName name="Get_Mo" localSheetId="4">#REF!</definedName>
    <definedName name="Get_Mo" localSheetId="5">#REF!</definedName>
    <definedName name="Get_Mo" localSheetId="6">#REF!</definedName>
    <definedName name="Get_Mo" localSheetId="7">#REF!</definedName>
    <definedName name="Get_Mo">#REF!</definedName>
    <definedName name="Get_moc" localSheetId="3">#REF!</definedName>
    <definedName name="Get_moc" localSheetId="4">#REF!</definedName>
    <definedName name="Get_moc" localSheetId="5">#REF!</definedName>
    <definedName name="Get_moc" localSheetId="6">#REF!</definedName>
    <definedName name="Get_moc" localSheetId="7">#REF!</definedName>
    <definedName name="Get_moc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o_List" localSheetId="3">#REF!</definedName>
    <definedName name="Mo_List" localSheetId="4">#REF!</definedName>
    <definedName name="Mo_List" localSheetId="5">#REF!</definedName>
    <definedName name="Mo_List" localSheetId="6">#REF!</definedName>
    <definedName name="Mo_List" localSheetId="7">#REF!</definedName>
    <definedName name="Mo_List">#REF!</definedName>
    <definedName name="Mo_Picked" localSheetId="3">#REF!</definedName>
    <definedName name="Mo_Picked" localSheetId="4">#REF!</definedName>
    <definedName name="Mo_Picked" localSheetId="5">#REF!</definedName>
    <definedName name="Mo_Picked" localSheetId="6">#REF!</definedName>
    <definedName name="Mo_Picked" localSheetId="7">#REF!</definedName>
    <definedName name="Mo_Picked">#REF!</definedName>
    <definedName name="_xlnm.Print_Area" localSheetId="3">'Attach 4 P1'!$A$1:$G$21</definedName>
    <definedName name="_xlnm.Print_Area" localSheetId="4">'Attach 4 P2'!$A$1:$G$22</definedName>
    <definedName name="_xlnm.Print_Area" localSheetId="5">'Attach 4 P3 '!$A$1:$E$23</definedName>
    <definedName name="_xlnm.Print_Area" localSheetId="6">'Attach 4 P4'!$A$1:$G$34</definedName>
    <definedName name="_xlnm.Print_Area" localSheetId="7">'Attach 4 P5 '!$A$1:$H$33</definedName>
    <definedName name="_xlnm.Print_Area" localSheetId="1">'Attachment 2'!$A$1:$L$354</definedName>
    <definedName name="_xlnm.Print_Area" localSheetId="2">'Attachment 3'!$A$1:$L$213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_xlnm.Print_Titles" localSheetId="6">'Attach 4 P4'!$2:$4</definedName>
    <definedName name="_xlnm.Print_Titles" localSheetId="7">'Attach 4 P5 '!$2:$4</definedName>
    <definedName name="_xlnm.Print_Titles" localSheetId="2">'Attachment 3'!$1:$4</definedName>
    <definedName name="_xlnm.Print_Titles">#N/A</definedName>
    <definedName name="Rpt_Mo" localSheetId="3">#REF!</definedName>
    <definedName name="Rpt_Mo" localSheetId="4">#REF!</definedName>
    <definedName name="Rpt_Mo" localSheetId="5">#REF!</definedName>
    <definedName name="Rpt_Mo" localSheetId="6">#REF!</definedName>
    <definedName name="Rpt_Mo" localSheetId="7">#REF!</definedName>
    <definedName name="Rpt_Mo">#REF!</definedName>
    <definedName name="SUM" localSheetId="3">#REF!</definedName>
    <definedName name="SUM" localSheetId="4">#REF!</definedName>
    <definedName name="SUM" localSheetId="5">#REF!</definedName>
    <definedName name="SUM" localSheetId="6">#REF!</definedName>
    <definedName name="SUM" localSheetId="7">#REF!</definedName>
    <definedName name="Year1" localSheetId="3">#REF!</definedName>
    <definedName name="Year1" localSheetId="4">#REF!</definedName>
    <definedName name="Year1" localSheetId="5">#REF!</definedName>
    <definedName name="Year1" localSheetId="6">#REF!</definedName>
    <definedName name="Year1" localSheetId="7">#REF!</definedName>
    <definedName name="Year1">#REF!</definedName>
    <definedName name="Z_279F1FAD_C428_4166_9FD0_7026629BA599_.wvu.PrintArea" localSheetId="4" hidden="1">'Attach 4 P2'!$A$1:$G$21</definedName>
    <definedName name="Z_279F1FAD_C428_4166_9FD0_7026629BA599_.wvu.PrintArea" localSheetId="5" hidden="1">'Attach 4 P3 '!$A$1:$E$21</definedName>
    <definedName name="Z_279F1FAD_C428_4166_9FD0_7026629BA599_.wvu.PrintArea" localSheetId="6" hidden="1">'Attach 4 P4'!$A$1:$K$33</definedName>
    <definedName name="Z_279F1FAD_C428_4166_9FD0_7026629BA599_.wvu.PrintArea" localSheetId="7" hidden="1">'Attach 4 P5 '!$A$1:$J$33</definedName>
    <definedName name="Z_279F1FAD_C428_4166_9FD0_7026629BA599_.wvu.PrintTitles" localSheetId="6" hidden="1">'Attach 4 P4'!$2:$4</definedName>
    <definedName name="Z_279F1FAD_C428_4166_9FD0_7026629BA599_.wvu.PrintTitles" localSheetId="7" hidden="1">'Attach 4 P5 '!$2:$4</definedName>
    <definedName name="Z_782F5CFE_DE26_4D5A_B82E_30A424B0A39B_.wvu.PrintArea" localSheetId="1" hidden="1">'Attachment 2'!$A$1:$L$354</definedName>
    <definedName name="Z_782F5CFE_DE26_4D5A_B82E_30A424B0A39B_.wvu.PrintArea" localSheetId="2" hidden="1">'Attachment 3'!$A$1:$L$213</definedName>
    <definedName name="Z_782F5CFE_DE26_4D5A_B82E_30A424B0A39B_.wvu.PrintTitles" localSheetId="2" hidden="1">'Attachment 3'!$1:$4</definedName>
    <definedName name="Z_782F5CFE_DE26_4D5A_B82E_30A424B0A39B_.wvu.Rows" localSheetId="2" hidden="1">'Attachment 3'!$214:$275</definedName>
    <definedName name="Z_782F5CFE_DE26_4D5A_B82E_30A424B0A39B_.wvu.Rows" localSheetId="0" hidden="1">Input!$310:$386</definedName>
    <definedName name="Z_88B031DE_0423_45A5_B384_E560A52FDD07_.wvu.PrintArea" localSheetId="1" hidden="1">'Attachment 2'!$A$1:$L$354</definedName>
    <definedName name="Z_88B031DE_0423_45A5_B384_E560A52FDD07_.wvu.PrintArea" localSheetId="2" hidden="1">'Attachment 3'!$A$1:$L$213</definedName>
    <definedName name="Z_88B031DE_0423_45A5_B384_E560A52FDD07_.wvu.PrintTitles" localSheetId="2" hidden="1">'Attachment 3'!$1:$4</definedName>
    <definedName name="Z_88B031DE_0423_45A5_B384_E560A52FDD07_.wvu.Rows" localSheetId="2" hidden="1">'Attachment 3'!$214:$275</definedName>
    <definedName name="Z_88B031DE_0423_45A5_B384_E560A52FDD07_.wvu.Rows" localSheetId="0" hidden="1">Input!$310:$386</definedName>
    <definedName name="Z_9BF7FAF1_D686_4A6B_A2BE_0DAD43841920_.wvu.PrintArea" localSheetId="1" hidden="1">'Attachment 2'!$A$1:$L$354</definedName>
    <definedName name="Z_9BF7FAF1_D686_4A6B_A2BE_0DAD43841920_.wvu.PrintArea" localSheetId="2" hidden="1">'Attachment 3'!$A$1:$L$213</definedName>
    <definedName name="Z_9BF7FAF1_D686_4A6B_A2BE_0DAD43841920_.wvu.PrintTitles" localSheetId="2" hidden="1">'Attachment 3'!$1:$4</definedName>
    <definedName name="Z_9BF7FAF1_D686_4A6B_A2BE_0DAD43841920_.wvu.Rows" localSheetId="2" hidden="1">'Attachment 3'!$214:$275</definedName>
    <definedName name="Z_9BF7FAF1_D686_4A6B_A2BE_0DAD43841920_.wvu.Rows" localSheetId="0" hidden="1">Input!$310:$386</definedName>
    <definedName name="Z_D5524E47_947F_4D9F_AE8B_3F0380261994_.wvu.PrintArea" localSheetId="1" hidden="1">'Attachment 2'!$A$1:$L$354</definedName>
    <definedName name="Z_D5524E47_947F_4D9F_AE8B_3F0380261994_.wvu.PrintArea" localSheetId="2" hidden="1">'Attachment 3'!$A$1:$L$213</definedName>
    <definedName name="Z_D5524E47_947F_4D9F_AE8B_3F0380261994_.wvu.PrintTitles" localSheetId="2" hidden="1">'Attachment 3'!$1:$4</definedName>
    <definedName name="Z_D5524E47_947F_4D9F_AE8B_3F0380261994_.wvu.Rows" localSheetId="2" hidden="1">'Attachment 3'!$214:$275</definedName>
    <definedName name="Z_D5524E47_947F_4D9F_AE8B_3F0380261994_.wvu.Rows" localSheetId="0" hidden="1">Input!$310:$386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8" l="1"/>
  <c r="C14" i="6"/>
  <c r="C7" i="6"/>
  <c r="D14" i="5"/>
  <c r="D7" i="5"/>
  <c r="C7" i="5"/>
  <c r="D14" i="4"/>
  <c r="C7" i="4"/>
  <c r="D4" i="4"/>
  <c r="D7" i="4" s="1"/>
  <c r="J160" i="3"/>
  <c r="I160" i="3"/>
  <c r="H160" i="3"/>
  <c r="G160" i="3"/>
  <c r="F160" i="3"/>
  <c r="E160" i="3"/>
  <c r="D160" i="3"/>
  <c r="C160" i="3"/>
  <c r="C106" i="3"/>
  <c r="J88" i="3"/>
  <c r="I88" i="3"/>
  <c r="D88" i="3"/>
  <c r="C88" i="3"/>
  <c r="F47" i="3"/>
  <c r="F88" i="3" s="1"/>
  <c r="C47" i="3"/>
  <c r="D18" i="3"/>
  <c r="C18" i="3"/>
  <c r="D17" i="3"/>
  <c r="C17" i="3"/>
  <c r="E14" i="3"/>
  <c r="C15" i="3" s="1"/>
  <c r="D15" i="3" s="1"/>
  <c r="E15" i="3" s="1"/>
  <c r="D14" i="3"/>
  <c r="C14" i="3"/>
  <c r="D8" i="3"/>
  <c r="C8" i="7" s="1"/>
  <c r="C8" i="3"/>
  <c r="E6" i="3"/>
  <c r="E7" i="3" s="1"/>
  <c r="D6" i="3"/>
  <c r="D7" i="3" s="1"/>
  <c r="C6" i="3"/>
  <c r="C7" i="3" s="1"/>
  <c r="B1" i="3"/>
  <c r="C288" i="2"/>
  <c r="C285" i="2"/>
  <c r="C284" i="2"/>
  <c r="C283" i="2"/>
  <c r="J273" i="2"/>
  <c r="J76" i="3" s="1"/>
  <c r="J113" i="3" s="1"/>
  <c r="J185" i="3" s="1"/>
  <c r="F265" i="2"/>
  <c r="F69" i="3" s="1"/>
  <c r="E265" i="2"/>
  <c r="E69" i="3" s="1"/>
  <c r="D265" i="2"/>
  <c r="D69" i="3" s="1"/>
  <c r="C265" i="2"/>
  <c r="C69" i="3" s="1"/>
  <c r="I69" i="3" s="1"/>
  <c r="J243" i="2"/>
  <c r="J47" i="3" s="1"/>
  <c r="I243" i="2"/>
  <c r="I47" i="3" s="1"/>
  <c r="H243" i="2"/>
  <c r="H47" i="3" s="1"/>
  <c r="H88" i="3" s="1"/>
  <c r="G243" i="2"/>
  <c r="G47" i="3" s="1"/>
  <c r="G88" i="3" s="1"/>
  <c r="F243" i="2"/>
  <c r="E243" i="2"/>
  <c r="E47" i="3" s="1"/>
  <c r="E88" i="3" s="1"/>
  <c r="D243" i="2"/>
  <c r="D47" i="3" s="1"/>
  <c r="C243" i="2"/>
  <c r="J217" i="2"/>
  <c r="I217" i="2"/>
  <c r="I273" i="2" s="1"/>
  <c r="I76" i="3" s="1"/>
  <c r="I113" i="3" s="1"/>
  <c r="I185" i="3" s="1"/>
  <c r="I209" i="2"/>
  <c r="D209" i="2"/>
  <c r="J209" i="2" s="1"/>
  <c r="C209" i="2"/>
  <c r="J192" i="2"/>
  <c r="I192" i="2"/>
  <c r="H192" i="2"/>
  <c r="G192" i="2"/>
  <c r="F192" i="2"/>
  <c r="E192" i="2"/>
  <c r="D192" i="2"/>
  <c r="C192" i="2"/>
  <c r="J176" i="2"/>
  <c r="I176" i="2"/>
  <c r="H176" i="2"/>
  <c r="G176" i="2"/>
  <c r="F176" i="2"/>
  <c r="E176" i="2"/>
  <c r="D176" i="2"/>
  <c r="C176" i="2"/>
  <c r="D170" i="2"/>
  <c r="D169" i="2"/>
  <c r="R167" i="2"/>
  <c r="Q167" i="2"/>
  <c r="D166" i="2"/>
  <c r="C166" i="2"/>
  <c r="C164" i="2"/>
  <c r="D163" i="2"/>
  <c r="D164" i="2" s="1"/>
  <c r="C163" i="2"/>
  <c r="D161" i="2"/>
  <c r="C161" i="2"/>
  <c r="D158" i="2"/>
  <c r="F158" i="2" s="1"/>
  <c r="J212" i="2" s="1"/>
  <c r="J268" i="2" s="1"/>
  <c r="H154" i="2"/>
  <c r="AD149" i="2"/>
  <c r="G147" i="2" s="1"/>
  <c r="X149" i="2"/>
  <c r="L149" i="2"/>
  <c r="I149" i="2"/>
  <c r="H149" i="2"/>
  <c r="C149" i="2"/>
  <c r="AD148" i="2"/>
  <c r="K147" i="2" s="1"/>
  <c r="AM146" i="2"/>
  <c r="AL146" i="2"/>
  <c r="K149" i="2" s="1"/>
  <c r="AK146" i="2"/>
  <c r="J149" i="2" s="1"/>
  <c r="J178" i="2" s="1"/>
  <c r="AJ146" i="2"/>
  <c r="AI146" i="2"/>
  <c r="AH146" i="2"/>
  <c r="G149" i="2" s="1"/>
  <c r="AG146" i="2"/>
  <c r="F149" i="2" s="1"/>
  <c r="AF146" i="2"/>
  <c r="E149" i="2" s="1"/>
  <c r="E178" i="2" s="1"/>
  <c r="AE146" i="2"/>
  <c r="D149" i="2" s="1"/>
  <c r="AD146" i="2"/>
  <c r="AM145" i="2"/>
  <c r="AL145" i="2"/>
  <c r="AK145" i="2"/>
  <c r="J147" i="2" s="1"/>
  <c r="AJ145" i="2"/>
  <c r="AI145" i="2"/>
  <c r="AH145" i="2"/>
  <c r="AG145" i="2"/>
  <c r="AF145" i="2"/>
  <c r="E147" i="2" s="1"/>
  <c r="AE145" i="2"/>
  <c r="AD145" i="2"/>
  <c r="L144" i="2"/>
  <c r="K144" i="2"/>
  <c r="J144" i="2"/>
  <c r="I144" i="2"/>
  <c r="H144" i="2"/>
  <c r="G144" i="2"/>
  <c r="F144" i="2"/>
  <c r="E144" i="2"/>
  <c r="D144" i="2"/>
  <c r="C144" i="2"/>
  <c r="B143" i="2"/>
  <c r="AA128" i="2"/>
  <c r="R128" i="2"/>
  <c r="L128" i="2"/>
  <c r="K128" i="2"/>
  <c r="J128" i="2"/>
  <c r="I128" i="2"/>
  <c r="H128" i="2"/>
  <c r="G128" i="2"/>
  <c r="F128" i="2"/>
  <c r="E128" i="2"/>
  <c r="AC128" i="2" s="1"/>
  <c r="D128" i="2"/>
  <c r="C128" i="2"/>
  <c r="L110" i="2"/>
  <c r="K110" i="2"/>
  <c r="J110" i="2"/>
  <c r="I110" i="2"/>
  <c r="H110" i="2"/>
  <c r="G110" i="2"/>
  <c r="F110" i="2"/>
  <c r="E110" i="2"/>
  <c r="D110" i="2"/>
  <c r="C110" i="2"/>
  <c r="L92" i="2"/>
  <c r="K92" i="2"/>
  <c r="J92" i="2"/>
  <c r="I92" i="2"/>
  <c r="H92" i="2"/>
  <c r="G92" i="2"/>
  <c r="F92" i="2"/>
  <c r="E92" i="2"/>
  <c r="D92" i="2"/>
  <c r="C92" i="2"/>
  <c r="Q81" i="2"/>
  <c r="Q80" i="2"/>
  <c r="Q79" i="2"/>
  <c r="K79" i="2"/>
  <c r="K80" i="2" s="1"/>
  <c r="K81" i="2" s="1"/>
  <c r="J79" i="2"/>
  <c r="J80" i="2" s="1"/>
  <c r="J81" i="2" s="1"/>
  <c r="E79" i="2"/>
  <c r="E80" i="2" s="1"/>
  <c r="Q78" i="2"/>
  <c r="C79" i="2" s="1"/>
  <c r="L77" i="2"/>
  <c r="K77" i="2"/>
  <c r="J77" i="2"/>
  <c r="I77" i="2"/>
  <c r="H77" i="2"/>
  <c r="G77" i="2"/>
  <c r="F77" i="2"/>
  <c r="E77" i="2"/>
  <c r="D77" i="2"/>
  <c r="C77" i="2"/>
  <c r="H74" i="2"/>
  <c r="E74" i="2"/>
  <c r="D74" i="2"/>
  <c r="C74" i="2"/>
  <c r="H73" i="2"/>
  <c r="C73" i="2"/>
  <c r="H72" i="2"/>
  <c r="D72" i="2"/>
  <c r="C72" i="2"/>
  <c r="E72" i="2" s="1"/>
  <c r="H71" i="2"/>
  <c r="C71" i="2"/>
  <c r="H70" i="2"/>
  <c r="D70" i="2"/>
  <c r="E70" i="2" s="1"/>
  <c r="C70" i="2"/>
  <c r="D69" i="2"/>
  <c r="C69" i="2"/>
  <c r="I68" i="2"/>
  <c r="I69" i="2" s="1"/>
  <c r="H68" i="2"/>
  <c r="H69" i="2" s="1"/>
  <c r="D68" i="2"/>
  <c r="D71" i="2" s="1"/>
  <c r="E71" i="2" s="1"/>
  <c r="C68" i="2"/>
  <c r="H67" i="2"/>
  <c r="D67" i="2"/>
  <c r="E67" i="2" s="1"/>
  <c r="C67" i="2"/>
  <c r="H66" i="2"/>
  <c r="C66" i="2"/>
  <c r="R65" i="2"/>
  <c r="O65" i="2"/>
  <c r="H65" i="2"/>
  <c r="D65" i="2"/>
  <c r="C65" i="2"/>
  <c r="E65" i="2" s="1"/>
  <c r="H64" i="2"/>
  <c r="D64" i="2"/>
  <c r="C64" i="2"/>
  <c r="E64" i="2" s="1"/>
  <c r="I63" i="2"/>
  <c r="I66" i="2" s="1"/>
  <c r="H63" i="2"/>
  <c r="E63" i="2"/>
  <c r="D63" i="2"/>
  <c r="C63" i="2"/>
  <c r="J57" i="2"/>
  <c r="AB56" i="2"/>
  <c r="L56" i="2" s="1"/>
  <c r="K56" i="2"/>
  <c r="J56" i="2"/>
  <c r="I56" i="2"/>
  <c r="H56" i="2"/>
  <c r="G56" i="2"/>
  <c r="F56" i="2"/>
  <c r="E56" i="2"/>
  <c r="D56" i="2"/>
  <c r="C56" i="2"/>
  <c r="AB55" i="2"/>
  <c r="K55" i="2"/>
  <c r="J55" i="2"/>
  <c r="I55" i="2"/>
  <c r="H55" i="2"/>
  <c r="G55" i="2"/>
  <c r="F55" i="2"/>
  <c r="E55" i="2"/>
  <c r="D55" i="2"/>
  <c r="C55" i="2"/>
  <c r="AB54" i="2"/>
  <c r="L54" i="2" s="1"/>
  <c r="K54" i="2"/>
  <c r="K57" i="2" s="1"/>
  <c r="J54" i="2"/>
  <c r="I54" i="2"/>
  <c r="H54" i="2"/>
  <c r="G54" i="2"/>
  <c r="F54" i="2"/>
  <c r="E54" i="2"/>
  <c r="D54" i="2"/>
  <c r="C54" i="2"/>
  <c r="AB53" i="2"/>
  <c r="L53" i="2"/>
  <c r="K53" i="2"/>
  <c r="J53" i="2"/>
  <c r="I53" i="2"/>
  <c r="H53" i="2"/>
  <c r="G53" i="2"/>
  <c r="F53" i="2"/>
  <c r="E53" i="2"/>
  <c r="D53" i="2"/>
  <c r="C53" i="2"/>
  <c r="AB52" i="2"/>
  <c r="L52" i="2" s="1"/>
  <c r="K52" i="2"/>
  <c r="J52" i="2"/>
  <c r="I52" i="2"/>
  <c r="H52" i="2"/>
  <c r="G52" i="2"/>
  <c r="F52" i="2"/>
  <c r="E52" i="2"/>
  <c r="D52" i="2"/>
  <c r="C52" i="2"/>
  <c r="O49" i="2" s="1"/>
  <c r="AB51" i="2"/>
  <c r="K51" i="2"/>
  <c r="J51" i="2"/>
  <c r="I51" i="2"/>
  <c r="H51" i="2"/>
  <c r="G51" i="2"/>
  <c r="F51" i="2"/>
  <c r="R49" i="2" s="1"/>
  <c r="R66" i="2" s="1"/>
  <c r="E51" i="2"/>
  <c r="D51" i="2"/>
  <c r="P49" i="2" s="1"/>
  <c r="P53" i="2" s="1"/>
  <c r="C51" i="2"/>
  <c r="AB50" i="2"/>
  <c r="K50" i="2"/>
  <c r="W49" i="2" s="1"/>
  <c r="J50" i="2"/>
  <c r="I50" i="2"/>
  <c r="H50" i="2"/>
  <c r="G50" i="2"/>
  <c r="F50" i="2"/>
  <c r="E50" i="2"/>
  <c r="Q131" i="2" s="1"/>
  <c r="D50" i="2"/>
  <c r="C50" i="2"/>
  <c r="AB49" i="2"/>
  <c r="V49" i="2"/>
  <c r="U49" i="2"/>
  <c r="T49" i="2"/>
  <c r="L49" i="2"/>
  <c r="K49" i="2"/>
  <c r="J49" i="2"/>
  <c r="I49" i="2"/>
  <c r="H49" i="2"/>
  <c r="G49" i="2"/>
  <c r="F49" i="2"/>
  <c r="E49" i="2"/>
  <c r="D49" i="2"/>
  <c r="C49" i="2"/>
  <c r="AB48" i="2"/>
  <c r="L48" i="2" s="1"/>
  <c r="K48" i="2"/>
  <c r="J48" i="2"/>
  <c r="I48" i="2"/>
  <c r="H48" i="2"/>
  <c r="G48" i="2"/>
  <c r="F48" i="2"/>
  <c r="E48" i="2"/>
  <c r="D48" i="2"/>
  <c r="C48" i="2"/>
  <c r="AB47" i="2"/>
  <c r="L47" i="2" s="1"/>
  <c r="K47" i="2"/>
  <c r="J47" i="2"/>
  <c r="I47" i="2"/>
  <c r="H47" i="2"/>
  <c r="G47" i="2"/>
  <c r="F47" i="2"/>
  <c r="R45" i="2" s="1"/>
  <c r="E47" i="2"/>
  <c r="E57" i="2" s="1"/>
  <c r="D47" i="2"/>
  <c r="C47" i="2"/>
  <c r="AB46" i="2"/>
  <c r="K46" i="2"/>
  <c r="J46" i="2"/>
  <c r="I46" i="2"/>
  <c r="H46" i="2"/>
  <c r="G46" i="2"/>
  <c r="F46" i="2"/>
  <c r="E46" i="2"/>
  <c r="D46" i="2"/>
  <c r="C46" i="2"/>
  <c r="AE45" i="2"/>
  <c r="AF45" i="2" s="1"/>
  <c r="AD45" i="2"/>
  <c r="M45" i="2" s="1"/>
  <c r="L46" i="2" s="1"/>
  <c r="AB45" i="2"/>
  <c r="V45" i="2"/>
  <c r="K45" i="2"/>
  <c r="J45" i="2"/>
  <c r="I45" i="2"/>
  <c r="H45" i="2"/>
  <c r="G45" i="2"/>
  <c r="F45" i="2"/>
  <c r="E45" i="2"/>
  <c r="D45" i="2"/>
  <c r="P45" i="2" s="1"/>
  <c r="C45" i="2"/>
  <c r="O45" i="2" s="1"/>
  <c r="X43" i="2"/>
  <c r="W43" i="2"/>
  <c r="V43" i="2"/>
  <c r="U43" i="2"/>
  <c r="T43" i="2"/>
  <c r="S43" i="2"/>
  <c r="R43" i="2"/>
  <c r="Q43" i="2"/>
  <c r="P43" i="2"/>
  <c r="O43" i="2"/>
  <c r="L43" i="2"/>
  <c r="K43" i="2"/>
  <c r="J43" i="2"/>
  <c r="I43" i="2"/>
  <c r="H43" i="2"/>
  <c r="G43" i="2"/>
  <c r="F43" i="2"/>
  <c r="E43" i="2"/>
  <c r="D43" i="2"/>
  <c r="C43" i="2"/>
  <c r="X38" i="2"/>
  <c r="Q38" i="2"/>
  <c r="L38" i="2"/>
  <c r="E38" i="2"/>
  <c r="L37" i="2"/>
  <c r="X37" i="2" s="1"/>
  <c r="E37" i="2"/>
  <c r="Q37" i="2" s="1"/>
  <c r="L36" i="2"/>
  <c r="X36" i="2" s="1"/>
  <c r="E36" i="2"/>
  <c r="Q36" i="2" s="1"/>
  <c r="X35" i="2"/>
  <c r="L35" i="2"/>
  <c r="E35" i="2"/>
  <c r="Q35" i="2" s="1"/>
  <c r="Q34" i="2"/>
  <c r="L34" i="2"/>
  <c r="X34" i="2" s="1"/>
  <c r="E34" i="2"/>
  <c r="Q33" i="2"/>
  <c r="L33" i="2"/>
  <c r="X33" i="2" s="1"/>
  <c r="E33" i="2"/>
  <c r="X32" i="2"/>
  <c r="L32" i="2"/>
  <c r="E32" i="2"/>
  <c r="L31" i="2"/>
  <c r="X31" i="2" s="1"/>
  <c r="E31" i="2"/>
  <c r="Q31" i="2" s="1"/>
  <c r="L30" i="2"/>
  <c r="X30" i="2" s="1"/>
  <c r="E30" i="2"/>
  <c r="Q30" i="2" s="1"/>
  <c r="X29" i="2"/>
  <c r="Q29" i="2"/>
  <c r="L29" i="2"/>
  <c r="E29" i="2"/>
  <c r="X28" i="2"/>
  <c r="Q28" i="2"/>
  <c r="L28" i="2"/>
  <c r="E28" i="2"/>
  <c r="X27" i="2"/>
  <c r="L27" i="2"/>
  <c r="E27" i="2"/>
  <c r="Q27" i="2" s="1"/>
  <c r="Q136" i="2" s="1"/>
  <c r="X25" i="2"/>
  <c r="W25" i="2"/>
  <c r="V25" i="2"/>
  <c r="U25" i="2"/>
  <c r="T25" i="2"/>
  <c r="S25" i="2"/>
  <c r="R25" i="2"/>
  <c r="Q25" i="2"/>
  <c r="P25" i="2"/>
  <c r="O25" i="2"/>
  <c r="L25" i="2"/>
  <c r="K25" i="2"/>
  <c r="J25" i="2"/>
  <c r="I25" i="2"/>
  <c r="H25" i="2"/>
  <c r="G25" i="2"/>
  <c r="F25" i="2"/>
  <c r="E25" i="2"/>
  <c r="D25" i="2"/>
  <c r="C25" i="2"/>
  <c r="U20" i="2"/>
  <c r="T20" i="2"/>
  <c r="S20" i="2"/>
  <c r="P20" i="2"/>
  <c r="O20" i="2"/>
  <c r="L20" i="2"/>
  <c r="X20" i="2" s="1"/>
  <c r="K20" i="2"/>
  <c r="W20" i="2" s="1"/>
  <c r="J20" i="2"/>
  <c r="V20" i="2" s="1"/>
  <c r="I20" i="2"/>
  <c r="H20" i="2"/>
  <c r="G20" i="2"/>
  <c r="F20" i="2"/>
  <c r="R20" i="2" s="1"/>
  <c r="E20" i="2"/>
  <c r="Q20" i="2" s="1"/>
  <c r="D20" i="2"/>
  <c r="C20" i="2"/>
  <c r="X19" i="2"/>
  <c r="V19" i="2"/>
  <c r="U19" i="2"/>
  <c r="S19" i="2"/>
  <c r="P19" i="2"/>
  <c r="O19" i="2"/>
  <c r="L19" i="2"/>
  <c r="K19" i="2"/>
  <c r="W19" i="2" s="1"/>
  <c r="J19" i="2"/>
  <c r="I19" i="2"/>
  <c r="H19" i="2"/>
  <c r="T19" i="2" s="1"/>
  <c r="G19" i="2"/>
  <c r="F19" i="2"/>
  <c r="R19" i="2" s="1"/>
  <c r="E19" i="2"/>
  <c r="Q19" i="2" s="1"/>
  <c r="D19" i="2"/>
  <c r="C19" i="2"/>
  <c r="V18" i="2"/>
  <c r="U18" i="2"/>
  <c r="T18" i="2"/>
  <c r="S18" i="2"/>
  <c r="P18" i="2"/>
  <c r="O18" i="2"/>
  <c r="L18" i="2"/>
  <c r="X18" i="2" s="1"/>
  <c r="K18" i="2"/>
  <c r="W18" i="2" s="1"/>
  <c r="J18" i="2"/>
  <c r="I18" i="2"/>
  <c r="H18" i="2"/>
  <c r="G18" i="2"/>
  <c r="F18" i="2"/>
  <c r="R18" i="2" s="1"/>
  <c r="E18" i="2"/>
  <c r="Q18" i="2" s="1"/>
  <c r="D18" i="2"/>
  <c r="C18" i="2"/>
  <c r="S17" i="2"/>
  <c r="O17" i="2"/>
  <c r="L17" i="2"/>
  <c r="X17" i="2" s="1"/>
  <c r="K17" i="2"/>
  <c r="W17" i="2" s="1"/>
  <c r="J17" i="2"/>
  <c r="V17" i="2" s="1"/>
  <c r="I17" i="2"/>
  <c r="U17" i="2" s="1"/>
  <c r="H17" i="2"/>
  <c r="T17" i="2" s="1"/>
  <c r="G17" i="2"/>
  <c r="F17" i="2"/>
  <c r="R17" i="2" s="1"/>
  <c r="E17" i="2"/>
  <c r="Q17" i="2" s="1"/>
  <c r="D17" i="2"/>
  <c r="P17" i="2" s="1"/>
  <c r="C17" i="2"/>
  <c r="S16" i="2"/>
  <c r="O16" i="2"/>
  <c r="L16" i="2"/>
  <c r="X16" i="2" s="1"/>
  <c r="K16" i="2"/>
  <c r="W16" i="2" s="1"/>
  <c r="J16" i="2"/>
  <c r="V16" i="2" s="1"/>
  <c r="I16" i="2"/>
  <c r="U16" i="2" s="1"/>
  <c r="H16" i="2"/>
  <c r="T16" i="2" s="1"/>
  <c r="G16" i="2"/>
  <c r="F16" i="2"/>
  <c r="R16" i="2" s="1"/>
  <c r="E16" i="2"/>
  <c r="Q16" i="2" s="1"/>
  <c r="D16" i="2"/>
  <c r="P16" i="2" s="1"/>
  <c r="C16" i="2"/>
  <c r="X15" i="2"/>
  <c r="V15" i="2"/>
  <c r="U15" i="2"/>
  <c r="S15" i="2"/>
  <c r="O15" i="2"/>
  <c r="L15" i="2"/>
  <c r="K15" i="2"/>
  <c r="W15" i="2" s="1"/>
  <c r="J15" i="2"/>
  <c r="I15" i="2"/>
  <c r="U65" i="2" s="1"/>
  <c r="H15" i="2"/>
  <c r="T15" i="2" s="1"/>
  <c r="G15" i="2"/>
  <c r="F15" i="2"/>
  <c r="R15" i="2" s="1"/>
  <c r="E15" i="2"/>
  <c r="Q15" i="2" s="1"/>
  <c r="D15" i="2"/>
  <c r="P15" i="2" s="1"/>
  <c r="C15" i="2"/>
  <c r="V14" i="2"/>
  <c r="T14" i="2"/>
  <c r="S14" i="2"/>
  <c r="O14" i="2"/>
  <c r="L14" i="2"/>
  <c r="K14" i="2"/>
  <c r="J14" i="2"/>
  <c r="I14" i="2"/>
  <c r="H14" i="2"/>
  <c r="G14" i="2"/>
  <c r="F14" i="2"/>
  <c r="E14" i="2"/>
  <c r="D14" i="2"/>
  <c r="P65" i="2" s="1"/>
  <c r="C14" i="2"/>
  <c r="X13" i="2"/>
  <c r="T13" i="2"/>
  <c r="S13" i="2"/>
  <c r="O13" i="2"/>
  <c r="L13" i="2"/>
  <c r="K13" i="2"/>
  <c r="W13" i="2" s="1"/>
  <c r="J13" i="2"/>
  <c r="V13" i="2" s="1"/>
  <c r="I13" i="2"/>
  <c r="U13" i="2" s="1"/>
  <c r="H13" i="2"/>
  <c r="G13" i="2"/>
  <c r="F13" i="2"/>
  <c r="R13" i="2" s="1"/>
  <c r="E13" i="2"/>
  <c r="Q13" i="2" s="1"/>
  <c r="D13" i="2"/>
  <c r="P13" i="2" s="1"/>
  <c r="C13" i="2"/>
  <c r="X12" i="2"/>
  <c r="V12" i="2"/>
  <c r="U12" i="2"/>
  <c r="T12" i="2"/>
  <c r="S12" i="2"/>
  <c r="P12" i="2"/>
  <c r="O12" i="2"/>
  <c r="L12" i="2"/>
  <c r="K12" i="2"/>
  <c r="W12" i="2" s="1"/>
  <c r="J12" i="2"/>
  <c r="I12" i="2"/>
  <c r="H12" i="2"/>
  <c r="G12" i="2"/>
  <c r="F12" i="2"/>
  <c r="R12" i="2" s="1"/>
  <c r="E12" i="2"/>
  <c r="Q12" i="2" s="1"/>
  <c r="D12" i="2"/>
  <c r="C12" i="2"/>
  <c r="U11" i="2"/>
  <c r="T11" i="2"/>
  <c r="S11" i="2"/>
  <c r="P11" i="2"/>
  <c r="O11" i="2"/>
  <c r="L11" i="2"/>
  <c r="X11" i="2" s="1"/>
  <c r="K11" i="2"/>
  <c r="W11" i="2" s="1"/>
  <c r="J11" i="2"/>
  <c r="V11" i="2" s="1"/>
  <c r="I11" i="2"/>
  <c r="H11" i="2"/>
  <c r="G11" i="2"/>
  <c r="F11" i="2"/>
  <c r="R11" i="2" s="1"/>
  <c r="E11" i="2"/>
  <c r="Q11" i="2" s="1"/>
  <c r="D11" i="2"/>
  <c r="C11" i="2"/>
  <c r="S10" i="2"/>
  <c r="P10" i="2"/>
  <c r="O10" i="2"/>
  <c r="L10" i="2"/>
  <c r="K10" i="2"/>
  <c r="W10" i="2" s="1"/>
  <c r="J10" i="2"/>
  <c r="V10" i="2" s="1"/>
  <c r="I10" i="2"/>
  <c r="U10" i="2" s="1"/>
  <c r="H10" i="2"/>
  <c r="T10" i="2" s="1"/>
  <c r="G10" i="2"/>
  <c r="F10" i="2"/>
  <c r="R10" i="2" s="1"/>
  <c r="E10" i="2"/>
  <c r="Q10" i="2" s="1"/>
  <c r="D10" i="2"/>
  <c r="C10" i="2"/>
  <c r="X9" i="2"/>
  <c r="S9" i="2"/>
  <c r="O9" i="2"/>
  <c r="L9" i="2"/>
  <c r="K9" i="2"/>
  <c r="J9" i="2"/>
  <c r="I9" i="2"/>
  <c r="H9" i="2"/>
  <c r="G9" i="2"/>
  <c r="F9" i="2"/>
  <c r="E9" i="2"/>
  <c r="D9" i="2"/>
  <c r="C9" i="2"/>
  <c r="X7" i="2"/>
  <c r="W7" i="2"/>
  <c r="V7" i="2"/>
  <c r="U7" i="2"/>
  <c r="T7" i="2"/>
  <c r="S7" i="2"/>
  <c r="R7" i="2"/>
  <c r="Q7" i="2"/>
  <c r="P7" i="2"/>
  <c r="O7" i="2"/>
  <c r="O139" i="1"/>
  <c r="N139" i="1"/>
  <c r="E114" i="1"/>
  <c r="D159" i="2" s="1"/>
  <c r="F159" i="2" s="1"/>
  <c r="C281" i="2" s="1"/>
  <c r="B105" i="1"/>
  <c r="M102" i="1"/>
  <c r="M101" i="1"/>
  <c r="M63" i="1"/>
  <c r="L62" i="1"/>
  <c r="K62" i="1"/>
  <c r="J62" i="1"/>
  <c r="I62" i="1"/>
  <c r="H62" i="1"/>
  <c r="G62" i="1"/>
  <c r="F62" i="1"/>
  <c r="E62" i="1"/>
  <c r="D62" i="1"/>
  <c r="C62" i="1"/>
  <c r="B47" i="1"/>
  <c r="B42" i="2" s="1"/>
  <c r="E28" i="1"/>
  <c r="E23" i="2" s="1"/>
  <c r="E27" i="1"/>
  <c r="E9" i="1"/>
  <c r="E22" i="2" s="1"/>
  <c r="B7" i="1"/>
  <c r="B2" i="2" s="1"/>
  <c r="B5" i="1"/>
  <c r="H99" i="2" l="1"/>
  <c r="H117" i="2" s="1"/>
  <c r="P62" i="2"/>
  <c r="P69" i="2" s="1"/>
  <c r="P47" i="2"/>
  <c r="O47" i="2"/>
  <c r="O62" i="2"/>
  <c r="E183" i="2"/>
  <c r="E182" i="2"/>
  <c r="G183" i="2"/>
  <c r="G182" i="2"/>
  <c r="C13" i="5"/>
  <c r="C14" i="5" s="1"/>
  <c r="C13" i="4"/>
  <c r="C14" i="4" s="1"/>
  <c r="J182" i="2"/>
  <c r="J183" i="2"/>
  <c r="F178" i="2"/>
  <c r="E117" i="2"/>
  <c r="O66" i="2"/>
  <c r="O53" i="2"/>
  <c r="O54" i="2" s="1"/>
  <c r="E81" i="2"/>
  <c r="E99" i="2"/>
  <c r="E106" i="3"/>
  <c r="J69" i="3"/>
  <c r="V61" i="2"/>
  <c r="V68" i="2" s="1"/>
  <c r="J99" i="2"/>
  <c r="J117" i="2" s="1"/>
  <c r="E95" i="2"/>
  <c r="E113" i="2" s="1"/>
  <c r="Q14" i="2"/>
  <c r="E94" i="2" s="1"/>
  <c r="T45" i="2"/>
  <c r="T62" i="2" s="1"/>
  <c r="U66" i="2"/>
  <c r="P54" i="2"/>
  <c r="I70" i="2"/>
  <c r="V65" i="2"/>
  <c r="V66" i="2" s="1"/>
  <c r="Q160" i="2"/>
  <c r="T65" i="2"/>
  <c r="W45" i="2"/>
  <c r="I71" i="2"/>
  <c r="C84" i="2"/>
  <c r="Q65" i="2"/>
  <c r="K99" i="2"/>
  <c r="K117" i="2" s="1"/>
  <c r="W61" i="2"/>
  <c r="W68" i="2" s="1"/>
  <c r="W9" i="2"/>
  <c r="M62" i="1"/>
  <c r="P9" i="2"/>
  <c r="F57" i="2"/>
  <c r="I213" i="2"/>
  <c r="I269" i="2" s="1"/>
  <c r="T66" i="2"/>
  <c r="L99" i="2"/>
  <c r="G57" i="2"/>
  <c r="G178" i="2" s="1"/>
  <c r="S61" i="2"/>
  <c r="S45" i="2"/>
  <c r="S62" i="2" s="1"/>
  <c r="T135" i="2"/>
  <c r="E4" i="2"/>
  <c r="J95" i="2"/>
  <c r="J113" i="2" s="1"/>
  <c r="H57" i="2"/>
  <c r="H178" i="2" s="1"/>
  <c r="J213" i="2"/>
  <c r="J269" i="2" s="1"/>
  <c r="T9" i="2"/>
  <c r="X10" i="2"/>
  <c r="K95" i="2"/>
  <c r="K113" i="2" s="1"/>
  <c r="W65" i="2"/>
  <c r="W14" i="2"/>
  <c r="U45" i="2"/>
  <c r="U62" i="2" s="1"/>
  <c r="U69" i="2" s="1"/>
  <c r="L51" i="2"/>
  <c r="X65" i="2" s="1"/>
  <c r="I57" i="2"/>
  <c r="I178" i="2" s="1"/>
  <c r="P66" i="2"/>
  <c r="E69" i="2"/>
  <c r="L79" i="2"/>
  <c r="L80" i="2" s="1"/>
  <c r="L100" i="2" s="1"/>
  <c r="L118" i="2" s="1"/>
  <c r="G79" i="2"/>
  <c r="G80" i="2" s="1"/>
  <c r="D79" i="2"/>
  <c r="D80" i="2" s="1"/>
  <c r="C80" i="2"/>
  <c r="I79" i="2"/>
  <c r="I80" i="2" s="1"/>
  <c r="I81" i="2" s="1"/>
  <c r="H79" i="2"/>
  <c r="H80" i="2" s="1"/>
  <c r="H96" i="2" s="1"/>
  <c r="H114" i="2" s="1"/>
  <c r="F79" i="2"/>
  <c r="F80" i="2" s="1"/>
  <c r="T131" i="2"/>
  <c r="W131" i="2" s="1"/>
  <c r="I214" i="2"/>
  <c r="I270" i="2" s="1"/>
  <c r="C147" i="2"/>
  <c r="D147" i="2"/>
  <c r="J214" i="2"/>
  <c r="J270" i="2" s="1"/>
  <c r="R47" i="2"/>
  <c r="R62" i="2"/>
  <c r="R69" i="2" s="1"/>
  <c r="Z128" i="2"/>
  <c r="W128" i="2"/>
  <c r="T128" i="2"/>
  <c r="V9" i="2"/>
  <c r="Q49" i="2"/>
  <c r="I64" i="2"/>
  <c r="I67" i="2"/>
  <c r="I73" i="2"/>
  <c r="I72" i="2"/>
  <c r="F147" i="2"/>
  <c r="L55" i="2"/>
  <c r="T61" i="2"/>
  <c r="C178" i="3"/>
  <c r="I178" i="3" s="1"/>
  <c r="I106" i="3"/>
  <c r="U14" i="2"/>
  <c r="Q32" i="2"/>
  <c r="Q132" i="2" s="1"/>
  <c r="Q50" i="2"/>
  <c r="U61" i="2"/>
  <c r="U68" i="2" s="1"/>
  <c r="H147" i="2"/>
  <c r="D171" i="2"/>
  <c r="C286" i="2" s="1"/>
  <c r="I147" i="2"/>
  <c r="U9" i="2"/>
  <c r="Q61" i="2"/>
  <c r="Q68" i="2" s="1"/>
  <c r="P61" i="2"/>
  <c r="P68" i="2" s="1"/>
  <c r="X14" i="2"/>
  <c r="W66" i="2"/>
  <c r="AD128" i="2"/>
  <c r="X128" i="2"/>
  <c r="U128" i="2"/>
  <c r="P14" i="2"/>
  <c r="S49" i="2"/>
  <c r="Q9" i="2"/>
  <c r="T136" i="2" s="1"/>
  <c r="W136" i="2" s="1"/>
  <c r="C57" i="2"/>
  <c r="C178" i="2" s="1"/>
  <c r="O61" i="2"/>
  <c r="I74" i="2"/>
  <c r="Q128" i="2"/>
  <c r="L45" i="2"/>
  <c r="AB57" i="2"/>
  <c r="D57" i="2"/>
  <c r="D178" i="2" s="1"/>
  <c r="I65" i="2"/>
  <c r="R9" i="2"/>
  <c r="R14" i="2"/>
  <c r="Q135" i="2"/>
  <c r="D66" i="2"/>
  <c r="E66" i="2" s="1"/>
  <c r="D73" i="2"/>
  <c r="E73" i="2" s="1"/>
  <c r="E68" i="2"/>
  <c r="J94" i="2" s="1"/>
  <c r="L147" i="2"/>
  <c r="C280" i="2"/>
  <c r="Q46" i="2"/>
  <c r="L50" i="2"/>
  <c r="R61" i="2"/>
  <c r="R68" i="2" s="1"/>
  <c r="Q45" i="2"/>
  <c r="I212" i="2"/>
  <c r="I268" i="2" s="1"/>
  <c r="S65" i="2"/>
  <c r="J112" i="2" l="1"/>
  <c r="J102" i="2"/>
  <c r="I98" i="2"/>
  <c r="I116" i="2" s="1"/>
  <c r="I134" i="2" s="1"/>
  <c r="F100" i="2"/>
  <c r="F118" i="2" s="1"/>
  <c r="G100" i="2"/>
  <c r="G118" i="2" s="1"/>
  <c r="J98" i="2"/>
  <c r="J116" i="2" s="1"/>
  <c r="J134" i="2" s="1"/>
  <c r="J200" i="2" s="1"/>
  <c r="F98" i="2"/>
  <c r="F116" i="2" s="1"/>
  <c r="F134" i="2" s="1"/>
  <c r="F200" i="2" s="1"/>
  <c r="G98" i="2"/>
  <c r="G116" i="2" s="1"/>
  <c r="G134" i="2" s="1"/>
  <c r="G200" i="2" s="1"/>
  <c r="Y65" i="2"/>
  <c r="K98" i="2"/>
  <c r="K116" i="2" s="1"/>
  <c r="K134" i="2" s="1"/>
  <c r="C215" i="2" s="1"/>
  <c r="D98" i="2"/>
  <c r="D116" i="2" s="1"/>
  <c r="D134" i="2" s="1"/>
  <c r="E112" i="2"/>
  <c r="I96" i="2"/>
  <c r="I114" i="2" s="1"/>
  <c r="E100" i="2"/>
  <c r="E118" i="2" s="1"/>
  <c r="E136" i="2" s="1"/>
  <c r="J72" i="3"/>
  <c r="J109" i="3" s="1"/>
  <c r="J73" i="3"/>
  <c r="J110" i="3" s="1"/>
  <c r="W62" i="2"/>
  <c r="W69" i="2" s="1"/>
  <c r="H94" i="2"/>
  <c r="D95" i="2"/>
  <c r="D113" i="2" s="1"/>
  <c r="Q62" i="2"/>
  <c r="Q47" i="2"/>
  <c r="D8" i="4"/>
  <c r="C8" i="4"/>
  <c r="C183" i="2"/>
  <c r="C182" i="2"/>
  <c r="D99" i="2"/>
  <c r="D117" i="2" s="1"/>
  <c r="T68" i="2"/>
  <c r="I72" i="3"/>
  <c r="I109" i="3" s="1"/>
  <c r="I73" i="3"/>
  <c r="I110" i="3" s="1"/>
  <c r="U132" i="2"/>
  <c r="U131" i="2"/>
  <c r="R132" i="2"/>
  <c r="L94" i="2"/>
  <c r="L114" i="2"/>
  <c r="R131" i="2"/>
  <c r="X49" i="2"/>
  <c r="Y49" i="2" s="1"/>
  <c r="L95" i="2"/>
  <c r="L113" i="2" s="1"/>
  <c r="I95" i="2"/>
  <c r="I113" i="2" s="1"/>
  <c r="J181" i="2"/>
  <c r="I181" i="2"/>
  <c r="F181" i="2"/>
  <c r="E181" i="2"/>
  <c r="D181" i="2"/>
  <c r="H181" i="2"/>
  <c r="G181" i="2"/>
  <c r="C181" i="2"/>
  <c r="S69" i="2"/>
  <c r="S68" i="2"/>
  <c r="K96" i="2"/>
  <c r="K114" i="2" s="1"/>
  <c r="K94" i="2"/>
  <c r="J96" i="2"/>
  <c r="J114" i="2" s="1"/>
  <c r="L96" i="2"/>
  <c r="D183" i="2"/>
  <c r="D182" i="2"/>
  <c r="U136" i="2"/>
  <c r="R136" i="2"/>
  <c r="L117" i="2"/>
  <c r="L57" i="2"/>
  <c r="X45" i="2"/>
  <c r="U135" i="2"/>
  <c r="R135" i="2"/>
  <c r="X50" i="2"/>
  <c r="H98" i="2"/>
  <c r="H116" i="2" s="1"/>
  <c r="H134" i="2" s="1"/>
  <c r="H200" i="2" s="1"/>
  <c r="D100" i="2"/>
  <c r="D118" i="2" s="1"/>
  <c r="J106" i="3"/>
  <c r="E178" i="3"/>
  <c r="J178" i="3" s="1"/>
  <c r="K84" i="2"/>
  <c r="J84" i="2"/>
  <c r="C85" i="2"/>
  <c r="L84" i="2"/>
  <c r="E84" i="2"/>
  <c r="H84" i="2"/>
  <c r="I84" i="2"/>
  <c r="G84" i="2"/>
  <c r="F84" i="2"/>
  <c r="D84" i="2"/>
  <c r="F99" i="2"/>
  <c r="F117" i="2" s="1"/>
  <c r="F95" i="2"/>
  <c r="F113" i="2" s="1"/>
  <c r="F81" i="2"/>
  <c r="I100" i="2"/>
  <c r="I118" i="2" s="1"/>
  <c r="F182" i="2"/>
  <c r="F183" i="2"/>
  <c r="H81" i="2"/>
  <c r="H100" i="2"/>
  <c r="H118" i="2" s="1"/>
  <c r="H95" i="2"/>
  <c r="H113" i="2" s="1"/>
  <c r="V62" i="2"/>
  <c r="V69" i="2" s="1"/>
  <c r="Y61" i="2"/>
  <c r="O68" i="2"/>
  <c r="I183" i="2"/>
  <c r="I182" i="2"/>
  <c r="K100" i="2"/>
  <c r="K118" i="2" s="1"/>
  <c r="C95" i="2"/>
  <c r="C113" i="2" s="1"/>
  <c r="C94" i="2"/>
  <c r="C99" i="2"/>
  <c r="C117" i="2" s="1"/>
  <c r="C98" i="2"/>
  <c r="C116" i="2" s="1"/>
  <c r="C134" i="2" s="1"/>
  <c r="C200" i="2" s="1"/>
  <c r="C81" i="2"/>
  <c r="O69" i="2"/>
  <c r="D96" i="2"/>
  <c r="D114" i="2"/>
  <c r="D94" i="2"/>
  <c r="D81" i="2"/>
  <c r="C96" i="2"/>
  <c r="C114" i="2" s="1"/>
  <c r="E96" i="2"/>
  <c r="G96" i="2"/>
  <c r="G114" i="2" s="1"/>
  <c r="F96" i="2"/>
  <c r="F114" i="2" s="1"/>
  <c r="C100" i="2"/>
  <c r="C118" i="2" s="1"/>
  <c r="G95" i="2"/>
  <c r="G113" i="2" s="1"/>
  <c r="G99" i="2"/>
  <c r="G117" i="2" s="1"/>
  <c r="G81" i="2"/>
  <c r="Y45" i="2"/>
  <c r="E98" i="2"/>
  <c r="E116" i="2" s="1"/>
  <c r="H183" i="2"/>
  <c r="H182" i="2"/>
  <c r="L81" i="2"/>
  <c r="L98" i="2"/>
  <c r="L116" i="2" s="1"/>
  <c r="W135" i="2"/>
  <c r="T69" i="2"/>
  <c r="G94" i="2"/>
  <c r="I94" i="2"/>
  <c r="Q51" i="2"/>
  <c r="Q66" i="2"/>
  <c r="X46" i="2"/>
  <c r="S66" i="2"/>
  <c r="J100" i="2"/>
  <c r="J118" i="2" s="1"/>
  <c r="F94" i="2"/>
  <c r="I99" i="2"/>
  <c r="I117" i="2" s="1"/>
  <c r="X61" i="2"/>
  <c r="X68" i="2" s="1"/>
  <c r="T132" i="2"/>
  <c r="W132" i="2" s="1"/>
  <c r="E114" i="2"/>
  <c r="E132" i="2" s="1"/>
  <c r="E135" i="2"/>
  <c r="E131" i="2"/>
  <c r="Y62" i="2" l="1"/>
  <c r="Z61" i="2" s="1"/>
  <c r="Z62" i="2" s="1"/>
  <c r="L131" i="2"/>
  <c r="Y66" i="2"/>
  <c r="Z65" i="2" s="1"/>
  <c r="Z66" i="2" s="1"/>
  <c r="X136" i="2"/>
  <c r="L136" i="2" s="1"/>
  <c r="J120" i="2"/>
  <c r="J130" i="2"/>
  <c r="C303" i="2"/>
  <c r="AC137" i="2"/>
  <c r="E134" i="2"/>
  <c r="Z132" i="2"/>
  <c r="Z133" i="2" s="1"/>
  <c r="E196" i="2"/>
  <c r="J85" i="2"/>
  <c r="J86" i="2" s="1"/>
  <c r="I85" i="2"/>
  <c r="I86" i="2" s="1"/>
  <c r="D85" i="2"/>
  <c r="D86" i="2" s="1"/>
  <c r="C86" i="2"/>
  <c r="L85" i="2"/>
  <c r="L86" i="2" s="1"/>
  <c r="K85" i="2"/>
  <c r="K86" i="2" s="1"/>
  <c r="H85" i="2"/>
  <c r="H86" i="2" s="1"/>
  <c r="G85" i="2"/>
  <c r="G86" i="2" s="1"/>
  <c r="F85" i="2"/>
  <c r="F86" i="2" s="1"/>
  <c r="E85" i="2"/>
  <c r="E86" i="2" s="1"/>
  <c r="C352" i="2"/>
  <c r="C21" i="3" s="1"/>
  <c r="K102" i="2"/>
  <c r="K112" i="2"/>
  <c r="X131" i="2"/>
  <c r="H112" i="2"/>
  <c r="H102" i="2"/>
  <c r="E195" i="2"/>
  <c r="Z131" i="2"/>
  <c r="C112" i="2"/>
  <c r="C102" i="2"/>
  <c r="L132" i="2"/>
  <c r="Z135" i="2"/>
  <c r="E201" i="2"/>
  <c r="Z45" i="2"/>
  <c r="Z49" i="2" s="1"/>
  <c r="L102" i="2"/>
  <c r="L112" i="2"/>
  <c r="J182" i="3"/>
  <c r="G131" i="3"/>
  <c r="J181" i="3"/>
  <c r="G130" i="3"/>
  <c r="E202" i="2"/>
  <c r="Z136" i="2"/>
  <c r="Y68" i="2"/>
  <c r="X132" i="2"/>
  <c r="E120" i="2"/>
  <c r="AC133" i="2"/>
  <c r="E130" i="2"/>
  <c r="E138" i="2" s="1"/>
  <c r="I182" i="3"/>
  <c r="D131" i="3"/>
  <c r="F102" i="2"/>
  <c r="F112" i="2"/>
  <c r="AD137" i="2"/>
  <c r="L134" i="2"/>
  <c r="D215" i="2" s="1"/>
  <c r="E102" i="2"/>
  <c r="I181" i="3"/>
  <c r="D130" i="3"/>
  <c r="D200" i="2"/>
  <c r="K303" i="2"/>
  <c r="C226" i="2"/>
  <c r="G303" i="2"/>
  <c r="D102" i="2"/>
  <c r="D112" i="2"/>
  <c r="H303" i="2"/>
  <c r="F303" i="2"/>
  <c r="I112" i="2"/>
  <c r="I102" i="2"/>
  <c r="C8" i="5"/>
  <c r="C10" i="5" s="1"/>
  <c r="C16" i="5" s="1"/>
  <c r="C10" i="4"/>
  <c r="C16" i="4" s="1"/>
  <c r="J303" i="2"/>
  <c r="G112" i="2"/>
  <c r="G102" i="2"/>
  <c r="D8" i="5"/>
  <c r="D10" i="5" s="1"/>
  <c r="D16" i="5" s="1"/>
  <c r="C8" i="6"/>
  <c r="C10" i="6" s="1"/>
  <c r="C16" i="6" s="1"/>
  <c r="D10" i="4"/>
  <c r="D16" i="4" s="1"/>
  <c r="X135" i="2"/>
  <c r="L135" i="2" s="1"/>
  <c r="X47" i="2"/>
  <c r="X62" i="2"/>
  <c r="I200" i="2"/>
  <c r="Q69" i="2"/>
  <c r="X66" i="2"/>
  <c r="X51" i="2"/>
  <c r="D216" i="2" l="1"/>
  <c r="AA135" i="2"/>
  <c r="Y69" i="2"/>
  <c r="Z68" i="2" s="1"/>
  <c r="Z69" i="2" s="1"/>
  <c r="D303" i="2"/>
  <c r="D226" i="2"/>
  <c r="L303" i="2"/>
  <c r="I130" i="2"/>
  <c r="I120" i="2"/>
  <c r="F120" i="2"/>
  <c r="F130" i="2"/>
  <c r="D213" i="2"/>
  <c r="AA132" i="2"/>
  <c r="E303" i="2"/>
  <c r="C104" i="2"/>
  <c r="D217" i="2"/>
  <c r="AA136" i="2"/>
  <c r="AA137" i="2" s="1"/>
  <c r="AA131" i="2"/>
  <c r="D212" i="2"/>
  <c r="L130" i="2"/>
  <c r="AD133" i="2"/>
  <c r="L120" i="2"/>
  <c r="G130" i="2"/>
  <c r="G120" i="2"/>
  <c r="E204" i="2"/>
  <c r="E302" i="2"/>
  <c r="C20" i="8"/>
  <c r="C20" i="7"/>
  <c r="G132" i="3"/>
  <c r="C130" i="2"/>
  <c r="C120" i="2"/>
  <c r="I303" i="2"/>
  <c r="D130" i="2"/>
  <c r="D120" i="2"/>
  <c r="H130" i="2"/>
  <c r="H120" i="2"/>
  <c r="K120" i="2"/>
  <c r="K130" i="2"/>
  <c r="J194" i="2"/>
  <c r="J138" i="2"/>
  <c r="J204" i="2" s="1"/>
  <c r="Z137" i="2"/>
  <c r="D136" i="3"/>
  <c r="D137" i="3"/>
  <c r="D132" i="3"/>
  <c r="D138" i="3" s="1"/>
  <c r="X69" i="2"/>
  <c r="D271" i="2"/>
  <c r="D75" i="3" s="1"/>
  <c r="C353" i="2"/>
  <c r="D223" i="2" l="1"/>
  <c r="F268" i="2"/>
  <c r="F72" i="3" s="1"/>
  <c r="K138" i="2"/>
  <c r="C219" i="2" s="1"/>
  <c r="C230" i="2" s="1"/>
  <c r="C211" i="2"/>
  <c r="E304" i="2"/>
  <c r="E307" i="2" s="1"/>
  <c r="C354" i="2"/>
  <c r="C22" i="3"/>
  <c r="G138" i="2"/>
  <c r="G204" i="2" s="1"/>
  <c r="G194" i="2"/>
  <c r="AA133" i="2"/>
  <c r="H194" i="2"/>
  <c r="H138" i="2"/>
  <c r="H204" i="2" s="1"/>
  <c r="I194" i="2"/>
  <c r="I138" i="2"/>
  <c r="I204" i="2" s="1"/>
  <c r="C122" i="2"/>
  <c r="C139" i="2" s="1"/>
  <c r="C312" i="2"/>
  <c r="C138" i="2"/>
  <c r="C204" i="2" s="1"/>
  <c r="C194" i="2"/>
  <c r="D228" i="2"/>
  <c r="F273" i="2" s="1"/>
  <c r="F77" i="3" s="1"/>
  <c r="D227" i="2"/>
  <c r="J302" i="2"/>
  <c r="F269" i="2"/>
  <c r="F73" i="3" s="1"/>
  <c r="D224" i="2"/>
  <c r="F138" i="2"/>
  <c r="F204" i="2" s="1"/>
  <c r="F194" i="2"/>
  <c r="D194" i="2"/>
  <c r="D138" i="2"/>
  <c r="D204" i="2" s="1"/>
  <c r="D211" i="2"/>
  <c r="L138" i="2"/>
  <c r="D219" i="2" s="1"/>
  <c r="D230" i="2" s="1"/>
  <c r="D197" i="2" l="1"/>
  <c r="F302" i="2"/>
  <c r="H302" i="2"/>
  <c r="G302" i="2"/>
  <c r="I302" i="2"/>
  <c r="J304" i="2"/>
  <c r="J308" i="2" s="1"/>
  <c r="C18" i="6"/>
  <c r="C19" i="6" s="1"/>
  <c r="C21" i="6" s="1"/>
  <c r="C18" i="4"/>
  <c r="C19" i="4" s="1"/>
  <c r="C21" i="4" s="1"/>
  <c r="C9" i="3" s="1"/>
  <c r="C11" i="3" s="1"/>
  <c r="D18" i="5"/>
  <c r="D19" i="5" s="1"/>
  <c r="D21" i="5" s="1"/>
  <c r="D9" i="7" s="1"/>
  <c r="D18" i="4"/>
  <c r="D19" i="4" s="1"/>
  <c r="D21" i="4" s="1"/>
  <c r="D9" i="3" s="1"/>
  <c r="D11" i="3" s="1"/>
  <c r="C18" i="5"/>
  <c r="C19" i="5" s="1"/>
  <c r="C21" i="5" s="1"/>
  <c r="C9" i="7" s="1"/>
  <c r="C10" i="7" s="1"/>
  <c r="E308" i="2"/>
  <c r="F272" i="2"/>
  <c r="F76" i="3" s="1"/>
  <c r="K302" i="2"/>
  <c r="C222" i="2"/>
  <c r="C21" i="7"/>
  <c r="C21" i="8"/>
  <c r="C197" i="2"/>
  <c r="L302" i="2"/>
  <c r="D222" i="2"/>
  <c r="C233" i="2"/>
  <c r="E317" i="2"/>
  <c r="L307" i="2" l="1"/>
  <c r="L304" i="2"/>
  <c r="L308" i="2" s="1"/>
  <c r="F307" i="2"/>
  <c r="F304" i="2"/>
  <c r="F308" i="2" s="1"/>
  <c r="C250" i="2"/>
  <c r="C54" i="3" s="1"/>
  <c r="C198" i="2"/>
  <c r="C251" i="2" s="1"/>
  <c r="C55" i="3" s="1"/>
  <c r="I304" i="2"/>
  <c r="I308" i="2" s="1"/>
  <c r="K304" i="2"/>
  <c r="K308" i="2" s="1"/>
  <c r="D250" i="2"/>
  <c r="D54" i="3" s="1"/>
  <c r="D198" i="2"/>
  <c r="D251" i="2" s="1"/>
  <c r="D55" i="3" s="1"/>
  <c r="C24" i="7"/>
  <c r="C25" i="7"/>
  <c r="C25" i="3"/>
  <c r="C26" i="3"/>
  <c r="J307" i="2"/>
  <c r="G307" i="2"/>
  <c r="G304" i="2"/>
  <c r="G308" i="2" s="1"/>
  <c r="H307" i="2"/>
  <c r="H304" i="2"/>
  <c r="H308" i="2" s="1"/>
  <c r="D267" i="2"/>
  <c r="D71" i="3" s="1"/>
  <c r="D235" i="2"/>
  <c r="C267" i="2" s="1"/>
  <c r="C71" i="3" s="1"/>
  <c r="D234" i="2"/>
  <c r="E8" i="3"/>
  <c r="D26" i="3"/>
  <c r="D25" i="3"/>
  <c r="C302" i="2" l="1"/>
  <c r="D27" i="3"/>
  <c r="I307" i="2"/>
  <c r="K307" i="2"/>
  <c r="C26" i="7"/>
  <c r="D302" i="2"/>
  <c r="C322" i="2"/>
  <c r="G255" i="2"/>
  <c r="G59" i="3" s="1"/>
  <c r="C255" i="2"/>
  <c r="C59" i="3" s="1"/>
  <c r="F255" i="2"/>
  <c r="F59" i="3" s="1"/>
  <c r="H255" i="2"/>
  <c r="H59" i="3" s="1"/>
  <c r="J255" i="2"/>
  <c r="J59" i="3" s="1"/>
  <c r="E257" i="2"/>
  <c r="E61" i="3" s="1"/>
  <c r="C271" i="2"/>
  <c r="C75" i="3" s="1"/>
  <c r="D255" i="2"/>
  <c r="D59" i="3" s="1"/>
  <c r="I255" i="2"/>
  <c r="E256" i="2"/>
  <c r="E60" i="3" s="1"/>
  <c r="E246" i="2"/>
  <c r="E50" i="3" s="1"/>
  <c r="E247" i="2"/>
  <c r="E51" i="3" s="1"/>
  <c r="J245" i="2"/>
  <c r="J49" i="3" s="1"/>
  <c r="J259" i="2"/>
  <c r="J63" i="3" s="1"/>
  <c r="E259" i="2"/>
  <c r="E63" i="3" s="1"/>
  <c r="H259" i="2"/>
  <c r="H63" i="3" s="1"/>
  <c r="C259" i="2"/>
  <c r="C63" i="3" s="1"/>
  <c r="G259" i="2"/>
  <c r="G63" i="3" s="1"/>
  <c r="E268" i="2"/>
  <c r="E72" i="3" s="1"/>
  <c r="E269" i="2"/>
  <c r="E73" i="3" s="1"/>
  <c r="D259" i="2"/>
  <c r="D63" i="3" s="1"/>
  <c r="I245" i="2"/>
  <c r="E272" i="2"/>
  <c r="E76" i="3" s="1"/>
  <c r="G245" i="2"/>
  <c r="G49" i="3" s="1"/>
  <c r="D249" i="2"/>
  <c r="D53" i="3" s="1"/>
  <c r="F245" i="2"/>
  <c r="F49" i="3" s="1"/>
  <c r="E273" i="2"/>
  <c r="E77" i="3" s="1"/>
  <c r="C275" i="2"/>
  <c r="C79" i="3" s="1"/>
  <c r="E275" i="2"/>
  <c r="E79" i="3" s="1"/>
  <c r="I259" i="2"/>
  <c r="I63" i="3" s="1"/>
  <c r="F259" i="2"/>
  <c r="F63" i="3" s="1"/>
  <c r="H245" i="2"/>
  <c r="H49" i="3" s="1"/>
  <c r="C249" i="2"/>
  <c r="C53" i="3" s="1"/>
  <c r="D8" i="7"/>
  <c r="D10" i="7" s="1"/>
  <c r="E11" i="3"/>
  <c r="C8" i="8"/>
  <c r="C10" i="8" s="1"/>
  <c r="C27" i="3"/>
  <c r="K257" i="2" l="1"/>
  <c r="K61" i="3" s="1"/>
  <c r="I59" i="3"/>
  <c r="H328" i="2"/>
  <c r="G328" i="2"/>
  <c r="L329" i="2"/>
  <c r="I329" i="2"/>
  <c r="H329" i="2"/>
  <c r="H330" i="2" s="1"/>
  <c r="G329" i="2"/>
  <c r="G330" i="2" s="1"/>
  <c r="K328" i="2"/>
  <c r="F328" i="2"/>
  <c r="E328" i="2"/>
  <c r="K329" i="2"/>
  <c r="J329" i="2"/>
  <c r="F329" i="2"/>
  <c r="E329" i="2"/>
  <c r="D329" i="2"/>
  <c r="C329" i="2"/>
  <c r="L328" i="2"/>
  <c r="J328" i="2"/>
  <c r="D328" i="2"/>
  <c r="C328" i="2"/>
  <c r="I49" i="3"/>
  <c r="K247" i="2"/>
  <c r="K51" i="3" s="1"/>
  <c r="D304" i="2"/>
  <c r="D308" i="2" s="1"/>
  <c r="C25" i="8"/>
  <c r="C24" i="8"/>
  <c r="D24" i="7"/>
  <c r="D25" i="7"/>
  <c r="E8" i="7"/>
  <c r="C311" i="2"/>
  <c r="C304" i="2"/>
  <c r="C308" i="2" s="1"/>
  <c r="C307" i="2" l="1"/>
  <c r="E316" i="2"/>
  <c r="C313" i="2"/>
  <c r="C317" i="2" s="1"/>
  <c r="E10" i="7"/>
  <c r="D8" i="8"/>
  <c r="D10" i="8" s="1"/>
  <c r="D26" i="7"/>
  <c r="E330" i="2"/>
  <c r="L330" i="2"/>
  <c r="F330" i="2"/>
  <c r="C26" i="8"/>
  <c r="C330" i="2"/>
  <c r="C333" i="2"/>
  <c r="J330" i="2"/>
  <c r="D307" i="2"/>
  <c r="K330" i="2"/>
  <c r="I328" i="2"/>
  <c r="C332" i="2" s="1"/>
  <c r="I330" i="2"/>
  <c r="D330" i="2"/>
  <c r="D24" i="8" l="1"/>
  <c r="D25" i="8"/>
  <c r="E8" i="8"/>
  <c r="E10" i="8" s="1"/>
  <c r="E24" i="7"/>
  <c r="C29" i="7" s="1"/>
  <c r="E25" i="7"/>
  <c r="C316" i="2"/>
  <c r="C334" i="2"/>
  <c r="L317" i="2"/>
  <c r="L316" i="2"/>
  <c r="C324" i="2" l="1"/>
  <c r="E18" i="3"/>
  <c r="E26" i="3" s="1"/>
  <c r="E26" i="7"/>
  <c r="C32" i="7" s="1"/>
  <c r="C30" i="7"/>
  <c r="E17" i="3"/>
  <c r="E25" i="3" s="1"/>
  <c r="C323" i="2"/>
  <c r="E25" i="8"/>
  <c r="E24" i="8"/>
  <c r="C29" i="8" s="1"/>
  <c r="D26" i="8"/>
  <c r="C30" i="8"/>
  <c r="L338" i="2" l="1"/>
  <c r="K338" i="2"/>
  <c r="G338" i="2"/>
  <c r="J338" i="2"/>
  <c r="I338" i="2"/>
  <c r="F338" i="2"/>
  <c r="E338" i="2"/>
  <c r="D338" i="2"/>
  <c r="C338" i="2"/>
  <c r="C342" i="2" s="1"/>
  <c r="H338" i="2"/>
  <c r="C204" i="3"/>
  <c r="C142" i="3"/>
  <c r="C30" i="3"/>
  <c r="E26" i="8"/>
  <c r="C32" i="8" s="1"/>
  <c r="E27" i="3"/>
  <c r="C205" i="3"/>
  <c r="C206" i="3" s="1"/>
  <c r="C143" i="3"/>
  <c r="C31" i="3"/>
  <c r="C339" i="2"/>
  <c r="J339" i="2"/>
  <c r="F339" i="2"/>
  <c r="I339" i="2"/>
  <c r="E339" i="2"/>
  <c r="H339" i="2"/>
  <c r="D339" i="2"/>
  <c r="G339" i="2"/>
  <c r="G340" i="2" s="1"/>
  <c r="L339" i="2"/>
  <c r="L340" i="2" s="1"/>
  <c r="K339" i="2"/>
  <c r="K340" i="2" s="1"/>
  <c r="C33" i="3" l="1"/>
  <c r="C38" i="3"/>
  <c r="I340" i="2"/>
  <c r="C343" i="2"/>
  <c r="C344" i="2" s="1"/>
  <c r="C346" i="2" s="1"/>
  <c r="C340" i="2"/>
  <c r="C144" i="3"/>
  <c r="H340" i="2"/>
  <c r="F340" i="2"/>
  <c r="D340" i="2"/>
  <c r="E340" i="2"/>
  <c r="J340" i="2"/>
  <c r="I97" i="3" l="1"/>
  <c r="E114" i="3"/>
  <c r="H97" i="3"/>
  <c r="D95" i="3"/>
  <c r="C94" i="3"/>
  <c r="E92" i="3"/>
  <c r="E109" i="3"/>
  <c r="E91" i="3"/>
  <c r="N66" i="3"/>
  <c r="C108" i="3"/>
  <c r="F97" i="3"/>
  <c r="C37" i="3"/>
  <c r="C39" i="3" s="1"/>
  <c r="D97" i="3"/>
  <c r="D94" i="3"/>
  <c r="I90" i="3"/>
  <c r="E113" i="3"/>
  <c r="C112" i="3"/>
  <c r="E110" i="3"/>
  <c r="E99" i="3"/>
  <c r="E98" i="3"/>
  <c r="G97" i="3"/>
  <c r="C97" i="3"/>
  <c r="C95" i="3"/>
  <c r="H90" i="3"/>
  <c r="G90" i="3"/>
  <c r="F90" i="3"/>
  <c r="I122" i="3" l="1"/>
  <c r="J90" i="3"/>
  <c r="D123" i="3"/>
  <c r="F130" i="3"/>
  <c r="C122" i="3"/>
  <c r="C131" i="3"/>
  <c r="D122" i="3"/>
  <c r="H123" i="3"/>
  <c r="H124" i="3" s="1"/>
  <c r="F123" i="3"/>
  <c r="F124" i="3" s="1"/>
  <c r="C130" i="3"/>
  <c r="F122" i="3"/>
  <c r="G123" i="3"/>
  <c r="F131" i="3"/>
  <c r="F132" i="3" s="1"/>
  <c r="E122" i="3"/>
  <c r="G122" i="3"/>
  <c r="H122" i="3"/>
  <c r="C123" i="3"/>
  <c r="C124" i="3" s="1"/>
  <c r="J97" i="3"/>
  <c r="I123" i="3"/>
  <c r="I124" i="3" s="1"/>
  <c r="E123" i="3"/>
  <c r="C132" i="3" l="1"/>
  <c r="G124" i="3"/>
  <c r="D124" i="3"/>
  <c r="J122" i="3"/>
  <c r="J123" i="3"/>
  <c r="J124" i="3" s="1"/>
  <c r="C136" i="3"/>
  <c r="E136" i="3" s="1"/>
  <c r="C147" i="3" s="1"/>
  <c r="E147" i="3" s="1"/>
  <c r="E124" i="3"/>
  <c r="I162" i="3" l="1"/>
  <c r="I194" i="3" s="1"/>
  <c r="E182" i="3"/>
  <c r="E163" i="3"/>
  <c r="C180" i="3"/>
  <c r="K194" i="3" s="1"/>
  <c r="F162" i="3"/>
  <c r="F194" i="3" s="1"/>
  <c r="E181" i="3"/>
  <c r="L194" i="3" s="1"/>
  <c r="H162" i="3"/>
  <c r="H194" i="3" s="1"/>
  <c r="E164" i="3"/>
  <c r="G162" i="3"/>
  <c r="G194" i="3" s="1"/>
  <c r="C167" i="3"/>
  <c r="C166" i="3"/>
  <c r="D167" i="3"/>
  <c r="D166" i="3"/>
  <c r="D194" i="3" s="1"/>
  <c r="J162" i="3"/>
  <c r="J194" i="3" s="1"/>
  <c r="C137" i="3"/>
  <c r="E137" i="3" l="1"/>
  <c r="C148" i="3" s="1"/>
  <c r="E148" i="3" s="1"/>
  <c r="C138" i="3"/>
  <c r="E138" i="3" s="1"/>
  <c r="C149" i="3" s="1"/>
  <c r="E194" i="3"/>
  <c r="C194" i="3"/>
  <c r="C198" i="3" l="1"/>
  <c r="C209" i="3" s="1"/>
  <c r="E209" i="3" s="1"/>
  <c r="E186" i="3"/>
  <c r="I169" i="3"/>
  <c r="I195" i="3" s="1"/>
  <c r="I196" i="3" s="1"/>
  <c r="E170" i="3"/>
  <c r="G169" i="3"/>
  <c r="G195" i="3" s="1"/>
  <c r="G196" i="3" s="1"/>
  <c r="E185" i="3"/>
  <c r="L195" i="3" s="1"/>
  <c r="L196" i="3" s="1"/>
  <c r="C184" i="3"/>
  <c r="K195" i="3" s="1"/>
  <c r="K196" i="3" s="1"/>
  <c r="C169" i="3"/>
  <c r="C195" i="3" s="1"/>
  <c r="E171" i="3"/>
  <c r="D169" i="3"/>
  <c r="D195" i="3" s="1"/>
  <c r="D196" i="3" s="1"/>
  <c r="H169" i="3"/>
  <c r="H195" i="3" s="1"/>
  <c r="H196" i="3" s="1"/>
  <c r="F169" i="3"/>
  <c r="F195" i="3" s="1"/>
  <c r="F196" i="3" s="1"/>
  <c r="J169" i="3"/>
  <c r="J195" i="3" s="1"/>
  <c r="J196" i="3" s="1"/>
  <c r="C196" i="3" l="1"/>
  <c r="E195" i="3"/>
  <c r="E196" i="3" s="1"/>
  <c r="C199" i="3" l="1"/>
  <c r="C200" i="3" l="1"/>
  <c r="C211" i="3" s="1"/>
  <c r="E211" i="3" s="1"/>
  <c r="C210" i="3"/>
  <c r="E210" i="3" s="1"/>
</calcChain>
</file>

<file path=xl/sharedStrings.xml><?xml version="1.0" encoding="utf-8"?>
<sst xmlns="http://schemas.openxmlformats.org/spreadsheetml/2006/main" count="1112" uniqueCount="441">
  <si>
    <t>Scenario Name</t>
  </si>
  <si>
    <t>Auction Results</t>
  </si>
  <si>
    <t>Report year</t>
  </si>
  <si>
    <t xml:space="preserve"> </t>
  </si>
  <si>
    <t>Scenario Descr</t>
  </si>
  <si>
    <t>Adjusted to Billing Time Periods</t>
  </si>
  <si>
    <t>Table #1</t>
  </si>
  <si>
    <t>% Usage During PJM On-Peak Period</t>
  </si>
  <si>
    <t>On-Peak periods defined as the 16 hr PJM Trading period, adj for NERC holidays</t>
  </si>
  <si>
    <t>Profile Meter Data</t>
  </si>
  <si>
    <t xml:space="preserve">   --- Other Analysis ---</t>
  </si>
  <si>
    <t>(data rounded to nearest .01%)</t>
  </si>
  <si>
    <t>RS</t>
  </si>
  <si>
    <t>RHS</t>
  </si>
  <si>
    <t>RLM</t>
  </si>
  <si>
    <t>WH</t>
  </si>
  <si>
    <t>WHS</t>
  </si>
  <si>
    <t>HS</t>
  </si>
  <si>
    <t>PSAL</t>
  </si>
  <si>
    <t>BPL</t>
  </si>
  <si>
    <t>GLP</t>
  </si>
  <si>
    <t>LPL-S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</si>
  <si>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</si>
  <si>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</si>
  <si>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</si>
  <si>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</si>
  <si>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</si>
  <si>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</si>
  <si>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</si>
  <si>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</si>
  <si>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</si>
  <si>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</si>
  <si>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</si>
  <si>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</si>
  <si>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</si>
  <si>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% Usage During PSE&amp;G On-Peak Billing Period</t>
  </si>
  <si>
    <t>Table #3</t>
  </si>
  <si>
    <t>Class Usage @ customer</t>
  </si>
  <si>
    <t>in MWh</t>
  </si>
  <si>
    <t>LPL-S &gt; 500 kW PLS</t>
  </si>
  <si>
    <t>% of</t>
  </si>
  <si>
    <t>period ending April 2024</t>
  </si>
  <si>
    <t>kWh</t>
  </si>
  <si>
    <t>Gen Obl</t>
  </si>
  <si>
    <t>Table #4</t>
  </si>
  <si>
    <t>Forwards Prices - Energy Only @ bulk system</t>
  </si>
  <si>
    <t>Table #5</t>
  </si>
  <si>
    <t>Zone to Western Hub Basis Differential</t>
  </si>
  <si>
    <t>in $/MWh, not including PJM losses</t>
  </si>
  <si>
    <t>Off/On Pk</t>
  </si>
  <si>
    <t>Updated per NERA File November 1, 2024</t>
  </si>
  <si>
    <t>Updated November 1, 2024 NERA File</t>
  </si>
  <si>
    <t>On-Peak</t>
  </si>
  <si>
    <t>LMP ratio</t>
  </si>
  <si>
    <t>Summer</t>
  </si>
  <si>
    <t>Winter</t>
  </si>
  <si>
    <t>Basis</t>
  </si>
  <si>
    <t>Off-Peak</t>
  </si>
  <si>
    <t>Table #6</t>
  </si>
  <si>
    <t>Loss Type</t>
  </si>
  <si>
    <t>Percentage</t>
  </si>
  <si>
    <t>Source</t>
  </si>
  <si>
    <t>Delivery Losses</t>
  </si>
  <si>
    <t>Tariff (Result of 2018 Rate Case Loss Study)</t>
  </si>
  <si>
    <t>EHV Losses</t>
  </si>
  <si>
    <t>PJM - No update for 2024</t>
  </si>
  <si>
    <t>Marginal Loss Deration Factor</t>
  </si>
  <si>
    <t>NERA - Updated per June 2024</t>
  </si>
  <si>
    <t>Table #10</t>
  </si>
  <si>
    <t>Generation &amp; Transmission Obligations and Costs and Other Adjustments</t>
  </si>
  <si>
    <r>
      <t xml:space="preserve">Obligations - Peak Load shares eff 6/1/24, </t>
    </r>
    <r>
      <rPr>
        <i/>
        <sz val="10"/>
        <color rgb="FF143AF8"/>
        <rFont val="Arial"/>
        <family val="2"/>
      </rPr>
      <t>scaling factors eff 6/1/24</t>
    </r>
    <r>
      <rPr>
        <i/>
        <sz val="10"/>
        <color rgb="FF161BF6"/>
        <rFont val="Arial"/>
        <family val="2"/>
      </rPr>
      <t>, Transmission Loads eff 1/1/24; costs are market estimates</t>
    </r>
  </si>
  <si>
    <t>in MW</t>
  </si>
  <si>
    <t>Generation Peak Load Share</t>
  </si>
  <si>
    <t>Tranmsission Obligation</t>
  </si>
  <si>
    <t>update in June &amp; Jan</t>
  </si>
  <si>
    <t>Final Zonal RPM Scaling Factor</t>
  </si>
  <si>
    <t>Updated from utku file 6/1/2024 effective</t>
  </si>
  <si>
    <t>Base Capacity</t>
  </si>
  <si>
    <t>Generation Capacity cost</t>
  </si>
  <si>
    <t>summer =</t>
  </si>
  <si>
    <t>$/MW/day</t>
  </si>
  <si>
    <t>winter =</t>
  </si>
  <si>
    <t xml:space="preserve">Updated per NERA file November 1, 2024 </t>
  </si>
  <si>
    <t>Required summer inversion =</t>
  </si>
  <si>
    <t>¢/kWh</t>
  </si>
  <si>
    <t>(same as 2003/2004 BGS blocking inversion)(generally not updated)</t>
  </si>
  <si>
    <t>Table #11</t>
  </si>
  <si>
    <t>Ancillary Services &amp; Renewable Power Cost</t>
  </si>
  <si>
    <t xml:space="preserve">Ancillary Services </t>
  </si>
  <si>
    <t>per MWh @  bulk system</t>
  </si>
  <si>
    <t>No change per NERA file June 2024</t>
  </si>
  <si>
    <t>Renewable Power Cost</t>
  </si>
  <si>
    <t>Updated per NERA file November 1, 2024</t>
  </si>
  <si>
    <t>Bill Impacts</t>
  </si>
  <si>
    <t>BGS - CIEP BRA Clearing Price ($ per MW/Day)</t>
  </si>
  <si>
    <t>Annual Obligation Clearing Price</t>
  </si>
  <si>
    <t>per MWh</t>
  </si>
  <si>
    <t>auction results and rates</t>
  </si>
  <si>
    <t>Specific BGS-RSCP Auction &gt;&gt;</t>
  </si>
  <si>
    <t>remaining portion of 36 month bid - 2023 auction</t>
  </si>
  <si>
    <t>remaining portion of 36 month bid - 2024 auction</t>
  </si>
  <si>
    <t>2025 auction</t>
  </si>
  <si>
    <t>remaining portion of 36 month bid - 2016 auction</t>
  </si>
  <si>
    <t>remaining portion of 36 month bid - 2017 auction</t>
  </si>
  <si>
    <t>remaining portion of 36 month bid - 2018 auction</t>
  </si>
  <si>
    <t>remaining portion of 36 month bid - 2019 auction</t>
  </si>
  <si>
    <t>remaining portion of 36 month bid - 2020 auction</t>
  </si>
  <si>
    <t>remaining portion of 36 month bid - 2021 auction</t>
  </si>
  <si>
    <t>remaining portion of 36 month bid - 2022 auction</t>
  </si>
  <si>
    <t>Winning Bid - in $/MWh</t>
  </si>
  <si>
    <t># of Tranches for Bid</t>
  </si>
  <si>
    <t>Use Estimated amount in cell e136</t>
  </si>
  <si>
    <t>Yes</t>
  </si>
  <si>
    <t>Payment Factors</t>
  </si>
  <si>
    <t xml:space="preserve">                           Summer</t>
  </si>
  <si>
    <t xml:space="preserve">                           Winter</t>
  </si>
  <si>
    <t>NOTES:  Leap year (366 days )  was added for year 2023-2024 - this addition/ change occurs in tab</t>
  </si>
  <si>
    <t xml:space="preserve">In bid factors tab (attachment 3) on rows 152 &amp; 153 (approx).  </t>
  </si>
  <si>
    <t xml:space="preserve">Therefore we will not have another leap year until 27/28 bgs auction year </t>
  </si>
  <si>
    <t>as per screen shot here:</t>
  </si>
  <si>
    <t>% usage during Off-Peak period</t>
  </si>
  <si>
    <t xml:space="preserve"> -- Other Analysis --</t>
  </si>
  <si>
    <t>N/A</t>
  </si>
  <si>
    <t>Actual Billed Sales</t>
  </si>
  <si>
    <t>Usage by season - PSE&amp;G periods</t>
  </si>
  <si>
    <t>&lt; 500 kW</t>
  </si>
  <si>
    <t>Total</t>
  </si>
  <si>
    <t>%</t>
  </si>
  <si>
    <t>Trans Obl</t>
  </si>
  <si>
    <t>winter MWh =</t>
  </si>
  <si>
    <t>on-peak</t>
  </si>
  <si>
    <t>off-peak</t>
  </si>
  <si>
    <t>summer MWh =</t>
  </si>
  <si>
    <t>Block 1</t>
  </si>
  <si>
    <t>Block 2</t>
  </si>
  <si>
    <t>Usage by season/period - PJM periods</t>
  </si>
  <si>
    <t>in MWhs</t>
  </si>
  <si>
    <t>Resulting</t>
  </si>
  <si>
    <t>NYMEX Forwards (November 1, 2024) from NERA</t>
  </si>
  <si>
    <t xml:space="preserve">Congestion Factors &amp; On/Off Peak Ratios </t>
  </si>
  <si>
    <t>Summer Months: (Jun - Sep) averaged from Aug 2021 - Jul 2024</t>
  </si>
  <si>
    <t>Winter Months: (Mar - May &amp; Oct - Feb) averaged from Oct 2021 - May 2024</t>
  </si>
  <si>
    <t>Total on-peak</t>
  </si>
  <si>
    <t>Total off-peak</t>
  </si>
  <si>
    <t>Losses</t>
  </si>
  <si>
    <t>from meter to bulk system (includes Delivery &amp; PJM EHV losses)</t>
  </si>
  <si>
    <t>Tariff (Result of 2018 Loss Study)</t>
  </si>
  <si>
    <t xml:space="preserve">     Loss Factors =</t>
  </si>
  <si>
    <t>PJM</t>
  </si>
  <si>
    <t xml:space="preserve">     Expansion Factor =</t>
  </si>
  <si>
    <t>NERA</t>
  </si>
  <si>
    <t xml:space="preserve">     1 / Expansion Factor =</t>
  </si>
  <si>
    <t>Marginal Loss Factor</t>
  </si>
  <si>
    <t>from meter to transmission node (includes Delivery less mean hourly PJM marginal losses)</t>
  </si>
  <si>
    <t xml:space="preserve">calc is :     = 1 - </t>
  </si>
  <si>
    <t>(1 - marginal loss (1.3154%)</t>
  </si>
  <si>
    <t>divided by:</t>
  </si>
  <si>
    <t>(1 - EHV losses (.456%)</t>
  </si>
  <si>
    <t xml:space="preserve">Therefore:  1 - </t>
  </si>
  <si>
    <t>Table #7</t>
  </si>
  <si>
    <t>Summary of Average BGS Energy Only Unit Costs @ customer - PJM Time Periods</t>
  </si>
  <si>
    <t>1-0.013154</t>
  </si>
  <si>
    <t>based on Forwards prices corrected for congestion &amp; all losses - PJM time periods</t>
  </si>
  <si>
    <t>1-0.00456</t>
  </si>
  <si>
    <t>in $/MWh</t>
  </si>
  <si>
    <t>Summer - all hrs</t>
  </si>
  <si>
    <t>PJM on pk</t>
  </si>
  <si>
    <t>PJM off pk</t>
  </si>
  <si>
    <t>Winter - all hrs</t>
  </si>
  <si>
    <t>Annual</t>
  </si>
  <si>
    <t>System Total</t>
  </si>
  <si>
    <t>Table #8</t>
  </si>
  <si>
    <t>Summary of Average BGS Energy Only Costs @ customer - PJM Time Periods</t>
  </si>
  <si>
    <t>based on Forwards prices corrected for congestion &amp; all losses</t>
  </si>
  <si>
    <t>in $1000</t>
  </si>
  <si>
    <t>Table #9</t>
  </si>
  <si>
    <t>Summary of Average BGS Energy Only Unit Costs @ customer - PSE&amp;G Time Periods</t>
  </si>
  <si>
    <t>MWhs in PSE&amp;G time periods</t>
  </si>
  <si>
    <t>MWhs in PJM time periods</t>
  </si>
  <si>
    <t>Difference in MWhs</t>
  </si>
  <si>
    <t>Check on total $ recovered</t>
  </si>
  <si>
    <t>based on Forwards prices corrected for congestion &amp; all losses - PSE&amp;G billing time periods</t>
  </si>
  <si>
    <t>(PJM - PSE&amp;G)</t>
  </si>
  <si>
    <t>PSE&amp;G time periods</t>
  </si>
  <si>
    <t>PJM time periods (Table #8)</t>
  </si>
  <si>
    <t>PSE&amp;G On pk</t>
  </si>
  <si>
    <t>PSE&amp;G Off pk</t>
  </si>
  <si>
    <t>Annual Average</t>
  </si>
  <si>
    <t>System Average</t>
  </si>
  <si>
    <t>Adj for PLS</t>
  </si>
  <si>
    <t>&gt; 500 kW</t>
  </si>
  <si>
    <t>Gen Obl - MW</t>
  </si>
  <si>
    <t>Trans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</si>
  <si>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</si>
  <si>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</si>
  <si>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</si>
  <si>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</si>
  <si>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</si>
  <si>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</si>
  <si>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Transmission Cost</t>
  </si>
  <si>
    <t>year round =</t>
  </si>
  <si>
    <t>per MW-yr</t>
  </si>
  <si>
    <t>Base
Capacity</t>
  </si>
  <si>
    <t>Capacity Proxy True Up</t>
  </si>
  <si>
    <t>Total Capacity</t>
  </si>
  <si>
    <t xml:space="preserve">Resulting average generation capacity cost = </t>
  </si>
  <si>
    <t>annual  &gt;&gt;</t>
  </si>
  <si>
    <t>per kW/yr</t>
  </si>
  <si>
    <t>% usage in Summer Blocks</t>
  </si>
  <si>
    <t>Block 1 (0-600 kWh/m)</t>
  </si>
  <si>
    <t>(based on W/N actuals used in settlement and final rate design of 2018 Rate Case, rounded to .1%)</t>
  </si>
  <si>
    <t>Blocking Percentages based on Annualized W/N Usage Used in 2018 Electric Rate Case Settlement</t>
  </si>
  <si>
    <t>Block 2  (&gt;600 kWh/m)</t>
  </si>
  <si>
    <t>June - September (0-600)</t>
  </si>
  <si>
    <t>(same as 2003/2004 BGS blocking inversion)</t>
  </si>
  <si>
    <t>June - September (600+)</t>
  </si>
  <si>
    <t>Total Summer Usage</t>
  </si>
  <si>
    <t>Total AncillaryServices &amp; Renewable Power Costs</t>
  </si>
  <si>
    <t>Table #12</t>
  </si>
  <si>
    <t>Summary of Obligation Costs Expressed as $/MWh @ customer (for non-demand rates only)</t>
  </si>
  <si>
    <t>Transmission Obl - all months</t>
  </si>
  <si>
    <t xml:space="preserve">Generation Obl -                </t>
  </si>
  <si>
    <t>per annual MWh</t>
  </si>
  <si>
    <t>recovery per summer MWh</t>
  </si>
  <si>
    <t>recovery per winter MWh</t>
  </si>
  <si>
    <t xml:space="preserve">For RLM, per </t>
  </si>
  <si>
    <t>on-peak kWh only</t>
  </si>
  <si>
    <t>Table #13</t>
  </si>
  <si>
    <t>Summary of BGS Unit Costs @ customer</t>
  </si>
  <si>
    <t>NON-DEMAND RATES</t>
  </si>
  <si>
    <t>includes energy, Generation obligations, Ancillary Services and Renewable Power Costs- adjusted to billing time periods</t>
  </si>
  <si>
    <t>Block 2 (&gt;600 kWh/m)</t>
  </si>
  <si>
    <t>Annual -all hrs</t>
  </si>
  <si>
    <t>DEMAND RATES</t>
  </si>
  <si>
    <t>includes energy and Ancillary Services, G&amp;T obligations charged separately - adjusted to billing time periods</t>
  </si>
  <si>
    <t>PLUS:</t>
  </si>
  <si>
    <t>Gen Cost</t>
  </si>
  <si>
    <t>summer</t>
  </si>
  <si>
    <t>per kW of G obl /month</t>
  </si>
  <si>
    <t>winter</t>
  </si>
  <si>
    <t>annual</t>
  </si>
  <si>
    <t>Trans cost</t>
  </si>
  <si>
    <t>all months</t>
  </si>
  <si>
    <t>per kW of T obl /month</t>
  </si>
  <si>
    <t>Annual - all hrs per MWh only</t>
  </si>
  <si>
    <t>Including Generation Obligation $</t>
  </si>
  <si>
    <t>Note: Obligation $ included in On pk costs</t>
  </si>
  <si>
    <t>Annual - including Gen Obl $</t>
  </si>
  <si>
    <t>ALL RATES</t>
  </si>
  <si>
    <t>Grand Total Cost in $1000 =</t>
  </si>
  <si>
    <t>All-In Average cost @ customer =</t>
  </si>
  <si>
    <t>per MWh at customer (per customer metered MWh)</t>
  </si>
  <si>
    <t>All-In Average costs @ transmission nodes =</t>
  </si>
  <si>
    <t>per MWh at transmission nodes (per metered MWh at transmission node)</t>
  </si>
  <si>
    <t>Table #14</t>
  </si>
  <si>
    <r>
      <t>Ratio of BGS Unit Costs @ customer to All-In Average Cost @ transmission nodes -</t>
    </r>
    <r>
      <rPr>
        <i/>
        <sz val="10"/>
        <rFont val="Arial"/>
        <family val="2"/>
      </rPr>
      <t xml:space="preserve"> rounded to 3 decimal places, unit obligation $ rounded to 4 decimal places</t>
    </r>
  </si>
  <si>
    <t>Use weighted average</t>
  </si>
  <si>
    <t>for all streetlighting =</t>
  </si>
  <si>
    <t>All usage Multiplier</t>
  </si>
  <si>
    <t>Constant (in $/MWh)</t>
  </si>
  <si>
    <t>for Block 1 (0-600 kWh/m) usage</t>
  </si>
  <si>
    <t>for Block 2 (&gt;600 kWh/m) usage</t>
  </si>
  <si>
    <t>Annual - all hrs</t>
  </si>
  <si>
    <t>Multiplier</t>
  </si>
  <si>
    <t>Assumptions:</t>
  </si>
  <si>
    <t>Gen Cost =</t>
  </si>
  <si>
    <t xml:space="preserve">/MW day </t>
  </si>
  <si>
    <t>Trans cost =</t>
  </si>
  <si>
    <t>Analysis time period =</t>
  </si>
  <si>
    <t>summer months</t>
  </si>
  <si>
    <t>winter months</t>
  </si>
  <si>
    <t>Ancillary Services &amp; RPS =</t>
  </si>
  <si>
    <t>Energy Costs =</t>
  </si>
  <si>
    <t xml:space="preserve"> based on Forwards @ PJM West - corrected for congestion</t>
  </si>
  <si>
    <t>Usage patterns =</t>
  </si>
  <si>
    <t>Obligations =</t>
  </si>
  <si>
    <t xml:space="preserve"> class totals in effect as of filing date</t>
  </si>
  <si>
    <t>Losses =</t>
  </si>
  <si>
    <t xml:space="preserve"> Delivery losses from tariff, PJM losses based on 3 year average %</t>
  </si>
  <si>
    <t>PJM Time Periods =</t>
  </si>
  <si>
    <t xml:space="preserve"> PJM trading time periods - 7 AM to 11 PM weekdays, local time, x NERC </t>
  </si>
  <si>
    <t xml:space="preserve">     holidays - New Year's, Memorial, 4th of July, Labor Day, Thanksgiving &amp; Christmas</t>
  </si>
  <si>
    <t>PSE&amp;G Billing time periods =</t>
  </si>
  <si>
    <t xml:space="preserve"> as per specific rate schedule</t>
  </si>
  <si>
    <t>NJ SUT (Sales &amp; Use Tax) =</t>
  </si>
  <si>
    <t>SUT excluded from all rates</t>
  </si>
  <si>
    <t>Table #15</t>
  </si>
  <si>
    <t>Summary of Total BGS Costs by Season</t>
  </si>
  <si>
    <t>Total Costs by Rate - in $1000</t>
  </si>
  <si>
    <t>% of Annual Total $ by Rate</t>
  </si>
  <si>
    <t>Total Costs - in $1000</t>
  </si>
  <si>
    <t>rounded to 4 decimal places</t>
  </si>
  <si>
    <t>% of Annual Total $</t>
  </si>
  <si>
    <t xml:space="preserve">         If total $ were split on a per MWh basis (on transmission node MWhs):</t>
  </si>
  <si>
    <t>per MWh @ trans nodes</t>
  </si>
  <si>
    <t>Ratio to All-In Cost &gt;&gt;&gt;</t>
  </si>
  <si>
    <t>Table #16</t>
  </si>
  <si>
    <r>
      <t xml:space="preserve">Spreadsheet Error Checking - </t>
    </r>
    <r>
      <rPr>
        <i/>
        <sz val="10"/>
        <rFont val="Arial"/>
        <family val="2"/>
      </rPr>
      <t>Reconciliation of Customer Revenue and Supplier Payments, based on above data only</t>
    </r>
  </si>
  <si>
    <t>Assumed Winning Bid Price =</t>
  </si>
  <si>
    <t>(bid includes payments for all losses)</t>
  </si>
  <si>
    <t>Payment Ratio - Summer =</t>
  </si>
  <si>
    <t>Payment Ratio - Winter =</t>
  </si>
  <si>
    <t>Total Rate Revenue - in $1000</t>
  </si>
  <si>
    <t>Total Summer</t>
  </si>
  <si>
    <t>Total Winter</t>
  </si>
  <si>
    <t>Grand Total</t>
  </si>
  <si>
    <t>Total Supplier Payment - in $1000</t>
  </si>
  <si>
    <t>Difference ( in $1000) =</t>
  </si>
  <si>
    <t>Note: Minor differences in totals are due to rounding of Bid Factors and Payment Factors</t>
  </si>
  <si>
    <t>Table #17</t>
  </si>
  <si>
    <t>Total Supplier Energy</t>
  </si>
  <si>
    <t>@ transmission nodes</t>
  </si>
  <si>
    <t>Illustrative Only</t>
  </si>
  <si>
    <t>NJ Sales &amp; Use Tax (SUT) excluded</t>
  </si>
  <si>
    <t>Table A</t>
  </si>
  <si>
    <t>line #</t>
  </si>
  <si>
    <t>Notes:</t>
  </si>
  <si>
    <t>1A</t>
  </si>
  <si>
    <t>Capacity Proxy Price True-Up - in $/MWh</t>
  </si>
  <si>
    <t>entered after 2025 auction</t>
  </si>
  <si>
    <t>1B</t>
  </si>
  <si>
    <t>1C</t>
  </si>
  <si>
    <t>Total - in $/MWh</t>
  </si>
  <si>
    <t>= line 1 + line 1A - line 1B</t>
  </si>
  <si>
    <t xml:space="preserve">      (includes all payments, including impact of PJM marginal losses)</t>
  </si>
  <si>
    <t>from then current Bid</t>
  </si>
  <si>
    <t>Total # of Tranches</t>
  </si>
  <si>
    <r>
      <t xml:space="preserve">Applicable Customer Usage 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</si>
  <si>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t xml:space="preserve">                           Summer MWh</t>
  </si>
  <si>
    <t>from Table #17 of the current Bid Factor Spreadsheet (Attachment 2)</t>
  </si>
  <si>
    <t xml:space="preserve">                           Winter MWh</t>
  </si>
  <si>
    <r>
      <t xml:space="preserve">Total Payment to Suppliers </t>
    </r>
    <r>
      <rPr>
        <i/>
        <sz val="10"/>
        <rFont val="Arial"/>
        <family val="2"/>
      </rPr>
      <t xml:space="preserve">- in $1000 </t>
    </r>
  </si>
  <si>
    <t xml:space="preserve">= ((1C * (2)/(3) * (4) * (6)) /1000 </t>
  </si>
  <si>
    <t>= ((1C * (2)/(3) * (5) * (7)) /1000</t>
  </si>
  <si>
    <t xml:space="preserve">                           Total</t>
  </si>
  <si>
    <t>Note: $ reflect total payment</t>
  </si>
  <si>
    <r>
      <t xml:space="preserve">Average Payment to Suppliers </t>
    </r>
    <r>
      <rPr>
        <i/>
        <sz val="10"/>
        <rFont val="Arial"/>
        <family val="2"/>
      </rPr>
      <t>- in $/MWh</t>
    </r>
  </si>
  <si>
    <t>= sum(line 8) / (6) - rounded to 3 decimal places</t>
  </si>
  <si>
    <t>= sum(line 9) / (7) - rounded to 3 decimal places</t>
  </si>
  <si>
    <t xml:space="preserve">                Total weighted average</t>
  </si>
  <si>
    <t xml:space="preserve">   &lt;&lt;&lt; used in calculation of</t>
  </si>
  <si>
    <t>= sum(line 10) / [ (6) + (7)]</t>
  </si>
  <si>
    <t xml:space="preserve">           Customer Rates</t>
  </si>
  <si>
    <t xml:space="preserve">   rounded to 3 decimal places</t>
  </si>
  <si>
    <r>
      <t>Reconciliation of amounts</t>
    </r>
    <r>
      <rPr>
        <i/>
        <sz val="10"/>
        <rFont val="Arial"/>
        <family val="2"/>
      </rPr>
      <t xml:space="preserve"> - in $1000</t>
    </r>
  </si>
  <si>
    <t>Weighted Average * Total MWh =</t>
  </si>
  <si>
    <t>= (13) * [(6)+(7)] / 1000</t>
  </si>
  <si>
    <t>Total Payment to Suppliers =</t>
  </si>
  <si>
    <t>= sum (line 10)</t>
  </si>
  <si>
    <t>Difference =</t>
  </si>
  <si>
    <t>= line (14) - line (15)</t>
  </si>
  <si>
    <t>Table B</t>
  </si>
  <si>
    <t>Ratio of BGS Unit Costs @ customer to All-In Average Cost @ transmission nodes</t>
  </si>
  <si>
    <t>from Table #14 of the bid factor spreadsheet (Attachment 2)---</t>
  </si>
  <si>
    <t>rounded to 3 decimal places, unit obligation $ rounded to 4 decimal places</t>
  </si>
  <si>
    <t>includes energy, G&amp;T obligations, and Ancillary Services - adjusted to billing time periods</t>
  </si>
  <si>
    <t>glp calc</t>
  </si>
  <si>
    <t>for csa document paragraph 14</t>
  </si>
  <si>
    <t>Annual - including T&amp;G Obl $</t>
  </si>
  <si>
    <t>Table C</t>
  </si>
  <si>
    <r>
      <t xml:space="preserve">Preliminary Resulting BGS Rates (in cents per kWh) - </t>
    </r>
    <r>
      <rPr>
        <i/>
        <sz val="10"/>
        <rFont val="Arial"/>
        <family val="2"/>
      </rPr>
      <t>equal to bid factors times weighted average bid price</t>
    </r>
  </si>
  <si>
    <t xml:space="preserve">   rounded to 4 decimal places</t>
  </si>
  <si>
    <t>NON-DEMAND RATES -----------------------------------------------------------------------------------------------------------------------------------------------------------------------</t>
  </si>
  <si>
    <t>DEMAND RATES --------------------------------------------------------------------------------------------------------------------------------------------------------------------------------</t>
  </si>
  <si>
    <t>Table D</t>
  </si>
  <si>
    <r>
      <t xml:space="preserve">Revenue Recovery Calculations - </t>
    </r>
    <r>
      <rPr>
        <i/>
        <sz val="10"/>
        <rFont val="Arial"/>
        <family val="2"/>
      </rPr>
      <t>Reconciliation of seasonal Customer Revenue and Supplier Payments, based on actual anticipated revenues and payments</t>
    </r>
  </si>
  <si>
    <t>Total Preliminary Rate Revenue - in $1000</t>
  </si>
  <si>
    <t>Energy $</t>
  </si>
  <si>
    <t>Obligation $</t>
  </si>
  <si>
    <t>Total $</t>
  </si>
  <si>
    <t>kWh Rate</t>
  </si>
  <si>
    <t>Adjustment</t>
  </si>
  <si>
    <t xml:space="preserve">   rounded to 5 decimal places</t>
  </si>
  <si>
    <t>Differences - in $1000</t>
  </si>
  <si>
    <t>Factors</t>
  </si>
  <si>
    <t xml:space="preserve">Note: These differences are due to rounding and seasonal differences in Bidder Payments (which are based on prior </t>
  </si>
  <si>
    <t xml:space="preserve">          wining bids and Seasonal Payment Factors) and current Rates (based on current seasonal market differentials)</t>
  </si>
  <si>
    <t>Table E</t>
  </si>
  <si>
    <r>
      <t xml:space="preserve">Final Resulting BGS Rates from Auctions (in cents per kWh) - </t>
    </r>
    <r>
      <rPr>
        <i/>
        <sz val="10"/>
        <rFont val="Arial"/>
        <family val="2"/>
      </rPr>
      <t>with preliminary kWh rates adjusted by the kWh Rate Adjustment Factor</t>
    </r>
  </si>
  <si>
    <t>includes energy, G&amp;T obligations, and Ancillary Services - adjusted to billing time periods &amp; adjustment to energy price</t>
  </si>
  <si>
    <t>includes energy and Ancillary Services, G&amp;T obligations charged separately - adjusted to billing time periods &amp; adjustment to energy price</t>
  </si>
  <si>
    <t>Table F</t>
  </si>
  <si>
    <r>
      <t>Spreadsheet Error Checking</t>
    </r>
    <r>
      <rPr>
        <i/>
        <sz val="10"/>
        <rFont val="Arial"/>
        <family val="2"/>
      </rPr>
      <t xml:space="preserve"> - Checking of seasonal Customer Revenue and Supplier Payments, based on final actual anticipated revenues and payments</t>
    </r>
  </si>
  <si>
    <t>% difference</t>
  </si>
  <si>
    <t>Development of  Capacity Proxy Price True-Up - $/MWh</t>
  </si>
  <si>
    <t>2025/2026 Delivery Year - Illustrative Data</t>
  </si>
  <si>
    <t>Capacity Proxy Price True-Up Development for Winning Suppliers from 2023 BGS-RSCP Auction</t>
  </si>
  <si>
    <t>Capacity Proxy Price True-Up Development for Winning Suppliers from 2024 BGS-RSCP Auction</t>
  </si>
  <si>
    <t>2025/26
Delivery Year</t>
  </si>
  <si>
    <t>Zonal Capacity Price ($/MW-day)</t>
  </si>
  <si>
    <t>as may be determined by the RPM or its successor or otherwise</t>
  </si>
  <si>
    <t>Capacity Proxy Price ($/MW-day)</t>
  </si>
  <si>
    <t>per Board Orders dated 11/09/2022 and 11/17/2023</t>
  </si>
  <si>
    <t>Capacity Proxy Price True-Up - $/MW-day</t>
  </si>
  <si>
    <t xml:space="preserve">= line 1 - line 2 </t>
  </si>
  <si>
    <t>BGS-RSCP Gen Obl - MW</t>
  </si>
  <si>
    <t>Days in Year</t>
  </si>
  <si>
    <t xml:space="preserve">Capacity Proxy Price True-Up Annual Cost </t>
  </si>
  <si>
    <t>= line 3 * line 4 * line 5</t>
  </si>
  <si>
    <t>Eligible Tranches</t>
  </si>
  <si>
    <t>from Table A</t>
  </si>
  <si>
    <t>Total Tranches</t>
  </si>
  <si>
    <t>% of tranches eligible for payment</t>
  </si>
  <si>
    <t>= line 7 / line 8</t>
  </si>
  <si>
    <t xml:space="preserve">Capacity Proxy Price True-Up Cost </t>
  </si>
  <si>
    <t>= line 6 * line 9</t>
  </si>
  <si>
    <t>Total Applicable Customer Usage @ bulk system - in MWh</t>
  </si>
  <si>
    <r>
      <t xml:space="preserve">Eligible Customer Usage @ bulk system </t>
    </r>
    <r>
      <rPr>
        <b/>
        <i/>
        <sz val="10"/>
        <rFont val="Arial"/>
        <family val="2"/>
      </rPr>
      <t>- in MWh</t>
    </r>
  </si>
  <si>
    <t>= line 9 * line 11</t>
  </si>
  <si>
    <t>Capacity Proxy Price True-Up - $/MWh</t>
  </si>
  <si>
    <t>= line 10/ line 12 - rounded to 2 decimal places</t>
  </si>
  <si>
    <t>Development of Capacity Proxy Price True-Up - $/MWh</t>
  </si>
  <si>
    <t>2026/2027 Delivery Year - Illustrative Data</t>
  </si>
  <si>
    <t>Capacity Proxy Price True-Up Development for Winning Suppliers from 2025 BGS-RSCP Auction 
(if needed)</t>
  </si>
  <si>
    <t>2026/27
Delivery Year</t>
  </si>
  <si>
    <t>per Board Orders dated 11/17/2023 and 11/21/2024</t>
  </si>
  <si>
    <t>2027/2028 Delivery Year - Illustrative Data</t>
  </si>
  <si>
    <t>2027/28
Delivery Year</t>
  </si>
  <si>
    <t>per Board Order dated 11/21/2024</t>
  </si>
  <si>
    <t>Table A With Additional Line Item</t>
  </si>
  <si>
    <t>Calculation of June 2026 to May 2027 BGS-RSCP Rates</t>
  </si>
  <si>
    <t>Illustrative Purposes Only</t>
  </si>
  <si>
    <t>remaining portion of 36 month bid - 2025 auction</t>
  </si>
  <si>
    <t>36 month bid - 2026 auction</t>
  </si>
  <si>
    <t>winning Bids</t>
  </si>
  <si>
    <t>26/27 Capacity Proxy Price True-up - in $/MWh</t>
  </si>
  <si>
    <t>entered after 2026 BGS Auction</t>
  </si>
  <si>
    <t>= line 1 + line 1A</t>
  </si>
  <si>
    <t>from then current Bid Factor Spreadsheet (Attachment 2)</t>
  </si>
  <si>
    <t>Applicable Customer Usage @ bulk system - in MWh</t>
  </si>
  <si>
    <t>from current Bid Factor Spreadsheet (Attachment 2)</t>
  </si>
  <si>
    <t>= (1B * (2)/(3) * (4) * (6)) / 1000</t>
  </si>
  <si>
    <t>= (1B * (2)/(3) * (5) * (7)) / 1000</t>
  </si>
  <si>
    <t>= sum(line 8) / (6) - rounded to 2 decimal places</t>
  </si>
  <si>
    <t>= sum(line 9) / (7) - rounded to 2 decimal places</t>
  </si>
  <si>
    <t xml:space="preserve">   rounded to 2 decimal places</t>
  </si>
  <si>
    <t>Calculation of June 2027 to May 2028 BGS-RSCP Rates</t>
  </si>
  <si>
    <t>remaining portion of 36 month bid - 2026 auction</t>
  </si>
  <si>
    <t>36 month bid - 2027 auction</t>
  </si>
  <si>
    <t>27/28 Capacity Proxy Price True-up - in $/MWh</t>
  </si>
  <si>
    <t>entered after 2027 BGS 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</si>
</sst>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0.0%"/>
    <numFmt numFmtId="166" formatCode="_(* #,##0_);_(* \(#,##0\);_(* &quot;-&quot;??_);_(@_)"/>
    <numFmt numFmtId="167" formatCode="0.0000"/>
    <numFmt numFmtId="168" formatCode="#,##0.000"/>
    <numFmt numFmtId="169" formatCode="0.0000%"/>
    <numFmt numFmtId="170" formatCode="0.00000"/>
    <numFmt numFmtId="171" formatCode="0.000000"/>
    <numFmt numFmtId="172" formatCode="#,##0.0"/>
    <numFmt numFmtId="173" formatCode="0.00000000"/>
    <numFmt numFmtId="174" formatCode="#,##0.0_);[Red]\(#,##0.0\)"/>
    <numFmt numFmtId="175" formatCode="&quot;$&quot;#,##0.00"/>
    <numFmt numFmtId="176" formatCode="_(&quot;$&quot;* #,##0_);_(&quot;$&quot;* \(#,##0\);_(&quot;$&quot;* &quot;-&quot;??_);_(@_)"/>
    <numFmt numFmtId="177" formatCode="_(&quot;$&quot;* #,##0.0000_);_(&quot;$&quot;* \(#,##0.0000\);_(&quot;$&quot;* &quot;-&quot;??_);_(@_)"/>
    <numFmt numFmtId="178" formatCode="_(* #,##0.000_);_(* \(#,##0.000\);_(* &quot;-&quot;??_);_(@_)"/>
    <numFmt numFmtId="179" formatCode="_(&quot;$&quot;* #,##0.000_);_(&quot;$&quot;* \(#,##0.000\);_(&quot;$&quot;* &quot;-&quot;??_);_(@_)"/>
    <numFmt numFmtId="180" formatCode="_(* #,##0.0000_);_(* \(#,##0.0000\);_(* &quot;-&quot;??_);_(@_)"/>
    <numFmt numFmtId="181" formatCode="&quot;$&quot;#,##0"/>
    <numFmt numFmtId="182" formatCode="0.00000%"/>
    <numFmt numFmtId="183" formatCode="0.0"/>
    <numFmt numFmtId="184" formatCode="&quot;$&quot;#,##0.0000"/>
  </numFmts>
  <fonts count="46" x14ac:knownFonts="1">
    <font>
      <sz val="10"/>
      <name val="Arial"/>
      <family val="2"/>
    </font>
    <font>
      <sz val="10"/>
      <color rgb="FF0000FF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0"/>
      <color indexed="54"/>
      <name val="Arial"/>
      <family val="2"/>
    </font>
    <font>
      <u/>
      <sz val="10"/>
      <color indexed="12"/>
      <name val="Arial"/>
      <family val="2"/>
    </font>
    <font>
      <i/>
      <sz val="9"/>
      <color theme="0" tint="-0.34998626667073579"/>
      <name val="Arial"/>
      <family val="2"/>
    </font>
    <font>
      <i/>
      <sz val="9"/>
      <color rgb="FF143AF8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i/>
      <sz val="10"/>
      <color rgb="FF161BF6"/>
      <name val="Arial"/>
      <family val="2"/>
    </font>
    <font>
      <i/>
      <sz val="10"/>
      <color rgb="FF143AF8"/>
      <name val="Arial"/>
      <family val="2"/>
    </font>
    <font>
      <sz val="10"/>
      <color theme="0" tint="-0.499984740745262"/>
      <name val="Arial"/>
      <family val="2"/>
    </font>
    <font>
      <i/>
      <sz val="8"/>
      <name val="Arial"/>
      <family val="2"/>
    </font>
    <font>
      <sz val="10"/>
      <color rgb="FF143AF8"/>
      <name val="Arial"/>
      <family val="2"/>
    </font>
    <font>
      <i/>
      <sz val="9"/>
      <color indexed="12"/>
      <name val="Arial"/>
      <family val="2"/>
    </font>
    <font>
      <b/>
      <sz val="10"/>
      <color indexed="12"/>
      <name val="Arial"/>
      <family val="2"/>
    </font>
    <font>
      <i/>
      <sz val="9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color theme="3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b/>
      <sz val="10"/>
      <color theme="3"/>
      <name val="Arial"/>
      <family val="2"/>
    </font>
    <font>
      <b/>
      <u/>
      <sz val="10"/>
      <name val="Arial"/>
      <family val="2"/>
    </font>
    <font>
      <i/>
      <sz val="9"/>
      <color rgb="FF161BF6"/>
      <name val="Arial"/>
      <family val="2"/>
    </font>
    <font>
      <i/>
      <sz val="8"/>
      <color rgb="FF161BF6"/>
      <name val="Arial"/>
      <family val="2"/>
    </font>
    <font>
      <u val="singleAccounting"/>
      <sz val="1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143AF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161BF6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EC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E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430">
    <xf numFmtId="0" fontId="0" fillId="0" borderId="0" xfId="0"/>
    <xf numFmtId="164" fontId="2" fillId="2" borderId="0" xfId="0" applyNumberFormat="1" applyFont="1" applyFill="1"/>
    <xf numFmtId="0" fontId="0" fillId="3" borderId="0" xfId="0" applyFill="1"/>
    <xf numFmtId="0" fontId="3" fillId="3" borderId="0" xfId="0" applyFont="1" applyFill="1" applyAlignment="1">
      <alignment horizontal="left"/>
    </xf>
    <xf numFmtId="0" fontId="4" fillId="3" borderId="1" xfId="0" quotePrefix="1" applyFont="1" applyFill="1" applyBorder="1" applyAlignment="1">
      <alignment horizontal="center"/>
    </xf>
    <xf numFmtId="0" fontId="0" fillId="3" borderId="1" xfId="0" applyFill="1" applyBorder="1"/>
    <xf numFmtId="0" fontId="5" fillId="3" borderId="1" xfId="1" applyNumberFormat="1" applyFont="1" applyFill="1" applyBorder="1"/>
    <xf numFmtId="0" fontId="0" fillId="3" borderId="0" xfId="0" applyFill="1" applyAlignment="1">
      <alignment horizontal="left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7" fillId="3" borderId="0" xfId="0" applyFont="1" applyFill="1"/>
    <xf numFmtId="0" fontId="2" fillId="3" borderId="0" xfId="0" applyFont="1" applyFill="1"/>
    <xf numFmtId="0" fontId="8" fillId="3" borderId="0" xfId="0" applyFont="1" applyFill="1" applyAlignment="1">
      <alignment horizontal="left"/>
    </xf>
    <xf numFmtId="0" fontId="6" fillId="3" borderId="0" xfId="0" applyFont="1" applyFill="1"/>
    <xf numFmtId="0" fontId="9" fillId="3" borderId="0" xfId="0" applyFont="1" applyFill="1"/>
    <xf numFmtId="0" fontId="6" fillId="3" borderId="0" xfId="0" quotePrefix="1" applyFont="1" applyFill="1"/>
    <xf numFmtId="39" fontId="2" fillId="3" borderId="0" xfId="0" quotePrefix="1" applyNumberFormat="1" applyFont="1" applyFill="1"/>
    <xf numFmtId="0" fontId="9" fillId="3" borderId="0" xfId="0" applyFont="1" applyFill="1" applyAlignment="1">
      <alignment horizontal="left"/>
    </xf>
    <xf numFmtId="0" fontId="2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9" fillId="3" borderId="0" xfId="0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0" fontId="9" fillId="3" borderId="1" xfId="0" quotePrefix="1" applyFont="1" applyFill="1" applyBorder="1"/>
    <xf numFmtId="0" fontId="6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7" fontId="0" fillId="3" borderId="1" xfId="0" applyNumberFormat="1" applyFill="1" applyBorder="1"/>
    <xf numFmtId="10" fontId="5" fillId="3" borderId="1" xfId="3" applyNumberFormat="1" applyFont="1" applyFill="1" applyBorder="1"/>
    <xf numFmtId="165" fontId="5" fillId="3" borderId="0" xfId="3" quotePrefix="1" applyNumberFormat="1" applyFont="1" applyFill="1" applyBorder="1"/>
    <xf numFmtId="9" fontId="2" fillId="3" borderId="0" xfId="3" quotePrefix="1" applyFont="1" applyFill="1" applyBorder="1"/>
    <xf numFmtId="17" fontId="0" fillId="3" borderId="0" xfId="0" applyNumberFormat="1" applyFill="1"/>
    <xf numFmtId="9" fontId="5" fillId="3" borderId="0" xfId="3" quotePrefix="1" applyFont="1" applyFill="1" applyBorder="1"/>
    <xf numFmtId="9" fontId="9" fillId="3" borderId="0" xfId="3" applyFont="1" applyFill="1" applyBorder="1"/>
    <xf numFmtId="9" fontId="5" fillId="3" borderId="0" xfId="3" applyFont="1" applyFill="1" applyBorder="1"/>
    <xf numFmtId="10" fontId="5" fillId="3" borderId="1" xfId="3" quotePrefix="1" applyNumberFormat="1" applyFont="1" applyFill="1" applyBorder="1"/>
    <xf numFmtId="1" fontId="5" fillId="3" borderId="0" xfId="3" quotePrefix="1" applyNumberFormat="1" applyFont="1" applyFill="1" applyBorder="1"/>
    <xf numFmtId="17" fontId="6" fillId="3" borderId="0" xfId="0" applyNumberFormat="1" applyFont="1" applyFill="1"/>
    <xf numFmtId="17" fontId="9" fillId="3" borderId="0" xfId="0" applyNumberFormat="1" applyFont="1" applyFill="1"/>
    <xf numFmtId="0" fontId="11" fillId="3" borderId="0" xfId="4" applyFill="1" applyBorder="1" applyAlignment="1" applyProtection="1"/>
    <xf numFmtId="0" fontId="0" fillId="3" borderId="0" xfId="0" applyFill="1" applyAlignment="1">
      <alignment horizontal="center"/>
    </xf>
    <xf numFmtId="3" fontId="0" fillId="3" borderId="0" xfId="0" applyNumberFormat="1" applyFill="1"/>
    <xf numFmtId="38" fontId="5" fillId="3" borderId="1" xfId="0" applyNumberFormat="1" applyFont="1" applyFill="1" applyBorder="1" applyAlignment="1">
      <alignment horizontal="right"/>
    </xf>
    <xf numFmtId="9" fontId="0" fillId="3" borderId="0" xfId="3" applyFont="1" applyFill="1" applyBorder="1" applyAlignment="1"/>
    <xf numFmtId="166" fontId="5" fillId="3" borderId="0" xfId="1" applyNumberFormat="1" applyFont="1" applyFill="1" applyBorder="1" applyAlignment="1">
      <alignment horizontal="center"/>
    </xf>
    <xf numFmtId="165" fontId="2" fillId="3" borderId="0" xfId="0" applyNumberFormat="1" applyFont="1" applyFill="1"/>
    <xf numFmtId="0" fontId="2" fillId="3" borderId="0" xfId="0" quotePrefix="1" applyFont="1" applyFill="1"/>
    <xf numFmtId="3" fontId="5" fillId="3" borderId="0" xfId="0" applyNumberFormat="1" applyFont="1" applyFill="1"/>
    <xf numFmtId="9" fontId="0" fillId="3" borderId="0" xfId="0" applyNumberFormat="1" applyFill="1"/>
    <xf numFmtId="17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left"/>
    </xf>
    <xf numFmtId="17" fontId="12" fillId="3" borderId="0" xfId="0" applyNumberFormat="1" applyFont="1" applyFill="1"/>
    <xf numFmtId="166" fontId="12" fillId="3" borderId="0" xfId="1" applyNumberFormat="1" applyFont="1" applyFill="1" applyBorder="1"/>
    <xf numFmtId="3" fontId="12" fillId="3" borderId="0" xfId="0" applyNumberFormat="1" applyFont="1" applyFill="1"/>
    <xf numFmtId="9" fontId="12" fillId="3" borderId="0" xfId="3" quotePrefix="1" applyFont="1" applyFill="1" applyBorder="1"/>
    <xf numFmtId="0" fontId="12" fillId="3" borderId="0" xfId="0" applyFont="1" applyFill="1"/>
    <xf numFmtId="10" fontId="12" fillId="3" borderId="0" xfId="0" applyNumberFormat="1" applyFont="1" applyFill="1"/>
    <xf numFmtId="0" fontId="2" fillId="3" borderId="1" xfId="0" applyFont="1" applyFill="1" applyBorder="1" applyAlignment="1">
      <alignment horizontal="center"/>
    </xf>
    <xf numFmtId="10" fontId="0" fillId="3" borderId="0" xfId="0" applyNumberFormat="1" applyFill="1"/>
    <xf numFmtId="17" fontId="13" fillId="3" borderId="0" xfId="0" applyNumberFormat="1" applyFont="1" applyFill="1" applyAlignment="1">
      <alignment horizontal="right"/>
    </xf>
    <xf numFmtId="0" fontId="0" fillId="3" borderId="1" xfId="0" applyFill="1" applyBorder="1" applyAlignment="1">
      <alignment horizontal="center"/>
    </xf>
    <xf numFmtId="44" fontId="2" fillId="3" borderId="0" xfId="2" quotePrefix="1" applyFont="1" applyFill="1" applyBorder="1"/>
    <xf numFmtId="10" fontId="5" fillId="3" borderId="1" xfId="0" applyNumberFormat="1" applyFont="1" applyFill="1" applyBorder="1"/>
    <xf numFmtId="0" fontId="3" fillId="4" borderId="0" xfId="0" applyFont="1" applyFill="1" applyAlignment="1">
      <alignment horizontal="left"/>
    </xf>
    <xf numFmtId="3" fontId="0" fillId="3" borderId="0" xfId="0" quotePrefix="1" applyNumberFormat="1" applyFill="1"/>
    <xf numFmtId="0" fontId="13" fillId="4" borderId="0" xfId="0" applyFont="1" applyFill="1"/>
    <xf numFmtId="40" fontId="5" fillId="4" borderId="1" xfId="0" applyNumberFormat="1" applyFont="1" applyFill="1" applyBorder="1" applyAlignment="1">
      <alignment horizontal="right"/>
    </xf>
    <xf numFmtId="0" fontId="14" fillId="3" borderId="1" xfId="5" applyFont="1" applyFill="1" applyBorder="1" applyAlignment="1">
      <alignment vertical="center"/>
    </xf>
    <xf numFmtId="44" fontId="0" fillId="3" borderId="0" xfId="2" applyFont="1" applyFill="1" applyBorder="1"/>
    <xf numFmtId="167" fontId="2" fillId="3" borderId="0" xfId="0" applyNumberFormat="1" applyFont="1" applyFill="1"/>
    <xf numFmtId="168" fontId="2" fillId="3" borderId="0" xfId="0" applyNumberFormat="1" applyFont="1" applyFill="1"/>
    <xf numFmtId="9" fontId="2" fillId="3" borderId="0" xfId="3" applyFont="1" applyFill="1" applyBorder="1"/>
    <xf numFmtId="44" fontId="2" fillId="3" borderId="0" xfId="2" applyFont="1" applyFill="1" applyBorder="1"/>
    <xf numFmtId="167" fontId="0" fillId="3" borderId="0" xfId="0" applyNumberFormat="1" applyFill="1"/>
    <xf numFmtId="9" fontId="0" fillId="3" borderId="0" xfId="3" applyFont="1" applyFill="1" applyBorder="1"/>
    <xf numFmtId="4" fontId="5" fillId="3" borderId="0" xfId="0" applyNumberFormat="1" applyFont="1" applyFill="1"/>
    <xf numFmtId="169" fontId="5" fillId="3" borderId="0" xfId="0" applyNumberFormat="1" applyFont="1" applyFill="1"/>
    <xf numFmtId="170" fontId="0" fillId="3" borderId="0" xfId="0" applyNumberFormat="1" applyFill="1"/>
    <xf numFmtId="169" fontId="5" fillId="3" borderId="1" xfId="3" applyNumberFormat="1" applyFont="1" applyFill="1" applyBorder="1"/>
    <xf numFmtId="169" fontId="2" fillId="3" borderId="0" xfId="0" applyNumberFormat="1" applyFont="1" applyFill="1"/>
    <xf numFmtId="0" fontId="15" fillId="3" borderId="1" xfId="0" applyFont="1" applyFill="1" applyBorder="1"/>
    <xf numFmtId="171" fontId="0" fillId="3" borderId="0" xfId="0" applyNumberFormat="1" applyFill="1"/>
    <xf numFmtId="0" fontId="13" fillId="3" borderId="1" xfId="0" applyFont="1" applyFill="1" applyBorder="1"/>
    <xf numFmtId="170" fontId="0" fillId="3" borderId="0" xfId="0" quotePrefix="1" applyNumberFormat="1" applyFill="1"/>
    <xf numFmtId="0" fontId="16" fillId="3" borderId="0" xfId="0" applyFont="1" applyFill="1"/>
    <xf numFmtId="172" fontId="6" fillId="3" borderId="0" xfId="0" applyNumberFormat="1" applyFont="1" applyFill="1"/>
    <xf numFmtId="0" fontId="0" fillId="3" borderId="1" xfId="0" applyFill="1" applyBorder="1" applyAlignment="1">
      <alignment horizontal="right"/>
    </xf>
    <xf numFmtId="172" fontId="5" fillId="3" borderId="1" xfId="0" applyNumberFormat="1" applyFont="1" applyFill="1" applyBorder="1"/>
    <xf numFmtId="172" fontId="0" fillId="3" borderId="0" xfId="0" applyNumberFormat="1" applyFill="1"/>
    <xf numFmtId="172" fontId="18" fillId="3" borderId="1" xfId="0" applyNumberFormat="1" applyFont="1" applyFill="1" applyBorder="1"/>
    <xf numFmtId="172" fontId="2" fillId="3" borderId="0" xfId="0" applyNumberFormat="1" applyFont="1" applyFill="1"/>
    <xf numFmtId="0" fontId="19" fillId="3" borderId="0" xfId="0" applyFont="1" applyFill="1"/>
    <xf numFmtId="173" fontId="20" fillId="3" borderId="1" xfId="0" applyNumberFormat="1" applyFont="1" applyFill="1" applyBorder="1"/>
    <xf numFmtId="172" fontId="21" fillId="3" borderId="0" xfId="0" applyNumberFormat="1" applyFont="1" applyFill="1"/>
    <xf numFmtId="172" fontId="5" fillId="3" borderId="0" xfId="0" applyNumberFormat="1" applyFont="1" applyFill="1"/>
    <xf numFmtId="173" fontId="5" fillId="3" borderId="1" xfId="0" applyNumberFormat="1" applyFont="1" applyFill="1" applyBorder="1"/>
    <xf numFmtId="0" fontId="0" fillId="3" borderId="0" xfId="0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174" fontId="22" fillId="3" borderId="0" xfId="0" applyNumberFormat="1" applyFont="1" applyFill="1" applyAlignment="1">
      <alignment horizontal="left"/>
    </xf>
    <xf numFmtId="0" fontId="5" fillId="3" borderId="0" xfId="0" applyFont="1" applyFill="1"/>
    <xf numFmtId="175" fontId="5" fillId="3" borderId="0" xfId="0" applyNumberFormat="1" applyFont="1" applyFill="1"/>
    <xf numFmtId="0" fontId="0" fillId="3" borderId="0" xfId="0" quotePrefix="1" applyFill="1" applyAlignment="1">
      <alignment horizontal="right"/>
    </xf>
    <xf numFmtId="172" fontId="2" fillId="3" borderId="0" xfId="0" applyNumberFormat="1" applyFont="1" applyFill="1" applyAlignment="1">
      <alignment horizontal="right"/>
    </xf>
    <xf numFmtId="44" fontId="5" fillId="4" borderId="1" xfId="2" applyFont="1" applyFill="1" applyBorder="1"/>
    <xf numFmtId="0" fontId="0" fillId="3" borderId="1" xfId="0" quotePrefix="1" applyFill="1" applyBorder="1"/>
    <xf numFmtId="0" fontId="23" fillId="4" borderId="0" xfId="0" applyFont="1" applyFill="1"/>
    <xf numFmtId="0" fontId="2" fillId="4" borderId="0" xfId="0" applyFont="1" applyFill="1"/>
    <xf numFmtId="0" fontId="2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167" fontId="5" fillId="3" borderId="1" xfId="0" applyNumberFormat="1" applyFont="1" applyFill="1" applyBorder="1"/>
    <xf numFmtId="0" fontId="9" fillId="3" borderId="0" xfId="0" quotePrefix="1" applyFont="1" applyFill="1"/>
    <xf numFmtId="44" fontId="5" fillId="3" borderId="1" xfId="2" applyFont="1" applyFill="1" applyBorder="1"/>
    <xf numFmtId="0" fontId="0" fillId="3" borderId="0" xfId="0" quotePrefix="1" applyFill="1"/>
    <xf numFmtId="0" fontId="13" fillId="3" borderId="0" xfId="0" applyFont="1" applyFill="1"/>
    <xf numFmtId="8" fontId="5" fillId="4" borderId="1" xfId="2" applyNumberFormat="1" applyFont="1" applyFill="1" applyBorder="1"/>
    <xf numFmtId="0" fontId="0" fillId="4" borderId="0" xfId="0" applyFill="1"/>
    <xf numFmtId="176" fontId="5" fillId="3" borderId="0" xfId="2" applyNumberFormat="1" applyFont="1" applyFill="1" applyBorder="1"/>
    <xf numFmtId="44" fontId="22" fillId="3" borderId="1" xfId="2" applyFont="1" applyFill="1" applyBorder="1"/>
    <xf numFmtId="44" fontId="0" fillId="3" borderId="0" xfId="2" quotePrefix="1" applyFont="1" applyFill="1" applyBorder="1"/>
    <xf numFmtId="0" fontId="3" fillId="3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44" fontId="6" fillId="3" borderId="0" xfId="2" quotePrefix="1" applyFont="1" applyFill="1" applyBorder="1"/>
    <xf numFmtId="44" fontId="5" fillId="3" borderId="8" xfId="2" applyFont="1" applyFill="1" applyBorder="1"/>
    <xf numFmtId="44" fontId="0" fillId="3" borderId="0" xfId="2" quotePrefix="1" applyFont="1" applyFill="1" applyBorder="1" applyAlignment="1">
      <alignment horizontal="right"/>
    </xf>
    <xf numFmtId="0" fontId="5" fillId="3" borderId="1" xfId="2" applyNumberFormat="1" applyFont="1" applyFill="1" applyBorder="1"/>
    <xf numFmtId="10" fontId="5" fillId="3" borderId="8" xfId="3" applyNumberFormat="1" applyFont="1" applyFill="1" applyBorder="1"/>
    <xf numFmtId="0" fontId="5" fillId="3" borderId="1" xfId="2" applyNumberFormat="1" applyFont="1" applyFill="1" applyBorder="1" applyAlignment="1">
      <alignment horizontal="right"/>
    </xf>
    <xf numFmtId="44" fontId="0" fillId="3" borderId="0" xfId="0" applyNumberFormat="1" applyFill="1"/>
    <xf numFmtId="9" fontId="0" fillId="3" borderId="1" xfId="3" applyFont="1" applyFill="1" applyBorder="1"/>
    <xf numFmtId="167" fontId="5" fillId="3" borderId="1" xfId="2" applyNumberFormat="1" applyFont="1" applyFill="1" applyBorder="1"/>
    <xf numFmtId="0" fontId="24" fillId="3" borderId="0" xfId="0" applyFont="1" applyFill="1"/>
    <xf numFmtId="44" fontId="25" fillId="3" borderId="0" xfId="2" quotePrefix="1" applyFont="1" applyFill="1" applyBorder="1" applyAlignment="1">
      <alignment horizontal="right"/>
    </xf>
    <xf numFmtId="44" fontId="25" fillId="3" borderId="0" xfId="2" applyFont="1" applyFill="1" applyBorder="1"/>
    <xf numFmtId="0" fontId="25" fillId="3" borderId="0" xfId="0" applyFont="1" applyFill="1"/>
    <xf numFmtId="0" fontId="25" fillId="3" borderId="0" xfId="0" applyFont="1" applyFill="1" applyAlignment="1">
      <alignment horizontal="right"/>
    </xf>
    <xf numFmtId="44" fontId="26" fillId="3" borderId="0" xfId="2" quotePrefix="1" applyFont="1" applyFill="1" applyBorder="1" applyAlignment="1">
      <alignment horizontal="right"/>
    </xf>
    <xf numFmtId="44" fontId="26" fillId="3" borderId="0" xfId="2" applyFont="1" applyFill="1" applyBorder="1"/>
    <xf numFmtId="0" fontId="26" fillId="3" borderId="0" xfId="0" applyFont="1" applyFill="1"/>
    <xf numFmtId="0" fontId="27" fillId="3" borderId="0" xfId="0" applyFont="1" applyFill="1"/>
    <xf numFmtId="44" fontId="28" fillId="3" borderId="0" xfId="2" quotePrefix="1" applyFont="1" applyFill="1" applyBorder="1" applyAlignment="1">
      <alignment horizontal="right"/>
    </xf>
    <xf numFmtId="44" fontId="28" fillId="3" borderId="0" xfId="2" applyFont="1" applyFill="1" applyBorder="1"/>
    <xf numFmtId="0" fontId="28" fillId="3" borderId="0" xfId="0" applyFont="1" applyFill="1"/>
    <xf numFmtId="17" fontId="25" fillId="3" borderId="0" xfId="0" applyNumberFormat="1" applyFont="1" applyFill="1"/>
    <xf numFmtId="166" fontId="28" fillId="3" borderId="0" xfId="1" applyNumberFormat="1" applyFont="1" applyFill="1" applyBorder="1"/>
    <xf numFmtId="44" fontId="2" fillId="3" borderId="0" xfId="2" quotePrefix="1" applyFont="1" applyFill="1" applyBorder="1" applyAlignment="1">
      <alignment horizontal="right"/>
    </xf>
    <xf numFmtId="17" fontId="25" fillId="3" borderId="0" xfId="0" applyNumberFormat="1" applyFont="1" applyFill="1" applyAlignment="1">
      <alignment horizontal="right"/>
    </xf>
    <xf numFmtId="0" fontId="28" fillId="3" borderId="0" xfId="0" applyFont="1" applyFill="1" applyAlignment="1">
      <alignment horizontal="right"/>
    </xf>
    <xf numFmtId="166" fontId="28" fillId="3" borderId="0" xfId="1" quotePrefix="1" applyNumberFormat="1" applyFont="1" applyFill="1" applyBorder="1"/>
    <xf numFmtId="44" fontId="27" fillId="3" borderId="0" xfId="2" quotePrefix="1" applyFont="1" applyFill="1" applyBorder="1"/>
    <xf numFmtId="44" fontId="28" fillId="3" borderId="0" xfId="2" quotePrefix="1" applyFont="1" applyFill="1" applyBorder="1"/>
    <xf numFmtId="0" fontId="29" fillId="3" borderId="0" xfId="0" applyFont="1" applyFill="1"/>
    <xf numFmtId="0" fontId="30" fillId="3" borderId="0" xfId="0" applyFont="1" applyFill="1" applyAlignment="1">
      <alignment horizontal="left"/>
    </xf>
    <xf numFmtId="0" fontId="28" fillId="3" borderId="0" xfId="0" applyFont="1" applyFill="1" applyAlignment="1">
      <alignment horizontal="left"/>
    </xf>
    <xf numFmtId="44" fontId="28" fillId="3" borderId="0" xfId="2" applyFont="1" applyFill="1" applyBorder="1" applyAlignment="1">
      <alignment horizontal="right"/>
    </xf>
    <xf numFmtId="177" fontId="2" fillId="3" borderId="0" xfId="2" applyNumberFormat="1" applyFont="1" applyFill="1" applyBorder="1"/>
    <xf numFmtId="43" fontId="0" fillId="3" borderId="0" xfId="0" applyNumberFormat="1" applyFill="1"/>
    <xf numFmtId="166" fontId="0" fillId="3" borderId="0" xfId="1" applyNumberFormat="1" applyFont="1" applyFill="1" applyBorder="1"/>
    <xf numFmtId="17" fontId="0" fillId="3" borderId="0" xfId="0" applyNumberFormat="1" applyFill="1" applyAlignment="1">
      <alignment horizontal="right"/>
    </xf>
    <xf numFmtId="166" fontId="6" fillId="3" borderId="0" xfId="1" applyNumberFormat="1" applyFont="1" applyFill="1" applyBorder="1"/>
    <xf numFmtId="44" fontId="6" fillId="3" borderId="0" xfId="2" applyFont="1" applyFill="1" applyBorder="1" applyAlignment="1">
      <alignment horizontal="center"/>
    </xf>
    <xf numFmtId="166" fontId="6" fillId="3" borderId="0" xfId="1" applyNumberFormat="1" applyFont="1" applyFill="1" applyBorder="1" applyAlignment="1">
      <alignment horizontal="center"/>
    </xf>
    <xf numFmtId="0" fontId="31" fillId="3" borderId="0" xfId="0" applyFont="1" applyFill="1"/>
    <xf numFmtId="177" fontId="0" fillId="3" borderId="0" xfId="0" applyNumberFormat="1" applyFill="1"/>
    <xf numFmtId="44" fontId="2" fillId="3" borderId="0" xfId="2" quotePrefix="1" applyFont="1" applyFill="1" applyBorder="1" applyAlignment="1">
      <alignment horizontal="left"/>
    </xf>
    <xf numFmtId="17" fontId="30" fillId="3" borderId="0" xfId="0" applyNumberFormat="1" applyFont="1" applyFill="1" applyAlignment="1">
      <alignment horizontal="left"/>
    </xf>
    <xf numFmtId="176" fontId="2" fillId="3" borderId="0" xfId="2" quotePrefix="1" applyNumberFormat="1" applyFont="1" applyFill="1" applyBorder="1"/>
    <xf numFmtId="176" fontId="0" fillId="3" borderId="0" xfId="0" applyNumberFormat="1" applyFill="1"/>
    <xf numFmtId="176" fontId="0" fillId="3" borderId="0" xfId="2" applyNumberFormat="1" applyFont="1" applyFill="1" applyBorder="1"/>
    <xf numFmtId="178" fontId="6" fillId="3" borderId="0" xfId="1" quotePrefix="1" applyNumberFormat="1" applyFont="1" applyFill="1" applyBorder="1"/>
    <xf numFmtId="178" fontId="2" fillId="3" borderId="0" xfId="1" quotePrefix="1" applyNumberFormat="1" applyFont="1" applyFill="1" applyBorder="1"/>
    <xf numFmtId="43" fontId="2" fillId="3" borderId="0" xfId="1" quotePrefix="1" applyFont="1" applyFill="1" applyBorder="1"/>
    <xf numFmtId="43" fontId="2" fillId="3" borderId="0" xfId="1" applyFont="1" applyFill="1" applyBorder="1" applyAlignment="1">
      <alignment horizontal="right"/>
    </xf>
    <xf numFmtId="178" fontId="0" fillId="3" borderId="0" xfId="0" applyNumberFormat="1" applyFill="1"/>
    <xf numFmtId="178" fontId="6" fillId="3" borderId="0" xfId="0" applyNumberFormat="1" applyFont="1" applyFill="1"/>
    <xf numFmtId="0" fontId="6" fillId="3" borderId="0" xfId="0" applyFont="1" applyFill="1" applyAlignment="1">
      <alignment horizontal="right"/>
    </xf>
    <xf numFmtId="43" fontId="6" fillId="3" borderId="0" xfId="1" quotePrefix="1" applyFont="1" applyFill="1" applyBorder="1"/>
    <xf numFmtId="179" fontId="6" fillId="3" borderId="0" xfId="2" quotePrefix="1" applyNumberFormat="1" applyFont="1" applyFill="1" applyBorder="1"/>
    <xf numFmtId="177" fontId="2" fillId="3" borderId="0" xfId="2" quotePrefix="1" applyNumberFormat="1" applyFont="1" applyFill="1" applyBorder="1"/>
    <xf numFmtId="0" fontId="6" fillId="3" borderId="0" xfId="0" applyFont="1" applyFill="1" applyAlignment="1">
      <alignment horizontal="center" wrapText="1"/>
    </xf>
    <xf numFmtId="44" fontId="2" fillId="3" borderId="0" xfId="0" applyNumberFormat="1" applyFont="1" applyFill="1"/>
    <xf numFmtId="176" fontId="2" fillId="3" borderId="0" xfId="2" applyNumberFormat="1" applyFont="1" applyFill="1" applyBorder="1"/>
    <xf numFmtId="0" fontId="9" fillId="3" borderId="0" xfId="0" applyFont="1" applyFill="1" applyAlignment="1">
      <alignment horizontal="right"/>
    </xf>
    <xf numFmtId="180" fontId="6" fillId="3" borderId="0" xfId="1" applyNumberFormat="1" applyFont="1" applyFill="1" applyBorder="1"/>
    <xf numFmtId="176" fontId="0" fillId="3" borderId="0" xfId="3" applyNumberFormat="1" applyFont="1" applyFill="1" applyBorder="1"/>
    <xf numFmtId="43" fontId="9" fillId="3" borderId="0" xfId="1" applyFont="1" applyFill="1" applyBorder="1"/>
    <xf numFmtId="176" fontId="0" fillId="3" borderId="0" xfId="2" quotePrefix="1" applyNumberFormat="1" applyFont="1" applyFill="1" applyBorder="1"/>
    <xf numFmtId="180" fontId="2" fillId="3" borderId="0" xfId="1" quotePrefix="1" applyNumberFormat="1" applyFont="1" applyFill="1" applyBorder="1"/>
    <xf numFmtId="0" fontId="6" fillId="3" borderId="0" xfId="0" applyFont="1" applyFill="1" applyAlignment="1">
      <alignment horizontal="left"/>
    </xf>
    <xf numFmtId="3" fontId="30" fillId="3" borderId="0" xfId="0" applyNumberFormat="1" applyFont="1" applyFill="1"/>
    <xf numFmtId="0" fontId="0" fillId="3" borderId="0" xfId="0" applyFill="1" applyAlignment="1">
      <alignment horizontal="center" wrapText="1"/>
    </xf>
    <xf numFmtId="172" fontId="0" fillId="3" borderId="0" xfId="0" applyNumberFormat="1" applyFill="1" applyAlignment="1">
      <alignment horizontal="right"/>
    </xf>
    <xf numFmtId="0" fontId="32" fillId="3" borderId="0" xfId="0" applyFont="1" applyFill="1"/>
    <xf numFmtId="181" fontId="5" fillId="3" borderId="0" xfId="0" applyNumberFormat="1" applyFont="1" applyFill="1"/>
    <xf numFmtId="6" fontId="5" fillId="3" borderId="0" xfId="0" applyNumberFormat="1" applyFont="1" applyFill="1"/>
    <xf numFmtId="6" fontId="0" fillId="3" borderId="0" xfId="0" applyNumberFormat="1" applyFill="1"/>
    <xf numFmtId="8" fontId="0" fillId="3" borderId="0" xfId="0" applyNumberFormat="1" applyFill="1"/>
    <xf numFmtId="181" fontId="0" fillId="3" borderId="0" xfId="0" applyNumberFormat="1" applyFill="1"/>
    <xf numFmtId="175" fontId="0" fillId="3" borderId="0" xfId="0" applyNumberFormat="1" applyFill="1"/>
    <xf numFmtId="10" fontId="5" fillId="3" borderId="0" xfId="3" applyNumberFormat="1" applyFont="1" applyFill="1"/>
    <xf numFmtId="165" fontId="5" fillId="3" borderId="0" xfId="3" quotePrefix="1" applyNumberFormat="1" applyFont="1" applyFill="1"/>
    <xf numFmtId="9" fontId="5" fillId="3" borderId="0" xfId="3" quotePrefix="1" applyFont="1" applyFill="1"/>
    <xf numFmtId="9" fontId="2" fillId="3" borderId="0" xfId="3" quotePrefix="1" applyFont="1" applyFill="1"/>
    <xf numFmtId="9" fontId="9" fillId="3" borderId="0" xfId="3" applyFont="1" applyFill="1"/>
    <xf numFmtId="9" fontId="5" fillId="3" borderId="0" xfId="3" applyFont="1" applyFill="1"/>
    <xf numFmtId="9" fontId="5" fillId="3" borderId="0" xfId="3" quotePrefix="1" applyFont="1" applyFill="1" applyAlignment="1">
      <alignment horizontal="center"/>
    </xf>
    <xf numFmtId="1" fontId="5" fillId="3" borderId="0" xfId="3" quotePrefix="1" applyNumberFormat="1" applyFont="1" applyFill="1"/>
    <xf numFmtId="0" fontId="11" fillId="3" borderId="0" xfId="4" applyFill="1" applyAlignment="1" applyProtection="1"/>
    <xf numFmtId="0" fontId="2" fillId="3" borderId="0" xfId="0" applyFont="1" applyFill="1" applyAlignment="1">
      <alignment horizontal="center"/>
    </xf>
    <xf numFmtId="38" fontId="5" fillId="3" borderId="0" xfId="0" applyNumberFormat="1" applyFont="1" applyFill="1" applyAlignment="1">
      <alignment horizontal="right"/>
    </xf>
    <xf numFmtId="166" fontId="2" fillId="3" borderId="0" xfId="1" applyNumberFormat="1" applyFont="1" applyFill="1"/>
    <xf numFmtId="165" fontId="0" fillId="3" borderId="0" xfId="0" applyNumberFormat="1" applyFill="1"/>
    <xf numFmtId="9" fontId="0" fillId="3" borderId="0" xfId="3" applyFont="1" applyFill="1" applyAlignment="1"/>
    <xf numFmtId="166" fontId="5" fillId="3" borderId="0" xfId="1" applyNumberFormat="1" applyFont="1" applyFill="1" applyAlignment="1">
      <alignment horizontal="center"/>
    </xf>
    <xf numFmtId="165" fontId="5" fillId="3" borderId="0" xfId="3" applyNumberFormat="1" applyFont="1" applyFill="1"/>
    <xf numFmtId="165" fontId="5" fillId="3" borderId="0" xfId="0" applyNumberFormat="1" applyFont="1" applyFill="1"/>
    <xf numFmtId="9" fontId="0" fillId="3" borderId="0" xfId="3" applyFont="1" applyFill="1"/>
    <xf numFmtId="0" fontId="3" fillId="3" borderId="0" xfId="0" applyFont="1" applyFill="1" applyAlignment="1">
      <alignment horizontal="center"/>
    </xf>
    <xf numFmtId="40" fontId="5" fillId="3" borderId="0" xfId="0" applyNumberFormat="1" applyFont="1" applyFill="1" applyAlignment="1">
      <alignment horizontal="right"/>
    </xf>
    <xf numFmtId="167" fontId="5" fillId="3" borderId="0" xfId="0" applyNumberFormat="1" applyFont="1" applyFill="1"/>
    <xf numFmtId="0" fontId="33" fillId="4" borderId="0" xfId="0" applyFont="1" applyFill="1"/>
    <xf numFmtId="9" fontId="2" fillId="3" borderId="0" xfId="3" applyFont="1" applyFill="1"/>
    <xf numFmtId="0" fontId="23" fillId="3" borderId="0" xfId="0" applyFont="1" applyFill="1"/>
    <xf numFmtId="0" fontId="14" fillId="0" borderId="0" xfId="0" applyFont="1" applyAlignment="1">
      <alignment vertical="center"/>
    </xf>
    <xf numFmtId="167" fontId="5" fillId="3" borderId="9" xfId="0" applyNumberFormat="1" applyFont="1" applyFill="1" applyBorder="1"/>
    <xf numFmtId="9" fontId="5" fillId="3" borderId="9" xfId="3" applyFont="1" applyFill="1" applyBorder="1"/>
    <xf numFmtId="167" fontId="0" fillId="3" borderId="10" xfId="0" applyNumberFormat="1" applyFill="1" applyBorder="1"/>
    <xf numFmtId="9" fontId="0" fillId="3" borderId="10" xfId="3" applyFont="1" applyFill="1" applyBorder="1"/>
    <xf numFmtId="167" fontId="0" fillId="3" borderId="11" xfId="0" applyNumberFormat="1" applyFill="1" applyBorder="1"/>
    <xf numFmtId="9" fontId="0" fillId="3" borderId="11" xfId="3" applyFont="1" applyFill="1" applyBorder="1"/>
    <xf numFmtId="0" fontId="0" fillId="3" borderId="7" xfId="0" applyFill="1" applyBorder="1"/>
    <xf numFmtId="10" fontId="0" fillId="3" borderId="0" xfId="0" applyNumberFormat="1" applyFill="1" applyAlignment="1">
      <alignment horizontal="center"/>
    </xf>
    <xf numFmtId="169" fontId="5" fillId="3" borderId="12" xfId="3" applyNumberFormat="1" applyFont="1" applyFill="1" applyBorder="1"/>
    <xf numFmtId="182" fontId="2" fillId="3" borderId="0" xfId="3" applyNumberFormat="1" applyFont="1" applyFill="1"/>
    <xf numFmtId="44" fontId="2" fillId="3" borderId="0" xfId="2" quotePrefix="1" applyFont="1" applyFill="1"/>
    <xf numFmtId="44" fontId="0" fillId="3" borderId="0" xfId="2" applyFont="1" applyFill="1"/>
    <xf numFmtId="44" fontId="2" fillId="3" borderId="0" xfId="2" applyFont="1" applyFill="1"/>
    <xf numFmtId="176" fontId="2" fillId="3" borderId="0" xfId="2" quotePrefix="1" applyNumberFormat="1" applyFont="1" applyFill="1"/>
    <xf numFmtId="176" fontId="2" fillId="3" borderId="0" xfId="2" applyNumberFormat="1" applyFont="1" applyFill="1"/>
    <xf numFmtId="39" fontId="0" fillId="3" borderId="0" xfId="0" applyNumberFormat="1" applyFill="1"/>
    <xf numFmtId="165" fontId="6" fillId="3" borderId="0" xfId="0" applyNumberFormat="1" applyFont="1" applyFill="1" applyAlignment="1">
      <alignment horizontal="center"/>
    </xf>
    <xf numFmtId="176" fontId="0" fillId="3" borderId="0" xfId="2" applyNumberFormat="1" applyFont="1" applyFill="1"/>
    <xf numFmtId="176" fontId="35" fillId="3" borderId="0" xfId="2" applyNumberFormat="1" applyFont="1" applyFill="1"/>
    <xf numFmtId="1" fontId="2" fillId="3" borderId="0" xfId="0" applyNumberFormat="1" applyFont="1" applyFill="1"/>
    <xf numFmtId="173" fontId="5" fillId="3" borderId="0" xfId="0" applyNumberFormat="1" applyFont="1" applyFill="1"/>
    <xf numFmtId="175" fontId="0" fillId="3" borderId="7" xfId="0" applyNumberFormat="1" applyFill="1" applyBorder="1"/>
    <xf numFmtId="3" fontId="2" fillId="3" borderId="0" xfId="0" applyNumberFormat="1" applyFont="1" applyFill="1"/>
    <xf numFmtId="44" fontId="5" fillId="3" borderId="0" xfId="2" applyFont="1" applyFill="1"/>
    <xf numFmtId="175" fontId="2" fillId="3" borderId="0" xfId="2" applyNumberFormat="1" applyFont="1" applyFill="1"/>
    <xf numFmtId="0" fontId="2" fillId="3" borderId="0" xfId="0" quotePrefix="1" applyFont="1" applyFill="1" applyAlignment="1">
      <alignment horizontal="center"/>
    </xf>
    <xf numFmtId="172" fontId="2" fillId="3" borderId="0" xfId="0" quotePrefix="1" applyNumberFormat="1" applyFont="1" applyFill="1" applyAlignment="1">
      <alignment horizontal="center"/>
    </xf>
    <xf numFmtId="175" fontId="2" fillId="3" borderId="0" xfId="2" applyNumberFormat="1" applyFont="1" applyFill="1" applyAlignment="1">
      <alignment horizontal="center" wrapText="1"/>
    </xf>
    <xf numFmtId="183" fontId="0" fillId="3" borderId="0" xfId="0" applyNumberFormat="1" applyFill="1"/>
    <xf numFmtId="44" fontId="0" fillId="3" borderId="0" xfId="2" quotePrefix="1" applyFont="1" applyFill="1"/>
    <xf numFmtId="0" fontId="3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3" fontId="0" fillId="3" borderId="0" xfId="0" applyNumberFormat="1" applyFill="1" applyAlignment="1">
      <alignment horizontal="center"/>
    </xf>
    <xf numFmtId="3" fontId="0" fillId="3" borderId="7" xfId="0" applyNumberFormat="1" applyFill="1" applyBorder="1" applyAlignment="1">
      <alignment horizontal="center"/>
    </xf>
    <xf numFmtId="176" fontId="5" fillId="3" borderId="0" xfId="2" applyNumberFormat="1" applyFont="1" applyFill="1"/>
    <xf numFmtId="44" fontId="0" fillId="3" borderId="0" xfId="2" quotePrefix="1" applyFont="1" applyFill="1" applyAlignment="1">
      <alignment horizontal="right"/>
    </xf>
    <xf numFmtId="44" fontId="0" fillId="3" borderId="0" xfId="2" applyFont="1" applyFill="1" applyAlignment="1">
      <alignment horizontal="center"/>
    </xf>
    <xf numFmtId="10" fontId="0" fillId="3" borderId="0" xfId="3" applyNumberFormat="1" applyFont="1" applyFill="1"/>
    <xf numFmtId="177" fontId="2" fillId="3" borderId="0" xfId="2" applyNumberFormat="1" applyFont="1" applyFill="1"/>
    <xf numFmtId="43" fontId="2" fillId="3" borderId="0" xfId="1" quotePrefix="1" applyFont="1" applyFill="1"/>
    <xf numFmtId="178" fontId="2" fillId="3" borderId="0" xfId="1" quotePrefix="1" applyNumberFormat="1" applyFont="1" applyFill="1"/>
    <xf numFmtId="177" fontId="2" fillId="3" borderId="0" xfId="2" quotePrefix="1" applyNumberFormat="1" applyFont="1" applyFill="1"/>
    <xf numFmtId="166" fontId="0" fillId="3" borderId="0" xfId="1" applyNumberFormat="1" applyFont="1" applyFill="1"/>
    <xf numFmtId="176" fontId="0" fillId="3" borderId="0" xfId="3" applyNumberFormat="1" applyFont="1" applyFill="1"/>
    <xf numFmtId="180" fontId="6" fillId="3" borderId="0" xfId="1" applyNumberFormat="1" applyFont="1" applyFill="1"/>
    <xf numFmtId="43" fontId="9" fillId="3" borderId="0" xfId="1" applyFont="1" applyFill="1"/>
    <xf numFmtId="180" fontId="2" fillId="3" borderId="0" xfId="1" quotePrefix="1" applyNumberFormat="1" applyFont="1" applyFill="1"/>
    <xf numFmtId="176" fontId="0" fillId="3" borderId="0" xfId="2" quotePrefix="1" applyNumberFormat="1" applyFont="1" applyFill="1"/>
    <xf numFmtId="0" fontId="37" fillId="3" borderId="0" xfId="5" applyFont="1" applyFill="1" applyAlignment="1">
      <alignment horizontal="left"/>
    </xf>
    <xf numFmtId="0" fontId="9" fillId="3" borderId="0" xfId="5" applyFont="1" applyFill="1"/>
    <xf numFmtId="0" fontId="38" fillId="3" borderId="0" xfId="0" applyFont="1" applyFill="1" applyAlignment="1">
      <alignment horizontal="center"/>
    </xf>
    <xf numFmtId="44" fontId="5" fillId="5" borderId="0" xfId="2" applyFont="1" applyFill="1"/>
    <xf numFmtId="0" fontId="2" fillId="3" borderId="0" xfId="6" applyFill="1"/>
    <xf numFmtId="0" fontId="0" fillId="5" borderId="0" xfId="0" applyFill="1"/>
    <xf numFmtId="44" fontId="39" fillId="3" borderId="13" xfId="2" applyFont="1" applyFill="1" applyBorder="1"/>
    <xf numFmtId="44" fontId="39" fillId="3" borderId="0" xfId="2" applyFont="1" applyFill="1"/>
    <xf numFmtId="176" fontId="39" fillId="3" borderId="0" xfId="2" applyNumberFormat="1" applyFont="1" applyFill="1"/>
    <xf numFmtId="0" fontId="39" fillId="3" borderId="0" xfId="0" applyFont="1" applyFill="1"/>
    <xf numFmtId="176" fontId="39" fillId="3" borderId="7" xfId="2" applyNumberFormat="1" applyFont="1" applyFill="1" applyBorder="1"/>
    <xf numFmtId="179" fontId="0" fillId="3" borderId="0" xfId="2" applyNumberFormat="1" applyFont="1" applyFill="1"/>
    <xf numFmtId="179" fontId="2" fillId="3" borderId="0" xfId="2" applyNumberFormat="1" applyFont="1" applyFill="1"/>
    <xf numFmtId="179" fontId="6" fillId="3" borderId="0" xfId="2" quotePrefix="1" applyNumberFormat="1" applyFont="1" applyFill="1"/>
    <xf numFmtId="176" fontId="35" fillId="3" borderId="0" xfId="0" applyNumberFormat="1" applyFont="1" applyFill="1"/>
    <xf numFmtId="0" fontId="2" fillId="0" borderId="0" xfId="0" applyFont="1"/>
    <xf numFmtId="178" fontId="0" fillId="0" borderId="0" xfId="0" applyNumberFormat="1"/>
    <xf numFmtId="179" fontId="0" fillId="3" borderId="0" xfId="0" applyNumberFormat="1" applyFill="1"/>
    <xf numFmtId="0" fontId="3" fillId="3" borderId="0" xfId="0" applyFont="1" applyFill="1"/>
    <xf numFmtId="167" fontId="3" fillId="3" borderId="0" xfId="0" applyNumberFormat="1" applyFont="1" applyFill="1"/>
    <xf numFmtId="177" fontId="6" fillId="3" borderId="0" xfId="2" quotePrefix="1" applyNumberFormat="1" applyFont="1" applyFill="1"/>
    <xf numFmtId="176" fontId="35" fillId="3" borderId="0" xfId="2" quotePrefix="1" applyNumberFormat="1" applyFont="1" applyFill="1"/>
    <xf numFmtId="176" fontId="6" fillId="3" borderId="0" xfId="0" applyNumberFormat="1" applyFont="1" applyFill="1"/>
    <xf numFmtId="0" fontId="0" fillId="3" borderId="14" xfId="0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8" xfId="0" applyFill="1" applyBorder="1" applyAlignment="1">
      <alignment horizontal="center"/>
    </xf>
    <xf numFmtId="0" fontId="0" fillId="3" borderId="16" xfId="0" applyFill="1" applyBorder="1"/>
    <xf numFmtId="0" fontId="30" fillId="3" borderId="8" xfId="0" applyFont="1" applyFill="1" applyBorder="1" applyAlignment="1">
      <alignment horizontal="center"/>
    </xf>
    <xf numFmtId="169" fontId="0" fillId="3" borderId="0" xfId="3" applyNumberFormat="1" applyFont="1" applyFill="1"/>
    <xf numFmtId="170" fontId="0" fillId="3" borderId="8" xfId="0" applyNumberFormat="1" applyFill="1" applyBorder="1"/>
    <xf numFmtId="0" fontId="0" fillId="3" borderId="17" xfId="0" applyFill="1" applyBorder="1"/>
    <xf numFmtId="0" fontId="0" fillId="3" borderId="18" xfId="0" applyFill="1" applyBorder="1"/>
    <xf numFmtId="184" fontId="6" fillId="3" borderId="0" xfId="2" quotePrefix="1" applyNumberFormat="1" applyFont="1" applyFill="1"/>
    <xf numFmtId="169" fontId="30" fillId="3" borderId="0" xfId="3" applyNumberFormat="1" applyFont="1" applyFill="1"/>
    <xf numFmtId="0" fontId="2" fillId="3" borderId="0" xfId="5" applyFill="1"/>
    <xf numFmtId="0" fontId="7" fillId="3" borderId="0" xfId="5" applyFont="1" applyFill="1" applyAlignment="1">
      <alignment horizontal="center"/>
    </xf>
    <xf numFmtId="0" fontId="19" fillId="3" borderId="16" xfId="5" applyFont="1" applyFill="1" applyBorder="1"/>
    <xf numFmtId="0" fontId="41" fillId="3" borderId="0" xfId="5" applyFont="1" applyFill="1" applyAlignment="1">
      <alignment horizontal="center"/>
    </xf>
    <xf numFmtId="0" fontId="2" fillId="3" borderId="0" xfId="5" applyFill="1" applyAlignment="1">
      <alignment horizontal="center" vertical="center" wrapText="1"/>
    </xf>
    <xf numFmtId="0" fontId="2" fillId="3" borderId="16" xfId="5" applyFill="1" applyBorder="1"/>
    <xf numFmtId="0" fontId="2" fillId="3" borderId="0" xfId="5" applyFill="1" applyAlignment="1">
      <alignment horizontal="center" wrapText="1"/>
    </xf>
    <xf numFmtId="0" fontId="6" fillId="3" borderId="0" xfId="5" applyFont="1" applyFill="1"/>
    <xf numFmtId="175" fontId="2" fillId="3" borderId="0" xfId="5" applyNumberFormat="1" applyFill="1"/>
    <xf numFmtId="0" fontId="2" fillId="3" borderId="0" xfId="5" quotePrefix="1" applyFill="1"/>
    <xf numFmtId="175" fontId="2" fillId="3" borderId="7" xfId="5" quotePrefix="1" applyNumberFormat="1" applyFill="1" applyBorder="1" applyAlignment="1">
      <alignment horizontal="right"/>
    </xf>
    <xf numFmtId="175" fontId="15" fillId="0" borderId="0" xfId="5" quotePrefix="1" applyNumberFormat="1" applyFont="1" applyAlignment="1">
      <alignment horizontal="right"/>
    </xf>
    <xf numFmtId="0" fontId="2" fillId="0" borderId="0" xfId="5" quotePrefix="1"/>
    <xf numFmtId="0" fontId="2" fillId="3" borderId="16" xfId="5" quotePrefix="1" applyFill="1" applyBorder="1"/>
    <xf numFmtId="0" fontId="9" fillId="3" borderId="0" xfId="5" applyFont="1" applyFill="1" applyAlignment="1">
      <alignment horizontal="center" wrapText="1"/>
    </xf>
    <xf numFmtId="175" fontId="2" fillId="3" borderId="0" xfId="5" quotePrefix="1" applyNumberFormat="1" applyFill="1" applyAlignment="1">
      <alignment horizontal="right"/>
    </xf>
    <xf numFmtId="172" fontId="2" fillId="3" borderId="0" xfId="5" applyNumberFormat="1" applyFill="1"/>
    <xf numFmtId="3" fontId="2" fillId="3" borderId="7" xfId="5" applyNumberFormat="1" applyFill="1" applyBorder="1"/>
    <xf numFmtId="3" fontId="2" fillId="3" borderId="0" xfId="5" applyNumberFormat="1" applyFill="1"/>
    <xf numFmtId="181" fontId="2" fillId="3" borderId="0" xfId="5" quotePrefix="1" applyNumberFormat="1" applyFill="1" applyAlignment="1">
      <alignment horizontal="right"/>
    </xf>
    <xf numFmtId="181" fontId="2" fillId="3" borderId="0" xfId="5" applyNumberFormat="1" applyFill="1"/>
    <xf numFmtId="0" fontId="6" fillId="3" borderId="0" xfId="5" applyFont="1" applyFill="1" applyAlignment="1">
      <alignment wrapText="1"/>
    </xf>
    <xf numFmtId="166" fontId="2" fillId="3" borderId="0" xfId="1" applyNumberFormat="1" applyFont="1" applyFill="1" applyBorder="1"/>
    <xf numFmtId="166" fontId="2" fillId="3" borderId="7" xfId="1" applyNumberFormat="1" applyFont="1" applyFill="1" applyBorder="1"/>
    <xf numFmtId="10" fontId="2" fillId="3" borderId="0" xfId="3" applyNumberFormat="1" applyFont="1" applyFill="1"/>
    <xf numFmtId="10" fontId="2" fillId="3" borderId="0" xfId="3" applyNumberFormat="1" applyFont="1" applyFill="1" applyBorder="1"/>
    <xf numFmtId="0" fontId="6" fillId="3" borderId="0" xfId="6" applyFont="1" applyFill="1"/>
    <xf numFmtId="175" fontId="6" fillId="3" borderId="19" xfId="5" applyNumberFormat="1" applyFont="1" applyFill="1" applyBorder="1"/>
    <xf numFmtId="0" fontId="6" fillId="3" borderId="0" xfId="5" quotePrefix="1" applyFont="1" applyFill="1"/>
    <xf numFmtId="175" fontId="43" fillId="3" borderId="0" xfId="5" applyNumberFormat="1" applyFont="1" applyFill="1"/>
    <xf numFmtId="0" fontId="2" fillId="3" borderId="0" xfId="5" quotePrefix="1" applyFill="1" applyAlignment="1">
      <alignment horizontal="center"/>
    </xf>
    <xf numFmtId="175" fontId="2" fillId="3" borderId="7" xfId="5" applyNumberFormat="1" applyFill="1" applyBorder="1"/>
    <xf numFmtId="3" fontId="2" fillId="0" borderId="7" xfId="5" applyNumberFormat="1" applyBorder="1"/>
    <xf numFmtId="0" fontId="44" fillId="3" borderId="0" xfId="5" applyFont="1" applyFill="1"/>
    <xf numFmtId="0" fontId="40" fillId="6" borderId="0" xfId="5" applyFont="1" applyFill="1"/>
    <xf numFmtId="0" fontId="7" fillId="3" borderId="0" xfId="5" applyFont="1" applyFill="1"/>
    <xf numFmtId="0" fontId="45" fillId="3" borderId="0" xfId="5" applyFont="1" applyFill="1"/>
    <xf numFmtId="0" fontId="3" fillId="3" borderId="0" xfId="5" applyFont="1" applyFill="1" applyAlignment="1">
      <alignment horizontal="center"/>
    </xf>
    <xf numFmtId="0" fontId="2" fillId="3" borderId="0" xfId="5" applyFill="1" applyAlignment="1">
      <alignment horizontal="center"/>
    </xf>
    <xf numFmtId="167" fontId="2" fillId="5" borderId="0" xfId="5" applyNumberFormat="1" applyFill="1"/>
    <xf numFmtId="44" fontId="2" fillId="3" borderId="0" xfId="7" applyFont="1" applyFill="1"/>
    <xf numFmtId="0" fontId="2" fillId="3" borderId="0" xfId="6" quotePrefix="1" applyFill="1"/>
    <xf numFmtId="167" fontId="2" fillId="3" borderId="0" xfId="6" applyNumberFormat="1" applyFill="1"/>
    <xf numFmtId="167" fontId="5" fillId="3" borderId="0" xfId="5" applyNumberFormat="1" applyFont="1" applyFill="1"/>
    <xf numFmtId="176" fontId="2" fillId="3" borderId="0" xfId="7" applyNumberFormat="1" applyFont="1" applyFill="1"/>
    <xf numFmtId="0" fontId="39" fillId="3" borderId="0" xfId="5" applyFont="1" applyFill="1"/>
    <xf numFmtId="176" fontId="2" fillId="3" borderId="0" xfId="5" applyNumberFormat="1" applyFill="1"/>
    <xf numFmtId="176" fontId="35" fillId="3" borderId="0" xfId="7" applyNumberFormat="1" applyFont="1" applyFill="1"/>
    <xf numFmtId="44" fontId="0" fillId="3" borderId="0" xfId="7" applyFont="1" applyFill="1"/>
    <xf numFmtId="177" fontId="2" fillId="3" borderId="0" xfId="5" applyNumberFormat="1" applyFill="1"/>
    <xf numFmtId="177" fontId="2" fillId="3" borderId="0" xfId="7" applyNumberFormat="1" applyFont="1" applyFill="1"/>
    <xf numFmtId="44" fontId="6" fillId="3" borderId="0" xfId="7" quotePrefix="1" applyFont="1" applyFill="1"/>
    <xf numFmtId="0" fontId="6" fillId="3" borderId="0" xfId="5" applyFont="1" applyFill="1" applyAlignment="1">
      <alignment horizontal="left"/>
    </xf>
    <xf numFmtId="0" fontId="2" fillId="3" borderId="0" xfId="5" applyFill="1" applyAlignment="1">
      <alignment horizontal="right"/>
    </xf>
    <xf numFmtId="176" fontId="35" fillId="3" borderId="0" xfId="5" applyNumberFormat="1" applyFont="1" applyFill="1"/>
    <xf numFmtId="176" fontId="0" fillId="3" borderId="0" xfId="7" applyNumberFormat="1" applyFont="1" applyFill="1"/>
    <xf numFmtId="0" fontId="3" fillId="3" borderId="0" xfId="5" applyFont="1" applyFill="1" applyAlignment="1">
      <alignment horizontal="left"/>
    </xf>
    <xf numFmtId="0" fontId="6" fillId="3" borderId="0" xfId="5" applyFont="1" applyFill="1" applyAlignment="1">
      <alignment horizontal="center"/>
    </xf>
    <xf numFmtId="0" fontId="6" fillId="3" borderId="16" xfId="5" applyFont="1" applyFill="1" applyBorder="1" applyAlignment="1">
      <alignment horizontal="center"/>
    </xf>
    <xf numFmtId="17" fontId="2" fillId="3" borderId="0" xfId="5" applyNumberFormat="1" applyFill="1"/>
    <xf numFmtId="178" fontId="6" fillId="3" borderId="16" xfId="1" quotePrefix="1" applyNumberFormat="1" applyFont="1" applyFill="1" applyBorder="1"/>
    <xf numFmtId="17" fontId="2" fillId="3" borderId="0" xfId="5" applyNumberFormat="1" applyFill="1" applyAlignment="1">
      <alignment horizontal="right"/>
    </xf>
    <xf numFmtId="178" fontId="2" fillId="3" borderId="16" xfId="1" quotePrefix="1" applyNumberFormat="1" applyFont="1" applyFill="1" applyBorder="1"/>
    <xf numFmtId="178" fontId="2" fillId="3" borderId="16" xfId="5" applyNumberFormat="1" applyFill="1" applyBorder="1"/>
    <xf numFmtId="178" fontId="6" fillId="3" borderId="0" xfId="5" applyNumberFormat="1" applyFont="1" applyFill="1"/>
    <xf numFmtId="0" fontId="6" fillId="3" borderId="0" xfId="5" applyFont="1" applyFill="1" applyAlignment="1">
      <alignment horizontal="right"/>
    </xf>
    <xf numFmtId="43" fontId="2" fillId="3" borderId="16" xfId="1" quotePrefix="1" applyFont="1" applyFill="1" applyBorder="1"/>
    <xf numFmtId="179" fontId="6" fillId="3" borderId="0" xfId="7" quotePrefix="1" applyNumberFormat="1" applyFont="1" applyFill="1" applyBorder="1"/>
    <xf numFmtId="0" fontId="2" fillId="3" borderId="0" xfId="5" applyFill="1" applyAlignment="1">
      <alignment horizontal="left"/>
    </xf>
    <xf numFmtId="0" fontId="6" fillId="3" borderId="16" xfId="5" applyFont="1" applyFill="1" applyBorder="1"/>
    <xf numFmtId="0" fontId="6" fillId="3" borderId="0" xfId="5" applyFont="1" applyFill="1" applyAlignment="1">
      <alignment horizontal="center" wrapText="1"/>
    </xf>
    <xf numFmtId="178" fontId="2" fillId="3" borderId="0" xfId="5" applyNumberFormat="1" applyFill="1"/>
    <xf numFmtId="0" fontId="30" fillId="3" borderId="16" xfId="5" applyFont="1" applyFill="1" applyBorder="1" applyAlignment="1">
      <alignment horizontal="left"/>
    </xf>
    <xf numFmtId="0" fontId="2" fillId="3" borderId="16" xfId="5" applyFill="1" applyBorder="1" applyAlignment="1">
      <alignment horizontal="right"/>
    </xf>
    <xf numFmtId="177" fontId="2" fillId="3" borderId="0" xfId="7" quotePrefix="1" applyNumberFormat="1" applyFont="1" applyFill="1"/>
    <xf numFmtId="0" fontId="3" fillId="3" borderId="0" xfId="5" applyFont="1" applyFill="1"/>
    <xf numFmtId="167" fontId="3" fillId="3" borderId="0" xfId="5" applyNumberFormat="1" applyFont="1" applyFill="1"/>
    <xf numFmtId="167" fontId="3" fillId="3" borderId="16" xfId="5" applyNumberFormat="1" applyFont="1" applyFill="1" applyBorder="1"/>
    <xf numFmtId="0" fontId="3" fillId="3" borderId="16" xfId="5" applyFont="1" applyFill="1" applyBorder="1"/>
    <xf numFmtId="177" fontId="6" fillId="3" borderId="0" xfId="7" quotePrefix="1" applyNumberFormat="1" applyFont="1" applyFill="1"/>
    <xf numFmtId="176" fontId="0" fillId="3" borderId="0" xfId="7" quotePrefix="1" applyNumberFormat="1" applyFont="1" applyFill="1"/>
    <xf numFmtId="176" fontId="0" fillId="3" borderId="16" xfId="7" applyNumberFormat="1" applyFont="1" applyFill="1" applyBorder="1"/>
    <xf numFmtId="176" fontId="35" fillId="3" borderId="16" xfId="7" applyNumberFormat="1" applyFont="1" applyFill="1" applyBorder="1"/>
    <xf numFmtId="176" fontId="2" fillId="3" borderId="16" xfId="5" applyNumberFormat="1" applyFill="1" applyBorder="1"/>
    <xf numFmtId="176" fontId="2" fillId="3" borderId="0" xfId="7" quotePrefix="1" applyNumberFormat="1" applyFont="1" applyFill="1"/>
    <xf numFmtId="176" fontId="35" fillId="3" borderId="0" xfId="7" quotePrefix="1" applyNumberFormat="1" applyFont="1" applyFill="1"/>
    <xf numFmtId="176" fontId="6" fillId="3" borderId="0" xfId="5" applyNumberFormat="1" applyFont="1" applyFill="1"/>
    <xf numFmtId="184" fontId="6" fillId="3" borderId="0" xfId="7" quotePrefix="1" applyNumberFormat="1" applyFont="1" applyFill="1"/>
    <xf numFmtId="0" fontId="30" fillId="3" borderId="0" xfId="5" applyFont="1" applyFill="1" applyAlignment="1">
      <alignment horizontal="center"/>
    </xf>
    <xf numFmtId="44" fontId="2" fillId="3" borderId="0" xfId="5" applyNumberFormat="1" applyFill="1"/>
    <xf numFmtId="176" fontId="35" fillId="3" borderId="0" xfId="7" applyNumberFormat="1" applyFont="1" applyFill="1" applyBorder="1"/>
    <xf numFmtId="176" fontId="2" fillId="3" borderId="7" xfId="5" applyNumberFormat="1" applyFill="1" applyBorder="1"/>
    <xf numFmtId="44" fontId="2" fillId="3" borderId="7" xfId="5" applyNumberFormat="1" applyFill="1" applyBorder="1"/>
    <xf numFmtId="0" fontId="40" fillId="0" borderId="0" xfId="5" applyFont="1" applyAlignment="1">
      <alignment wrapText="1"/>
    </xf>
    <xf numFmtId="44" fontId="2" fillId="0" borderId="0" xfId="2" applyFont="1" applyFill="1"/>
    <xf numFmtId="167" fontId="5" fillId="7" borderId="1" xfId="0" applyNumberFormat="1" applyFont="1" applyFill="1" applyBorder="1"/>
    <xf numFmtId="0" fontId="3" fillId="7" borderId="0" xfId="0" applyFont="1" applyFill="1" applyAlignment="1">
      <alignment horizontal="center"/>
    </xf>
    <xf numFmtId="0" fontId="13" fillId="7" borderId="0" xfId="0" applyFont="1" applyFill="1"/>
    <xf numFmtId="0" fontId="9" fillId="7" borderId="0" xfId="0" applyFont="1" applyFill="1"/>
    <xf numFmtId="0" fontId="0" fillId="7" borderId="0" xfId="0" applyFill="1"/>
    <xf numFmtId="9" fontId="5" fillId="7" borderId="1" xfId="3" applyFont="1" applyFill="1" applyBorder="1"/>
    <xf numFmtId="0" fontId="40" fillId="0" borderId="0" xfId="5" applyFont="1"/>
    <xf numFmtId="0" fontId="2" fillId="0" borderId="0" xfId="5"/>
    <xf numFmtId="0" fontId="2" fillId="0" borderId="16" xfId="5" applyBorder="1"/>
    <xf numFmtId="0" fontId="2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75" fontId="2" fillId="4" borderId="7" xfId="2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34" fillId="4" borderId="0" xfId="0" applyFont="1" applyFill="1" applyAlignment="1">
      <alignment horizontal="left" wrapText="1"/>
    </xf>
    <xf numFmtId="4" fontId="0" fillId="3" borderId="0" xfId="0" applyNumberFormat="1" applyFill="1" applyAlignment="1">
      <alignment horizontal="center" wrapText="1"/>
    </xf>
    <xf numFmtId="0" fontId="36" fillId="4" borderId="0" xfId="0" applyFont="1" applyFill="1" applyAlignment="1">
      <alignment horizontal="left" wrapText="1"/>
    </xf>
    <xf numFmtId="0" fontId="40" fillId="0" borderId="8" xfId="5" applyFont="1" applyBorder="1" applyAlignment="1">
      <alignment horizontal="center" vertical="center" wrapText="1"/>
    </xf>
    <xf numFmtId="0" fontId="40" fillId="0" borderId="0" xfId="5" applyFont="1" applyAlignment="1">
      <alignment horizontal="center" vertical="center" wrapText="1"/>
    </xf>
    <xf numFmtId="0" fontId="42" fillId="6" borderId="0" xfId="5" applyFont="1" applyFill="1" applyAlignment="1">
      <alignment horizontal="left" vertical="center" wrapText="1"/>
    </xf>
    <xf numFmtId="0" fontId="40" fillId="0" borderId="0" xfId="5" applyFont="1" applyAlignment="1">
      <alignment horizontal="left" vertical="center" wrapText="1"/>
    </xf>
    <xf numFmtId="0" fontId="40" fillId="0" borderId="16" xfId="5" applyFont="1" applyBorder="1" applyAlignment="1">
      <alignment horizontal="left" vertical="center" wrapText="1"/>
    </xf>
    <xf numFmtId="0" fontId="40" fillId="3" borderId="0" xfId="5" applyFont="1" applyFill="1" applyAlignment="1">
      <alignment horizontal="left" vertical="center" wrapText="1"/>
    </xf>
    <xf numFmtId="0" fontId="40" fillId="3" borderId="16" xfId="5" applyFont="1" applyFill="1" applyBorder="1" applyAlignment="1">
      <alignment horizontal="left" vertical="center" wrapText="1"/>
    </xf>
  </cellXfs>
  <cellStyles count="8">
    <cellStyle name="Comma" xfId="1" builtinId="3"/>
    <cellStyle name="Currency" xfId="2" builtinId="4"/>
    <cellStyle name="Currency 2 2 2" xfId="7" xr:uid="{5B75B2BE-9669-4B3A-8F5A-AEABCC3CAC46}"/>
    <cellStyle name="Hyperlink" xfId="4" builtinId="8"/>
    <cellStyle name="Normal" xfId="0" builtinId="0"/>
    <cellStyle name="Normal 10" xfId="6" xr:uid="{87F2B97D-23CE-40B4-A8A9-E70E445CAAC5}"/>
    <cellStyle name="Normal 2 4" xfId="5" xr:uid="{F0B1170D-AE9F-499A-80F9-F9C5B2AAAD64}"/>
    <cellStyle name="Percent" xfId="3" builtinId="5"/>
  </cellStyles>
  <dxfs count="0"/>
  <tableStyles count="1" defaultTableStyle="TableStyleMedium2" defaultPivotStyle="PivotStyleLight16">
    <tableStyle name="Invisible" pivot="0" table="0" count="0" xr9:uid="{AAD53BAB-F2C1-4019-A2BD-5D81720A691A}"/>
  </tableStyles>
  <colors>
    <mruColors>
      <color rgb="FFFEF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555625</xdr:colOff>
          <xdr:row>0</xdr:row>
          <xdr:rowOff>22225</xdr:rowOff>
        </xdr:from>
        <xdr:to>
          <xdr:col>7</xdr:col>
          <xdr:colOff>60325</xdr:colOff>
          <xdr:row>2</xdr:row>
          <xdr:rowOff>60325</xdr:rowOff>
        </xdr:to>
        <xdr:sp macro="" textlink="">
          <xdr:nvSpPr>
            <xdr:cNvPr id="1025" name="Button 1" descr="Run Scenario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73152" tIns="82296" rIns="73152" bIns="82296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FF"/>
                  </a:solidFill>
                  <a:latin typeface="Arial Black"/>
                </a:rPr>
                <a:t>Run Scenario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61689</xdr:colOff>
      <xdr:row>173</xdr:row>
      <xdr:rowOff>32469</xdr:rowOff>
    </xdr:from>
    <xdr:to>
      <xdr:col>10</xdr:col>
      <xdr:colOff>780703</xdr:colOff>
      <xdr:row>189</xdr:row>
      <xdr:rowOff>96618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9322B-36C9-4EBC-BC18-415B44A84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8454" y="30396264"/>
          <a:ext cx="7847524" cy="2809254"/>
        </a:xfrm>
        <a:prstGeom prst="rect">
          <a:avLst/>
        </a:prstGeom>
      </xdr:spPr>
    </xdr:pic>
    <xdr:clientData/>
  </xdr:twoCellAnchor>
  <xdr:twoCellAnchor>
    <xdr:from>
      <xdr:col>4</xdr:col>
      <xdr:colOff>830580</xdr:colOff>
      <xdr:row>170</xdr:row>
      <xdr:rowOff>121920</xdr:rowOff>
    </xdr:from>
    <xdr:to>
      <xdr:col>5</xdr:col>
      <xdr:colOff>487680</xdr:colOff>
      <xdr:row>181</xdr:row>
      <xdr:rowOff>7620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E758D06-9EB1-46B8-A6F6-C89C6ADEB82F}"/>
            </a:ext>
          </a:extLst>
        </xdr:cNvPr>
        <xdr:cNvCxnSpPr/>
      </xdr:nvCxnSpPr>
      <xdr:spPr bwMode="auto">
        <a:xfrm>
          <a:off x="7848600" y="29975175"/>
          <a:ext cx="581025" cy="1771650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2021%20BGS-RSCP%20for%202022-2023/01.2022%20Compliance%20Filing/Model%20Updates/Pre-auction%20Final/Working%20Copy/Pre-auction%20Final/AppData/Local/Microsoft/2018%20BGS-RSCP%20for%202019-2020/2019.01%20Compliance%20Filing/Pre%20Auction/2015%20BGS-RSCP%20for%202016-2017/2015-11%20Compliance%20Filing/2015%20BGS-RSCP%20for%202016-2017/2015-07%20Initial%20Filing/BGS-FP%20Initial%20Filing%20Supporting%20Documents/Table1&amp;2%20-%20OnPeak%25/Table%201%20-%20Time%20period%20usage%20for%202016-17%20Spreadsheet.xl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174E-1DB1-4B3F-9FA5-F7A6C1AB5B60}">
  <sheetPr codeName="Sheet5"/>
  <dimension ref="A1:AF395"/>
  <sheetViews>
    <sheetView tabSelected="1" zoomScaleNormal="100" workbookViewId="0">
      <pane xSplit="2" ySplit="3" topLeftCell="C4" activePane="bottomRight" state="frozen"/>
      <selection activeCell="G34" sqref="G34"/>
      <selection pane="topRight" activeCell="G34" sqref="G34"/>
      <selection pane="bottomLeft" activeCell="G34" sqref="G34"/>
      <selection pane="bottomRight"/>
    </sheetView>
  </sheetViews>
  <sheetFormatPr defaultColWidth="9.08984375" defaultRowHeight="13" outlineLevelRow="1" x14ac:dyDescent="0.6"/>
  <cols>
    <col min="1" max="1" width="17.453125" style="7" customWidth="1"/>
    <col min="2" max="2" width="49.54296875" style="2" customWidth="1"/>
    <col min="3" max="3" width="18.54296875" style="2" customWidth="1"/>
    <col min="4" max="4" width="16.6796875" style="2" customWidth="1"/>
    <col min="5" max="5" width="13.453125" style="2" customWidth="1"/>
    <col min="6" max="6" width="12.54296875" style="2" customWidth="1"/>
    <col min="7" max="8" width="10.54296875" style="2" customWidth="1"/>
    <col min="9" max="9" width="11" style="2" customWidth="1"/>
    <col min="10" max="10" width="10.54296875" style="2" customWidth="1"/>
    <col min="11" max="12" width="12.453125" style="2" customWidth="1"/>
    <col min="13" max="15" width="13.453125" style="2" customWidth="1"/>
    <col min="16" max="16" width="13" style="2" customWidth="1"/>
    <col min="17" max="17" width="11.54296875" style="2" bestFit="1" customWidth="1"/>
    <col min="18" max="18" width="12.453125" style="2" customWidth="1"/>
    <col min="19" max="19" width="13" style="2" customWidth="1"/>
    <col min="20" max="20" width="10.08984375" style="2" bestFit="1" customWidth="1"/>
    <col min="21" max="21" width="14.453125" style="2" customWidth="1"/>
    <col min="22" max="22" width="11" style="2" bestFit="1" customWidth="1"/>
    <col min="23" max="23" width="10.54296875" style="2" customWidth="1"/>
    <col min="24" max="24" width="11.54296875" style="2" customWidth="1"/>
    <col min="25" max="25" width="11.453125" style="2" bestFit="1" customWidth="1"/>
    <col min="26" max="26" width="10.08984375" style="2" customWidth="1"/>
    <col min="27" max="27" width="10.54296875" style="2" customWidth="1"/>
    <col min="28" max="28" width="12.86328125" style="2" bestFit="1" customWidth="1"/>
    <col min="29" max="29" width="9.08984375" style="2"/>
    <col min="30" max="30" width="17.54296875" style="2" customWidth="1"/>
    <col min="31" max="31" width="9.08984375" style="2"/>
    <col min="32" max="32" width="10.453125" style="2" bestFit="1" customWidth="1"/>
    <col min="33" max="33" width="10.54296875" style="2" customWidth="1"/>
    <col min="34" max="16384" width="9.08984375" style="2"/>
  </cols>
  <sheetData>
    <row r="1" spans="1:24" x14ac:dyDescent="0.6">
      <c r="A1" s="1">
        <v>45618</v>
      </c>
    </row>
    <row r="2" spans="1:24" x14ac:dyDescent="0.6">
      <c r="A2" s="3" t="s">
        <v>0</v>
      </c>
      <c r="B2" s="4" t="s">
        <v>1</v>
      </c>
      <c r="C2" s="5" t="s">
        <v>2</v>
      </c>
      <c r="D2" s="6">
        <v>2025</v>
      </c>
    </row>
    <row r="3" spans="1:24" x14ac:dyDescent="0.6">
      <c r="A3" s="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24" ht="13.75" thickBot="1" x14ac:dyDescent="0.75">
      <c r="A4" s="2"/>
    </row>
    <row r="5" spans="1:24" ht="13.75" thickBot="1" x14ac:dyDescent="0.75">
      <c r="A5" s="9" t="s">
        <v>4</v>
      </c>
      <c r="B5" s="413" t="str">
        <f>B2</f>
        <v>Auction Results</v>
      </c>
      <c r="C5" s="414"/>
      <c r="D5" s="414"/>
      <c r="E5" s="414"/>
      <c r="F5" s="414"/>
      <c r="G5" s="414"/>
      <c r="H5" s="414"/>
      <c r="I5" s="414"/>
      <c r="J5" s="414"/>
      <c r="K5" s="414"/>
      <c r="L5" s="415"/>
    </row>
    <row r="6" spans="1:24" x14ac:dyDescent="0.6">
      <c r="C6" s="8"/>
      <c r="D6" s="8"/>
      <c r="E6" s="8"/>
      <c r="F6" s="8"/>
      <c r="G6" s="8"/>
      <c r="H6" s="8"/>
      <c r="I6" s="8"/>
      <c r="J6" s="8"/>
      <c r="K6" s="8"/>
      <c r="L6" s="8"/>
    </row>
    <row r="7" spans="1:24" ht="15.5" x14ac:dyDescent="0.7">
      <c r="B7" s="10" t="str">
        <f>"Development of BGS-RSCP Cost and Bid Factors for "&amp;(Input!D2)&amp;"/"&amp;(Input!D2+1)&amp;" BGS Filing"</f>
        <v>Development of BGS-RSCP Cost and Bid Factors for 2025/2026 BGS Filing</v>
      </c>
      <c r="C7" s="11"/>
      <c r="D7" s="11"/>
      <c r="E7" s="11"/>
      <c r="F7" s="11"/>
      <c r="J7" s="10"/>
    </row>
    <row r="8" spans="1:24" x14ac:dyDescent="0.6">
      <c r="A8" s="12"/>
      <c r="B8" s="13" t="s">
        <v>5</v>
      </c>
      <c r="C8" s="11"/>
      <c r="D8" s="11"/>
      <c r="E8" s="11"/>
      <c r="F8" s="11"/>
    </row>
    <row r="9" spans="1:24" x14ac:dyDescent="0.6">
      <c r="B9" s="11"/>
      <c r="C9" s="11"/>
      <c r="D9" s="11"/>
      <c r="E9" s="14" t="str">
        <f>"Based on average of year "&amp;(Input!D2-4)&amp;", "&amp;(Input!D2-3)&amp;" &amp; "&amp;(Input!D2-2)&amp;" Load Profile Information"</f>
        <v>Based on average of year 2021, 2022 &amp; 2023 Load Profile Information</v>
      </c>
      <c r="F9" s="11"/>
    </row>
    <row r="10" spans="1:24" x14ac:dyDescent="0.6">
      <c r="A10" s="3" t="s">
        <v>6</v>
      </c>
      <c r="B10" s="15" t="s">
        <v>7</v>
      </c>
      <c r="C10" s="16"/>
      <c r="D10" s="11"/>
      <c r="E10" s="14" t="s">
        <v>8</v>
      </c>
      <c r="F10" s="11"/>
      <c r="N10" s="15"/>
      <c r="O10" s="15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39" x14ac:dyDescent="0.6">
      <c r="A11" s="17"/>
      <c r="B11" s="18"/>
      <c r="C11" s="19" t="s">
        <v>9</v>
      </c>
      <c r="D11" s="19" t="s">
        <v>9</v>
      </c>
      <c r="E11" s="19" t="s">
        <v>9</v>
      </c>
      <c r="F11" s="19" t="s">
        <v>9</v>
      </c>
      <c r="G11" s="19" t="s">
        <v>9</v>
      </c>
      <c r="H11" s="19" t="s">
        <v>9</v>
      </c>
      <c r="I11" s="20" t="s">
        <v>10</v>
      </c>
      <c r="J11" s="21"/>
      <c r="K11" s="19" t="s">
        <v>9</v>
      </c>
      <c r="L11" s="19" t="s">
        <v>9</v>
      </c>
      <c r="M11" s="22"/>
      <c r="N11" s="14"/>
      <c r="O11" s="22"/>
      <c r="P11" s="22"/>
      <c r="Q11" s="22"/>
      <c r="R11" s="22"/>
      <c r="S11" s="22"/>
      <c r="T11" s="22"/>
      <c r="U11" s="14"/>
      <c r="V11" s="23"/>
      <c r="W11" s="22"/>
      <c r="X11" s="22"/>
    </row>
    <row r="12" spans="1:24" x14ac:dyDescent="0.6">
      <c r="A12" s="17"/>
      <c r="B12" s="24" t="s">
        <v>11</v>
      </c>
      <c r="C12" s="25" t="s">
        <v>12</v>
      </c>
      <c r="D12" s="25" t="s">
        <v>13</v>
      </c>
      <c r="E12" s="25" t="s">
        <v>14</v>
      </c>
      <c r="F12" s="25" t="s">
        <v>15</v>
      </c>
      <c r="G12" s="25" t="s">
        <v>16</v>
      </c>
      <c r="H12" s="25" t="s">
        <v>17</v>
      </c>
      <c r="I12" s="25" t="s">
        <v>18</v>
      </c>
      <c r="J12" s="25" t="s">
        <v>19</v>
      </c>
      <c r="K12" s="25" t="s">
        <v>20</v>
      </c>
      <c r="L12" s="25" t="s">
        <v>21</v>
      </c>
      <c r="M12" s="26"/>
      <c r="N12" s="27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x14ac:dyDescent="0.6">
      <c r="A13" s="17"/>
      <c r="B13" s="5"/>
      <c r="C13" s="25"/>
      <c r="D13" s="25"/>
      <c r="E13" s="25"/>
      <c r="F13" s="25"/>
      <c r="G13" s="25"/>
      <c r="H13" s="25"/>
      <c r="I13" s="25"/>
      <c r="J13" s="25"/>
      <c r="K13" s="25"/>
      <c r="L13" s="25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6">
      <c r="A14" s="17"/>
      <c r="B14" s="28" t="s">
        <v>22</v>
      </c>
      <c r="C14" s="29">
        <v>0.47199999999999998</v>
      </c>
      <c r="D14" s="29">
        <v>0.4587</v>
      </c>
      <c r="E14" s="29">
        <v>0.46329999999999999</v>
      </c>
      <c r="F14" s="29">
        <v>0.47199999999999998</v>
      </c>
      <c r="G14" s="29">
        <v>0.47199999999999998</v>
      </c>
      <c r="H14" s="29">
        <v>0.46870000000000001</v>
      </c>
      <c r="I14" s="29">
        <v>0.3</v>
      </c>
      <c r="J14" s="29">
        <v>0.3</v>
      </c>
      <c r="K14" s="29">
        <v>0.52600000000000002</v>
      </c>
      <c r="L14" s="29">
        <v>0.50900000000000001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x14ac:dyDescent="0.6">
      <c r="A15" s="17"/>
      <c r="B15" s="28" t="s">
        <v>23</v>
      </c>
      <c r="C15" s="29">
        <v>0.48830000000000001</v>
      </c>
      <c r="D15" s="29">
        <v>0.46500000000000002</v>
      </c>
      <c r="E15" s="29">
        <v>0.4783</v>
      </c>
      <c r="F15" s="29">
        <v>0.48830000000000001</v>
      </c>
      <c r="G15" s="29">
        <v>0.48830000000000001</v>
      </c>
      <c r="H15" s="29">
        <v>0.4713</v>
      </c>
      <c r="I15" s="29">
        <v>0.29199999999999998</v>
      </c>
      <c r="J15" s="29">
        <v>0.29199999999999998</v>
      </c>
      <c r="K15" s="29">
        <v>0.53869999999999996</v>
      </c>
      <c r="L15" s="29">
        <v>0.52629999999999999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x14ac:dyDescent="0.6">
      <c r="A16" s="17"/>
      <c r="B16" s="28" t="s">
        <v>24</v>
      </c>
      <c r="C16" s="29">
        <v>0.50870000000000004</v>
      </c>
      <c r="D16" s="29">
        <v>0.49299999999999999</v>
      </c>
      <c r="E16" s="29">
        <v>0.48970000000000002</v>
      </c>
      <c r="F16" s="29">
        <v>0.50870000000000004</v>
      </c>
      <c r="G16" s="29">
        <v>0.50870000000000004</v>
      </c>
      <c r="H16" s="29">
        <v>0.503</v>
      </c>
      <c r="I16" s="29">
        <v>0.26329999999999998</v>
      </c>
      <c r="J16" s="29">
        <v>0.26329999999999998</v>
      </c>
      <c r="K16" s="29">
        <v>0.56669999999999998</v>
      </c>
      <c r="L16" s="29">
        <v>0.54730000000000001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x14ac:dyDescent="0.6">
      <c r="A17" s="17"/>
      <c r="B17" s="28" t="s">
        <v>25</v>
      </c>
      <c r="C17" s="29">
        <v>0.51029999999999998</v>
      </c>
      <c r="D17" s="29">
        <v>0.504</v>
      </c>
      <c r="E17" s="29">
        <v>0.49099999999999999</v>
      </c>
      <c r="F17" s="29">
        <v>0.51029999999999998</v>
      </c>
      <c r="G17" s="29">
        <v>0.51029999999999998</v>
      </c>
      <c r="H17" s="29">
        <v>0.51400000000000001</v>
      </c>
      <c r="I17" s="29">
        <v>0.22900000000000001</v>
      </c>
      <c r="J17" s="29">
        <v>0.22900000000000001</v>
      </c>
      <c r="K17" s="29">
        <v>0.56069999999999998</v>
      </c>
      <c r="L17" s="29">
        <v>0.54169999999999996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x14ac:dyDescent="0.6">
      <c r="A18" s="17"/>
      <c r="B18" s="28" t="s">
        <v>26</v>
      </c>
      <c r="C18" s="29">
        <v>0.45129999999999998</v>
      </c>
      <c r="D18" s="29">
        <v>0.45469999999999999</v>
      </c>
      <c r="E18" s="29">
        <v>0.44269999999999998</v>
      </c>
      <c r="F18" s="29">
        <v>0.45129999999999998</v>
      </c>
      <c r="G18" s="29">
        <v>0.45129999999999998</v>
      </c>
      <c r="H18" s="29">
        <v>0.50470000000000004</v>
      </c>
      <c r="I18" s="29">
        <v>0.19500000000000001</v>
      </c>
      <c r="J18" s="29">
        <v>0.19500000000000001</v>
      </c>
      <c r="K18" s="29">
        <v>0.52070000000000005</v>
      </c>
      <c r="L18" s="29">
        <v>0.49769999999999998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x14ac:dyDescent="0.6">
      <c r="A19" s="17"/>
      <c r="B19" s="28" t="s">
        <v>27</v>
      </c>
      <c r="C19" s="29">
        <v>0.54200000000000004</v>
      </c>
      <c r="D19" s="29">
        <v>0.55169999999999997</v>
      </c>
      <c r="E19" s="29">
        <v>0.54400000000000004</v>
      </c>
      <c r="F19" s="29">
        <v>0.54200000000000004</v>
      </c>
      <c r="G19" s="29">
        <v>0.54200000000000004</v>
      </c>
      <c r="H19" s="29">
        <v>0.62</v>
      </c>
      <c r="I19" s="29">
        <v>0.20699999999999999</v>
      </c>
      <c r="J19" s="29">
        <v>0.20699999999999999</v>
      </c>
      <c r="K19" s="29">
        <v>0.59670000000000001</v>
      </c>
      <c r="L19" s="29">
        <v>0.56699999999999995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x14ac:dyDescent="0.6">
      <c r="A20" s="17"/>
      <c r="B20" s="28" t="s">
        <v>28</v>
      </c>
      <c r="C20" s="29">
        <v>0.52600000000000002</v>
      </c>
      <c r="D20" s="29">
        <v>0.53300000000000003</v>
      </c>
      <c r="E20" s="29">
        <v>0.52729999999999999</v>
      </c>
      <c r="F20" s="29">
        <v>0.52600000000000002</v>
      </c>
      <c r="G20" s="29">
        <v>0.52600000000000002</v>
      </c>
      <c r="H20" s="29">
        <v>0.6</v>
      </c>
      <c r="I20" s="29">
        <v>0.19500000000000001</v>
      </c>
      <c r="J20" s="29">
        <v>0.19500000000000001</v>
      </c>
      <c r="K20" s="29">
        <v>0.57199999999999995</v>
      </c>
      <c r="L20" s="29">
        <v>0.54100000000000004</v>
      </c>
      <c r="M20" s="30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x14ac:dyDescent="0.6">
      <c r="A21" s="17"/>
      <c r="B21" s="28" t="s">
        <v>29</v>
      </c>
      <c r="C21" s="29">
        <v>0.53269999999999995</v>
      </c>
      <c r="D21" s="29">
        <v>0.54</v>
      </c>
      <c r="E21" s="29">
        <v>0.5353</v>
      </c>
      <c r="F21" s="29">
        <v>0.53269999999999995</v>
      </c>
      <c r="G21" s="29">
        <v>0.53269999999999995</v>
      </c>
      <c r="H21" s="29">
        <v>0.61</v>
      </c>
      <c r="I21" s="29">
        <v>0.215</v>
      </c>
      <c r="J21" s="29">
        <v>0.215</v>
      </c>
      <c r="K21" s="29">
        <v>0.58130000000000004</v>
      </c>
      <c r="L21" s="29">
        <v>0.54769999999999996</v>
      </c>
      <c r="M21" s="30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x14ac:dyDescent="0.6">
      <c r="A22" s="17"/>
      <c r="B22" s="28" t="s">
        <v>30</v>
      </c>
      <c r="C22" s="29">
        <v>0.50329999999999997</v>
      </c>
      <c r="D22" s="29">
        <v>0.51600000000000001</v>
      </c>
      <c r="E22" s="29">
        <v>0.505</v>
      </c>
      <c r="F22" s="29">
        <v>0.50329999999999997</v>
      </c>
      <c r="G22" s="29">
        <v>0.50329999999999997</v>
      </c>
      <c r="H22" s="29">
        <v>0.58330000000000004</v>
      </c>
      <c r="I22" s="29">
        <v>0.23799999999999999</v>
      </c>
      <c r="J22" s="29">
        <v>0.23799999999999999</v>
      </c>
      <c r="K22" s="29">
        <v>0.56999999999999995</v>
      </c>
      <c r="L22" s="29">
        <v>0.54630000000000001</v>
      </c>
      <c r="M22" s="30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x14ac:dyDescent="0.6">
      <c r="A23" s="17"/>
      <c r="B23" s="28" t="s">
        <v>31</v>
      </c>
      <c r="C23" s="29">
        <v>0.49230000000000002</v>
      </c>
      <c r="D23" s="29">
        <v>0.49430000000000002</v>
      </c>
      <c r="E23" s="29">
        <v>0.48130000000000001</v>
      </c>
      <c r="F23" s="29">
        <v>0.49230000000000002</v>
      </c>
      <c r="G23" s="29">
        <v>0.49230000000000002</v>
      </c>
      <c r="H23" s="29">
        <v>0.53800000000000003</v>
      </c>
      <c r="I23" s="29">
        <v>0.26169999999999999</v>
      </c>
      <c r="J23" s="29">
        <v>0.26169999999999999</v>
      </c>
      <c r="K23" s="29">
        <v>0.55630000000000002</v>
      </c>
      <c r="L23" s="29">
        <v>0.5363</v>
      </c>
      <c r="M23" s="30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6">
      <c r="A24" s="17"/>
      <c r="B24" s="28" t="s">
        <v>32</v>
      </c>
      <c r="C24" s="29">
        <v>0.47970000000000002</v>
      </c>
      <c r="D24" s="29">
        <v>0.47170000000000001</v>
      </c>
      <c r="E24" s="29">
        <v>0.4703</v>
      </c>
      <c r="F24" s="29">
        <v>0.47970000000000002</v>
      </c>
      <c r="G24" s="29">
        <v>0.47970000000000002</v>
      </c>
      <c r="H24" s="29">
        <v>0.48630000000000001</v>
      </c>
      <c r="I24" s="29">
        <v>0.30530000000000002</v>
      </c>
      <c r="J24" s="29">
        <v>0.30530000000000002</v>
      </c>
      <c r="K24" s="29">
        <v>0.54369999999999996</v>
      </c>
      <c r="L24" s="29">
        <v>0.52529999999999999</v>
      </c>
      <c r="M24" s="30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x14ac:dyDescent="0.6">
      <c r="A25" s="17"/>
      <c r="B25" s="28" t="s">
        <v>33</v>
      </c>
      <c r="C25" s="29">
        <v>0.495</v>
      </c>
      <c r="D25" s="29">
        <v>0.48</v>
      </c>
      <c r="E25" s="29">
        <v>0.49</v>
      </c>
      <c r="F25" s="29">
        <v>0.495</v>
      </c>
      <c r="G25" s="29">
        <v>0.495</v>
      </c>
      <c r="H25" s="29">
        <v>0.48430000000000001</v>
      </c>
      <c r="I25" s="29">
        <v>0.32300000000000001</v>
      </c>
      <c r="J25" s="29">
        <v>0.32300000000000001</v>
      </c>
      <c r="K25" s="29">
        <v>0.54669999999999996</v>
      </c>
      <c r="L25" s="29">
        <v>0.52829999999999999</v>
      </c>
      <c r="M25" s="30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x14ac:dyDescent="0.6">
      <c r="A26" s="17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6">
      <c r="A27" s="17"/>
      <c r="B27" s="32"/>
      <c r="C27" s="33"/>
      <c r="D27" s="33"/>
      <c r="E27" s="14" t="str">
        <f>E9</f>
        <v>Based on average of year 2021, 2022 &amp; 2023 Load Profile Information</v>
      </c>
      <c r="K27" s="33"/>
      <c r="L27" s="33"/>
      <c r="M27" s="33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x14ac:dyDescent="0.6">
      <c r="A28" s="3" t="s">
        <v>34</v>
      </c>
      <c r="B28" s="15" t="s">
        <v>35</v>
      </c>
      <c r="C28" s="33"/>
      <c r="D28" s="33"/>
      <c r="E28" s="34" t="str">
        <f>"On-Peak periods as defined in specified rate schedule (average of %s for "&amp;(Input!D2-4)&amp;", "&amp;(Input!D2-3)&amp;" &amp; "&amp;(Input!D2-2)&amp;")"</f>
        <v>On-Peak periods as defined in specified rate schedule (average of %s for 2021, 2022 &amp; 2023)</v>
      </c>
      <c r="G28" s="33"/>
      <c r="H28" s="33"/>
      <c r="I28" s="35"/>
      <c r="J28" s="35"/>
      <c r="K28" s="33"/>
      <c r="L28" s="33"/>
      <c r="M28" s="33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ht="26" x14ac:dyDescent="0.6">
      <c r="A29" s="17"/>
      <c r="B29" s="5"/>
      <c r="C29" s="19" t="s">
        <v>9</v>
      </c>
      <c r="D29" s="19" t="s">
        <v>9</v>
      </c>
      <c r="E29" s="22"/>
      <c r="F29" s="14"/>
      <c r="G29" s="22"/>
      <c r="H29" s="22"/>
      <c r="I29" s="22"/>
      <c r="J29" s="22"/>
      <c r="K29" s="22"/>
      <c r="L29" s="22"/>
      <c r="M29" s="22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1:24" x14ac:dyDescent="0.6">
      <c r="A30" s="17"/>
      <c r="B30" s="24" t="s">
        <v>11</v>
      </c>
      <c r="C30" s="25" t="s">
        <v>14</v>
      </c>
      <c r="D30" s="25" t="s">
        <v>21</v>
      </c>
      <c r="E30" s="8"/>
      <c r="F30" s="27"/>
      <c r="G30" s="8"/>
      <c r="H30" s="8"/>
      <c r="I30" s="8"/>
      <c r="J30" s="8"/>
      <c r="K30" s="8"/>
      <c r="L30" s="8"/>
      <c r="M30" s="8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4" x14ac:dyDescent="0.6">
      <c r="A31" s="17"/>
      <c r="B31" s="5"/>
      <c r="C31" s="5"/>
      <c r="D31" s="5"/>
      <c r="G31" s="11"/>
      <c r="H31" s="11"/>
      <c r="I31" s="11"/>
      <c r="J31" s="11"/>
      <c r="K31" s="11"/>
      <c r="L31" s="11"/>
      <c r="M31" s="1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4" x14ac:dyDescent="0.6">
      <c r="A32" s="17"/>
      <c r="B32" s="28" t="s">
        <v>22</v>
      </c>
      <c r="C32" s="29">
        <v>0.42349999999999999</v>
      </c>
      <c r="D32" s="36">
        <v>0.46400000000000002</v>
      </c>
      <c r="E32" s="30"/>
      <c r="F32" s="33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32" x14ac:dyDescent="0.6">
      <c r="A33" s="17"/>
      <c r="B33" s="28" t="s">
        <v>23</v>
      </c>
      <c r="C33" s="29">
        <v>0.41649999999999998</v>
      </c>
      <c r="D33" s="36">
        <v>0.46089999999999998</v>
      </c>
      <c r="E33" s="30"/>
      <c r="F33" s="33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32" x14ac:dyDescent="0.6">
      <c r="A34" s="17"/>
      <c r="B34" s="28" t="s">
        <v>24</v>
      </c>
      <c r="C34" s="29">
        <v>0.41049999999999998</v>
      </c>
      <c r="D34" s="36">
        <v>0.46279999999999999</v>
      </c>
      <c r="E34" s="30"/>
      <c r="F34" s="33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1:32" x14ac:dyDescent="0.6">
      <c r="A35" s="17"/>
      <c r="B35" s="28" t="s">
        <v>25</v>
      </c>
      <c r="C35" s="29">
        <v>0.41839999999999999</v>
      </c>
      <c r="D35" s="36">
        <v>0.47310000000000002</v>
      </c>
      <c r="E35" s="30"/>
      <c r="F35" s="33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1:32" x14ac:dyDescent="0.6">
      <c r="A36" s="17"/>
      <c r="B36" s="28" t="s">
        <v>26</v>
      </c>
      <c r="C36" s="29">
        <v>0.43480000000000002</v>
      </c>
      <c r="D36" s="36">
        <v>0.4798</v>
      </c>
      <c r="E36" s="30"/>
      <c r="F36" s="37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32" x14ac:dyDescent="0.6">
      <c r="A37" s="17"/>
      <c r="B37" s="28" t="s">
        <v>27</v>
      </c>
      <c r="C37" s="29">
        <v>0.46260000000000001</v>
      </c>
      <c r="D37" s="29">
        <v>0.48870000000000002</v>
      </c>
      <c r="E37" s="30"/>
      <c r="F37" s="37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32" x14ac:dyDescent="0.6">
      <c r="A38" s="17"/>
      <c r="B38" s="28" t="s">
        <v>28</v>
      </c>
      <c r="C38" s="29">
        <v>0.48039999999999999</v>
      </c>
      <c r="D38" s="29">
        <v>0.49070000000000003</v>
      </c>
      <c r="E38" s="30"/>
      <c r="F38" s="37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32" x14ac:dyDescent="0.6">
      <c r="A39" s="17"/>
      <c r="B39" s="28" t="s">
        <v>29</v>
      </c>
      <c r="C39" s="29">
        <v>0.4839</v>
      </c>
      <c r="D39" s="36">
        <v>0.48449999999999999</v>
      </c>
      <c r="E39" s="30"/>
      <c r="F39" s="37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32" x14ac:dyDescent="0.6">
      <c r="A40" s="17"/>
      <c r="B40" s="28" t="s">
        <v>30</v>
      </c>
      <c r="C40" s="29">
        <v>0.48520000000000002</v>
      </c>
      <c r="D40" s="36">
        <v>0.48880000000000001</v>
      </c>
      <c r="E40" s="30"/>
      <c r="F40" s="37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32" x14ac:dyDescent="0.6">
      <c r="A41" s="17"/>
      <c r="B41" s="28" t="s">
        <v>31</v>
      </c>
      <c r="C41" s="29">
        <v>0.45519999999999999</v>
      </c>
      <c r="D41" s="36">
        <v>0.48970000000000002</v>
      </c>
      <c r="E41" s="30"/>
      <c r="F41" s="37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32" x14ac:dyDescent="0.6">
      <c r="A42" s="17"/>
      <c r="B42" s="28" t="s">
        <v>32</v>
      </c>
      <c r="C42" s="29">
        <v>0.42909999999999998</v>
      </c>
      <c r="D42" s="36">
        <v>0.4788</v>
      </c>
      <c r="E42" s="30"/>
      <c r="F42" s="37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32" x14ac:dyDescent="0.6">
      <c r="A43" s="17"/>
      <c r="B43" s="28" t="s">
        <v>33</v>
      </c>
      <c r="C43" s="29">
        <v>0.42080000000000001</v>
      </c>
      <c r="D43" s="36">
        <v>0.47099999999999997</v>
      </c>
      <c r="E43" s="30"/>
      <c r="F43" s="37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32" x14ac:dyDescent="0.6">
      <c r="A44" s="17"/>
      <c r="B44" s="32"/>
      <c r="C44" s="33"/>
      <c r="D44" s="33"/>
      <c r="E44" s="33"/>
      <c r="F44" s="33"/>
      <c r="G44" s="33"/>
      <c r="H44" s="33"/>
      <c r="I44" s="35"/>
      <c r="J44" s="35"/>
      <c r="K44" s="33"/>
      <c r="L44" s="33"/>
      <c r="M44" s="33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32" x14ac:dyDescent="0.6">
      <c r="A45" s="17"/>
      <c r="B45" s="32"/>
      <c r="C45" s="33"/>
      <c r="D45" s="33"/>
      <c r="E45" s="33"/>
      <c r="F45" s="33"/>
      <c r="G45" s="33"/>
      <c r="H45" s="33"/>
      <c r="I45" s="35"/>
      <c r="J45" s="35"/>
      <c r="K45" s="33"/>
      <c r="L45" s="33"/>
      <c r="M45" s="33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32" x14ac:dyDescent="0.6">
      <c r="A46" s="3" t="s">
        <v>36</v>
      </c>
      <c r="B46" s="38" t="s">
        <v>37</v>
      </c>
      <c r="C46" s="8"/>
      <c r="D46" s="8"/>
      <c r="E46" s="8"/>
      <c r="F46" s="8"/>
      <c r="G46" s="8"/>
      <c r="H46" s="8"/>
      <c r="I46" s="8"/>
      <c r="J46" s="8"/>
      <c r="K46" s="8"/>
      <c r="L46" s="8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32" x14ac:dyDescent="0.6">
      <c r="A47" s="17"/>
      <c r="B47" s="39" t="str">
        <f>"Calendar month sales forecasted for "&amp;(Input!D2)&amp;", less % for LPL-Sec &gt; 500 kW Peak Load Share"</f>
        <v>Calendar month sales forecasted for 2025, less % for LPL-Sec &gt; 500 kW Peak Load Share</v>
      </c>
      <c r="G47" s="40"/>
      <c r="L47" s="8"/>
      <c r="N47" s="31"/>
      <c r="O47" s="31"/>
      <c r="P47" s="31"/>
      <c r="Q47" s="31"/>
      <c r="R47" s="31"/>
      <c r="S47" s="31"/>
      <c r="T47" s="31"/>
      <c r="U47" s="31"/>
      <c r="V47" s="31"/>
      <c r="W47" s="31"/>
      <c r="AB47" s="41"/>
    </row>
    <row r="48" spans="1:32" x14ac:dyDescent="0.6">
      <c r="A48" s="17"/>
      <c r="B48" s="20" t="s">
        <v>38</v>
      </c>
      <c r="C48" s="25" t="s">
        <v>12</v>
      </c>
      <c r="D48" s="25" t="s">
        <v>13</v>
      </c>
      <c r="E48" s="25" t="s">
        <v>14</v>
      </c>
      <c r="F48" s="25" t="s">
        <v>15</v>
      </c>
      <c r="G48" s="25" t="s">
        <v>16</v>
      </c>
      <c r="H48" s="25" t="s">
        <v>17</v>
      </c>
      <c r="I48" s="25" t="s">
        <v>18</v>
      </c>
      <c r="J48" s="25" t="s">
        <v>19</v>
      </c>
      <c r="K48" s="25" t="s">
        <v>20</v>
      </c>
      <c r="L48" s="25" t="s">
        <v>21</v>
      </c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8"/>
      <c r="Y48" s="8"/>
      <c r="Z48" s="8"/>
      <c r="AB48" s="41"/>
      <c r="AF48" s="41"/>
    </row>
    <row r="49" spans="1:32" x14ac:dyDescent="0.6">
      <c r="A49" s="17"/>
      <c r="B49" s="5"/>
      <c r="C49" s="25"/>
      <c r="D49" s="25"/>
      <c r="E49" s="25"/>
      <c r="F49" s="25"/>
      <c r="G49" s="25"/>
      <c r="H49" s="25"/>
      <c r="I49" s="25"/>
      <c r="J49" s="25"/>
      <c r="K49" s="25"/>
      <c r="L49" s="25"/>
      <c r="N49" s="31"/>
      <c r="O49" s="31"/>
      <c r="P49" s="31"/>
      <c r="Q49" s="31"/>
      <c r="R49" s="31"/>
      <c r="S49" s="31"/>
      <c r="T49" s="31"/>
      <c r="U49" s="31"/>
      <c r="V49" s="31"/>
      <c r="W49" s="31"/>
      <c r="Y49" s="42"/>
      <c r="AB49" s="41"/>
      <c r="AF49" s="41"/>
    </row>
    <row r="50" spans="1:32" x14ac:dyDescent="0.6">
      <c r="A50" s="17"/>
      <c r="B50" s="28" t="s">
        <v>22</v>
      </c>
      <c r="C50" s="43">
        <v>1121491.5651200744</v>
      </c>
      <c r="D50" s="43">
        <v>12422.381688635198</v>
      </c>
      <c r="E50" s="43">
        <v>14246.696042579952</v>
      </c>
      <c r="F50" s="43">
        <v>55</v>
      </c>
      <c r="G50" s="43">
        <v>1</v>
      </c>
      <c r="H50" s="43">
        <v>1656.724617716701</v>
      </c>
      <c r="I50" s="43">
        <v>14910</v>
      </c>
      <c r="J50" s="43">
        <v>31151</v>
      </c>
      <c r="K50" s="43">
        <v>531647.04672762146</v>
      </c>
      <c r="L50" s="43">
        <v>641149.53731475468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42"/>
      <c r="Y50" s="42"/>
      <c r="Z50" s="44"/>
      <c r="AB50" s="45"/>
      <c r="AF50" s="46"/>
    </row>
    <row r="51" spans="1:32" x14ac:dyDescent="0.6">
      <c r="A51" s="17"/>
      <c r="B51" s="28" t="s">
        <v>23</v>
      </c>
      <c r="C51" s="43">
        <v>943088.51438200544</v>
      </c>
      <c r="D51" s="43">
        <v>9972.5145846000833</v>
      </c>
      <c r="E51" s="43">
        <v>12197.260210938475</v>
      </c>
      <c r="F51" s="43">
        <v>53</v>
      </c>
      <c r="G51" s="43">
        <v>1</v>
      </c>
      <c r="H51" s="43">
        <v>1361.4225991576122</v>
      </c>
      <c r="I51" s="43">
        <v>11882</v>
      </c>
      <c r="J51" s="43">
        <v>29306</v>
      </c>
      <c r="K51" s="43">
        <v>498617.12294565397</v>
      </c>
      <c r="L51" s="43">
        <v>586390.24411865522</v>
      </c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42"/>
      <c r="Y51" s="42"/>
      <c r="Z51" s="44"/>
      <c r="AB51" s="45"/>
      <c r="AD51" s="47"/>
    </row>
    <row r="52" spans="1:32" x14ac:dyDescent="0.6">
      <c r="A52" s="17"/>
      <c r="B52" s="28" t="s">
        <v>24</v>
      </c>
      <c r="C52" s="43">
        <v>914188.33170792577</v>
      </c>
      <c r="D52" s="43">
        <v>7639.307818852355</v>
      </c>
      <c r="E52" s="43">
        <v>11831.011222013953</v>
      </c>
      <c r="F52" s="43">
        <v>59</v>
      </c>
      <c r="G52" s="43">
        <v>1</v>
      </c>
      <c r="H52" s="43">
        <v>1113.4045896125165</v>
      </c>
      <c r="I52" s="43">
        <v>11649</v>
      </c>
      <c r="J52" s="43">
        <v>27223</v>
      </c>
      <c r="K52" s="43">
        <v>533580.76340651233</v>
      </c>
      <c r="L52" s="43">
        <v>616346.12091354385</v>
      </c>
      <c r="M52" s="48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42"/>
      <c r="Y52" s="42"/>
      <c r="Z52" s="49"/>
      <c r="AB52" s="45"/>
    </row>
    <row r="53" spans="1:32" x14ac:dyDescent="0.6">
      <c r="A53" s="17"/>
      <c r="B53" s="28" t="s">
        <v>25</v>
      </c>
      <c r="C53" s="43">
        <v>752016.3936038306</v>
      </c>
      <c r="D53" s="43">
        <v>3826.4590958262747</v>
      </c>
      <c r="E53" s="43">
        <v>9990.0256127922858</v>
      </c>
      <c r="F53" s="43">
        <v>51</v>
      </c>
      <c r="G53" s="43">
        <v>1</v>
      </c>
      <c r="H53" s="43">
        <v>620.04502386273953</v>
      </c>
      <c r="I53" s="43">
        <v>9193</v>
      </c>
      <c r="J53" s="43">
        <v>23864</v>
      </c>
      <c r="K53" s="43">
        <v>458953.03638647136</v>
      </c>
      <c r="L53" s="43">
        <v>533254.85826712416</v>
      </c>
      <c r="M53" s="48"/>
      <c r="N53" s="31"/>
      <c r="O53" s="31"/>
      <c r="P53" s="31"/>
      <c r="Q53" s="31"/>
      <c r="R53" s="31"/>
      <c r="S53" s="31"/>
      <c r="T53" s="31"/>
      <c r="U53" s="31"/>
      <c r="V53" s="31"/>
      <c r="W53" s="31"/>
      <c r="Y53" s="42"/>
      <c r="AB53" s="45"/>
    </row>
    <row r="54" spans="1:32" x14ac:dyDescent="0.6">
      <c r="A54" s="17"/>
      <c r="B54" s="28" t="s">
        <v>26</v>
      </c>
      <c r="C54" s="43">
        <v>874037.42671892652</v>
      </c>
      <c r="D54" s="43">
        <v>3246.0739128465275</v>
      </c>
      <c r="E54" s="43">
        <v>12272.26332835121</v>
      </c>
      <c r="F54" s="43">
        <v>54</v>
      </c>
      <c r="G54" s="43">
        <v>0</v>
      </c>
      <c r="H54" s="43">
        <v>386.30143213318877</v>
      </c>
      <c r="I54" s="43">
        <v>8838</v>
      </c>
      <c r="J54" s="43">
        <v>19584</v>
      </c>
      <c r="K54" s="43">
        <v>482213.11201165582</v>
      </c>
      <c r="L54" s="43">
        <v>614907.42796750274</v>
      </c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42"/>
      <c r="Y54" s="42"/>
      <c r="Z54" s="49"/>
      <c r="AB54" s="45"/>
    </row>
    <row r="55" spans="1:32" x14ac:dyDescent="0.6">
      <c r="A55" s="17"/>
      <c r="B55" s="28" t="s">
        <v>27</v>
      </c>
      <c r="C55" s="43">
        <v>1222207.9763920987</v>
      </c>
      <c r="D55" s="43">
        <v>3600.9157751373277</v>
      </c>
      <c r="E55" s="43">
        <v>17689.046911886497</v>
      </c>
      <c r="F55" s="43">
        <v>41</v>
      </c>
      <c r="G55" s="43">
        <v>1</v>
      </c>
      <c r="H55" s="43">
        <v>423.77177889899463</v>
      </c>
      <c r="I55" s="43">
        <v>7865</v>
      </c>
      <c r="J55" s="43">
        <v>19801</v>
      </c>
      <c r="K55" s="43">
        <v>530905.61255474971</v>
      </c>
      <c r="L55" s="43">
        <v>607522.18612386135</v>
      </c>
      <c r="M55" s="48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42"/>
      <c r="Y55" s="42"/>
      <c r="Z55" s="44"/>
      <c r="AB55" s="45"/>
    </row>
    <row r="56" spans="1:32" x14ac:dyDescent="0.6">
      <c r="A56" s="17"/>
      <c r="B56" s="28" t="s">
        <v>28</v>
      </c>
      <c r="C56" s="43">
        <v>1647698.5711641975</v>
      </c>
      <c r="D56" s="43">
        <v>4969.7304110426621</v>
      </c>
      <c r="E56" s="43">
        <v>23582.148994315645</v>
      </c>
      <c r="F56" s="43">
        <v>34</v>
      </c>
      <c r="G56" s="43">
        <v>1</v>
      </c>
      <c r="H56" s="43">
        <v>582.57467709693367</v>
      </c>
      <c r="I56" s="43">
        <v>7759</v>
      </c>
      <c r="J56" s="43">
        <v>18302</v>
      </c>
      <c r="K56" s="43">
        <v>628843.60729956394</v>
      </c>
      <c r="L56" s="43">
        <v>698733.7146836688</v>
      </c>
      <c r="M56" s="48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42"/>
      <c r="Y56" s="42"/>
      <c r="Z56" s="49"/>
      <c r="AB56" s="45"/>
    </row>
    <row r="57" spans="1:32" x14ac:dyDescent="0.6">
      <c r="A57" s="17"/>
      <c r="B57" s="28" t="s">
        <v>29</v>
      </c>
      <c r="C57" s="43">
        <v>1590636.2955444867</v>
      </c>
      <c r="D57" s="43">
        <v>4647.9423112666209</v>
      </c>
      <c r="E57" s="43">
        <v>20855.736973039748</v>
      </c>
      <c r="F57" s="43">
        <v>37</v>
      </c>
      <c r="G57" s="43">
        <v>1</v>
      </c>
      <c r="H57" s="43">
        <v>527.26130806169647</v>
      </c>
      <c r="I57" s="43">
        <v>8575</v>
      </c>
      <c r="J57" s="43">
        <v>17475</v>
      </c>
      <c r="K57" s="43">
        <v>599871.31851592509</v>
      </c>
      <c r="L57" s="43">
        <v>719568.876136904</v>
      </c>
      <c r="M57" s="48"/>
      <c r="N57" s="31"/>
      <c r="O57" s="31"/>
      <c r="P57" s="31"/>
      <c r="Q57" s="31"/>
      <c r="R57" s="31"/>
      <c r="S57" s="31"/>
      <c r="T57" s="31"/>
      <c r="U57" s="31"/>
      <c r="V57" s="31"/>
      <c r="W57" s="31"/>
      <c r="AB57" s="45"/>
    </row>
    <row r="58" spans="1:32" x14ac:dyDescent="0.6">
      <c r="A58" s="17"/>
      <c r="B58" s="28" t="s">
        <v>30</v>
      </c>
      <c r="C58" s="43">
        <v>1154054.7508688059</v>
      </c>
      <c r="D58" s="43">
        <v>3562.0289957081991</v>
      </c>
      <c r="E58" s="43">
        <v>15520.774972136533</v>
      </c>
      <c r="F58" s="43">
        <v>42</v>
      </c>
      <c r="G58" s="43">
        <v>0</v>
      </c>
      <c r="H58" s="43">
        <v>410.38951219692109</v>
      </c>
      <c r="I58" s="43">
        <v>9258</v>
      </c>
      <c r="J58" s="43">
        <v>21614</v>
      </c>
      <c r="K58" s="43">
        <v>529600.61796544353</v>
      </c>
      <c r="L58" s="43">
        <v>617392.50934616884</v>
      </c>
      <c r="M58" s="48"/>
      <c r="N58" s="31"/>
      <c r="O58" s="31"/>
      <c r="P58" s="31"/>
      <c r="Q58" s="31"/>
      <c r="R58" s="31"/>
      <c r="S58" s="31"/>
      <c r="T58" s="31"/>
      <c r="U58" s="31"/>
      <c r="V58" s="31"/>
      <c r="W58" s="31"/>
      <c r="AB58" s="45"/>
    </row>
    <row r="59" spans="1:32" x14ac:dyDescent="0.6">
      <c r="A59" s="17"/>
      <c r="B59" s="28" t="s">
        <v>31</v>
      </c>
      <c r="C59" s="43">
        <v>828786.54715208046</v>
      </c>
      <c r="D59" s="43">
        <v>4116.1656025732846</v>
      </c>
      <c r="E59" s="43">
        <v>11069.29125036774</v>
      </c>
      <c r="F59" s="43">
        <v>25</v>
      </c>
      <c r="G59" s="43">
        <v>0</v>
      </c>
      <c r="H59" s="43">
        <v>439.83049894148286</v>
      </c>
      <c r="I59" s="43">
        <v>10722</v>
      </c>
      <c r="J59" s="43">
        <v>23241</v>
      </c>
      <c r="K59" s="43">
        <v>475303.33296827815</v>
      </c>
      <c r="L59" s="43">
        <v>585639.17785691051</v>
      </c>
      <c r="M59" s="48"/>
      <c r="N59" s="31"/>
      <c r="O59" s="31"/>
      <c r="P59" s="31"/>
      <c r="Q59" s="31"/>
      <c r="R59" s="31"/>
      <c r="S59" s="31"/>
      <c r="T59" s="31"/>
      <c r="U59" s="31"/>
      <c r="V59" s="31"/>
      <c r="W59" s="31"/>
      <c r="AB59" s="45"/>
    </row>
    <row r="60" spans="1:32" x14ac:dyDescent="0.6">
      <c r="A60" s="17"/>
      <c r="B60" s="28" t="s">
        <v>32</v>
      </c>
      <c r="C60" s="43">
        <v>850672.42690879095</v>
      </c>
      <c r="D60" s="43">
        <v>7473.0668367928292</v>
      </c>
      <c r="E60" s="43">
        <v>10275.427085544639</v>
      </c>
      <c r="F60" s="43">
        <v>53</v>
      </c>
      <c r="G60" s="43">
        <v>0</v>
      </c>
      <c r="H60" s="43">
        <v>683.38775291922082</v>
      </c>
      <c r="I60" s="43">
        <v>11426</v>
      </c>
      <c r="J60" s="43">
        <v>25784</v>
      </c>
      <c r="K60" s="43">
        <v>460826.87477111619</v>
      </c>
      <c r="L60" s="43">
        <v>568396.00903023314</v>
      </c>
      <c r="M60" s="48"/>
      <c r="N60" s="31"/>
      <c r="O60" s="31"/>
      <c r="P60" s="31"/>
      <c r="Q60" s="31"/>
      <c r="R60" s="31"/>
      <c r="S60" s="31"/>
      <c r="T60" s="31"/>
      <c r="U60" s="31"/>
      <c r="V60" s="31"/>
      <c r="W60" s="31"/>
      <c r="AB60" s="45"/>
    </row>
    <row r="61" spans="1:32" x14ac:dyDescent="0.6">
      <c r="A61" s="17"/>
      <c r="B61" s="28" t="s">
        <v>33</v>
      </c>
      <c r="C61" s="43">
        <v>1064630.2302630888</v>
      </c>
      <c r="D61" s="43">
        <v>10017.234380943582</v>
      </c>
      <c r="E61" s="43">
        <v>12590.783060740356</v>
      </c>
      <c r="F61" s="43">
        <v>52</v>
      </c>
      <c r="G61" s="43">
        <v>1</v>
      </c>
      <c r="H61" s="43">
        <v>1048.277558329092</v>
      </c>
      <c r="I61" s="43">
        <v>10253</v>
      </c>
      <c r="J61" s="43">
        <v>23848</v>
      </c>
      <c r="K61" s="43">
        <v>500710.22155481786</v>
      </c>
      <c r="L61" s="43">
        <v>607595.8343689451</v>
      </c>
      <c r="M61" s="48"/>
      <c r="N61" s="31"/>
      <c r="O61" s="31"/>
      <c r="P61" s="31"/>
      <c r="Q61" s="31"/>
      <c r="R61" s="31"/>
      <c r="S61" s="31"/>
      <c r="T61" s="31"/>
      <c r="U61" s="31"/>
      <c r="V61" s="31"/>
      <c r="W61" s="31"/>
      <c r="AB61" s="45"/>
    </row>
    <row r="62" spans="1:32" x14ac:dyDescent="0.6">
      <c r="A62" s="17"/>
      <c r="B62" s="50"/>
      <c r="C62" s="42">
        <f>SUM(C50:C61)</f>
        <v>12963509.029826313</v>
      </c>
      <c r="D62" s="42">
        <f t="shared" ref="D62:L62" si="0">SUM(D50:D61)</f>
        <v>75493.821414224949</v>
      </c>
      <c r="E62" s="42">
        <f t="shared" si="0"/>
        <v>172120.46566470704</v>
      </c>
      <c r="F62" s="42">
        <f t="shared" si="0"/>
        <v>556</v>
      </c>
      <c r="G62" s="42">
        <f t="shared" si="0"/>
        <v>8</v>
      </c>
      <c r="H62" s="42">
        <f t="shared" si="0"/>
        <v>9253.3913489270981</v>
      </c>
      <c r="I62" s="42">
        <f t="shared" si="0"/>
        <v>122330</v>
      </c>
      <c r="J62" s="42">
        <f t="shared" si="0"/>
        <v>281193</v>
      </c>
      <c r="K62" s="42">
        <f t="shared" si="0"/>
        <v>6231072.6671078093</v>
      </c>
      <c r="L62" s="42">
        <f t="shared" si="0"/>
        <v>7396896.4961282723</v>
      </c>
      <c r="M62" s="42">
        <f>SUM(C62:L62)</f>
        <v>27252432.871490251</v>
      </c>
      <c r="N62" s="31"/>
      <c r="O62" s="31"/>
      <c r="P62" s="31"/>
      <c r="Q62" s="31"/>
      <c r="R62" s="31"/>
      <c r="S62" s="31"/>
      <c r="T62" s="31"/>
      <c r="U62" s="31"/>
      <c r="V62" s="31"/>
      <c r="W62" s="31"/>
      <c r="AB62" s="42"/>
    </row>
    <row r="63" spans="1:32" s="56" customFormat="1" ht="11.75" x14ac:dyDescent="0.55000000000000004">
      <c r="A63" s="51"/>
      <c r="B63" s="52"/>
      <c r="C63" s="53">
        <v>12961995.705387343</v>
      </c>
      <c r="D63" s="53">
        <v>75855.539460314103</v>
      </c>
      <c r="E63" s="53">
        <v>172027.46137510802</v>
      </c>
      <c r="F63" s="53">
        <v>556</v>
      </c>
      <c r="G63" s="53">
        <v>8</v>
      </c>
      <c r="H63" s="53">
        <v>9237.4331099510491</v>
      </c>
      <c r="I63" s="53">
        <v>122330</v>
      </c>
      <c r="J63" s="53">
        <v>281193</v>
      </c>
      <c r="K63" s="53">
        <v>6213325.9133566646</v>
      </c>
      <c r="L63" s="53">
        <v>7402994.644912825</v>
      </c>
      <c r="M63" s="54">
        <f>SUM(C63:L63)</f>
        <v>27239523.697602205</v>
      </c>
      <c r="N63" s="55"/>
      <c r="O63" s="55"/>
      <c r="P63" s="55"/>
      <c r="Q63" s="55"/>
      <c r="R63" s="55"/>
      <c r="S63" s="55"/>
      <c r="T63" s="55"/>
      <c r="U63" s="55"/>
      <c r="V63" s="55"/>
      <c r="W63" s="55"/>
      <c r="AB63" s="57"/>
    </row>
    <row r="64" spans="1:32" x14ac:dyDescent="0.6">
      <c r="A64" s="17"/>
      <c r="B64" s="13" t="s">
        <v>39</v>
      </c>
      <c r="C64" s="58" t="s">
        <v>40</v>
      </c>
      <c r="D64" s="58" t="s">
        <v>40</v>
      </c>
      <c r="L64" s="42"/>
      <c r="M64" s="54"/>
      <c r="N64" s="31"/>
      <c r="O64" s="31"/>
      <c r="P64" s="31"/>
      <c r="Q64" s="31"/>
      <c r="R64" s="31"/>
      <c r="S64" s="31"/>
      <c r="T64" s="31"/>
      <c r="U64" s="31"/>
      <c r="V64" s="31"/>
      <c r="W64" s="31"/>
      <c r="Y64" s="8"/>
      <c r="Z64" s="8"/>
      <c r="AB64" s="59"/>
    </row>
    <row r="65" spans="1:26" x14ac:dyDescent="0.6">
      <c r="A65" s="17"/>
      <c r="B65" s="60" t="s">
        <v>41</v>
      </c>
      <c r="C65" s="61" t="s">
        <v>42</v>
      </c>
      <c r="D65" s="61" t="s">
        <v>43</v>
      </c>
      <c r="E65" s="62"/>
      <c r="F65" s="62"/>
      <c r="G65" s="62"/>
      <c r="H65" s="62"/>
      <c r="I65" s="62"/>
      <c r="J65" s="62"/>
      <c r="N65" s="31"/>
      <c r="O65" s="31"/>
      <c r="P65" s="31"/>
      <c r="Q65" s="31"/>
      <c r="R65" s="31"/>
      <c r="S65" s="31"/>
      <c r="T65" s="31"/>
      <c r="U65" s="31"/>
      <c r="V65" s="31"/>
      <c r="W65" s="31"/>
    </row>
    <row r="66" spans="1:26" x14ac:dyDescent="0.6">
      <c r="A66" s="17"/>
      <c r="C66" s="63">
        <v>0.30588013609657833</v>
      </c>
      <c r="D66" s="63">
        <v>0.2897106941926979</v>
      </c>
      <c r="E66" s="62"/>
      <c r="F66" s="62"/>
      <c r="G66" s="62"/>
      <c r="H66" s="62"/>
      <c r="I66" s="62"/>
      <c r="J66" s="62"/>
      <c r="N66" s="31"/>
      <c r="O66" s="31"/>
      <c r="P66" s="31"/>
      <c r="Q66" s="31"/>
      <c r="R66" s="31"/>
      <c r="S66" s="31"/>
      <c r="T66" s="31"/>
      <c r="U66" s="31"/>
      <c r="V66" s="31"/>
      <c r="W66" s="31"/>
    </row>
    <row r="67" spans="1:26" x14ac:dyDescent="0.6">
      <c r="A67" s="17"/>
      <c r="C67" s="62"/>
      <c r="D67" s="62"/>
      <c r="E67" s="62"/>
      <c r="F67" s="62"/>
      <c r="G67" s="62"/>
      <c r="H67" s="62"/>
      <c r="I67" s="62"/>
      <c r="J67" s="62"/>
      <c r="K67" s="62"/>
      <c r="N67" s="31"/>
      <c r="O67" s="31"/>
      <c r="P67" s="31"/>
      <c r="Q67" s="31"/>
      <c r="R67" s="31"/>
      <c r="S67" s="31"/>
      <c r="T67" s="31"/>
      <c r="U67" s="31"/>
      <c r="V67" s="31"/>
      <c r="W67" s="31"/>
    </row>
    <row r="68" spans="1:26" x14ac:dyDescent="0.6">
      <c r="A68" s="17"/>
      <c r="C68" s="62"/>
      <c r="D68" s="62"/>
      <c r="E68" s="62"/>
      <c r="F68" s="62"/>
      <c r="G68" s="62"/>
      <c r="H68" s="62"/>
      <c r="I68" s="62"/>
      <c r="J68" s="62"/>
      <c r="K68" s="62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 spans="1:26" x14ac:dyDescent="0.6">
      <c r="A69" s="17"/>
      <c r="B69" s="13"/>
      <c r="N69" s="31"/>
      <c r="O69" s="31"/>
      <c r="P69" s="31"/>
      <c r="Q69" s="31"/>
      <c r="R69" s="31"/>
      <c r="S69" s="31"/>
      <c r="T69" s="31"/>
      <c r="U69" s="31"/>
      <c r="V69" s="31"/>
      <c r="W69" s="31"/>
    </row>
    <row r="70" spans="1:26" x14ac:dyDescent="0.6">
      <c r="A70" s="64" t="s">
        <v>44</v>
      </c>
      <c r="B70" s="13" t="s">
        <v>45</v>
      </c>
      <c r="E70" s="405" t="s">
        <v>46</v>
      </c>
      <c r="F70" s="13" t="s">
        <v>47</v>
      </c>
      <c r="N70" s="31"/>
      <c r="O70" s="31"/>
      <c r="P70" s="31"/>
      <c r="Q70" s="31"/>
      <c r="R70" s="31"/>
      <c r="S70" s="31"/>
      <c r="T70" s="31"/>
      <c r="U70" s="31"/>
      <c r="V70" s="31"/>
      <c r="W70" s="31"/>
    </row>
    <row r="71" spans="1:26" x14ac:dyDescent="0.6">
      <c r="A71" s="17"/>
      <c r="B71" s="14" t="s">
        <v>48</v>
      </c>
      <c r="F71" s="8" t="s">
        <v>49</v>
      </c>
      <c r="G71" s="406" t="s">
        <v>50</v>
      </c>
      <c r="H71" s="407"/>
      <c r="I71" s="407"/>
      <c r="J71" s="408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65"/>
      <c r="Y71" s="42"/>
      <c r="Z71" s="44"/>
    </row>
    <row r="72" spans="1:26" x14ac:dyDescent="0.6">
      <c r="A72" s="17"/>
      <c r="B72" s="66" t="s">
        <v>51</v>
      </c>
      <c r="C72" s="8" t="s">
        <v>52</v>
      </c>
      <c r="F72" s="8" t="s">
        <v>53</v>
      </c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42"/>
      <c r="Y72" s="42"/>
      <c r="Z72" s="49"/>
    </row>
    <row r="73" spans="1:26" ht="13.25" x14ac:dyDescent="0.6">
      <c r="A73" s="17"/>
      <c r="B73" s="28" t="s">
        <v>22</v>
      </c>
      <c r="C73" s="67">
        <v>75.400000000000006</v>
      </c>
      <c r="E73" s="68" t="s">
        <v>54</v>
      </c>
      <c r="F73" s="404">
        <v>0.60545507584597424</v>
      </c>
      <c r="I73" s="69"/>
      <c r="K73" s="14"/>
      <c r="N73" s="31"/>
      <c r="O73" s="31"/>
      <c r="P73" s="31"/>
      <c r="Q73" s="31"/>
      <c r="R73" s="31"/>
      <c r="S73" s="31"/>
      <c r="T73" s="31"/>
      <c r="U73" s="31"/>
      <c r="V73" s="31"/>
      <c r="W73" s="31"/>
      <c r="Y73" s="42"/>
    </row>
    <row r="74" spans="1:26" ht="13.25" x14ac:dyDescent="0.6">
      <c r="A74" s="17"/>
      <c r="B74" s="28" t="s">
        <v>23</v>
      </c>
      <c r="C74" s="67">
        <v>64.900000000000006</v>
      </c>
      <c r="D74" s="70"/>
      <c r="E74" s="68" t="s">
        <v>55</v>
      </c>
      <c r="F74" s="404">
        <v>0.81660495030208535</v>
      </c>
      <c r="I74" s="69"/>
      <c r="K74" s="14"/>
      <c r="N74" s="31"/>
      <c r="O74" s="31"/>
      <c r="P74" s="31"/>
      <c r="Q74" s="31"/>
      <c r="R74" s="31"/>
      <c r="S74" s="31"/>
      <c r="T74" s="31"/>
      <c r="U74" s="31"/>
      <c r="V74" s="31"/>
      <c r="W74" s="31"/>
      <c r="Y74" s="42"/>
    </row>
    <row r="75" spans="1:26" x14ac:dyDescent="0.6">
      <c r="A75" s="17"/>
      <c r="B75" s="28" t="s">
        <v>24</v>
      </c>
      <c r="C75" s="67">
        <v>49.65</v>
      </c>
      <c r="D75" s="70"/>
      <c r="E75" s="71"/>
      <c r="H75" s="72"/>
      <c r="I75" s="73"/>
      <c r="J75" s="14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65"/>
      <c r="Y75" s="42"/>
      <c r="Z75" s="44"/>
    </row>
    <row r="76" spans="1:26" x14ac:dyDescent="0.6">
      <c r="A76" s="17"/>
      <c r="B76" s="28" t="s">
        <v>25</v>
      </c>
      <c r="C76" s="67">
        <v>46.2</v>
      </c>
      <c r="D76" s="70"/>
      <c r="E76" s="71"/>
      <c r="H76" s="72"/>
      <c r="I76" s="73"/>
      <c r="J76" s="14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42"/>
      <c r="Y76" s="42"/>
      <c r="Z76" s="49"/>
    </row>
    <row r="77" spans="1:26" x14ac:dyDescent="0.6">
      <c r="A77" s="17"/>
      <c r="B77" s="28" t="s">
        <v>26</v>
      </c>
      <c r="C77" s="67">
        <v>49.95</v>
      </c>
      <c r="D77" s="70"/>
      <c r="E77" s="71"/>
      <c r="H77" s="72"/>
      <c r="I77" s="73"/>
      <c r="N77" s="31"/>
      <c r="O77" s="31"/>
      <c r="P77" s="31"/>
      <c r="Q77" s="31"/>
      <c r="R77" s="31"/>
      <c r="S77" s="31"/>
      <c r="T77" s="31"/>
      <c r="U77" s="31"/>
      <c r="V77" s="31"/>
      <c r="W77" s="31"/>
      <c r="Y77" s="42"/>
    </row>
    <row r="78" spans="1:26" x14ac:dyDescent="0.6">
      <c r="A78" s="17"/>
      <c r="B78" s="28" t="s">
        <v>27</v>
      </c>
      <c r="C78" s="67">
        <v>49.55</v>
      </c>
      <c r="F78" s="416" t="s">
        <v>56</v>
      </c>
      <c r="G78" s="417"/>
      <c r="I78" s="69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42"/>
      <c r="Y78" s="42"/>
      <c r="Z78" s="44"/>
    </row>
    <row r="79" spans="1:26" x14ac:dyDescent="0.6">
      <c r="A79" s="17"/>
      <c r="B79" s="28" t="s">
        <v>28</v>
      </c>
      <c r="C79" s="67">
        <v>68.7</v>
      </c>
      <c r="D79" s="74"/>
      <c r="E79" s="25"/>
      <c r="F79" s="25" t="s">
        <v>52</v>
      </c>
      <c r="G79" s="25" t="s">
        <v>57</v>
      </c>
      <c r="H79" s="75"/>
      <c r="I79" s="69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42"/>
      <c r="Y79" s="42"/>
      <c r="Z79" s="49"/>
    </row>
    <row r="80" spans="1:26" ht="13.25" x14ac:dyDescent="0.6">
      <c r="A80" s="17"/>
      <c r="B80" s="28" t="s">
        <v>29</v>
      </c>
      <c r="C80" s="67">
        <v>60.45</v>
      </c>
      <c r="D80" s="74"/>
      <c r="E80" s="68" t="s">
        <v>54</v>
      </c>
      <c r="F80" s="409">
        <v>0.8048579662412515</v>
      </c>
      <c r="G80" s="409">
        <v>0.87972819932049839</v>
      </c>
      <c r="H80" s="75"/>
      <c r="I80" s="69"/>
      <c r="N80" s="31"/>
      <c r="O80" s="31"/>
      <c r="P80" s="31"/>
      <c r="Q80" s="31"/>
      <c r="R80" s="31"/>
      <c r="S80" s="31"/>
      <c r="T80" s="31"/>
      <c r="U80" s="31"/>
      <c r="V80" s="31"/>
      <c r="W80" s="31"/>
    </row>
    <row r="81" spans="1:23" ht="13.25" x14ac:dyDescent="0.6">
      <c r="A81" s="17"/>
      <c r="B81" s="28" t="s">
        <v>30</v>
      </c>
      <c r="C81" s="67">
        <v>50.35</v>
      </c>
      <c r="D81" s="74"/>
      <c r="E81" s="68" t="s">
        <v>55</v>
      </c>
      <c r="F81" s="409">
        <v>0.81943118915823632</v>
      </c>
      <c r="G81" s="409">
        <v>0.88228545204222131</v>
      </c>
      <c r="H81" s="75"/>
      <c r="I81" s="69"/>
      <c r="N81" s="31"/>
      <c r="O81" s="31"/>
      <c r="P81" s="31"/>
      <c r="Q81" s="31"/>
      <c r="R81" s="31"/>
      <c r="S81" s="31"/>
      <c r="T81" s="31"/>
      <c r="U81" s="31"/>
      <c r="V81" s="31"/>
      <c r="W81" s="31"/>
    </row>
    <row r="82" spans="1:23" x14ac:dyDescent="0.6">
      <c r="A82" s="17"/>
      <c r="B82" s="28" t="s">
        <v>31</v>
      </c>
      <c r="C82" s="67">
        <v>48.2</v>
      </c>
      <c r="D82" s="74"/>
      <c r="E82" s="71"/>
      <c r="H82" s="72"/>
      <c r="I82" s="73"/>
      <c r="N82" s="31"/>
      <c r="O82" s="31"/>
      <c r="P82" s="31"/>
      <c r="Q82" s="31"/>
      <c r="R82" s="31"/>
      <c r="S82" s="31"/>
      <c r="T82" s="31"/>
      <c r="U82" s="31"/>
      <c r="V82" s="31"/>
      <c r="W82" s="31"/>
    </row>
    <row r="83" spans="1:23" x14ac:dyDescent="0.6">
      <c r="A83" s="17"/>
      <c r="B83" s="28" t="s">
        <v>32</v>
      </c>
      <c r="C83" s="67">
        <v>47.95</v>
      </c>
      <c r="D83" s="70"/>
      <c r="E83" s="71"/>
      <c r="H83" s="72"/>
      <c r="I83" s="73"/>
      <c r="N83" s="31"/>
      <c r="O83" s="31"/>
      <c r="P83" s="31"/>
      <c r="Q83" s="31"/>
      <c r="R83" s="31"/>
      <c r="S83" s="31"/>
      <c r="T83" s="31"/>
      <c r="U83" s="31"/>
      <c r="V83" s="31"/>
      <c r="W83" s="31"/>
    </row>
    <row r="84" spans="1:23" x14ac:dyDescent="0.6">
      <c r="A84" s="17"/>
      <c r="B84" s="28" t="s">
        <v>33</v>
      </c>
      <c r="C84" s="67">
        <v>56.5</v>
      </c>
      <c r="D84" s="70"/>
      <c r="E84" s="71"/>
      <c r="H84" s="72"/>
      <c r="I84" s="73"/>
      <c r="N84" s="31"/>
      <c r="O84" s="31"/>
      <c r="P84" s="31"/>
      <c r="Q84" s="31"/>
      <c r="R84" s="31"/>
      <c r="S84" s="31"/>
      <c r="T84" s="31"/>
      <c r="U84" s="31"/>
      <c r="V84" s="31"/>
      <c r="W84" s="31"/>
    </row>
    <row r="85" spans="1:23" x14ac:dyDescent="0.6">
      <c r="A85" s="17"/>
      <c r="B85" s="32"/>
      <c r="C85" s="76"/>
      <c r="D85" s="76"/>
      <c r="G85" s="35"/>
      <c r="K85" s="35"/>
      <c r="N85" s="31"/>
      <c r="O85" s="31"/>
      <c r="P85" s="31"/>
      <c r="Q85" s="31"/>
      <c r="R85" s="31"/>
      <c r="S85" s="31"/>
      <c r="T85" s="31"/>
      <c r="U85" s="31"/>
      <c r="V85" s="31"/>
      <c r="W85" s="31"/>
    </row>
    <row r="86" spans="1:23" x14ac:dyDescent="0.6">
      <c r="A86" s="17"/>
      <c r="B86" s="77"/>
      <c r="C86" s="77"/>
      <c r="D86" s="76"/>
      <c r="G86" s="35"/>
      <c r="K86" s="35"/>
      <c r="N86" s="31"/>
      <c r="O86" s="31"/>
      <c r="P86" s="31"/>
      <c r="Q86" s="31"/>
      <c r="R86" s="31"/>
      <c r="S86" s="31"/>
      <c r="T86" s="31"/>
      <c r="U86" s="31"/>
      <c r="V86" s="31"/>
      <c r="W86" s="31"/>
    </row>
    <row r="87" spans="1:23" x14ac:dyDescent="0.6">
      <c r="A87" s="17"/>
      <c r="E87" s="78"/>
      <c r="F87" s="78"/>
      <c r="G87" s="78"/>
      <c r="H87" s="78"/>
      <c r="I87" s="78"/>
      <c r="J87" s="78"/>
      <c r="K87" s="78"/>
      <c r="L87" s="78"/>
      <c r="M87" s="78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 spans="1:23" x14ac:dyDescent="0.6">
      <c r="A88" s="3" t="s">
        <v>58</v>
      </c>
      <c r="B88" s="5" t="s">
        <v>59</v>
      </c>
      <c r="C88" s="5" t="s">
        <v>60</v>
      </c>
      <c r="D88" s="5" t="s">
        <v>61</v>
      </c>
      <c r="E88" s="78"/>
      <c r="F88" s="78"/>
      <c r="G88" s="78"/>
      <c r="H88" s="78"/>
      <c r="I88" s="78"/>
      <c r="J88" s="78"/>
      <c r="K88" s="78"/>
      <c r="L88" s="78"/>
      <c r="M88" s="78"/>
      <c r="N88" s="31"/>
      <c r="O88" s="31"/>
      <c r="P88" s="31"/>
      <c r="Q88" s="31"/>
      <c r="R88" s="31"/>
      <c r="S88" s="31"/>
      <c r="T88" s="31"/>
      <c r="U88" s="31"/>
      <c r="V88" s="31"/>
      <c r="W88" s="31"/>
    </row>
    <row r="89" spans="1:23" x14ac:dyDescent="0.6">
      <c r="A89" s="17"/>
      <c r="B89" s="5" t="s">
        <v>62</v>
      </c>
      <c r="C89" s="79">
        <v>5.8326999999999997E-2</v>
      </c>
      <c r="D89" s="18" t="s">
        <v>63</v>
      </c>
      <c r="E89" s="80"/>
      <c r="F89" s="80"/>
      <c r="G89" s="80"/>
      <c r="H89" s="80"/>
      <c r="I89" s="80"/>
      <c r="J89" s="80"/>
      <c r="K89" s="80"/>
      <c r="L89" s="80"/>
      <c r="M89" s="78"/>
      <c r="N89" s="31"/>
      <c r="O89" s="31"/>
      <c r="P89" s="31"/>
      <c r="Q89" s="31"/>
      <c r="R89" s="31"/>
      <c r="S89" s="31"/>
      <c r="T89" s="31"/>
      <c r="U89" s="31"/>
      <c r="V89" s="31"/>
      <c r="W89" s="31"/>
    </row>
    <row r="90" spans="1:23" x14ac:dyDescent="0.6">
      <c r="A90" s="17"/>
      <c r="B90" s="5" t="s">
        <v>64</v>
      </c>
      <c r="C90" s="79">
        <v>4.5599999999999998E-3</v>
      </c>
      <c r="D90" s="81" t="s">
        <v>65</v>
      </c>
      <c r="E90" s="82"/>
      <c r="F90" s="82"/>
      <c r="G90" s="82"/>
      <c r="H90" s="82"/>
      <c r="I90" s="82"/>
      <c r="J90" s="82"/>
      <c r="K90" s="82"/>
      <c r="L90" s="82"/>
      <c r="M90" s="78"/>
      <c r="N90" s="31"/>
      <c r="O90" s="31"/>
      <c r="P90" s="31"/>
      <c r="Q90" s="31"/>
      <c r="R90" s="31"/>
      <c r="S90" s="31"/>
      <c r="T90" s="31"/>
      <c r="U90" s="31"/>
      <c r="V90" s="31"/>
      <c r="W90" s="31"/>
    </row>
    <row r="91" spans="1:23" x14ac:dyDescent="0.6">
      <c r="A91" s="17"/>
      <c r="B91" s="5" t="s">
        <v>66</v>
      </c>
      <c r="C91" s="79">
        <v>1.3639397377851185E-2</v>
      </c>
      <c r="D91" s="83" t="s">
        <v>67</v>
      </c>
      <c r="E91" s="82"/>
      <c r="F91" s="82"/>
      <c r="G91" s="82"/>
      <c r="H91" s="82"/>
      <c r="I91" s="82"/>
      <c r="J91" s="82"/>
      <c r="K91" s="82"/>
      <c r="L91" s="82"/>
      <c r="M91" s="78"/>
      <c r="N91" s="31"/>
      <c r="O91" s="31"/>
      <c r="P91" s="31"/>
      <c r="Q91" s="31"/>
      <c r="R91" s="31"/>
      <c r="S91" s="31"/>
      <c r="T91" s="31"/>
      <c r="U91" s="31"/>
      <c r="V91" s="31"/>
      <c r="W91" s="31"/>
    </row>
    <row r="92" spans="1:23" x14ac:dyDescent="0.6">
      <c r="A92" s="17"/>
      <c r="C92" s="84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31"/>
      <c r="O92" s="31"/>
      <c r="P92" s="31"/>
      <c r="Q92" s="31"/>
      <c r="R92" s="31"/>
      <c r="S92" s="31"/>
      <c r="T92" s="31"/>
      <c r="U92" s="31"/>
      <c r="V92" s="31"/>
      <c r="W92" s="31"/>
    </row>
    <row r="93" spans="1:23" x14ac:dyDescent="0.6">
      <c r="A93" s="17"/>
      <c r="N93" s="31"/>
      <c r="O93" s="31"/>
      <c r="P93" s="31"/>
      <c r="Q93" s="31"/>
      <c r="R93" s="31"/>
      <c r="S93" s="31"/>
      <c r="T93" s="31"/>
      <c r="U93" s="31"/>
      <c r="V93" s="31"/>
      <c r="W93" s="31"/>
    </row>
    <row r="94" spans="1:23" x14ac:dyDescent="0.6">
      <c r="A94" s="17"/>
      <c r="N94" s="31"/>
      <c r="O94" s="31"/>
      <c r="P94" s="31"/>
      <c r="Q94" s="31"/>
      <c r="R94" s="31"/>
      <c r="S94" s="31"/>
      <c r="T94" s="31"/>
      <c r="U94" s="31"/>
      <c r="V94" s="31"/>
      <c r="W94" s="31"/>
    </row>
    <row r="95" spans="1:23" x14ac:dyDescent="0.6">
      <c r="A95" s="17"/>
      <c r="N95" s="31"/>
      <c r="O95" s="31"/>
      <c r="P95" s="31"/>
      <c r="Q95" s="31"/>
      <c r="R95" s="31"/>
      <c r="S95" s="31"/>
      <c r="T95" s="31"/>
      <c r="U95" s="31"/>
      <c r="V95" s="31"/>
      <c r="W95" s="31"/>
    </row>
    <row r="96" spans="1:23" x14ac:dyDescent="0.6">
      <c r="A96" s="64" t="s">
        <v>68</v>
      </c>
      <c r="B96" s="13" t="s">
        <v>69</v>
      </c>
      <c r="L96" s="8"/>
      <c r="N96" s="31"/>
      <c r="O96" s="31"/>
      <c r="P96" s="31"/>
      <c r="Q96" s="31"/>
      <c r="R96" s="31"/>
      <c r="S96" s="31"/>
      <c r="T96" s="31"/>
      <c r="U96" s="31"/>
      <c r="V96" s="31"/>
      <c r="W96" s="31"/>
    </row>
    <row r="97" spans="1:23" x14ac:dyDescent="0.6">
      <c r="A97" s="17"/>
      <c r="B97" s="85" t="s">
        <v>70</v>
      </c>
      <c r="L97" s="8"/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 spans="1:23" x14ac:dyDescent="0.6">
      <c r="A98" s="17"/>
      <c r="B98" s="14" t="s">
        <v>71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31"/>
      <c r="O98" s="31"/>
      <c r="P98" s="31"/>
      <c r="Q98" s="31"/>
      <c r="R98" s="31"/>
      <c r="S98" s="31"/>
      <c r="T98" s="31"/>
      <c r="U98" s="31"/>
      <c r="V98" s="31"/>
      <c r="W98" s="31"/>
    </row>
    <row r="99" spans="1:23" ht="12.75" customHeight="1" x14ac:dyDescent="0.6">
      <c r="A99" s="17"/>
      <c r="B99" s="14"/>
      <c r="C99" s="8"/>
      <c r="D99" s="8"/>
      <c r="E99" s="8"/>
      <c r="F99" s="8"/>
      <c r="G99" s="8"/>
      <c r="H99" s="8"/>
      <c r="I99" s="8"/>
      <c r="J99" s="8"/>
      <c r="K99" s="8"/>
      <c r="M99" s="8"/>
      <c r="N99" s="31"/>
      <c r="O99" s="31"/>
      <c r="P99" s="31"/>
      <c r="Q99" s="31"/>
      <c r="R99" s="31"/>
      <c r="S99" s="31"/>
      <c r="T99" s="31"/>
      <c r="U99" s="31"/>
      <c r="V99" s="31"/>
      <c r="W99" s="31"/>
    </row>
    <row r="100" spans="1:23" x14ac:dyDescent="0.6">
      <c r="A100" s="17"/>
      <c r="B100" s="5"/>
      <c r="C100" s="25" t="s">
        <v>12</v>
      </c>
      <c r="D100" s="25" t="s">
        <v>13</v>
      </c>
      <c r="E100" s="25" t="s">
        <v>14</v>
      </c>
      <c r="F100" s="25" t="s">
        <v>15</v>
      </c>
      <c r="G100" s="25" t="s">
        <v>16</v>
      </c>
      <c r="H100" s="25" t="s">
        <v>17</v>
      </c>
      <c r="I100" s="25" t="s">
        <v>18</v>
      </c>
      <c r="J100" s="25" t="s">
        <v>19</v>
      </c>
      <c r="K100" s="25" t="s">
        <v>20</v>
      </c>
      <c r="L100" s="25" t="s">
        <v>21</v>
      </c>
      <c r="N100" s="31"/>
      <c r="O100" s="31"/>
      <c r="P100" s="31"/>
      <c r="Q100" s="31"/>
      <c r="R100" s="31"/>
      <c r="S100" s="31"/>
      <c r="T100" s="31"/>
      <c r="U100" s="31"/>
      <c r="V100" s="31"/>
      <c r="W100" s="31"/>
    </row>
    <row r="101" spans="1:23" x14ac:dyDescent="0.6">
      <c r="A101" s="86"/>
      <c r="B101" s="87" t="s">
        <v>72</v>
      </c>
      <c r="C101" s="88">
        <v>4373.7012211177444</v>
      </c>
      <c r="D101" s="88">
        <v>14.741968057168139</v>
      </c>
      <c r="E101" s="88">
        <v>62.308453294254917</v>
      </c>
      <c r="F101" s="88">
        <v>0</v>
      </c>
      <c r="G101" s="88">
        <v>0</v>
      </c>
      <c r="H101" s="88">
        <v>2.3291195765305455</v>
      </c>
      <c r="I101" s="88">
        <v>0</v>
      </c>
      <c r="J101" s="88">
        <v>0</v>
      </c>
      <c r="K101" s="88">
        <v>1747.5279487439136</v>
      </c>
      <c r="L101" s="88">
        <v>1274.6135020427903</v>
      </c>
      <c r="M101" s="89">
        <f>SUM(C101:L101)</f>
        <v>7475.222212832402</v>
      </c>
      <c r="N101" s="31"/>
      <c r="O101" s="31"/>
      <c r="P101" s="31"/>
      <c r="Q101" s="31"/>
      <c r="R101" s="31"/>
      <c r="S101" s="31"/>
      <c r="T101" s="31"/>
      <c r="U101" s="31"/>
      <c r="V101" s="31"/>
      <c r="W101" s="31"/>
    </row>
    <row r="102" spans="1:23" x14ac:dyDescent="0.6">
      <c r="A102" s="2"/>
      <c r="B102" s="87" t="s">
        <v>73</v>
      </c>
      <c r="C102" s="90">
        <v>4467.4395103739362</v>
      </c>
      <c r="D102" s="90">
        <v>15.121380698434363</v>
      </c>
      <c r="E102" s="90">
        <v>61.907096824438739</v>
      </c>
      <c r="F102" s="90">
        <v>0</v>
      </c>
      <c r="G102" s="90">
        <v>0</v>
      </c>
      <c r="H102" s="90">
        <v>2.3837579421471684</v>
      </c>
      <c r="I102" s="90">
        <v>0</v>
      </c>
      <c r="J102" s="90">
        <v>0</v>
      </c>
      <c r="K102" s="90">
        <v>1765.8050466595644</v>
      </c>
      <c r="L102" s="90">
        <v>1272.2775071358039</v>
      </c>
      <c r="M102" s="89">
        <f>SUM(C102:L102)</f>
        <v>7584.9342996343239</v>
      </c>
      <c r="N102" s="31"/>
      <c r="O102" s="31"/>
      <c r="P102" s="31"/>
      <c r="Q102" s="31"/>
      <c r="R102" s="31"/>
      <c r="S102" s="31"/>
      <c r="T102" s="31"/>
      <c r="U102" s="31"/>
      <c r="V102" s="31"/>
      <c r="W102" s="31"/>
    </row>
    <row r="103" spans="1:23" x14ac:dyDescent="0.6">
      <c r="A103" s="86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89"/>
      <c r="N103" s="31"/>
      <c r="O103" s="31"/>
      <c r="P103" s="31"/>
      <c r="Q103" s="31"/>
      <c r="R103" s="31"/>
      <c r="S103" s="31"/>
      <c r="T103" s="31"/>
      <c r="U103" s="31"/>
      <c r="V103" s="31"/>
      <c r="W103" s="31"/>
    </row>
    <row r="104" spans="1:23" x14ac:dyDescent="0.6">
      <c r="A104" s="92" t="s">
        <v>74</v>
      </c>
      <c r="B104" s="87" t="s">
        <v>75</v>
      </c>
      <c r="C104" s="93">
        <v>1.1193161113506478</v>
      </c>
      <c r="D104" s="94" t="s">
        <v>76</v>
      </c>
      <c r="E104" s="95"/>
      <c r="F104" s="95"/>
      <c r="G104" s="95"/>
      <c r="H104" s="95"/>
      <c r="I104" s="95"/>
      <c r="J104" s="95"/>
      <c r="K104" s="95"/>
      <c r="M104" s="95"/>
      <c r="N104" s="31"/>
      <c r="O104" s="31"/>
      <c r="P104" s="31"/>
      <c r="Q104" s="31"/>
      <c r="R104" s="31"/>
      <c r="S104" s="31"/>
      <c r="T104" s="31"/>
      <c r="U104" s="31"/>
      <c r="V104" s="31"/>
      <c r="W104" s="31"/>
    </row>
    <row r="105" spans="1:23" x14ac:dyDescent="0.6">
      <c r="A105" s="92" t="s">
        <v>74</v>
      </c>
      <c r="B105" s="18" t="str">
        <f>"PJM June 1, "&amp;(Input!D2-1)&amp;" (through May 31, "&amp;(Input!D2)&amp;") Forecast Pool Requirement"</f>
        <v>PJM June 1, 2024 (through May 31, 2025) Forecast Pool Requirement</v>
      </c>
      <c r="C105" s="96">
        <v>1.117</v>
      </c>
      <c r="D105" s="94" t="s">
        <v>76</v>
      </c>
      <c r="I105" s="95"/>
      <c r="K105" s="8"/>
      <c r="M105" s="95"/>
      <c r="N105" s="31"/>
      <c r="O105" s="31"/>
      <c r="P105" s="31"/>
      <c r="Q105" s="31"/>
      <c r="R105" s="31"/>
      <c r="S105" s="31"/>
      <c r="T105" s="31"/>
      <c r="U105" s="31"/>
      <c r="V105" s="31"/>
      <c r="W105" s="31"/>
    </row>
    <row r="106" spans="1:23" x14ac:dyDescent="0.6">
      <c r="A106" s="17"/>
      <c r="D106" s="97"/>
      <c r="E106" s="98"/>
      <c r="G106" s="97"/>
      <c r="H106" s="11"/>
      <c r="I106" s="95"/>
      <c r="M106" s="95"/>
      <c r="N106" s="31"/>
      <c r="O106" s="31"/>
      <c r="P106" s="31"/>
      <c r="Q106" s="31"/>
      <c r="R106" s="31"/>
      <c r="S106" s="31"/>
      <c r="T106" s="31"/>
      <c r="U106" s="31"/>
      <c r="V106" s="31"/>
      <c r="W106" s="31"/>
    </row>
    <row r="107" spans="1:23" x14ac:dyDescent="0.6">
      <c r="A107" s="17"/>
      <c r="B107" s="11"/>
      <c r="D107" s="11"/>
      <c r="G107" s="97"/>
      <c r="H107" s="11"/>
      <c r="I107" s="95"/>
      <c r="M107" s="95"/>
      <c r="N107" s="31"/>
      <c r="O107" s="31"/>
      <c r="P107" s="31"/>
      <c r="Q107" s="31"/>
      <c r="R107" s="31"/>
      <c r="S107" s="31"/>
      <c r="T107" s="31"/>
      <c r="U107" s="31"/>
      <c r="V107" s="31"/>
      <c r="W107" s="31"/>
    </row>
    <row r="108" spans="1:23" x14ac:dyDescent="0.6">
      <c r="A108" s="17"/>
      <c r="B108" s="99"/>
      <c r="C108" s="100"/>
      <c r="E108" s="101"/>
      <c r="F108" s="97"/>
      <c r="G108" s="97"/>
      <c r="H108" s="11"/>
      <c r="I108" s="95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3" x14ac:dyDescent="0.6">
      <c r="A109" s="17"/>
      <c r="B109" s="17"/>
      <c r="C109" s="100"/>
      <c r="E109" s="101"/>
      <c r="F109" s="97"/>
      <c r="G109" s="97"/>
      <c r="H109" s="100"/>
      <c r="J109" s="101"/>
      <c r="K109" s="31"/>
      <c r="L109" s="31"/>
      <c r="M109" s="31"/>
      <c r="N109" s="31"/>
      <c r="O109" s="31"/>
      <c r="P109" s="31"/>
      <c r="Q109" s="31"/>
      <c r="R109" s="31"/>
      <c r="S109" s="31"/>
      <c r="T109" s="31"/>
    </row>
    <row r="110" spans="1:23" x14ac:dyDescent="0.6">
      <c r="A110" s="17"/>
      <c r="C110" s="100"/>
      <c r="E110" s="101"/>
      <c r="F110" s="102"/>
      <c r="G110" s="102"/>
      <c r="H110" s="11"/>
      <c r="I110" s="95"/>
      <c r="K110" s="31"/>
      <c r="L110" s="31"/>
      <c r="M110" s="31"/>
      <c r="N110" s="31"/>
      <c r="O110" s="31"/>
      <c r="P110" s="31"/>
      <c r="Q110" s="31"/>
      <c r="R110" s="31"/>
      <c r="S110" s="31"/>
      <c r="T110" s="31"/>
    </row>
    <row r="111" spans="1:23" x14ac:dyDescent="0.6">
      <c r="A111" s="17"/>
      <c r="C111" s="100"/>
      <c r="E111" s="101"/>
      <c r="F111" s="97"/>
      <c r="G111" s="97"/>
      <c r="I111" s="95"/>
      <c r="J111" s="103"/>
      <c r="K111" s="31"/>
      <c r="L111" s="31"/>
      <c r="M111" s="31"/>
      <c r="N111" s="31"/>
      <c r="O111" s="31"/>
      <c r="P111" s="31"/>
      <c r="Q111" s="31"/>
      <c r="R111" s="31"/>
      <c r="S111" s="31"/>
      <c r="T111" s="31"/>
    </row>
    <row r="112" spans="1:23" x14ac:dyDescent="0.6">
      <c r="A112" s="17"/>
      <c r="B112" s="11"/>
      <c r="C112" s="97"/>
      <c r="E112" s="418" t="s">
        <v>77</v>
      </c>
      <c r="F112" s="418"/>
      <c r="I112" s="95"/>
      <c r="J112" s="103"/>
      <c r="K112" s="31"/>
      <c r="L112" s="31"/>
      <c r="M112" s="31"/>
      <c r="N112" s="31"/>
      <c r="O112" s="31"/>
      <c r="P112" s="31"/>
      <c r="Q112" s="31"/>
      <c r="R112" s="31"/>
      <c r="S112" s="31"/>
      <c r="T112" s="31"/>
    </row>
    <row r="113" spans="1:23" x14ac:dyDescent="0.6">
      <c r="A113" s="17"/>
      <c r="B113" s="11" t="s">
        <v>78</v>
      </c>
      <c r="C113" s="419" t="s">
        <v>79</v>
      </c>
      <c r="D113" s="419"/>
      <c r="E113" s="104">
        <v>270.35000000000002</v>
      </c>
      <c r="F113" s="105" t="s">
        <v>80</v>
      </c>
      <c r="I113" s="95"/>
      <c r="J113" s="103"/>
      <c r="K113" s="31"/>
      <c r="L113" s="31"/>
      <c r="M113" s="31"/>
      <c r="N113" s="31"/>
      <c r="O113" s="31"/>
      <c r="P113" s="31"/>
      <c r="Q113" s="31"/>
      <c r="R113" s="31"/>
      <c r="S113" s="31"/>
      <c r="T113" s="31"/>
    </row>
    <row r="114" spans="1:23" x14ac:dyDescent="0.6">
      <c r="A114" s="17"/>
      <c r="C114" s="419" t="s">
        <v>81</v>
      </c>
      <c r="D114" s="419"/>
      <c r="E114" s="104">
        <f>E113</f>
        <v>270.35000000000002</v>
      </c>
      <c r="F114" s="105" t="s">
        <v>80</v>
      </c>
      <c r="N114" s="31"/>
      <c r="O114" s="31"/>
      <c r="P114" s="31"/>
      <c r="Q114" s="31"/>
      <c r="R114" s="31"/>
      <c r="S114" s="31"/>
      <c r="T114" s="31"/>
      <c r="U114" s="31"/>
      <c r="V114" s="31"/>
      <c r="W114" s="31"/>
    </row>
    <row r="115" spans="1:23" ht="18" customHeight="1" x14ac:dyDescent="0.6">
      <c r="A115" s="17"/>
      <c r="E115" s="66" t="s">
        <v>82</v>
      </c>
      <c r="F115" s="106"/>
      <c r="G115" s="107"/>
      <c r="H115" s="11"/>
      <c r="I115" s="11"/>
      <c r="N115" s="31"/>
      <c r="O115" s="31"/>
      <c r="P115" s="31"/>
      <c r="Q115" s="31"/>
      <c r="R115" s="31"/>
      <c r="S115" s="31"/>
      <c r="T115" s="31"/>
      <c r="U115" s="31"/>
      <c r="V115" s="31"/>
      <c r="W115" s="31"/>
    </row>
    <row r="116" spans="1:23" x14ac:dyDescent="0.6">
      <c r="A116" s="17"/>
      <c r="F116" s="11"/>
      <c r="G116" s="11"/>
      <c r="H116" s="11"/>
      <c r="I116" s="11"/>
      <c r="J116" s="11"/>
      <c r="N116" s="31"/>
      <c r="O116" s="31"/>
      <c r="P116" s="31"/>
      <c r="Q116" s="31"/>
      <c r="R116" s="31"/>
      <c r="S116" s="31"/>
      <c r="T116" s="31"/>
      <c r="U116" s="31"/>
      <c r="V116" s="31"/>
      <c r="W116" s="31"/>
    </row>
    <row r="117" spans="1:23" x14ac:dyDescent="0.6">
      <c r="A117" s="17"/>
      <c r="F117" s="11"/>
      <c r="G117" s="11"/>
      <c r="H117" s="11"/>
      <c r="I117" s="11"/>
      <c r="J117" s="11"/>
      <c r="N117" s="31"/>
      <c r="O117" s="31"/>
      <c r="P117" s="31"/>
      <c r="Q117" s="31"/>
      <c r="R117" s="31"/>
      <c r="S117" s="31"/>
      <c r="T117" s="31"/>
      <c r="U117" s="31"/>
      <c r="V117" s="31"/>
      <c r="W117" s="31"/>
    </row>
    <row r="118" spans="1:23" x14ac:dyDescent="0.6">
      <c r="A118" s="3"/>
      <c r="B118" s="5"/>
      <c r="C118" s="25" t="s">
        <v>12</v>
      </c>
      <c r="D118" s="25" t="s">
        <v>13</v>
      </c>
      <c r="F118" s="11"/>
      <c r="G118" s="11"/>
      <c r="H118" s="11"/>
      <c r="I118" s="11"/>
      <c r="J118" s="108"/>
      <c r="N118" s="31"/>
      <c r="O118" s="31"/>
      <c r="P118" s="31"/>
      <c r="Q118" s="31"/>
      <c r="R118" s="31"/>
      <c r="S118" s="31"/>
      <c r="T118" s="31"/>
      <c r="U118" s="31"/>
      <c r="V118" s="31"/>
      <c r="W118" s="31"/>
    </row>
    <row r="119" spans="1:23" x14ac:dyDescent="0.6">
      <c r="A119" s="3"/>
      <c r="B119" s="109" t="s">
        <v>83</v>
      </c>
      <c r="C119" s="110">
        <v>0.86519999999999975</v>
      </c>
      <c r="D119" s="110">
        <v>1.1569000000000003</v>
      </c>
      <c r="E119" s="11" t="s">
        <v>84</v>
      </c>
      <c r="F119" s="111" t="s">
        <v>85</v>
      </c>
      <c r="I119" s="11"/>
      <c r="J119" s="108"/>
      <c r="K119" s="69"/>
      <c r="N119" s="31"/>
      <c r="O119" s="31"/>
      <c r="P119" s="31"/>
      <c r="Q119" s="31"/>
      <c r="R119" s="31"/>
      <c r="S119" s="31"/>
      <c r="T119" s="31"/>
      <c r="U119" s="31"/>
      <c r="V119" s="31"/>
      <c r="W119" s="31"/>
    </row>
    <row r="120" spans="1:23" x14ac:dyDescent="0.6">
      <c r="A120" s="3"/>
      <c r="F120" s="11"/>
      <c r="H120" s="11"/>
      <c r="I120" s="11"/>
      <c r="J120" s="108"/>
      <c r="K120" s="69"/>
      <c r="N120" s="31"/>
      <c r="O120" s="31"/>
      <c r="P120" s="31"/>
      <c r="Q120" s="31"/>
      <c r="R120" s="31"/>
      <c r="S120" s="31"/>
      <c r="T120" s="31"/>
      <c r="U120" s="31"/>
      <c r="V120" s="31"/>
      <c r="W120" s="31"/>
    </row>
    <row r="121" spans="1:23" x14ac:dyDescent="0.6">
      <c r="A121" s="2"/>
      <c r="B121" s="11"/>
      <c r="C121" s="11"/>
      <c r="D121" s="11"/>
      <c r="E121" s="11"/>
      <c r="F121" s="11"/>
      <c r="G121" s="11"/>
      <c r="H121" s="11"/>
      <c r="I121" s="11"/>
      <c r="J121" s="11"/>
      <c r="N121" s="31"/>
      <c r="O121" s="31"/>
      <c r="P121" s="31"/>
      <c r="Q121" s="31"/>
      <c r="R121" s="31"/>
      <c r="S121" s="31"/>
      <c r="T121" s="31"/>
      <c r="U121" s="31"/>
      <c r="V121" s="31"/>
      <c r="W121" s="31"/>
    </row>
    <row r="122" spans="1:23" x14ac:dyDescent="0.6">
      <c r="A122" s="64" t="s">
        <v>86</v>
      </c>
      <c r="B122" s="13" t="s">
        <v>87</v>
      </c>
      <c r="D122" s="11"/>
      <c r="I122" s="11"/>
      <c r="J122" s="11"/>
      <c r="N122" s="31"/>
      <c r="O122" s="31"/>
      <c r="P122" s="31"/>
      <c r="Q122" s="31"/>
      <c r="R122" s="31"/>
      <c r="S122" s="31"/>
      <c r="T122" s="31"/>
      <c r="U122" s="31"/>
      <c r="V122" s="31"/>
      <c r="W122" s="31"/>
    </row>
    <row r="123" spans="1:23" x14ac:dyDescent="0.6">
      <c r="A123" s="3"/>
      <c r="B123" s="11" t="s">
        <v>88</v>
      </c>
      <c r="D123" s="112">
        <v>2</v>
      </c>
      <c r="E123" s="113" t="s">
        <v>89</v>
      </c>
      <c r="G123" s="114" t="s">
        <v>90</v>
      </c>
      <c r="I123" s="11"/>
      <c r="J123" s="11"/>
      <c r="N123" s="31"/>
      <c r="O123" s="31"/>
      <c r="P123" s="31"/>
      <c r="Q123" s="31"/>
      <c r="R123" s="31"/>
      <c r="S123" s="31"/>
      <c r="T123" s="31"/>
      <c r="U123" s="31"/>
      <c r="V123" s="31"/>
      <c r="W123" s="31"/>
    </row>
    <row r="124" spans="1:23" x14ac:dyDescent="0.6">
      <c r="A124" s="3"/>
      <c r="B124" s="11" t="s">
        <v>91</v>
      </c>
      <c r="D124" s="115">
        <v>21.82</v>
      </c>
      <c r="E124" s="113" t="s">
        <v>89</v>
      </c>
      <c r="G124" s="66" t="s">
        <v>92</v>
      </c>
      <c r="H124" s="116"/>
      <c r="I124" s="107"/>
      <c r="J124" s="11"/>
      <c r="N124" s="31"/>
      <c r="O124" s="31"/>
      <c r="P124" s="31"/>
      <c r="Q124" s="31"/>
      <c r="R124" s="31"/>
      <c r="S124" s="31"/>
      <c r="T124" s="31"/>
      <c r="U124" s="31"/>
      <c r="V124" s="31"/>
      <c r="W124" s="31"/>
    </row>
    <row r="125" spans="1:23" x14ac:dyDescent="0.6">
      <c r="A125" s="17"/>
      <c r="B125" s="14"/>
      <c r="E125" s="113"/>
      <c r="N125" s="31"/>
      <c r="O125" s="31"/>
      <c r="P125" s="31"/>
      <c r="Q125" s="31"/>
      <c r="R125" s="31"/>
      <c r="S125" s="31"/>
      <c r="T125" s="31"/>
      <c r="U125" s="31"/>
      <c r="V125" s="31"/>
      <c r="W125" s="31"/>
    </row>
    <row r="126" spans="1:23" x14ac:dyDescent="0.6">
      <c r="A126" s="17"/>
      <c r="B126" s="14"/>
      <c r="F126" s="113"/>
      <c r="N126" s="31"/>
      <c r="O126" s="31"/>
      <c r="P126" s="31"/>
      <c r="Q126" s="31"/>
      <c r="R126" s="31"/>
      <c r="S126" s="31"/>
      <c r="T126" s="31"/>
      <c r="U126" s="31"/>
      <c r="V126" s="31"/>
      <c r="W126" s="31"/>
    </row>
    <row r="127" spans="1:23" x14ac:dyDescent="0.6">
      <c r="A127" s="17"/>
      <c r="B127" s="13"/>
      <c r="E127" s="117"/>
      <c r="F127" s="113"/>
      <c r="N127" s="31"/>
      <c r="O127" s="31"/>
      <c r="P127" s="31"/>
      <c r="Q127" s="31"/>
      <c r="R127" s="31"/>
      <c r="S127" s="31"/>
      <c r="T127" s="31"/>
      <c r="U127" s="31"/>
      <c r="V127" s="31"/>
      <c r="W127" s="31"/>
    </row>
    <row r="128" spans="1:23" x14ac:dyDescent="0.6">
      <c r="A128" s="3"/>
      <c r="B128" s="13"/>
      <c r="N128" s="31"/>
      <c r="O128" s="31"/>
      <c r="P128" s="31"/>
      <c r="Q128" s="31"/>
      <c r="R128" s="31"/>
      <c r="S128" s="31"/>
      <c r="T128" s="31"/>
      <c r="U128" s="31"/>
      <c r="V128" s="31"/>
      <c r="W128" s="31"/>
    </row>
    <row r="129" spans="1:23" x14ac:dyDescent="0.6">
      <c r="A129" s="3" t="s">
        <v>93</v>
      </c>
      <c r="B129" s="13" t="s">
        <v>94</v>
      </c>
      <c r="N129" s="31"/>
      <c r="O129" s="31"/>
      <c r="P129" s="31"/>
      <c r="Q129" s="31"/>
      <c r="R129" s="31"/>
      <c r="S129" s="31"/>
      <c r="T129" s="31"/>
      <c r="U129" s="31"/>
      <c r="V129" s="31"/>
      <c r="W129" s="31"/>
    </row>
    <row r="130" spans="1:23" x14ac:dyDescent="0.6">
      <c r="A130" s="3"/>
      <c r="B130" s="13" t="s">
        <v>95</v>
      </c>
      <c r="C130" s="8"/>
      <c r="D130" s="118">
        <v>378.21</v>
      </c>
      <c r="E130" s="8" t="s">
        <v>96</v>
      </c>
      <c r="F130" s="8"/>
      <c r="G130" s="8"/>
      <c r="H130" s="8"/>
      <c r="I130" s="8"/>
      <c r="J130" s="8"/>
      <c r="N130" s="31"/>
      <c r="O130" s="31"/>
      <c r="P130" s="31"/>
      <c r="Q130" s="31"/>
      <c r="R130" s="31"/>
      <c r="S130" s="31"/>
      <c r="T130" s="31"/>
      <c r="U130" s="31"/>
      <c r="V130" s="31"/>
      <c r="W130" s="31"/>
    </row>
    <row r="131" spans="1:23" x14ac:dyDescent="0.6">
      <c r="A131" s="3"/>
      <c r="B131" s="13"/>
      <c r="N131" s="31"/>
      <c r="O131" s="31"/>
      <c r="P131" s="31"/>
      <c r="Q131" s="31"/>
      <c r="R131" s="31"/>
      <c r="S131" s="31"/>
      <c r="T131" s="31"/>
      <c r="U131" s="31"/>
      <c r="V131" s="31"/>
      <c r="W131" s="31"/>
    </row>
    <row r="132" spans="1:23" x14ac:dyDescent="0.6">
      <c r="A132" s="17"/>
      <c r="B132" s="97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31"/>
      <c r="O132" s="31"/>
      <c r="P132" s="31"/>
      <c r="Q132" s="31"/>
      <c r="R132" s="31"/>
      <c r="S132" s="31"/>
      <c r="T132" s="31"/>
      <c r="U132" s="31"/>
      <c r="V132" s="31"/>
      <c r="W132" s="31"/>
    </row>
    <row r="133" spans="1:23" x14ac:dyDescent="0.6">
      <c r="A133" s="17"/>
      <c r="B133" s="97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31"/>
      <c r="O133" s="31"/>
      <c r="P133" s="31"/>
      <c r="Q133" s="31"/>
      <c r="R133" s="31"/>
      <c r="S133" s="31"/>
      <c r="T133" s="31"/>
      <c r="U133" s="31"/>
      <c r="V133" s="31"/>
      <c r="W133" s="31"/>
    </row>
    <row r="134" spans="1:23" x14ac:dyDescent="0.6">
      <c r="A134" s="17"/>
      <c r="B134" s="97"/>
      <c r="G134" s="119"/>
      <c r="H134" s="119"/>
      <c r="I134" s="119"/>
      <c r="K134" s="119"/>
      <c r="L134" s="119"/>
      <c r="M134" s="119"/>
      <c r="N134" s="31"/>
      <c r="O134" s="31"/>
      <c r="P134" s="31"/>
      <c r="Q134" s="31"/>
      <c r="R134" s="31"/>
      <c r="S134" s="31"/>
      <c r="T134" s="31"/>
      <c r="U134" s="31"/>
      <c r="V134" s="31"/>
      <c r="W134" s="31"/>
    </row>
    <row r="135" spans="1:23" ht="52" x14ac:dyDescent="0.6">
      <c r="A135" s="120" t="s">
        <v>97</v>
      </c>
      <c r="B135" s="18" t="s">
        <v>98</v>
      </c>
      <c r="C135" s="121" t="s">
        <v>99</v>
      </c>
      <c r="D135" s="121" t="s">
        <v>100</v>
      </c>
      <c r="E135" s="122" t="s">
        <v>101</v>
      </c>
      <c r="G135" s="119"/>
      <c r="H135" s="119"/>
      <c r="I135" s="119"/>
      <c r="J135" s="62"/>
      <c r="K135" s="121" t="s">
        <v>102</v>
      </c>
      <c r="L135" s="121" t="s">
        <v>103</v>
      </c>
      <c r="M135" s="121" t="s">
        <v>104</v>
      </c>
      <c r="N135" s="121" t="s">
        <v>105</v>
      </c>
      <c r="O135" s="121" t="s">
        <v>106</v>
      </c>
      <c r="P135" s="121" t="s">
        <v>107</v>
      </c>
      <c r="Q135" s="121" t="s">
        <v>108</v>
      </c>
      <c r="R135" s="121" t="s">
        <v>99</v>
      </c>
      <c r="S135" s="121" t="s">
        <v>100</v>
      </c>
      <c r="T135" s="31"/>
      <c r="U135" s="31"/>
      <c r="V135" s="31"/>
      <c r="W135" s="31"/>
    </row>
    <row r="136" spans="1:23" x14ac:dyDescent="0.6">
      <c r="A136" s="17"/>
      <c r="B136" s="18" t="s">
        <v>109</v>
      </c>
      <c r="C136" s="112">
        <v>93.11</v>
      </c>
      <c r="D136" s="112">
        <v>80.88</v>
      </c>
      <c r="E136" s="123">
        <v>80.88</v>
      </c>
      <c r="F136" s="124"/>
      <c r="G136" s="119"/>
      <c r="H136" s="119"/>
      <c r="I136" s="119"/>
      <c r="J136" s="125"/>
      <c r="K136" s="112">
        <v>96.38</v>
      </c>
      <c r="L136" s="112">
        <v>90.78</v>
      </c>
      <c r="M136" s="112">
        <v>91.77</v>
      </c>
      <c r="N136" s="112">
        <v>98.04</v>
      </c>
      <c r="O136" s="112">
        <v>102.16</v>
      </c>
      <c r="P136" s="112">
        <v>64.8</v>
      </c>
      <c r="Q136" s="112">
        <v>76.3</v>
      </c>
      <c r="R136" s="112">
        <v>93.11</v>
      </c>
      <c r="S136" s="112">
        <v>80.88</v>
      </c>
      <c r="T136" s="31"/>
      <c r="U136" s="31"/>
      <c r="V136" s="31"/>
      <c r="W136" s="31"/>
    </row>
    <row r="137" spans="1:23" x14ac:dyDescent="0.6">
      <c r="A137" s="17"/>
      <c r="B137" s="18" t="s">
        <v>110</v>
      </c>
      <c r="C137" s="126">
        <v>28</v>
      </c>
      <c r="D137" s="126">
        <v>29</v>
      </c>
      <c r="E137" s="126">
        <v>28</v>
      </c>
      <c r="F137" s="127"/>
      <c r="G137" s="119"/>
      <c r="H137" s="119"/>
      <c r="I137" s="119"/>
      <c r="K137" s="126">
        <v>28</v>
      </c>
      <c r="L137" s="126">
        <v>28</v>
      </c>
      <c r="M137" s="126">
        <v>29</v>
      </c>
      <c r="N137" s="126">
        <v>28</v>
      </c>
      <c r="O137" s="126">
        <v>28</v>
      </c>
      <c r="P137" s="126">
        <v>29</v>
      </c>
      <c r="Q137" s="126">
        <v>28</v>
      </c>
      <c r="R137" s="126">
        <v>28</v>
      </c>
      <c r="S137" s="126">
        <v>29</v>
      </c>
      <c r="T137" s="31"/>
      <c r="U137" s="31"/>
      <c r="V137" s="31"/>
      <c r="W137" s="31"/>
    </row>
    <row r="138" spans="1:23" x14ac:dyDescent="0.6">
      <c r="A138" s="17"/>
      <c r="B138" s="18" t="s">
        <v>111</v>
      </c>
      <c r="C138" s="5"/>
      <c r="D138" s="5"/>
      <c r="E138" s="128" t="s">
        <v>112</v>
      </c>
      <c r="G138" s="119"/>
      <c r="H138" s="119"/>
      <c r="I138" s="119"/>
      <c r="K138" s="5"/>
      <c r="L138" s="5"/>
      <c r="M138" s="128"/>
      <c r="N138" s="128">
        <v>28.28</v>
      </c>
      <c r="O138" s="128">
        <v>37.770000000000003</v>
      </c>
      <c r="P138" s="128"/>
      <c r="Q138" s="128"/>
      <c r="R138" s="128"/>
      <c r="S138" s="128"/>
      <c r="T138" s="31"/>
      <c r="U138" s="31"/>
      <c r="V138" s="31"/>
      <c r="W138" s="31"/>
    </row>
    <row r="139" spans="1:23" x14ac:dyDescent="0.6">
      <c r="A139" s="17"/>
      <c r="B139" s="13" t="s">
        <v>113</v>
      </c>
      <c r="F139" s="119"/>
      <c r="G139" s="119"/>
      <c r="H139" s="119"/>
      <c r="I139" s="119"/>
      <c r="N139" s="129">
        <f>N136-N138</f>
        <v>69.760000000000005</v>
      </c>
      <c r="O139" s="129">
        <f>O136-O138</f>
        <v>64.389999999999986</v>
      </c>
      <c r="T139" s="31"/>
      <c r="U139" s="31"/>
      <c r="V139" s="31"/>
      <c r="W139" s="31"/>
    </row>
    <row r="140" spans="1:23" x14ac:dyDescent="0.6">
      <c r="A140" s="3"/>
      <c r="B140" s="130" t="s">
        <v>114</v>
      </c>
      <c r="C140" s="131">
        <v>1</v>
      </c>
      <c r="D140" s="131">
        <v>1</v>
      </c>
      <c r="E140" s="131">
        <v>1</v>
      </c>
      <c r="F140" s="119"/>
      <c r="G140" s="119"/>
      <c r="H140" s="119"/>
      <c r="I140" s="119"/>
      <c r="K140" s="131">
        <v>1</v>
      </c>
      <c r="L140" s="131">
        <v>1</v>
      </c>
      <c r="M140" s="131">
        <v>1</v>
      </c>
      <c r="N140" s="131">
        <v>1</v>
      </c>
      <c r="O140" s="131">
        <v>1</v>
      </c>
      <c r="P140" s="131">
        <v>1</v>
      </c>
      <c r="Q140" s="131">
        <v>1</v>
      </c>
      <c r="R140" s="131">
        <v>1</v>
      </c>
      <c r="S140" s="131">
        <v>1</v>
      </c>
      <c r="T140" s="31"/>
      <c r="U140" s="31"/>
      <c r="V140" s="31"/>
      <c r="W140" s="31"/>
    </row>
    <row r="141" spans="1:23" x14ac:dyDescent="0.6">
      <c r="A141" s="17"/>
      <c r="B141" s="130" t="s">
        <v>115</v>
      </c>
      <c r="C141" s="131">
        <v>1</v>
      </c>
      <c r="D141" s="131">
        <v>1</v>
      </c>
      <c r="E141" s="131">
        <v>1</v>
      </c>
      <c r="F141" s="119"/>
      <c r="G141" s="119"/>
      <c r="H141" s="119"/>
      <c r="I141" s="119"/>
      <c r="K141" s="131">
        <v>1</v>
      </c>
      <c r="L141" s="131">
        <v>1</v>
      </c>
      <c r="M141" s="131">
        <v>1</v>
      </c>
      <c r="N141" s="131">
        <v>1</v>
      </c>
      <c r="O141" s="131">
        <v>1</v>
      </c>
      <c r="P141" s="131">
        <v>1</v>
      </c>
      <c r="Q141" s="131">
        <v>1</v>
      </c>
      <c r="R141" s="131">
        <v>1</v>
      </c>
      <c r="S141" s="131">
        <v>1</v>
      </c>
      <c r="T141" s="31"/>
      <c r="U141" s="31"/>
      <c r="V141" s="31"/>
      <c r="W141" s="31"/>
    </row>
    <row r="142" spans="1:23" x14ac:dyDescent="0.6">
      <c r="A142" s="17"/>
      <c r="B142" s="13"/>
    </row>
    <row r="143" spans="1:23" x14ac:dyDescent="0.6">
      <c r="A143" s="17"/>
      <c r="B143" s="14"/>
      <c r="G143" s="119"/>
      <c r="O143" s="129"/>
    </row>
    <row r="144" spans="1:23" x14ac:dyDescent="0.6">
      <c r="A144" s="17"/>
      <c r="B144" s="132"/>
      <c r="C144" s="133"/>
      <c r="D144" s="134"/>
      <c r="E144" s="135"/>
      <c r="F144" s="135"/>
      <c r="G144" s="136"/>
      <c r="H144" s="108"/>
    </row>
    <row r="145" spans="1:11" x14ac:dyDescent="0.6">
      <c r="A145" s="17"/>
      <c r="B145" s="135"/>
      <c r="C145" s="137"/>
      <c r="D145" s="138"/>
      <c r="E145" s="139"/>
      <c r="F145" s="140"/>
      <c r="G145" s="136"/>
      <c r="H145" s="108"/>
      <c r="I145" s="8"/>
      <c r="J145" s="8"/>
    </row>
    <row r="146" spans="1:11" x14ac:dyDescent="0.6">
      <c r="A146" s="17"/>
      <c r="B146" s="135"/>
      <c r="C146" s="141"/>
      <c r="D146" s="142"/>
      <c r="E146" s="143"/>
      <c r="F146" s="140"/>
      <c r="G146" s="136"/>
      <c r="H146" s="108"/>
    </row>
    <row r="147" spans="1:11" x14ac:dyDescent="0.6">
      <c r="A147" s="17"/>
      <c r="B147" s="144"/>
      <c r="C147" s="141"/>
      <c r="D147" s="142"/>
      <c r="E147" s="145"/>
      <c r="F147" s="140"/>
      <c r="G147" s="133"/>
      <c r="H147" s="146"/>
      <c r="I147" s="62"/>
      <c r="J147" s="62"/>
      <c r="K147" s="62"/>
    </row>
    <row r="148" spans="1:11" x14ac:dyDescent="0.6">
      <c r="A148" s="17"/>
      <c r="B148" s="147"/>
      <c r="C148" s="141"/>
      <c r="D148" s="142"/>
      <c r="E148" s="145"/>
      <c r="F148" s="140"/>
      <c r="G148" s="136"/>
      <c r="H148" s="146"/>
      <c r="I148" s="62"/>
      <c r="J148" s="62"/>
    </row>
    <row r="149" spans="1:11" x14ac:dyDescent="0.6">
      <c r="A149" s="17"/>
      <c r="B149" s="147"/>
      <c r="C149" s="148"/>
      <c r="D149" s="142"/>
      <c r="E149" s="149"/>
      <c r="F149" s="150"/>
      <c r="G149" s="133"/>
      <c r="H149" s="146"/>
      <c r="I149" s="62"/>
      <c r="J149" s="62"/>
    </row>
    <row r="150" spans="1:11" x14ac:dyDescent="0.6">
      <c r="A150" s="17"/>
      <c r="B150" s="136"/>
      <c r="C150" s="148"/>
      <c r="D150" s="142"/>
      <c r="E150" s="149"/>
      <c r="F150" s="150"/>
      <c r="G150" s="133"/>
      <c r="H150" s="146"/>
      <c r="I150" s="62"/>
      <c r="J150" s="62"/>
    </row>
    <row r="151" spans="1:11" x14ac:dyDescent="0.6">
      <c r="A151" s="17"/>
      <c r="B151" s="136"/>
      <c r="C151" s="141"/>
      <c r="D151" s="142"/>
      <c r="E151" s="149"/>
      <c r="F151" s="150"/>
      <c r="G151" s="133"/>
      <c r="H151" s="146"/>
      <c r="I151" s="62"/>
      <c r="J151" s="62"/>
    </row>
    <row r="152" spans="1:11" x14ac:dyDescent="0.6">
      <c r="A152" s="17"/>
      <c r="B152" s="136"/>
      <c r="C152" s="141"/>
      <c r="D152" s="151"/>
      <c r="E152" s="149"/>
      <c r="F152" s="150"/>
      <c r="G152" s="133"/>
      <c r="H152" s="146"/>
      <c r="I152" s="62"/>
      <c r="J152" s="62"/>
    </row>
    <row r="153" spans="1:11" x14ac:dyDescent="0.6">
      <c r="A153" s="17"/>
      <c r="B153" s="136"/>
      <c r="C153" s="141"/>
      <c r="D153" s="151"/>
      <c r="E153" s="149"/>
      <c r="F153" s="150"/>
      <c r="G153" s="133"/>
      <c r="H153" s="146"/>
      <c r="I153" s="62"/>
      <c r="J153" s="62"/>
      <c r="K153" s="62"/>
    </row>
    <row r="154" spans="1:11" x14ac:dyDescent="0.6">
      <c r="A154" s="17"/>
      <c r="B154" s="135"/>
      <c r="C154" s="141"/>
      <c r="D154" s="151"/>
      <c r="E154" s="149"/>
      <c r="F154" s="150"/>
      <c r="G154" s="133"/>
      <c r="H154" s="146"/>
      <c r="I154" s="62"/>
      <c r="J154" s="62"/>
    </row>
    <row r="155" spans="1:11" x14ac:dyDescent="0.6">
      <c r="A155" s="17"/>
      <c r="B155" s="144"/>
      <c r="C155" s="141"/>
      <c r="D155" s="151"/>
      <c r="E155" s="149"/>
      <c r="F155" s="150"/>
      <c r="G155" s="133"/>
      <c r="H155" s="146"/>
      <c r="I155" s="62"/>
      <c r="J155" s="62"/>
    </row>
    <row r="156" spans="1:11" x14ac:dyDescent="0.6">
      <c r="A156" s="17"/>
      <c r="B156" s="147"/>
      <c r="C156" s="141"/>
      <c r="D156" s="151"/>
      <c r="E156" s="149"/>
      <c r="F156" s="150"/>
      <c r="G156" s="133"/>
      <c r="H156" s="146"/>
      <c r="I156" s="62"/>
      <c r="J156" s="62"/>
    </row>
    <row r="157" spans="1:11" x14ac:dyDescent="0.6">
      <c r="A157" s="17"/>
      <c r="B157" s="147"/>
      <c r="C157" s="141"/>
      <c r="D157" s="151"/>
      <c r="E157" s="149"/>
      <c r="F157" s="150"/>
      <c r="G157" s="133"/>
      <c r="H157" s="146"/>
      <c r="I157" s="62"/>
      <c r="J157" s="62"/>
      <c r="K157" s="62"/>
    </row>
    <row r="158" spans="1:11" x14ac:dyDescent="0.6">
      <c r="A158" s="17"/>
      <c r="B158" s="135"/>
      <c r="C158" s="141"/>
      <c r="D158" s="151"/>
      <c r="E158" s="149"/>
      <c r="F158" s="150"/>
      <c r="G158" s="133"/>
      <c r="H158" s="146"/>
      <c r="I158" s="62"/>
      <c r="J158" s="62"/>
      <c r="K158" s="62"/>
    </row>
    <row r="159" spans="1:11" x14ac:dyDescent="0.6">
      <c r="A159" s="17"/>
      <c r="B159" s="135"/>
      <c r="C159" s="141"/>
      <c r="D159" s="151"/>
      <c r="E159" s="149"/>
      <c r="F159" s="150"/>
      <c r="G159" s="133"/>
      <c r="H159" s="108"/>
      <c r="I159" s="62"/>
      <c r="J159" s="62"/>
      <c r="K159" s="62"/>
    </row>
    <row r="160" spans="1:11" x14ac:dyDescent="0.6">
      <c r="A160" s="17"/>
      <c r="B160" s="135"/>
      <c r="C160" s="141"/>
      <c r="D160" s="151"/>
      <c r="E160" s="149"/>
      <c r="F160" s="150"/>
      <c r="G160" s="136"/>
      <c r="H160" s="108"/>
    </row>
    <row r="161" spans="1:15" x14ac:dyDescent="0.6">
      <c r="A161" s="17"/>
      <c r="B161" s="135"/>
      <c r="C161" s="141"/>
      <c r="D161" s="151"/>
      <c r="E161" s="149"/>
      <c r="F161" s="150"/>
      <c r="G161" s="136"/>
    </row>
    <row r="162" spans="1:15" x14ac:dyDescent="0.6">
      <c r="A162" s="17"/>
      <c r="B162" s="152"/>
      <c r="C162" s="148"/>
      <c r="D162" s="151"/>
      <c r="E162" s="149"/>
      <c r="F162" s="150"/>
      <c r="G162" s="62"/>
    </row>
    <row r="163" spans="1:15" x14ac:dyDescent="0.6">
      <c r="A163" s="17"/>
      <c r="B163" s="132"/>
      <c r="C163" s="151"/>
      <c r="D163" s="141"/>
      <c r="E163" s="149"/>
      <c r="F163" s="150"/>
      <c r="H163" s="13"/>
      <c r="I163" s="8"/>
      <c r="J163" s="8"/>
    </row>
    <row r="164" spans="1:15" x14ac:dyDescent="0.6">
      <c r="A164" s="17"/>
      <c r="B164" s="14"/>
      <c r="C164" s="151"/>
      <c r="D164" s="141"/>
      <c r="E164" s="149"/>
      <c r="F164" s="150"/>
    </row>
    <row r="165" spans="1:15" x14ac:dyDescent="0.6">
      <c r="A165" s="17"/>
      <c r="C165" s="151"/>
      <c r="D165" s="141"/>
      <c r="E165" s="149"/>
      <c r="F165" s="150"/>
      <c r="H165" s="153"/>
    </row>
    <row r="166" spans="1:15" x14ac:dyDescent="0.6">
      <c r="A166" s="17"/>
      <c r="C166" s="154"/>
      <c r="D166" s="155"/>
      <c r="E166" s="149"/>
      <c r="F166" s="150"/>
      <c r="H166" s="97"/>
      <c r="I166" s="156"/>
      <c r="J166" s="156"/>
      <c r="K166" s="113"/>
      <c r="O166" s="157"/>
    </row>
    <row r="167" spans="1:15" x14ac:dyDescent="0.6">
      <c r="A167" s="17"/>
      <c r="B167" s="32"/>
      <c r="C167" s="9"/>
      <c r="D167" s="69"/>
      <c r="E167" s="158"/>
      <c r="F167" s="150"/>
      <c r="H167" s="97"/>
      <c r="I167" s="156"/>
      <c r="J167" s="156"/>
      <c r="K167" s="113"/>
    </row>
    <row r="168" spans="1:15" x14ac:dyDescent="0.6">
      <c r="A168" s="17"/>
      <c r="B168" s="159"/>
      <c r="C168" s="9"/>
      <c r="D168" s="69"/>
      <c r="E168" s="160"/>
      <c r="F168" s="150"/>
      <c r="H168" s="97"/>
      <c r="I168" s="156"/>
      <c r="J168" s="156"/>
      <c r="K168" s="113"/>
    </row>
    <row r="169" spans="1:15" x14ac:dyDescent="0.6">
      <c r="A169" s="17"/>
      <c r="B169" s="159"/>
      <c r="C169" s="9"/>
      <c r="D169" s="161"/>
      <c r="E169" s="162"/>
      <c r="F169" s="140"/>
    </row>
    <row r="170" spans="1:15" x14ac:dyDescent="0.6">
      <c r="A170" s="17"/>
      <c r="C170" s="9" t="s">
        <v>116</v>
      </c>
      <c r="D170" s="161"/>
      <c r="E170" s="160"/>
      <c r="F170" s="163"/>
      <c r="H170" s="153"/>
      <c r="I170" s="164"/>
      <c r="J170" s="164"/>
      <c r="K170" s="113"/>
    </row>
    <row r="171" spans="1:15" x14ac:dyDescent="0.6">
      <c r="A171" s="17"/>
      <c r="B171" s="32"/>
      <c r="C171" s="165" t="s">
        <v>117</v>
      </c>
      <c r="D171" s="62"/>
      <c r="E171" s="158"/>
      <c r="H171" s="97"/>
      <c r="I171" s="156"/>
      <c r="J171" s="156"/>
      <c r="K171" s="113"/>
    </row>
    <row r="172" spans="1:15" x14ac:dyDescent="0.6">
      <c r="A172" s="17"/>
      <c r="B172" s="159"/>
      <c r="C172" s="165" t="s">
        <v>118</v>
      </c>
      <c r="D172" s="62"/>
      <c r="E172" s="160"/>
    </row>
    <row r="173" spans="1:15" x14ac:dyDescent="0.6">
      <c r="A173" s="17"/>
      <c r="B173" s="159"/>
      <c r="C173" s="165" t="s">
        <v>119</v>
      </c>
      <c r="D173" s="62"/>
      <c r="E173" s="158"/>
    </row>
    <row r="174" spans="1:15" x14ac:dyDescent="0.6">
      <c r="A174" s="17"/>
      <c r="B174" s="159"/>
      <c r="C174" s="165"/>
      <c r="D174" s="62"/>
      <c r="E174" s="158"/>
    </row>
    <row r="175" spans="1:15" x14ac:dyDescent="0.6">
      <c r="A175" s="17"/>
      <c r="C175" s="165"/>
      <c r="D175" s="62"/>
      <c r="E175" s="158"/>
    </row>
    <row r="176" spans="1:15" x14ac:dyDescent="0.6">
      <c r="A176" s="17"/>
      <c r="C176" s="165"/>
      <c r="D176" s="62"/>
      <c r="E176" s="158"/>
    </row>
    <row r="177" spans="1:7" x14ac:dyDescent="0.6">
      <c r="A177" s="17"/>
      <c r="B177" s="166"/>
      <c r="C177" s="165"/>
      <c r="D177" s="62"/>
      <c r="E177" s="158"/>
    </row>
    <row r="178" spans="1:7" x14ac:dyDescent="0.6">
      <c r="A178" s="17"/>
      <c r="B178" s="32"/>
      <c r="C178" s="165"/>
      <c r="D178" s="62"/>
      <c r="E178" s="158"/>
    </row>
    <row r="179" spans="1:7" x14ac:dyDescent="0.6">
      <c r="A179" s="17"/>
      <c r="B179" s="159"/>
      <c r="C179" s="165"/>
      <c r="D179" s="62"/>
      <c r="E179" s="158"/>
    </row>
    <row r="180" spans="1:7" x14ac:dyDescent="0.6">
      <c r="A180" s="17"/>
      <c r="B180" s="159"/>
      <c r="C180" s="165"/>
      <c r="D180" s="62"/>
      <c r="E180" s="158"/>
    </row>
    <row r="181" spans="1:7" x14ac:dyDescent="0.6">
      <c r="A181" s="17"/>
      <c r="C181" s="165"/>
      <c r="D181" s="62"/>
      <c r="E181" s="158"/>
    </row>
    <row r="182" spans="1:7" x14ac:dyDescent="0.6">
      <c r="A182" s="17"/>
      <c r="B182" s="32"/>
      <c r="C182" s="62"/>
      <c r="D182" s="62"/>
    </row>
    <row r="183" spans="1:7" x14ac:dyDescent="0.6">
      <c r="A183" s="17"/>
      <c r="B183" s="159"/>
      <c r="C183" s="62"/>
      <c r="D183" s="62"/>
    </row>
    <row r="184" spans="1:7" x14ac:dyDescent="0.6">
      <c r="A184" s="17"/>
      <c r="B184" s="159"/>
      <c r="C184" s="62"/>
      <c r="D184" s="62"/>
    </row>
    <row r="185" spans="1:7" x14ac:dyDescent="0.6">
      <c r="A185" s="17"/>
      <c r="B185" s="159"/>
      <c r="C185" s="62"/>
      <c r="D185" s="62"/>
    </row>
    <row r="186" spans="1:7" x14ac:dyDescent="0.6">
      <c r="A186" s="17"/>
      <c r="C186" s="62"/>
      <c r="D186" s="62"/>
    </row>
    <row r="187" spans="1:7" x14ac:dyDescent="0.6">
      <c r="A187" s="17"/>
      <c r="C187" s="62"/>
      <c r="D187" s="62"/>
    </row>
    <row r="188" spans="1:7" x14ac:dyDescent="0.6">
      <c r="A188" s="17"/>
      <c r="B188" s="13"/>
      <c r="C188" s="62"/>
      <c r="D188" s="62"/>
    </row>
    <row r="189" spans="1:7" x14ac:dyDescent="0.6">
      <c r="A189" s="17"/>
      <c r="B189" s="97"/>
      <c r="C189" s="62"/>
      <c r="D189" s="62"/>
    </row>
    <row r="190" spans="1:7" x14ac:dyDescent="0.6">
      <c r="A190" s="17"/>
      <c r="C190" s="62"/>
      <c r="D190" s="62"/>
    </row>
    <row r="191" spans="1:7" x14ac:dyDescent="0.6">
      <c r="A191" s="17"/>
      <c r="C191" s="167"/>
      <c r="D191" s="167"/>
      <c r="G191" s="168"/>
    </row>
    <row r="192" spans="1:7" x14ac:dyDescent="0.6">
      <c r="A192" s="3"/>
      <c r="C192" s="62"/>
      <c r="D192" s="62"/>
    </row>
    <row r="193" spans="1:13" x14ac:dyDescent="0.6">
      <c r="A193" s="17"/>
      <c r="C193" s="169"/>
    </row>
    <row r="194" spans="1:13" x14ac:dyDescent="0.6">
      <c r="A194" s="17"/>
      <c r="B194" s="13"/>
      <c r="C194" s="97"/>
      <c r="D194" s="119"/>
    </row>
    <row r="195" spans="1:13" x14ac:dyDescent="0.6">
      <c r="A195" s="17"/>
      <c r="B195" s="13"/>
      <c r="C195" s="97"/>
      <c r="D195" s="119"/>
    </row>
    <row r="196" spans="1:13" x14ac:dyDescent="0.6">
      <c r="A196" s="17"/>
      <c r="B196" s="13"/>
    </row>
    <row r="197" spans="1:13" x14ac:dyDescent="0.6">
      <c r="A197" s="17"/>
      <c r="B197" s="14"/>
      <c r="E197" s="164"/>
      <c r="H197" s="8"/>
      <c r="I197" s="8"/>
      <c r="J197" s="8"/>
    </row>
    <row r="198" spans="1:13" x14ac:dyDescent="0.6">
      <c r="A198" s="17"/>
      <c r="B198" s="13"/>
    </row>
    <row r="199" spans="1:13" x14ac:dyDescent="0.6">
      <c r="A199" s="17"/>
      <c r="H199" s="170"/>
      <c r="I199" s="171"/>
      <c r="J199" s="171"/>
      <c r="K199" s="172"/>
      <c r="L199" s="172"/>
      <c r="M199" s="172"/>
    </row>
    <row r="200" spans="1:13" x14ac:dyDescent="0.6">
      <c r="A200" s="17"/>
      <c r="H200" s="171"/>
      <c r="I200" s="11"/>
      <c r="J200" s="173"/>
      <c r="K200" s="172"/>
      <c r="L200" s="172"/>
      <c r="M200" s="172"/>
    </row>
    <row r="201" spans="1:13" x14ac:dyDescent="0.6">
      <c r="A201" s="17"/>
      <c r="B201" s="32"/>
      <c r="G201" s="8"/>
      <c r="H201" s="174"/>
      <c r="I201" s="11"/>
      <c r="J201" s="173"/>
      <c r="K201" s="175"/>
      <c r="L201" s="172"/>
      <c r="M201" s="172"/>
    </row>
    <row r="202" spans="1:13" x14ac:dyDescent="0.6">
      <c r="A202" s="17"/>
      <c r="B202" s="159"/>
      <c r="G202" s="8"/>
      <c r="L202" s="172"/>
      <c r="M202" s="172"/>
    </row>
    <row r="203" spans="1:13" x14ac:dyDescent="0.6">
      <c r="A203" s="17"/>
      <c r="B203" s="159"/>
      <c r="C203" s="8"/>
      <c r="D203" s="8"/>
      <c r="E203" s="8"/>
      <c r="F203" s="8"/>
      <c r="G203" s="170"/>
      <c r="H203" s="172"/>
      <c r="I203" s="172"/>
      <c r="J203" s="172"/>
      <c r="K203" s="172"/>
      <c r="L203" s="172"/>
      <c r="M203" s="172"/>
    </row>
    <row r="204" spans="1:13" x14ac:dyDescent="0.6">
      <c r="A204" s="3"/>
      <c r="C204" s="8"/>
      <c r="D204" s="8"/>
      <c r="E204" s="8"/>
      <c r="F204" s="8"/>
      <c r="G204" s="171"/>
      <c r="H204" s="172"/>
      <c r="I204" s="172"/>
      <c r="J204" s="172"/>
      <c r="K204" s="172"/>
      <c r="L204" s="172"/>
      <c r="M204" s="172"/>
    </row>
    <row r="205" spans="1:13" x14ac:dyDescent="0.6">
      <c r="A205" s="3"/>
      <c r="B205" s="176"/>
      <c r="E205" s="171"/>
      <c r="F205" s="170"/>
      <c r="G205" s="171"/>
      <c r="H205" s="172"/>
      <c r="I205" s="172"/>
      <c r="J205" s="172"/>
      <c r="K205" s="172"/>
      <c r="L205" s="172"/>
      <c r="M205" s="172"/>
    </row>
    <row r="206" spans="1:13" x14ac:dyDescent="0.6">
      <c r="A206" s="17"/>
      <c r="B206" s="176"/>
      <c r="C206" s="177"/>
      <c r="D206" s="172"/>
      <c r="E206" s="170"/>
      <c r="F206" s="171"/>
      <c r="G206" s="172"/>
      <c r="H206" s="172"/>
      <c r="I206" s="172"/>
      <c r="J206" s="172"/>
      <c r="K206" s="172"/>
      <c r="L206" s="172"/>
      <c r="M206" s="172"/>
    </row>
    <row r="207" spans="1:13" x14ac:dyDescent="0.6">
      <c r="A207" s="17"/>
      <c r="B207" s="176"/>
      <c r="C207" s="177"/>
      <c r="D207" s="172"/>
      <c r="E207" s="170"/>
      <c r="F207" s="171"/>
      <c r="G207" s="172"/>
      <c r="H207" s="172"/>
      <c r="I207" s="172"/>
      <c r="J207" s="172"/>
      <c r="K207" s="172"/>
      <c r="L207" s="172"/>
      <c r="M207" s="172"/>
    </row>
    <row r="208" spans="1:13" x14ac:dyDescent="0.6">
      <c r="A208" s="17"/>
      <c r="E208" s="177"/>
      <c r="F208" s="172"/>
      <c r="G208" s="172"/>
      <c r="H208" s="172"/>
      <c r="I208" s="172"/>
      <c r="J208" s="172"/>
      <c r="K208" s="172"/>
      <c r="L208" s="172"/>
      <c r="M208" s="172"/>
    </row>
    <row r="209" spans="1:13" x14ac:dyDescent="0.6">
      <c r="A209" s="17"/>
      <c r="C209" s="170"/>
      <c r="D209" s="170"/>
      <c r="E209" s="177"/>
      <c r="F209" s="172"/>
      <c r="G209" s="172"/>
      <c r="H209" s="170"/>
      <c r="I209" s="171"/>
      <c r="J209" s="171"/>
      <c r="K209" s="172"/>
      <c r="L209" s="172"/>
      <c r="M209" s="172"/>
    </row>
    <row r="210" spans="1:13" x14ac:dyDescent="0.6">
      <c r="A210" s="17"/>
      <c r="C210" s="178"/>
      <c r="D210" s="178"/>
      <c r="E210" s="9"/>
      <c r="F210" s="172"/>
      <c r="G210" s="172"/>
      <c r="H210" s="172"/>
      <c r="J210" s="173"/>
      <c r="K210" s="172"/>
      <c r="L210" s="172"/>
      <c r="M210" s="172"/>
    </row>
    <row r="211" spans="1:13" x14ac:dyDescent="0.6">
      <c r="A211" s="17"/>
      <c r="B211" s="32"/>
      <c r="C211" s="178"/>
      <c r="D211" s="178"/>
      <c r="E211" s="9"/>
      <c r="F211" s="172"/>
      <c r="J211" s="173"/>
      <c r="K211" s="175"/>
      <c r="L211" s="172"/>
      <c r="M211" s="172"/>
    </row>
    <row r="212" spans="1:13" x14ac:dyDescent="0.6">
      <c r="A212" s="17"/>
      <c r="B212" s="159"/>
      <c r="G212" s="172"/>
      <c r="K212" s="172"/>
      <c r="L212" s="172"/>
      <c r="M212" s="172"/>
    </row>
    <row r="213" spans="1:13" x14ac:dyDescent="0.6">
      <c r="A213" s="17"/>
      <c r="B213" s="159"/>
      <c r="G213" s="170"/>
      <c r="H213" s="171"/>
      <c r="I213" s="171"/>
      <c r="J213" s="171"/>
      <c r="K213" s="172"/>
      <c r="L213" s="172"/>
      <c r="M213" s="172"/>
    </row>
    <row r="214" spans="1:13" x14ac:dyDescent="0.6">
      <c r="A214" s="17"/>
      <c r="C214" s="172"/>
      <c r="D214" s="172"/>
      <c r="E214" s="172"/>
      <c r="F214" s="172"/>
      <c r="G214" s="172"/>
    </row>
    <row r="215" spans="1:13" x14ac:dyDescent="0.6">
      <c r="A215" s="17"/>
      <c r="C215" s="170"/>
      <c r="D215" s="170"/>
      <c r="E215" s="171"/>
      <c r="F215" s="170"/>
      <c r="G215" s="172"/>
    </row>
    <row r="216" spans="1:13" x14ac:dyDescent="0.6">
      <c r="A216" s="17"/>
      <c r="C216" s="172"/>
      <c r="D216" s="172"/>
      <c r="E216" s="170"/>
      <c r="F216" s="172"/>
      <c r="G216" s="172"/>
    </row>
    <row r="217" spans="1:13" x14ac:dyDescent="0.6">
      <c r="A217" s="17"/>
      <c r="C217" s="172"/>
      <c r="D217" s="172"/>
      <c r="E217" s="170"/>
      <c r="F217" s="172"/>
      <c r="G217" s="171"/>
    </row>
    <row r="218" spans="1:13" x14ac:dyDescent="0.6">
      <c r="A218" s="17"/>
      <c r="B218" s="13"/>
      <c r="C218" s="172"/>
      <c r="D218" s="172"/>
      <c r="E218" s="172"/>
      <c r="F218" s="172"/>
    </row>
    <row r="219" spans="1:13" x14ac:dyDescent="0.6">
      <c r="A219" s="17"/>
      <c r="B219" s="14"/>
      <c r="C219" s="171"/>
      <c r="D219" s="171"/>
      <c r="E219" s="171"/>
      <c r="F219" s="171"/>
      <c r="H219" s="13"/>
    </row>
    <row r="220" spans="1:13" x14ac:dyDescent="0.6">
      <c r="A220" s="17"/>
      <c r="B220" s="11"/>
    </row>
    <row r="221" spans="1:13" x14ac:dyDescent="0.6">
      <c r="A221" s="17"/>
      <c r="H221" s="153"/>
    </row>
    <row r="222" spans="1:13" x14ac:dyDescent="0.6">
      <c r="A222" s="17"/>
      <c r="H222" s="97"/>
      <c r="I222" s="179"/>
      <c r="J222" s="179"/>
      <c r="K222" s="113"/>
    </row>
    <row r="223" spans="1:13" x14ac:dyDescent="0.6">
      <c r="A223" s="17"/>
      <c r="B223" s="32"/>
      <c r="H223" s="97"/>
      <c r="I223" s="179"/>
      <c r="J223" s="179"/>
      <c r="K223" s="113"/>
    </row>
    <row r="224" spans="1:13" x14ac:dyDescent="0.6">
      <c r="A224" s="17"/>
      <c r="B224" s="159"/>
      <c r="H224" s="97"/>
      <c r="I224" s="179"/>
      <c r="J224" s="179"/>
      <c r="K224" s="113"/>
    </row>
    <row r="225" spans="1:11" x14ac:dyDescent="0.6">
      <c r="A225" s="17"/>
      <c r="B225" s="159"/>
      <c r="C225" s="8"/>
      <c r="D225" s="8"/>
      <c r="E225" s="8"/>
      <c r="F225" s="8"/>
    </row>
    <row r="226" spans="1:11" x14ac:dyDescent="0.6">
      <c r="A226" s="17"/>
      <c r="C226" s="8"/>
      <c r="D226" s="180"/>
      <c r="E226" s="8"/>
      <c r="F226" s="180"/>
      <c r="H226" s="153"/>
      <c r="I226" s="164"/>
      <c r="J226" s="164"/>
    </row>
    <row r="227" spans="1:11" x14ac:dyDescent="0.6">
      <c r="A227" s="17"/>
      <c r="B227" s="32"/>
      <c r="C227" s="170"/>
      <c r="D227" s="175"/>
      <c r="E227" s="174"/>
      <c r="F227" s="174"/>
      <c r="H227" s="97"/>
      <c r="I227" s="179"/>
      <c r="J227" s="179"/>
      <c r="K227" s="113"/>
    </row>
    <row r="228" spans="1:11" x14ac:dyDescent="0.6">
      <c r="A228" s="17"/>
      <c r="B228" s="159"/>
      <c r="C228" s="171"/>
      <c r="D228" s="175"/>
      <c r="E228" s="170"/>
      <c r="F228" s="175"/>
    </row>
    <row r="229" spans="1:11" x14ac:dyDescent="0.6">
      <c r="A229" s="17"/>
      <c r="B229" s="159"/>
      <c r="C229" s="171"/>
      <c r="D229" s="175"/>
      <c r="E229" s="170"/>
      <c r="F229" s="175"/>
    </row>
    <row r="230" spans="1:11" x14ac:dyDescent="0.6">
      <c r="A230" s="17"/>
      <c r="C230" s="171"/>
      <c r="D230" s="175"/>
      <c r="E230" s="171"/>
      <c r="F230" s="175"/>
    </row>
    <row r="231" spans="1:11" x14ac:dyDescent="0.6">
      <c r="A231" s="17"/>
      <c r="C231" s="170"/>
      <c r="D231" s="175"/>
      <c r="E231" s="170"/>
      <c r="F231" s="175"/>
    </row>
    <row r="232" spans="1:11" x14ac:dyDescent="0.6">
      <c r="C232" s="171"/>
      <c r="D232" s="174"/>
      <c r="E232" s="170"/>
      <c r="F232" s="175"/>
    </row>
    <row r="233" spans="1:11" x14ac:dyDescent="0.6">
      <c r="A233" s="13"/>
      <c r="C233" s="171"/>
      <c r="D233" s="174"/>
      <c r="E233" s="170"/>
      <c r="F233" s="175"/>
    </row>
    <row r="234" spans="1:11" x14ac:dyDescent="0.6">
      <c r="A234" s="17"/>
      <c r="C234" s="171"/>
      <c r="D234" s="174"/>
      <c r="E234" s="171"/>
      <c r="F234" s="174"/>
    </row>
    <row r="235" spans="1:11" x14ac:dyDescent="0.6">
      <c r="A235" s="17"/>
      <c r="C235" s="171"/>
      <c r="D235" s="174"/>
      <c r="E235" s="171"/>
      <c r="F235" s="174"/>
    </row>
    <row r="236" spans="1:11" x14ac:dyDescent="0.6">
      <c r="A236" s="17"/>
      <c r="B236" s="97"/>
      <c r="C236" s="172"/>
      <c r="E236" s="172"/>
    </row>
    <row r="237" spans="1:11" x14ac:dyDescent="0.6">
      <c r="A237" s="17"/>
      <c r="B237" s="97"/>
      <c r="C237" s="172"/>
      <c r="E237" s="172"/>
    </row>
    <row r="238" spans="1:11" x14ac:dyDescent="0.6">
      <c r="A238" s="17"/>
      <c r="B238" s="97"/>
    </row>
    <row r="239" spans="1:11" x14ac:dyDescent="0.6">
      <c r="A239" s="17"/>
      <c r="B239" s="97"/>
      <c r="E239" s="69"/>
    </row>
    <row r="240" spans="1:11" x14ac:dyDescent="0.6">
      <c r="A240" s="17"/>
      <c r="B240" s="97"/>
      <c r="C240" s="129"/>
      <c r="D240" s="113"/>
      <c r="E240" s="7"/>
    </row>
    <row r="241" spans="1:13" x14ac:dyDescent="0.6">
      <c r="A241" s="17"/>
      <c r="B241" s="97"/>
      <c r="C241" s="129"/>
      <c r="D241" s="113"/>
      <c r="E241" s="7"/>
    </row>
    <row r="242" spans="1:13" x14ac:dyDescent="0.6">
      <c r="A242" s="17"/>
      <c r="B242" s="97"/>
    </row>
    <row r="243" spans="1:13" x14ac:dyDescent="0.6">
      <c r="A243" s="17"/>
      <c r="B243" s="97"/>
      <c r="C243" s="129"/>
      <c r="D243" s="113"/>
      <c r="E243" s="117"/>
    </row>
    <row r="244" spans="1:13" x14ac:dyDescent="0.6">
      <c r="A244" s="17"/>
      <c r="B244" s="97"/>
      <c r="C244" s="158"/>
      <c r="E244" s="117"/>
    </row>
    <row r="245" spans="1:13" x14ac:dyDescent="0.6">
      <c r="A245" s="17"/>
      <c r="B245" s="97"/>
      <c r="C245" s="158"/>
      <c r="E245" s="117"/>
    </row>
    <row r="246" spans="1:13" x14ac:dyDescent="0.6">
      <c r="A246" s="17"/>
      <c r="B246" s="97"/>
      <c r="C246" s="181"/>
    </row>
    <row r="247" spans="1:13" x14ac:dyDescent="0.6">
      <c r="B247" s="97"/>
      <c r="C247" s="11"/>
    </row>
    <row r="248" spans="1:13" x14ac:dyDescent="0.6">
      <c r="B248" s="97"/>
      <c r="C248" s="9"/>
    </row>
    <row r="249" spans="1:13" x14ac:dyDescent="0.6">
      <c r="A249" s="17"/>
      <c r="C249" s="7"/>
    </row>
    <row r="250" spans="1:13" x14ac:dyDescent="0.6">
      <c r="A250" s="17"/>
      <c r="B250" s="97"/>
    </row>
    <row r="251" spans="1:13" x14ac:dyDescent="0.6">
      <c r="A251" s="17"/>
    </row>
    <row r="252" spans="1:13" x14ac:dyDescent="0.6">
      <c r="A252" s="3"/>
    </row>
    <row r="253" spans="1:13" x14ac:dyDescent="0.6">
      <c r="A253" s="17"/>
    </row>
    <row r="254" spans="1:13" x14ac:dyDescent="0.6">
      <c r="A254" s="17"/>
      <c r="B254" s="13"/>
      <c r="H254" s="8"/>
      <c r="I254" s="8"/>
      <c r="J254" s="8"/>
      <c r="K254" s="8"/>
      <c r="L254" s="8"/>
      <c r="M254" s="8"/>
    </row>
    <row r="255" spans="1:13" x14ac:dyDescent="0.6">
      <c r="A255" s="17"/>
      <c r="B255" s="13"/>
      <c r="C255" s="172"/>
      <c r="E255" s="172"/>
    </row>
    <row r="256" spans="1:13" x14ac:dyDescent="0.6">
      <c r="A256" s="17"/>
      <c r="C256" s="172"/>
      <c r="E256" s="172"/>
      <c r="H256" s="169"/>
      <c r="I256" s="169"/>
      <c r="J256" s="169"/>
      <c r="K256" s="169"/>
      <c r="L256" s="169"/>
      <c r="M256" s="169"/>
    </row>
    <row r="257" spans="1:13" x14ac:dyDescent="0.6">
      <c r="A257" s="17"/>
      <c r="C257" s="172"/>
      <c r="E257" s="172"/>
      <c r="H257" s="169"/>
      <c r="I257" s="169"/>
      <c r="J257" s="169"/>
      <c r="K257" s="169"/>
      <c r="L257" s="169"/>
      <c r="M257" s="169"/>
    </row>
    <row r="258" spans="1:13" x14ac:dyDescent="0.6">
      <c r="A258" s="17"/>
      <c r="B258" s="41"/>
      <c r="G258" s="8"/>
      <c r="H258" s="168"/>
      <c r="I258" s="168"/>
      <c r="J258" s="169"/>
      <c r="K258" s="169"/>
      <c r="L258" s="169"/>
      <c r="M258" s="169"/>
    </row>
    <row r="259" spans="1:13" x14ac:dyDescent="0.6">
      <c r="A259" s="17"/>
      <c r="B259" s="41"/>
    </row>
    <row r="260" spans="1:13" x14ac:dyDescent="0.6">
      <c r="A260" s="17"/>
      <c r="B260" s="41"/>
      <c r="C260" s="8"/>
      <c r="D260" s="8"/>
      <c r="E260" s="8"/>
      <c r="F260" s="8"/>
      <c r="G260" s="169"/>
    </row>
    <row r="261" spans="1:13" x14ac:dyDescent="0.6">
      <c r="A261" s="17"/>
      <c r="B261" s="41"/>
      <c r="G261" s="169"/>
      <c r="H261" s="75"/>
      <c r="I261" s="75"/>
      <c r="J261" s="75"/>
      <c r="K261" s="75"/>
      <c r="L261" s="75"/>
      <c r="M261" s="75"/>
    </row>
    <row r="262" spans="1:13" x14ac:dyDescent="0.6">
      <c r="A262" s="17"/>
      <c r="C262" s="182"/>
      <c r="D262" s="182"/>
      <c r="E262" s="169"/>
      <c r="F262" s="169"/>
      <c r="G262" s="168"/>
      <c r="H262" s="75"/>
      <c r="I262" s="75"/>
      <c r="J262" s="75"/>
      <c r="K262" s="75"/>
      <c r="L262" s="75"/>
      <c r="M262" s="75"/>
    </row>
    <row r="263" spans="1:13" x14ac:dyDescent="0.6">
      <c r="A263" s="17"/>
      <c r="B263" s="41"/>
      <c r="C263" s="169"/>
      <c r="D263" s="169"/>
      <c r="E263" s="169"/>
      <c r="F263" s="169"/>
    </row>
    <row r="264" spans="1:13" x14ac:dyDescent="0.6">
      <c r="A264" s="17"/>
      <c r="B264" s="41"/>
      <c r="C264" s="168"/>
      <c r="D264" s="168"/>
      <c r="E264" s="168"/>
      <c r="F264" s="168"/>
    </row>
    <row r="265" spans="1:13" x14ac:dyDescent="0.6">
      <c r="A265" s="17"/>
      <c r="G265" s="75"/>
    </row>
    <row r="266" spans="1:13" x14ac:dyDescent="0.6">
      <c r="A266" s="17"/>
      <c r="G266" s="75"/>
    </row>
    <row r="267" spans="1:13" x14ac:dyDescent="0.6">
      <c r="A267" s="17"/>
      <c r="B267" s="41"/>
      <c r="C267" s="75"/>
      <c r="D267" s="75"/>
      <c r="E267" s="75"/>
      <c r="F267" s="75"/>
    </row>
    <row r="268" spans="1:13" x14ac:dyDescent="0.6">
      <c r="A268" s="17"/>
      <c r="B268" s="41"/>
      <c r="C268" s="75"/>
      <c r="D268" s="75"/>
      <c r="E268" s="75"/>
      <c r="F268" s="75"/>
      <c r="L268" s="183"/>
    </row>
    <row r="269" spans="1:13" x14ac:dyDescent="0.6">
      <c r="A269" s="17"/>
      <c r="B269" s="41"/>
      <c r="K269" s="41"/>
    </row>
    <row r="270" spans="1:13" x14ac:dyDescent="0.6">
      <c r="A270" s="17"/>
      <c r="K270" s="41"/>
      <c r="L270" s="74"/>
      <c r="M270" s="184"/>
    </row>
    <row r="271" spans="1:13" x14ac:dyDescent="0.6">
      <c r="A271" s="17"/>
      <c r="C271" s="185"/>
      <c r="K271" s="41"/>
      <c r="L271" s="74"/>
      <c r="M271" s="184"/>
    </row>
    <row r="272" spans="1:13" x14ac:dyDescent="0.6">
      <c r="A272" s="17"/>
      <c r="B272" s="41"/>
      <c r="C272" s="185"/>
    </row>
    <row r="273" spans="1:12" x14ac:dyDescent="0.6">
      <c r="A273" s="17"/>
      <c r="B273" s="41"/>
      <c r="C273" s="168"/>
      <c r="D273" s="157"/>
    </row>
    <row r="274" spans="1:12" x14ac:dyDescent="0.6">
      <c r="A274" s="3"/>
    </row>
    <row r="275" spans="1:12" x14ac:dyDescent="0.6">
      <c r="A275" s="17"/>
    </row>
    <row r="276" spans="1:12" x14ac:dyDescent="0.6">
      <c r="A276" s="17"/>
      <c r="B276" s="13"/>
      <c r="C276" s="75"/>
      <c r="E276" s="69"/>
    </row>
    <row r="277" spans="1:12" x14ac:dyDescent="0.6">
      <c r="A277" s="17"/>
      <c r="C277" s="75"/>
      <c r="E277" s="69"/>
    </row>
    <row r="278" spans="1:12" x14ac:dyDescent="0.6">
      <c r="A278" s="17"/>
      <c r="B278" s="97"/>
    </row>
    <row r="279" spans="1:12" x14ac:dyDescent="0.6">
      <c r="A279" s="17"/>
      <c r="B279" s="97"/>
      <c r="C279" s="172"/>
      <c r="E279" s="172"/>
    </row>
    <row r="280" spans="1:12" x14ac:dyDescent="0.6">
      <c r="A280" s="17"/>
      <c r="B280" s="97"/>
      <c r="C280" s="172"/>
      <c r="E280" s="172"/>
      <c r="H280" s="8"/>
      <c r="I280" s="8"/>
      <c r="J280" s="8"/>
      <c r="K280" s="8"/>
      <c r="L280" s="8"/>
    </row>
    <row r="281" spans="1:12" x14ac:dyDescent="0.6">
      <c r="A281" s="17"/>
      <c r="C281" s="172"/>
      <c r="E281" s="172"/>
    </row>
    <row r="282" spans="1:12" x14ac:dyDescent="0.6">
      <c r="A282" s="17"/>
      <c r="C282" s="62"/>
      <c r="E282" s="186"/>
      <c r="H282" s="169"/>
      <c r="I282" s="169"/>
      <c r="J282" s="169"/>
      <c r="K282" s="187"/>
      <c r="L282" s="187"/>
    </row>
    <row r="283" spans="1:12" x14ac:dyDescent="0.6">
      <c r="A283" s="17"/>
      <c r="C283" s="188"/>
      <c r="E283" s="172"/>
      <c r="H283" s="169"/>
      <c r="I283" s="169"/>
      <c r="J283" s="169"/>
      <c r="K283" s="187"/>
      <c r="L283" s="187"/>
    </row>
    <row r="284" spans="1:12" x14ac:dyDescent="0.6">
      <c r="A284" s="17"/>
      <c r="B284" s="41"/>
      <c r="C284" s="188"/>
      <c r="E284" s="172"/>
      <c r="G284" s="8"/>
      <c r="H284" s="168"/>
      <c r="I284" s="168"/>
      <c r="J284" s="168"/>
      <c r="K284" s="168"/>
      <c r="L284" s="168"/>
    </row>
    <row r="285" spans="1:12" x14ac:dyDescent="0.6">
      <c r="A285" s="17"/>
      <c r="B285" s="41"/>
      <c r="C285" s="172"/>
      <c r="E285" s="172"/>
      <c r="H285" s="168"/>
      <c r="I285" s="168"/>
      <c r="J285" s="168"/>
      <c r="K285" s="168"/>
      <c r="L285" s="168"/>
    </row>
    <row r="286" spans="1:12" x14ac:dyDescent="0.6">
      <c r="A286" s="17"/>
      <c r="B286" s="41"/>
      <c r="C286" s="8"/>
      <c r="D286" s="8"/>
      <c r="E286" s="8"/>
      <c r="F286" s="8"/>
      <c r="G286" s="169"/>
      <c r="H286" s="168"/>
      <c r="I286" s="168"/>
      <c r="J286" s="168"/>
      <c r="K286" s="168"/>
      <c r="L286" s="168"/>
    </row>
    <row r="287" spans="1:12" x14ac:dyDescent="0.6">
      <c r="A287" s="17"/>
      <c r="B287" s="41"/>
      <c r="G287" s="169"/>
    </row>
    <row r="288" spans="1:12" x14ac:dyDescent="0.6">
      <c r="A288" s="17"/>
      <c r="B288" s="41"/>
      <c r="C288" s="169"/>
      <c r="D288" s="169"/>
      <c r="E288" s="187"/>
      <c r="F288" s="169"/>
      <c r="G288" s="168"/>
    </row>
    <row r="289" spans="1:12" x14ac:dyDescent="0.6">
      <c r="A289" s="17"/>
      <c r="B289" s="41"/>
      <c r="C289" s="169"/>
      <c r="D289" s="169"/>
      <c r="E289" s="187"/>
      <c r="F289" s="169"/>
      <c r="G289" s="168"/>
    </row>
    <row r="290" spans="1:12" x14ac:dyDescent="0.6">
      <c r="A290" s="17"/>
      <c r="B290" s="41"/>
      <c r="C290" s="168"/>
      <c r="D290" s="168"/>
      <c r="E290" s="168"/>
      <c r="F290" s="168"/>
      <c r="G290" s="168"/>
      <c r="H290" s="8"/>
      <c r="I290" s="8"/>
      <c r="J290" s="8"/>
      <c r="K290" s="8"/>
      <c r="L290" s="8"/>
    </row>
    <row r="291" spans="1:12" x14ac:dyDescent="0.6">
      <c r="A291" s="17"/>
      <c r="B291" s="41"/>
      <c r="C291" s="168"/>
      <c r="D291" s="168"/>
      <c r="E291" s="168"/>
      <c r="F291" s="168"/>
    </row>
    <row r="292" spans="1:12" x14ac:dyDescent="0.6">
      <c r="A292" s="17"/>
      <c r="C292" s="168"/>
      <c r="D292" s="168"/>
      <c r="E292" s="168"/>
      <c r="F292" s="168"/>
      <c r="H292" s="169"/>
      <c r="I292" s="169"/>
      <c r="J292" s="169"/>
      <c r="K292" s="169"/>
      <c r="L292" s="169"/>
    </row>
    <row r="293" spans="1:12" x14ac:dyDescent="0.6">
      <c r="A293" s="17"/>
      <c r="C293" s="168"/>
      <c r="E293" s="172"/>
      <c r="H293" s="169"/>
      <c r="I293" s="169"/>
      <c r="J293" s="169"/>
      <c r="K293" s="169"/>
      <c r="L293" s="169"/>
    </row>
    <row r="294" spans="1:12" x14ac:dyDescent="0.6">
      <c r="A294" s="17"/>
      <c r="B294" s="41"/>
      <c r="C294" s="168"/>
      <c r="E294" s="172"/>
      <c r="G294" s="8"/>
      <c r="H294" s="168"/>
      <c r="I294" s="168"/>
      <c r="J294" s="169"/>
      <c r="K294" s="169"/>
      <c r="L294" s="169"/>
    </row>
    <row r="295" spans="1:12" x14ac:dyDescent="0.6">
      <c r="A295" s="17"/>
      <c r="B295" s="41"/>
      <c r="C295" s="172"/>
      <c r="E295" s="172"/>
      <c r="H295" s="172"/>
      <c r="I295" s="172"/>
      <c r="J295" s="172"/>
      <c r="K295" s="172"/>
      <c r="L295" s="172"/>
    </row>
    <row r="296" spans="1:12" x14ac:dyDescent="0.6">
      <c r="A296" s="17"/>
      <c r="B296" s="41"/>
      <c r="C296" s="8"/>
      <c r="D296" s="8"/>
      <c r="E296" s="8"/>
      <c r="F296" s="8"/>
      <c r="G296" s="169"/>
    </row>
    <row r="297" spans="1:12" x14ac:dyDescent="0.6">
      <c r="A297" s="17"/>
      <c r="G297" s="169"/>
    </row>
    <row r="298" spans="1:12" x14ac:dyDescent="0.6">
      <c r="A298" s="17"/>
      <c r="B298" s="41"/>
      <c r="C298" s="169"/>
      <c r="D298" s="169"/>
      <c r="E298" s="169"/>
      <c r="F298" s="169"/>
      <c r="G298" s="168"/>
    </row>
    <row r="299" spans="1:12" x14ac:dyDescent="0.6">
      <c r="A299" s="17"/>
      <c r="B299" s="41"/>
      <c r="C299" s="169"/>
      <c r="D299" s="169"/>
      <c r="E299" s="169"/>
      <c r="F299" s="169"/>
      <c r="G299" s="172"/>
    </row>
    <row r="300" spans="1:12" x14ac:dyDescent="0.6">
      <c r="B300" s="41"/>
      <c r="C300" s="168"/>
      <c r="D300" s="168"/>
      <c r="E300" s="168"/>
      <c r="F300" s="168"/>
    </row>
    <row r="301" spans="1:12" x14ac:dyDescent="0.6">
      <c r="C301" s="172"/>
      <c r="D301" s="172"/>
      <c r="E301" s="172"/>
      <c r="F301" s="172"/>
    </row>
    <row r="302" spans="1:12" x14ac:dyDescent="0.6">
      <c r="B302" s="97"/>
      <c r="C302" s="168"/>
    </row>
    <row r="303" spans="1:12" x14ac:dyDescent="0.6">
      <c r="C303" s="168"/>
    </row>
    <row r="304" spans="1:12" x14ac:dyDescent="0.6">
      <c r="A304" s="3"/>
      <c r="C304" s="168"/>
    </row>
    <row r="305" spans="1:10" x14ac:dyDescent="0.6">
      <c r="C305" s="172"/>
      <c r="E305" s="172"/>
    </row>
    <row r="306" spans="1:10" x14ac:dyDescent="0.6">
      <c r="B306" s="13"/>
      <c r="C306" s="168"/>
    </row>
    <row r="307" spans="1:10" x14ac:dyDescent="0.6">
      <c r="B307" s="14"/>
    </row>
    <row r="308" spans="1:10" x14ac:dyDescent="0.6">
      <c r="B308" s="41"/>
    </row>
    <row r="309" spans="1:10" x14ac:dyDescent="0.6">
      <c r="B309" s="41"/>
    </row>
    <row r="310" spans="1:10" hidden="1" outlineLevel="1" x14ac:dyDescent="0.6">
      <c r="A310" s="189"/>
      <c r="B310" s="41"/>
      <c r="C310" s="111"/>
    </row>
    <row r="311" spans="1:10" hidden="1" outlineLevel="1" x14ac:dyDescent="0.6">
      <c r="A311" s="3"/>
    </row>
    <row r="312" spans="1:10" hidden="1" outlineLevel="1" x14ac:dyDescent="0.6">
      <c r="C312" s="42"/>
    </row>
    <row r="313" spans="1:10" hidden="1" outlineLevel="1" x14ac:dyDescent="0.6">
      <c r="A313" s="2"/>
      <c r="B313" s="13"/>
      <c r="C313" s="190"/>
    </row>
    <row r="314" spans="1:10" hidden="1" outlineLevel="1" x14ac:dyDescent="0.6">
      <c r="A314" s="2"/>
      <c r="C314" s="42"/>
    </row>
    <row r="315" spans="1:10" hidden="1" outlineLevel="1" x14ac:dyDescent="0.6">
      <c r="A315" s="2"/>
    </row>
    <row r="316" spans="1:10" hidden="1" outlineLevel="1" x14ac:dyDescent="0.6">
      <c r="A316" s="2"/>
    </row>
    <row r="317" spans="1:10" hidden="1" outlineLevel="1" x14ac:dyDescent="0.6">
      <c r="A317" s="2"/>
    </row>
    <row r="318" spans="1:10" hidden="1" outlineLevel="1" x14ac:dyDescent="0.6">
      <c r="A318" s="2"/>
    </row>
    <row r="319" spans="1:10" hidden="1" outlineLevel="1" x14ac:dyDescent="0.6">
      <c r="A319" s="2"/>
      <c r="C319" s="191"/>
      <c r="D319" s="191"/>
      <c r="E319" s="191"/>
      <c r="G319" s="129"/>
      <c r="H319" s="8"/>
      <c r="I319" s="8"/>
      <c r="J319" s="8"/>
    </row>
    <row r="320" spans="1:10" hidden="1" outlineLevel="1" x14ac:dyDescent="0.6">
      <c r="A320" s="2"/>
      <c r="C320" s="181"/>
      <c r="D320" s="181"/>
      <c r="E320" s="181"/>
      <c r="H320" s="192"/>
      <c r="I320" s="192"/>
      <c r="J320" s="192"/>
    </row>
    <row r="321" spans="1:10" hidden="1" outlineLevel="1" x14ac:dyDescent="0.6">
      <c r="A321" s="2"/>
      <c r="C321" s="129"/>
      <c r="D321" s="129"/>
      <c r="E321" s="129"/>
      <c r="F321" s="129"/>
      <c r="H321" s="42"/>
      <c r="I321" s="42"/>
      <c r="J321" s="42"/>
    </row>
    <row r="322" spans="1:10" hidden="1" outlineLevel="1" x14ac:dyDescent="0.6">
      <c r="A322" s="2"/>
    </row>
    <row r="323" spans="1:10" hidden="1" outlineLevel="1" x14ac:dyDescent="0.6">
      <c r="A323" s="2"/>
      <c r="C323" s="129"/>
      <c r="D323" s="129"/>
      <c r="E323" s="129"/>
      <c r="F323" s="129"/>
      <c r="G323" s="8"/>
    </row>
    <row r="324" spans="1:10" hidden="1" outlineLevel="1" x14ac:dyDescent="0.6">
      <c r="A324" s="2"/>
      <c r="G324" s="192"/>
    </row>
    <row r="325" spans="1:10" hidden="1" outlineLevel="1" x14ac:dyDescent="0.6">
      <c r="A325" s="2"/>
      <c r="C325" s="8"/>
      <c r="D325" s="8"/>
      <c r="E325" s="8"/>
      <c r="F325" s="8"/>
      <c r="G325" s="42"/>
    </row>
    <row r="326" spans="1:10" hidden="1" outlineLevel="1" x14ac:dyDescent="0.6">
      <c r="A326" s="2"/>
      <c r="C326" s="192"/>
      <c r="D326" s="192"/>
      <c r="E326" s="192"/>
      <c r="F326" s="192"/>
    </row>
    <row r="327" spans="1:10" hidden="1" outlineLevel="1" x14ac:dyDescent="0.6">
      <c r="A327" s="2"/>
      <c r="C327" s="42"/>
      <c r="D327" s="42"/>
      <c r="E327" s="42"/>
      <c r="F327" s="42"/>
    </row>
    <row r="328" spans="1:10" hidden="1" outlineLevel="1" x14ac:dyDescent="0.6">
      <c r="A328" s="2"/>
    </row>
    <row r="329" spans="1:10" hidden="1" outlineLevel="1" x14ac:dyDescent="0.6"/>
    <row r="330" spans="1:10" hidden="1" outlineLevel="1" x14ac:dyDescent="0.6"/>
    <row r="331" spans="1:10" hidden="1" outlineLevel="1" x14ac:dyDescent="0.6">
      <c r="C331" s="8"/>
      <c r="D331" s="8"/>
    </row>
    <row r="332" spans="1:10" hidden="1" outlineLevel="1" x14ac:dyDescent="0.6">
      <c r="C332" s="129"/>
      <c r="D332" s="129"/>
    </row>
    <row r="333" spans="1:10" hidden="1" outlineLevel="1" x14ac:dyDescent="0.6">
      <c r="C333" s="164"/>
      <c r="D333" s="164"/>
    </row>
    <row r="334" spans="1:10" hidden="1" outlineLevel="1" x14ac:dyDescent="0.6">
      <c r="C334" s="129"/>
      <c r="D334" s="129"/>
    </row>
    <row r="335" spans="1:10" hidden="1" outlineLevel="1" x14ac:dyDescent="0.6">
      <c r="A335" s="3"/>
      <c r="C335" s="129"/>
      <c r="D335" s="129"/>
    </row>
    <row r="336" spans="1:10" hidden="1" outlineLevel="1" x14ac:dyDescent="0.6">
      <c r="C336" s="164"/>
      <c r="D336" s="164"/>
    </row>
    <row r="337" spans="1:12" hidden="1" outlineLevel="1" x14ac:dyDescent="0.6">
      <c r="B337" s="13"/>
      <c r="H337" s="8"/>
      <c r="I337" s="8"/>
      <c r="J337" s="8"/>
      <c r="K337" s="8"/>
      <c r="L337" s="8"/>
    </row>
    <row r="338" spans="1:12" hidden="1" outlineLevel="1" x14ac:dyDescent="0.6">
      <c r="C338" s="164"/>
      <c r="D338" s="164"/>
      <c r="H338" s="8"/>
      <c r="I338" s="8"/>
      <c r="J338" s="8"/>
      <c r="K338" s="8"/>
      <c r="L338" s="8"/>
    </row>
    <row r="339" spans="1:12" hidden="1" outlineLevel="1" x14ac:dyDescent="0.6"/>
    <row r="340" spans="1:12" hidden="1" outlineLevel="1" x14ac:dyDescent="0.6">
      <c r="C340" s="164"/>
      <c r="H340" s="129"/>
      <c r="I340" s="129"/>
      <c r="J340" s="129"/>
    </row>
    <row r="341" spans="1:12" hidden="1" outlineLevel="1" x14ac:dyDescent="0.6">
      <c r="B341" s="41"/>
      <c r="G341" s="8"/>
    </row>
    <row r="342" spans="1:12" hidden="1" outlineLevel="1" x14ac:dyDescent="0.6">
      <c r="A342" s="2"/>
      <c r="B342" s="41"/>
      <c r="G342" s="8"/>
    </row>
    <row r="343" spans="1:12" hidden="1" outlineLevel="1" x14ac:dyDescent="0.6">
      <c r="A343" s="2"/>
      <c r="B343" s="41"/>
      <c r="C343" s="8"/>
      <c r="D343" s="8"/>
      <c r="E343" s="8"/>
      <c r="F343" s="8"/>
    </row>
    <row r="344" spans="1:12" hidden="1" outlineLevel="1" x14ac:dyDescent="0.6">
      <c r="A344" s="2"/>
      <c r="B344" s="41"/>
      <c r="C344" s="8"/>
      <c r="D344" s="8"/>
      <c r="E344" s="8"/>
      <c r="F344" s="8"/>
      <c r="G344" s="129"/>
    </row>
    <row r="345" spans="1:12" hidden="1" outlineLevel="1" x14ac:dyDescent="0.6">
      <c r="A345" s="2"/>
      <c r="B345" s="41"/>
    </row>
    <row r="346" spans="1:12" hidden="1" outlineLevel="1" x14ac:dyDescent="0.6">
      <c r="A346" s="2"/>
      <c r="B346" s="41"/>
      <c r="C346" s="129"/>
      <c r="D346" s="129"/>
      <c r="E346" s="129"/>
      <c r="F346" s="129"/>
    </row>
    <row r="347" spans="1:12" hidden="1" outlineLevel="1" x14ac:dyDescent="0.6">
      <c r="A347" s="2"/>
      <c r="B347" s="41"/>
    </row>
    <row r="348" spans="1:12" hidden="1" outlineLevel="1" x14ac:dyDescent="0.6">
      <c r="A348" s="2"/>
      <c r="B348" s="41"/>
      <c r="C348" s="8"/>
      <c r="D348" s="8"/>
    </row>
    <row r="349" spans="1:12" hidden="1" outlineLevel="1" x14ac:dyDescent="0.6">
      <c r="A349" s="2"/>
      <c r="B349" s="41"/>
      <c r="C349" s="89"/>
      <c r="D349" s="89"/>
    </row>
    <row r="350" spans="1:12" hidden="1" outlineLevel="1" x14ac:dyDescent="0.6">
      <c r="A350" s="2"/>
      <c r="B350" s="41"/>
      <c r="C350" s="164"/>
      <c r="D350" s="164"/>
    </row>
    <row r="351" spans="1:12" hidden="1" outlineLevel="1" x14ac:dyDescent="0.6">
      <c r="A351" s="2"/>
      <c r="B351" s="41"/>
      <c r="C351" s="157"/>
      <c r="D351" s="157"/>
    </row>
    <row r="352" spans="1:12" hidden="1" outlineLevel="1" x14ac:dyDescent="0.6">
      <c r="A352" s="2"/>
      <c r="B352" s="41"/>
      <c r="H352" s="8"/>
      <c r="I352" s="8"/>
      <c r="J352" s="8"/>
      <c r="K352" s="8"/>
      <c r="L352" s="8"/>
    </row>
    <row r="353" spans="1:12" hidden="1" outlineLevel="1" x14ac:dyDescent="0.6">
      <c r="A353" s="2"/>
      <c r="B353" s="41"/>
      <c r="H353" s="8"/>
      <c r="I353" s="8"/>
      <c r="J353" s="8"/>
      <c r="K353" s="8"/>
      <c r="L353" s="8"/>
    </row>
    <row r="354" spans="1:12" hidden="1" outlineLevel="1" x14ac:dyDescent="0.6">
      <c r="A354" s="2"/>
      <c r="C354" s="129"/>
      <c r="H354" s="89"/>
      <c r="I354" s="89"/>
      <c r="J354" s="89"/>
      <c r="K354" s="89"/>
      <c r="L354" s="89"/>
    </row>
    <row r="355" spans="1:12" hidden="1" outlineLevel="1" x14ac:dyDescent="0.6">
      <c r="A355" s="2"/>
      <c r="C355" s="129"/>
      <c r="H355" s="129"/>
      <c r="I355" s="129"/>
      <c r="J355" s="129"/>
      <c r="K355" s="129"/>
      <c r="L355" s="129"/>
    </row>
    <row r="356" spans="1:12" hidden="1" outlineLevel="1" x14ac:dyDescent="0.6">
      <c r="A356" s="2"/>
      <c r="B356" s="41"/>
      <c r="C356" s="129"/>
      <c r="G356" s="8"/>
      <c r="H356" s="129"/>
      <c r="I356" s="129"/>
      <c r="J356" s="129"/>
      <c r="K356" s="129"/>
      <c r="L356" s="129"/>
    </row>
    <row r="357" spans="1:12" hidden="1" outlineLevel="1" x14ac:dyDescent="0.6">
      <c r="A357" s="2"/>
      <c r="B357" s="41"/>
      <c r="C357" s="129"/>
      <c r="G357" s="8"/>
      <c r="H357" s="129"/>
      <c r="I357" s="129"/>
      <c r="J357" s="129"/>
      <c r="K357" s="129"/>
      <c r="L357" s="129"/>
    </row>
    <row r="358" spans="1:12" hidden="1" outlineLevel="1" x14ac:dyDescent="0.6">
      <c r="B358" s="41"/>
      <c r="C358" s="8"/>
      <c r="D358" s="8"/>
      <c r="E358" s="8"/>
      <c r="F358" s="8"/>
      <c r="G358" s="89"/>
      <c r="H358" s="129"/>
      <c r="I358" s="129"/>
      <c r="J358" s="129"/>
      <c r="K358" s="129"/>
      <c r="L358" s="129"/>
    </row>
    <row r="359" spans="1:12" hidden="1" outlineLevel="1" x14ac:dyDescent="0.6">
      <c r="B359" s="41"/>
      <c r="C359" s="8"/>
      <c r="D359" s="8"/>
      <c r="E359" s="8"/>
      <c r="F359" s="8"/>
      <c r="G359" s="129"/>
      <c r="H359" s="129"/>
      <c r="I359" s="129"/>
      <c r="J359" s="129"/>
      <c r="K359" s="129"/>
      <c r="L359" s="129"/>
    </row>
    <row r="360" spans="1:12" hidden="1" outlineLevel="1" x14ac:dyDescent="0.6">
      <c r="B360" s="41"/>
      <c r="C360" s="89"/>
      <c r="D360" s="89"/>
      <c r="E360" s="89"/>
      <c r="F360" s="89"/>
      <c r="G360" s="129"/>
      <c r="H360" s="129"/>
      <c r="I360" s="129"/>
      <c r="J360" s="129"/>
      <c r="K360" s="129"/>
      <c r="L360" s="129"/>
    </row>
    <row r="361" spans="1:12" hidden="1" outlineLevel="1" x14ac:dyDescent="0.6">
      <c r="B361" s="41"/>
      <c r="C361" s="129"/>
      <c r="D361" s="129"/>
      <c r="E361" s="129"/>
      <c r="F361" s="129"/>
      <c r="G361" s="129"/>
    </row>
    <row r="362" spans="1:12" hidden="1" outlineLevel="1" x14ac:dyDescent="0.6">
      <c r="B362" s="41"/>
      <c r="C362" s="129"/>
      <c r="D362" s="129"/>
      <c r="E362" s="129"/>
      <c r="F362" s="129"/>
      <c r="G362" s="129"/>
    </row>
    <row r="363" spans="1:12" hidden="1" outlineLevel="1" x14ac:dyDescent="0.6">
      <c r="B363" s="41"/>
      <c r="C363" s="129"/>
      <c r="D363" s="129"/>
      <c r="E363" s="129"/>
      <c r="F363" s="129"/>
      <c r="G363" s="129"/>
    </row>
    <row r="364" spans="1:12" hidden="1" outlineLevel="1" x14ac:dyDescent="0.6">
      <c r="B364" s="41"/>
      <c r="C364" s="129"/>
      <c r="D364" s="129"/>
      <c r="E364" s="129"/>
      <c r="F364" s="129"/>
      <c r="G364" s="129"/>
    </row>
    <row r="365" spans="1:12" hidden="1" outlineLevel="1" x14ac:dyDescent="0.6">
      <c r="C365" s="129"/>
      <c r="D365" s="129"/>
      <c r="E365" s="129"/>
      <c r="F365" s="129"/>
    </row>
    <row r="366" spans="1:12" hidden="1" outlineLevel="1" x14ac:dyDescent="0.6">
      <c r="B366" s="97"/>
      <c r="C366" s="129"/>
      <c r="D366" s="129"/>
      <c r="E366" s="129"/>
      <c r="F366" s="129"/>
    </row>
    <row r="367" spans="1:12" hidden="1" outlineLevel="1" x14ac:dyDescent="0.6">
      <c r="C367" s="129"/>
    </row>
    <row r="368" spans="1:12" hidden="1" outlineLevel="1" x14ac:dyDescent="0.6">
      <c r="C368" s="129"/>
    </row>
    <row r="369" spans="1:4" hidden="1" outlineLevel="1" x14ac:dyDescent="0.6">
      <c r="A369" s="193"/>
    </row>
    <row r="370" spans="1:4" hidden="1" outlineLevel="1" x14ac:dyDescent="0.6">
      <c r="A370" s="97"/>
      <c r="C370" s="168"/>
    </row>
    <row r="371" spans="1:4" hidden="1" outlineLevel="1" x14ac:dyDescent="0.6">
      <c r="A371" s="97"/>
    </row>
    <row r="372" spans="1:4" hidden="1" outlineLevel="1" x14ac:dyDescent="0.6">
      <c r="A372" s="97"/>
    </row>
    <row r="373" spans="1:4" hidden="1" outlineLevel="1" x14ac:dyDescent="0.6">
      <c r="A373" s="97"/>
    </row>
    <row r="374" spans="1:4" hidden="1" outlineLevel="1" x14ac:dyDescent="0.6">
      <c r="A374" s="97"/>
    </row>
    <row r="375" spans="1:4" hidden="1" outlineLevel="1" x14ac:dyDescent="0.6">
      <c r="A375" s="97"/>
    </row>
    <row r="376" spans="1:4" hidden="1" outlineLevel="1" x14ac:dyDescent="0.6">
      <c r="C376" s="194"/>
    </row>
    <row r="377" spans="1:4" hidden="1" outlineLevel="1" x14ac:dyDescent="0.6">
      <c r="C377" s="195"/>
    </row>
    <row r="378" spans="1:4" hidden="1" outlineLevel="1" x14ac:dyDescent="0.6">
      <c r="A378" s="97"/>
      <c r="C378" s="195"/>
    </row>
    <row r="379" spans="1:4" hidden="1" outlineLevel="1" x14ac:dyDescent="0.6">
      <c r="A379" s="97"/>
      <c r="C379" s="196"/>
      <c r="D379" s="113"/>
    </row>
    <row r="380" spans="1:4" hidden="1" outlineLevel="1" x14ac:dyDescent="0.6">
      <c r="C380" s="95"/>
    </row>
    <row r="381" spans="1:4" hidden="1" outlineLevel="1" x14ac:dyDescent="0.6">
      <c r="A381" s="2"/>
      <c r="C381" s="197"/>
      <c r="D381" s="113"/>
    </row>
    <row r="382" spans="1:4" hidden="1" outlineLevel="1" x14ac:dyDescent="0.6">
      <c r="A382" s="2"/>
    </row>
    <row r="383" spans="1:4" hidden="1" outlineLevel="1" x14ac:dyDescent="0.6">
      <c r="A383" s="2"/>
    </row>
    <row r="384" spans="1:4" hidden="1" outlineLevel="1" x14ac:dyDescent="0.6">
      <c r="A384" s="2"/>
      <c r="C384" s="89"/>
      <c r="D384" s="113"/>
    </row>
    <row r="385" spans="1:4" hidden="1" outlineLevel="1" x14ac:dyDescent="0.6">
      <c r="A385" s="2"/>
      <c r="C385" s="198"/>
      <c r="D385" s="113"/>
    </row>
    <row r="386" spans="1:4" hidden="1" outlineLevel="1" x14ac:dyDescent="0.6">
      <c r="A386" s="2"/>
    </row>
    <row r="387" spans="1:4" collapsed="1" x14ac:dyDescent="0.6">
      <c r="A387" s="2"/>
      <c r="C387" s="199"/>
    </row>
    <row r="388" spans="1:4" x14ac:dyDescent="0.6">
      <c r="A388" s="2"/>
      <c r="C388" s="198"/>
      <c r="D388" s="113"/>
    </row>
    <row r="389" spans="1:4" x14ac:dyDescent="0.6">
      <c r="A389" s="2"/>
    </row>
    <row r="390" spans="1:4" x14ac:dyDescent="0.6">
      <c r="A390" s="2"/>
      <c r="C390" s="198"/>
      <c r="D390" s="113"/>
    </row>
    <row r="391" spans="1:4" x14ac:dyDescent="0.6">
      <c r="C391" s="198"/>
    </row>
    <row r="392" spans="1:4" x14ac:dyDescent="0.6">
      <c r="C392" s="198"/>
    </row>
    <row r="393" spans="1:4" x14ac:dyDescent="0.6">
      <c r="A393" s="2"/>
    </row>
    <row r="394" spans="1:4" x14ac:dyDescent="0.6">
      <c r="A394" s="2"/>
    </row>
    <row r="395" spans="1:4" x14ac:dyDescent="0.6">
      <c r="A395" s="2"/>
    </row>
  </sheetData>
  <mergeCells count="5">
    <mergeCell ref="B5:L5"/>
    <mergeCell ref="F78:G78"/>
    <mergeCell ref="E112:F112"/>
    <mergeCell ref="C113:D113"/>
    <mergeCell ref="C114:D114"/>
  </mergeCells>
  <hyperlinks>
    <hyperlink ref="P10" r:id="rId1" display="\\njnwkfp06\PSE&amp;G\Customer Operations\CS\regulato\2015 BGS-RSCP for 2016-2017\2015-07 Initial Filing\BGS-FP Initial Filing Supporting Documents\Table1&amp;2 - OnPeak%\Table 1 - Time period usage for 2016-17 Spreadsheet.xls" xr:uid="{FEE5D6F3-BE80-418F-B012-E4D386AE038D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altText="Run Scenario">
                <anchor>
                  <from>
                    <xdr:col>5</xdr:col>
                    <xdr:colOff>555625</xdr:colOff>
                    <xdr:row>0</xdr:row>
                    <xdr:rowOff>22225</xdr:rowOff>
                  </from>
                  <to>
                    <xdr:col>7</xdr:col>
                    <xdr:colOff>60325</xdr:colOff>
                    <xdr:row>2</xdr:row>
                    <xdr:rowOff>60325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9FBF-92F7-4ED5-ABBB-38918E48BC82}">
  <sheetPr codeName="Sheet1"/>
  <dimension ref="A1:AM354"/>
  <sheetViews>
    <sheetView view="pageBreakPreview" zoomScaleNormal="70" zoomScaleSheetLayoutView="100" workbookViewId="0"/>
  </sheetViews>
  <sheetFormatPr defaultColWidth="9.08984375" defaultRowHeight="13" x14ac:dyDescent="0.6"/>
  <cols>
    <col min="1" max="1" width="13.08984375" style="7" customWidth="1"/>
    <col min="2" max="2" width="36.453125" style="2" customWidth="1"/>
    <col min="3" max="11" width="13.31640625" style="2" customWidth="1"/>
    <col min="12" max="12" width="14.453125" style="2" customWidth="1"/>
    <col min="13" max="13" width="16.54296875" style="2" customWidth="1"/>
    <col min="14" max="14" width="15.08984375" style="2" bestFit="1" customWidth="1"/>
    <col min="15" max="16" width="11.54296875" style="2" customWidth="1"/>
    <col min="17" max="17" width="18.453125" style="2" customWidth="1"/>
    <col min="18" max="18" width="29" style="2" bestFit="1" customWidth="1"/>
    <col min="19" max="19" width="16.453125" style="2" customWidth="1"/>
    <col min="20" max="20" width="23.86328125" style="2" bestFit="1" customWidth="1"/>
    <col min="21" max="21" width="18" style="2" bestFit="1" customWidth="1"/>
    <col min="22" max="24" width="11.54296875" style="2" customWidth="1"/>
    <col min="25" max="25" width="11.453125" style="2" bestFit="1" customWidth="1"/>
    <col min="26" max="26" width="10.08984375" style="2" customWidth="1"/>
    <col min="27" max="27" width="10.54296875" style="2" customWidth="1"/>
    <col min="28" max="28" width="12.86328125" style="2" bestFit="1" customWidth="1"/>
    <col min="29" max="29" width="9.08984375" style="2"/>
    <col min="30" max="30" width="17.54296875" style="2" customWidth="1"/>
    <col min="31" max="31" width="9.08984375" style="2"/>
    <col min="32" max="32" width="10.453125" style="2" bestFit="1" customWidth="1"/>
    <col min="33" max="33" width="10.54296875" style="2" customWidth="1"/>
    <col min="34" max="16384" width="9.08984375" style="2"/>
  </cols>
  <sheetData>
    <row r="1" spans="1:24" x14ac:dyDescent="0.6">
      <c r="A1" s="7" t="s">
        <v>3</v>
      </c>
      <c r="C1" s="8"/>
      <c r="D1" s="8"/>
      <c r="E1" s="8"/>
      <c r="F1" s="8"/>
      <c r="G1" s="8"/>
      <c r="H1" s="8"/>
      <c r="I1" s="8"/>
      <c r="J1" s="8"/>
      <c r="K1" s="8"/>
      <c r="L1" s="8"/>
      <c r="M1" s="11"/>
    </row>
    <row r="2" spans="1:24" ht="15.5" x14ac:dyDescent="0.7">
      <c r="B2" s="10" t="str">
        <f>Input!B7</f>
        <v>Development of BGS-RSCP Cost and Bid Factors for 2025/2026 BGS Filing</v>
      </c>
      <c r="C2" s="11"/>
      <c r="D2" s="11"/>
      <c r="E2" s="11"/>
      <c r="F2" s="11"/>
    </row>
    <row r="3" spans="1:24" x14ac:dyDescent="0.6">
      <c r="A3" s="12"/>
      <c r="B3" s="13" t="s">
        <v>5</v>
      </c>
      <c r="C3" s="11"/>
      <c r="D3" s="11"/>
      <c r="E3" s="11"/>
      <c r="F3" s="11"/>
    </row>
    <row r="4" spans="1:24" x14ac:dyDescent="0.6">
      <c r="B4" s="11"/>
      <c r="C4" s="11"/>
      <c r="D4" s="11"/>
      <c r="E4" s="14" t="str">
        <f>+Input!E9</f>
        <v>Based on average of year 2021, 2022 &amp; 2023 Load Profile Information</v>
      </c>
      <c r="F4" s="11"/>
    </row>
    <row r="5" spans="1:24" x14ac:dyDescent="0.6">
      <c r="A5" s="3" t="s">
        <v>6</v>
      </c>
      <c r="B5" s="15" t="s">
        <v>7</v>
      </c>
      <c r="C5" s="16"/>
      <c r="D5" s="11"/>
      <c r="E5" s="14" t="s">
        <v>8</v>
      </c>
      <c r="F5" s="11"/>
      <c r="N5" s="15"/>
      <c r="O5" s="15" t="s">
        <v>120</v>
      </c>
      <c r="P5" s="11"/>
      <c r="Q5" s="11"/>
      <c r="R5" s="11"/>
      <c r="S5" s="11"/>
      <c r="T5" s="11"/>
      <c r="U5" s="11"/>
      <c r="V5" s="11"/>
      <c r="W5" s="11"/>
      <c r="X5" s="11"/>
    </row>
    <row r="6" spans="1:24" ht="26" x14ac:dyDescent="0.6">
      <c r="A6" s="17"/>
      <c r="B6" s="11"/>
      <c r="C6" s="22" t="s">
        <v>9</v>
      </c>
      <c r="D6" s="22" t="s">
        <v>9</v>
      </c>
      <c r="E6" s="22" t="s">
        <v>9</v>
      </c>
      <c r="F6" s="22" t="s">
        <v>9</v>
      </c>
      <c r="G6" s="22" t="s">
        <v>9</v>
      </c>
      <c r="H6" s="22" t="s">
        <v>9</v>
      </c>
      <c r="I6" s="14" t="s">
        <v>10</v>
      </c>
      <c r="J6" s="23"/>
      <c r="K6" s="22" t="s">
        <v>9</v>
      </c>
      <c r="L6" s="22" t="s">
        <v>9</v>
      </c>
      <c r="M6" s="22"/>
      <c r="N6" s="14"/>
      <c r="O6" s="22" t="s">
        <v>9</v>
      </c>
      <c r="P6" s="22" t="s">
        <v>9</v>
      </c>
      <c r="Q6" s="22" t="s">
        <v>9</v>
      </c>
      <c r="R6" s="22" t="s">
        <v>9</v>
      </c>
      <c r="S6" s="22" t="s">
        <v>9</v>
      </c>
      <c r="T6" s="22" t="s">
        <v>9</v>
      </c>
      <c r="U6" s="14" t="s">
        <v>121</v>
      </c>
      <c r="V6" s="23"/>
      <c r="W6" s="22" t="s">
        <v>9</v>
      </c>
      <c r="X6" s="22" t="s">
        <v>9</v>
      </c>
    </row>
    <row r="7" spans="1:24" x14ac:dyDescent="0.6">
      <c r="A7" s="17"/>
      <c r="B7" s="111" t="s">
        <v>11</v>
      </c>
      <c r="C7" s="8" t="s">
        <v>12</v>
      </c>
      <c r="D7" s="8" t="s">
        <v>13</v>
      </c>
      <c r="E7" s="8" t="s">
        <v>14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  <c r="K7" s="8" t="s">
        <v>20</v>
      </c>
      <c r="L7" s="8" t="s">
        <v>21</v>
      </c>
      <c r="M7" s="26"/>
      <c r="N7" s="27"/>
      <c r="O7" s="8" t="str">
        <f>+C7</f>
        <v>RS</v>
      </c>
      <c r="P7" s="8" t="str">
        <f t="shared" ref="P7:X7" si="0">+D7</f>
        <v>RHS</v>
      </c>
      <c r="Q7" s="8" t="str">
        <f t="shared" si="0"/>
        <v>RLM</v>
      </c>
      <c r="R7" s="8" t="str">
        <f t="shared" si="0"/>
        <v>WH</v>
      </c>
      <c r="S7" s="8" t="str">
        <f t="shared" si="0"/>
        <v>WHS</v>
      </c>
      <c r="T7" s="8" t="str">
        <f t="shared" si="0"/>
        <v>HS</v>
      </c>
      <c r="U7" s="8" t="str">
        <f t="shared" si="0"/>
        <v>PSAL</v>
      </c>
      <c r="V7" s="8" t="str">
        <f t="shared" si="0"/>
        <v>BPL</v>
      </c>
      <c r="W7" s="8" t="str">
        <f t="shared" si="0"/>
        <v>GLP</v>
      </c>
      <c r="X7" s="8" t="str">
        <f t="shared" si="0"/>
        <v>LPL-S</v>
      </c>
    </row>
    <row r="8" spans="1:24" x14ac:dyDescent="0.6">
      <c r="A8" s="17"/>
      <c r="C8" s="8"/>
      <c r="D8" s="8"/>
      <c r="E8" s="8"/>
      <c r="F8" s="8"/>
      <c r="G8" s="8"/>
      <c r="H8" s="8"/>
      <c r="I8" s="8"/>
      <c r="J8" s="8"/>
      <c r="K8" s="8"/>
      <c r="L8" s="8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6">
      <c r="A9" s="17"/>
      <c r="B9" s="32" t="s">
        <v>22</v>
      </c>
      <c r="C9" s="200">
        <f>Input!C14</f>
        <v>0.47199999999999998</v>
      </c>
      <c r="D9" s="200">
        <f>Input!D14</f>
        <v>0.4587</v>
      </c>
      <c r="E9" s="200">
        <f>Input!E14</f>
        <v>0.46329999999999999</v>
      </c>
      <c r="F9" s="200">
        <f>Input!F14</f>
        <v>0.47199999999999998</v>
      </c>
      <c r="G9" s="200">
        <f>Input!G14</f>
        <v>0.47199999999999998</v>
      </c>
      <c r="H9" s="200">
        <f>Input!H14</f>
        <v>0.46870000000000001</v>
      </c>
      <c r="I9" s="200">
        <f>Input!I14</f>
        <v>0.3</v>
      </c>
      <c r="J9" s="200">
        <f>Input!J14</f>
        <v>0.3</v>
      </c>
      <c r="K9" s="200">
        <f>Input!K14</f>
        <v>0.52600000000000002</v>
      </c>
      <c r="L9" s="200">
        <f>Input!L14</f>
        <v>0.50900000000000001</v>
      </c>
      <c r="M9" s="201"/>
      <c r="N9" s="202"/>
      <c r="O9" s="203">
        <f t="shared" ref="O9:X20" si="1">1-C9</f>
        <v>0.52800000000000002</v>
      </c>
      <c r="P9" s="203">
        <f t="shared" si="1"/>
        <v>0.5413</v>
      </c>
      <c r="Q9" s="203">
        <f t="shared" si="1"/>
        <v>0.53669999999999995</v>
      </c>
      <c r="R9" s="203">
        <f t="shared" si="1"/>
        <v>0.52800000000000002</v>
      </c>
      <c r="S9" s="203">
        <f t="shared" si="1"/>
        <v>0.52800000000000002</v>
      </c>
      <c r="T9" s="203">
        <f t="shared" si="1"/>
        <v>0.53129999999999999</v>
      </c>
      <c r="U9" s="203">
        <f t="shared" si="1"/>
        <v>0.7</v>
      </c>
      <c r="V9" s="203">
        <f t="shared" si="1"/>
        <v>0.7</v>
      </c>
      <c r="W9" s="203">
        <f t="shared" si="1"/>
        <v>0.47399999999999998</v>
      </c>
      <c r="X9" s="203">
        <f t="shared" si="1"/>
        <v>0.49099999999999999</v>
      </c>
    </row>
    <row r="10" spans="1:24" x14ac:dyDescent="0.6">
      <c r="A10" s="17"/>
      <c r="B10" s="32" t="s">
        <v>23</v>
      </c>
      <c r="C10" s="200">
        <f>Input!C15</f>
        <v>0.48830000000000001</v>
      </c>
      <c r="D10" s="200">
        <f>Input!D15</f>
        <v>0.46500000000000002</v>
      </c>
      <c r="E10" s="200">
        <f>Input!E15</f>
        <v>0.4783</v>
      </c>
      <c r="F10" s="200">
        <f>Input!F15</f>
        <v>0.48830000000000001</v>
      </c>
      <c r="G10" s="200">
        <f>Input!G15</f>
        <v>0.48830000000000001</v>
      </c>
      <c r="H10" s="200">
        <f>Input!H15</f>
        <v>0.4713</v>
      </c>
      <c r="I10" s="200">
        <f>Input!I15</f>
        <v>0.29199999999999998</v>
      </c>
      <c r="J10" s="200">
        <f>Input!J15</f>
        <v>0.29199999999999998</v>
      </c>
      <c r="K10" s="200">
        <f>Input!K15</f>
        <v>0.53869999999999996</v>
      </c>
      <c r="L10" s="200">
        <f>Input!L15</f>
        <v>0.52629999999999999</v>
      </c>
      <c r="M10" s="201"/>
      <c r="N10" s="202"/>
      <c r="O10" s="203">
        <f t="shared" si="1"/>
        <v>0.51170000000000004</v>
      </c>
      <c r="P10" s="203">
        <f t="shared" si="1"/>
        <v>0.53499999999999992</v>
      </c>
      <c r="Q10" s="203">
        <f t="shared" si="1"/>
        <v>0.52170000000000005</v>
      </c>
      <c r="R10" s="203">
        <f t="shared" si="1"/>
        <v>0.51170000000000004</v>
      </c>
      <c r="S10" s="203">
        <f t="shared" si="1"/>
        <v>0.51170000000000004</v>
      </c>
      <c r="T10" s="203">
        <f t="shared" si="1"/>
        <v>0.52869999999999995</v>
      </c>
      <c r="U10" s="203">
        <f t="shared" si="1"/>
        <v>0.70799999999999996</v>
      </c>
      <c r="V10" s="203">
        <f t="shared" si="1"/>
        <v>0.70799999999999996</v>
      </c>
      <c r="W10" s="203">
        <f t="shared" si="1"/>
        <v>0.46130000000000004</v>
      </c>
      <c r="X10" s="203">
        <f t="shared" si="1"/>
        <v>0.47370000000000001</v>
      </c>
    </row>
    <row r="11" spans="1:24" x14ac:dyDescent="0.6">
      <c r="A11" s="17"/>
      <c r="B11" s="32" t="s">
        <v>24</v>
      </c>
      <c r="C11" s="200">
        <f>Input!C16</f>
        <v>0.50870000000000004</v>
      </c>
      <c r="D11" s="200">
        <f>Input!D16</f>
        <v>0.49299999999999999</v>
      </c>
      <c r="E11" s="200">
        <f>Input!E16</f>
        <v>0.48970000000000002</v>
      </c>
      <c r="F11" s="200">
        <f>Input!F16</f>
        <v>0.50870000000000004</v>
      </c>
      <c r="G11" s="200">
        <f>Input!G16</f>
        <v>0.50870000000000004</v>
      </c>
      <c r="H11" s="200">
        <f>Input!H16</f>
        <v>0.503</v>
      </c>
      <c r="I11" s="200">
        <f>Input!I16</f>
        <v>0.26329999999999998</v>
      </c>
      <c r="J11" s="200">
        <f>Input!J16</f>
        <v>0.26329999999999998</v>
      </c>
      <c r="K11" s="200">
        <f>Input!K16</f>
        <v>0.56669999999999998</v>
      </c>
      <c r="L11" s="200">
        <f>Input!L16</f>
        <v>0.54730000000000001</v>
      </c>
      <c r="M11" s="201"/>
      <c r="N11" s="202"/>
      <c r="O11" s="203">
        <f t="shared" si="1"/>
        <v>0.49129999999999996</v>
      </c>
      <c r="P11" s="203">
        <f t="shared" si="1"/>
        <v>0.50700000000000001</v>
      </c>
      <c r="Q11" s="203">
        <f t="shared" si="1"/>
        <v>0.51029999999999998</v>
      </c>
      <c r="R11" s="203">
        <f t="shared" si="1"/>
        <v>0.49129999999999996</v>
      </c>
      <c r="S11" s="203">
        <f t="shared" si="1"/>
        <v>0.49129999999999996</v>
      </c>
      <c r="T11" s="203">
        <f t="shared" si="1"/>
        <v>0.497</v>
      </c>
      <c r="U11" s="203">
        <f t="shared" si="1"/>
        <v>0.73670000000000002</v>
      </c>
      <c r="V11" s="203">
        <f t="shared" si="1"/>
        <v>0.73670000000000002</v>
      </c>
      <c r="W11" s="203">
        <f t="shared" si="1"/>
        <v>0.43330000000000002</v>
      </c>
      <c r="X11" s="203">
        <f t="shared" si="1"/>
        <v>0.45269999999999999</v>
      </c>
    </row>
    <row r="12" spans="1:24" x14ac:dyDescent="0.6">
      <c r="A12" s="17"/>
      <c r="B12" s="32" t="s">
        <v>25</v>
      </c>
      <c r="C12" s="200">
        <f>Input!C17</f>
        <v>0.51029999999999998</v>
      </c>
      <c r="D12" s="200">
        <f>Input!D17</f>
        <v>0.504</v>
      </c>
      <c r="E12" s="200">
        <f>Input!E17</f>
        <v>0.49099999999999999</v>
      </c>
      <c r="F12" s="200">
        <f>Input!F17</f>
        <v>0.51029999999999998</v>
      </c>
      <c r="G12" s="200">
        <f>Input!G17</f>
        <v>0.51029999999999998</v>
      </c>
      <c r="H12" s="200">
        <f>Input!H17</f>
        <v>0.51400000000000001</v>
      </c>
      <c r="I12" s="200">
        <f>Input!I17</f>
        <v>0.22900000000000001</v>
      </c>
      <c r="J12" s="200">
        <f>Input!J17</f>
        <v>0.22900000000000001</v>
      </c>
      <c r="K12" s="200">
        <f>Input!K17</f>
        <v>0.56069999999999998</v>
      </c>
      <c r="L12" s="200">
        <f>Input!L17</f>
        <v>0.54169999999999996</v>
      </c>
      <c r="M12" s="201"/>
      <c r="N12" s="202"/>
      <c r="O12" s="203">
        <f t="shared" si="1"/>
        <v>0.48970000000000002</v>
      </c>
      <c r="P12" s="203">
        <f t="shared" si="1"/>
        <v>0.496</v>
      </c>
      <c r="Q12" s="203">
        <f t="shared" si="1"/>
        <v>0.50900000000000001</v>
      </c>
      <c r="R12" s="203">
        <f t="shared" si="1"/>
        <v>0.48970000000000002</v>
      </c>
      <c r="S12" s="203">
        <f t="shared" si="1"/>
        <v>0.48970000000000002</v>
      </c>
      <c r="T12" s="203">
        <f t="shared" si="1"/>
        <v>0.48599999999999999</v>
      </c>
      <c r="U12" s="203">
        <f t="shared" si="1"/>
        <v>0.77100000000000002</v>
      </c>
      <c r="V12" s="203">
        <f t="shared" si="1"/>
        <v>0.77100000000000002</v>
      </c>
      <c r="W12" s="203">
        <f t="shared" si="1"/>
        <v>0.43930000000000002</v>
      </c>
      <c r="X12" s="203">
        <f t="shared" si="1"/>
        <v>0.45830000000000004</v>
      </c>
    </row>
    <row r="13" spans="1:24" x14ac:dyDescent="0.6">
      <c r="A13" s="17"/>
      <c r="B13" s="32" t="s">
        <v>26</v>
      </c>
      <c r="C13" s="200">
        <f>Input!C18</f>
        <v>0.45129999999999998</v>
      </c>
      <c r="D13" s="200">
        <f>Input!D18</f>
        <v>0.45469999999999999</v>
      </c>
      <c r="E13" s="200">
        <f>Input!E18</f>
        <v>0.44269999999999998</v>
      </c>
      <c r="F13" s="200">
        <f>Input!F18</f>
        <v>0.45129999999999998</v>
      </c>
      <c r="G13" s="200">
        <f>Input!G18</f>
        <v>0.45129999999999998</v>
      </c>
      <c r="H13" s="200">
        <f>Input!H18</f>
        <v>0.50470000000000004</v>
      </c>
      <c r="I13" s="200">
        <f>Input!I18</f>
        <v>0.19500000000000001</v>
      </c>
      <c r="J13" s="200">
        <f>Input!J18</f>
        <v>0.19500000000000001</v>
      </c>
      <c r="K13" s="200">
        <f>Input!K18</f>
        <v>0.52070000000000005</v>
      </c>
      <c r="L13" s="200">
        <f>Input!L18</f>
        <v>0.49769999999999998</v>
      </c>
      <c r="M13" s="201"/>
      <c r="N13" s="202"/>
      <c r="O13" s="203">
        <f t="shared" si="1"/>
        <v>0.54869999999999997</v>
      </c>
      <c r="P13" s="203">
        <f t="shared" si="1"/>
        <v>0.54530000000000001</v>
      </c>
      <c r="Q13" s="203">
        <f t="shared" si="1"/>
        <v>0.55730000000000002</v>
      </c>
      <c r="R13" s="203">
        <f t="shared" si="1"/>
        <v>0.54869999999999997</v>
      </c>
      <c r="S13" s="203">
        <f t="shared" si="1"/>
        <v>0.54869999999999997</v>
      </c>
      <c r="T13" s="203">
        <f t="shared" si="1"/>
        <v>0.49529999999999996</v>
      </c>
      <c r="U13" s="203">
        <f t="shared" si="1"/>
        <v>0.80499999999999994</v>
      </c>
      <c r="V13" s="203">
        <f t="shared" si="1"/>
        <v>0.80499999999999994</v>
      </c>
      <c r="W13" s="203">
        <f t="shared" si="1"/>
        <v>0.47929999999999995</v>
      </c>
      <c r="X13" s="203">
        <f t="shared" si="1"/>
        <v>0.50229999999999997</v>
      </c>
    </row>
    <row r="14" spans="1:24" x14ac:dyDescent="0.6">
      <c r="A14" s="17"/>
      <c r="B14" s="32" t="s">
        <v>27</v>
      </c>
      <c r="C14" s="200">
        <f>Input!C19</f>
        <v>0.54200000000000004</v>
      </c>
      <c r="D14" s="200">
        <f>Input!D19</f>
        <v>0.55169999999999997</v>
      </c>
      <c r="E14" s="200">
        <f>Input!E19</f>
        <v>0.54400000000000004</v>
      </c>
      <c r="F14" s="200">
        <f>Input!F19</f>
        <v>0.54200000000000004</v>
      </c>
      <c r="G14" s="200">
        <f>Input!G19</f>
        <v>0.54200000000000004</v>
      </c>
      <c r="H14" s="200">
        <f>Input!H19</f>
        <v>0.62</v>
      </c>
      <c r="I14" s="200">
        <f>Input!I19</f>
        <v>0.20699999999999999</v>
      </c>
      <c r="J14" s="200">
        <f>Input!J19</f>
        <v>0.20699999999999999</v>
      </c>
      <c r="K14" s="200">
        <f>Input!K19</f>
        <v>0.59670000000000001</v>
      </c>
      <c r="L14" s="200">
        <f>Input!L19</f>
        <v>0.56699999999999995</v>
      </c>
      <c r="M14" s="201"/>
      <c r="N14" s="202"/>
      <c r="O14" s="203">
        <f t="shared" si="1"/>
        <v>0.45799999999999996</v>
      </c>
      <c r="P14" s="203">
        <f t="shared" si="1"/>
        <v>0.44830000000000003</v>
      </c>
      <c r="Q14" s="203">
        <f t="shared" si="1"/>
        <v>0.45599999999999996</v>
      </c>
      <c r="R14" s="203">
        <f t="shared" si="1"/>
        <v>0.45799999999999996</v>
      </c>
      <c r="S14" s="203">
        <f t="shared" si="1"/>
        <v>0.45799999999999996</v>
      </c>
      <c r="T14" s="203">
        <f t="shared" si="1"/>
        <v>0.38</v>
      </c>
      <c r="U14" s="203">
        <f t="shared" si="1"/>
        <v>0.79300000000000004</v>
      </c>
      <c r="V14" s="203">
        <f t="shared" si="1"/>
        <v>0.79300000000000004</v>
      </c>
      <c r="W14" s="203">
        <f t="shared" si="1"/>
        <v>0.40329999999999999</v>
      </c>
      <c r="X14" s="203">
        <f t="shared" si="1"/>
        <v>0.43300000000000005</v>
      </c>
    </row>
    <row r="15" spans="1:24" x14ac:dyDescent="0.6">
      <c r="A15" s="17"/>
      <c r="B15" s="32" t="s">
        <v>28</v>
      </c>
      <c r="C15" s="200">
        <f>Input!C20</f>
        <v>0.52600000000000002</v>
      </c>
      <c r="D15" s="200">
        <f>Input!D20</f>
        <v>0.53300000000000003</v>
      </c>
      <c r="E15" s="200">
        <f>Input!E20</f>
        <v>0.52729999999999999</v>
      </c>
      <c r="F15" s="200">
        <f>Input!F20</f>
        <v>0.52600000000000002</v>
      </c>
      <c r="G15" s="200">
        <f>Input!G20</f>
        <v>0.52600000000000002</v>
      </c>
      <c r="H15" s="200">
        <f>Input!H20</f>
        <v>0.6</v>
      </c>
      <c r="I15" s="200">
        <f>Input!I20</f>
        <v>0.19500000000000001</v>
      </c>
      <c r="J15" s="200">
        <f>Input!J20</f>
        <v>0.19500000000000001</v>
      </c>
      <c r="K15" s="200">
        <f>Input!K20</f>
        <v>0.57199999999999995</v>
      </c>
      <c r="L15" s="200">
        <f>Input!L20</f>
        <v>0.54100000000000004</v>
      </c>
      <c r="M15" s="201"/>
      <c r="N15" s="202"/>
      <c r="O15" s="203">
        <f t="shared" si="1"/>
        <v>0.47399999999999998</v>
      </c>
      <c r="P15" s="203">
        <f t="shared" si="1"/>
        <v>0.46699999999999997</v>
      </c>
      <c r="Q15" s="203">
        <f t="shared" si="1"/>
        <v>0.47270000000000001</v>
      </c>
      <c r="R15" s="203">
        <f t="shared" si="1"/>
        <v>0.47399999999999998</v>
      </c>
      <c r="S15" s="203">
        <f t="shared" si="1"/>
        <v>0.47399999999999998</v>
      </c>
      <c r="T15" s="203">
        <f t="shared" si="1"/>
        <v>0.4</v>
      </c>
      <c r="U15" s="203">
        <f t="shared" si="1"/>
        <v>0.80499999999999994</v>
      </c>
      <c r="V15" s="203">
        <f t="shared" si="1"/>
        <v>0.80499999999999994</v>
      </c>
      <c r="W15" s="203">
        <f t="shared" si="1"/>
        <v>0.42800000000000005</v>
      </c>
      <c r="X15" s="203">
        <f t="shared" si="1"/>
        <v>0.45899999999999996</v>
      </c>
    </row>
    <row r="16" spans="1:24" x14ac:dyDescent="0.6">
      <c r="A16" s="17"/>
      <c r="B16" s="32" t="s">
        <v>29</v>
      </c>
      <c r="C16" s="200">
        <f>Input!C21</f>
        <v>0.53269999999999995</v>
      </c>
      <c r="D16" s="200">
        <f>Input!D21</f>
        <v>0.54</v>
      </c>
      <c r="E16" s="200">
        <f>Input!E21</f>
        <v>0.5353</v>
      </c>
      <c r="F16" s="200">
        <f>Input!F21</f>
        <v>0.53269999999999995</v>
      </c>
      <c r="G16" s="200">
        <f>Input!G21</f>
        <v>0.53269999999999995</v>
      </c>
      <c r="H16" s="200">
        <f>Input!H21</f>
        <v>0.61</v>
      </c>
      <c r="I16" s="200">
        <f>Input!I21</f>
        <v>0.215</v>
      </c>
      <c r="J16" s="200">
        <f>Input!J21</f>
        <v>0.215</v>
      </c>
      <c r="K16" s="200">
        <f>Input!K21</f>
        <v>0.58130000000000004</v>
      </c>
      <c r="L16" s="200">
        <f>Input!L21</f>
        <v>0.54769999999999996</v>
      </c>
      <c r="M16" s="201"/>
      <c r="N16" s="202"/>
      <c r="O16" s="203">
        <f t="shared" si="1"/>
        <v>0.46730000000000005</v>
      </c>
      <c r="P16" s="203">
        <f t="shared" si="1"/>
        <v>0.45999999999999996</v>
      </c>
      <c r="Q16" s="203">
        <f t="shared" si="1"/>
        <v>0.4647</v>
      </c>
      <c r="R16" s="203">
        <f t="shared" si="1"/>
        <v>0.46730000000000005</v>
      </c>
      <c r="S16" s="203">
        <f t="shared" si="1"/>
        <v>0.46730000000000005</v>
      </c>
      <c r="T16" s="203">
        <f t="shared" si="1"/>
        <v>0.39</v>
      </c>
      <c r="U16" s="203">
        <f t="shared" si="1"/>
        <v>0.78500000000000003</v>
      </c>
      <c r="V16" s="203">
        <f t="shared" si="1"/>
        <v>0.78500000000000003</v>
      </c>
      <c r="W16" s="203">
        <f t="shared" si="1"/>
        <v>0.41869999999999996</v>
      </c>
      <c r="X16" s="203">
        <f t="shared" si="1"/>
        <v>0.45230000000000004</v>
      </c>
    </row>
    <row r="17" spans="1:24" x14ac:dyDescent="0.6">
      <c r="A17" s="17"/>
      <c r="B17" s="32" t="s">
        <v>30</v>
      </c>
      <c r="C17" s="200">
        <f>Input!C22</f>
        <v>0.50329999999999997</v>
      </c>
      <c r="D17" s="200">
        <f>Input!D22</f>
        <v>0.51600000000000001</v>
      </c>
      <c r="E17" s="200">
        <f>Input!E22</f>
        <v>0.505</v>
      </c>
      <c r="F17" s="200">
        <f>Input!F22</f>
        <v>0.50329999999999997</v>
      </c>
      <c r="G17" s="200">
        <f>Input!G22</f>
        <v>0.50329999999999997</v>
      </c>
      <c r="H17" s="200">
        <f>Input!H22</f>
        <v>0.58330000000000004</v>
      </c>
      <c r="I17" s="200">
        <f>Input!I22</f>
        <v>0.23799999999999999</v>
      </c>
      <c r="J17" s="200">
        <f>Input!J22</f>
        <v>0.23799999999999999</v>
      </c>
      <c r="K17" s="200">
        <f>Input!K22</f>
        <v>0.56999999999999995</v>
      </c>
      <c r="L17" s="200">
        <f>Input!L22</f>
        <v>0.54630000000000001</v>
      </c>
      <c r="M17" s="201"/>
      <c r="N17" s="202"/>
      <c r="O17" s="203">
        <f t="shared" si="1"/>
        <v>0.49670000000000003</v>
      </c>
      <c r="P17" s="203">
        <f t="shared" si="1"/>
        <v>0.48399999999999999</v>
      </c>
      <c r="Q17" s="203">
        <f t="shared" si="1"/>
        <v>0.495</v>
      </c>
      <c r="R17" s="203">
        <f t="shared" si="1"/>
        <v>0.49670000000000003</v>
      </c>
      <c r="S17" s="203">
        <f t="shared" si="1"/>
        <v>0.49670000000000003</v>
      </c>
      <c r="T17" s="203">
        <f t="shared" si="1"/>
        <v>0.41669999999999996</v>
      </c>
      <c r="U17" s="203">
        <f t="shared" si="1"/>
        <v>0.76200000000000001</v>
      </c>
      <c r="V17" s="203">
        <f t="shared" si="1"/>
        <v>0.76200000000000001</v>
      </c>
      <c r="W17" s="203">
        <f t="shared" si="1"/>
        <v>0.43000000000000005</v>
      </c>
      <c r="X17" s="203">
        <f t="shared" si="1"/>
        <v>0.45369999999999999</v>
      </c>
    </row>
    <row r="18" spans="1:24" x14ac:dyDescent="0.6">
      <c r="A18" s="17"/>
      <c r="B18" s="32" t="s">
        <v>31</v>
      </c>
      <c r="C18" s="200">
        <f>Input!C23</f>
        <v>0.49230000000000002</v>
      </c>
      <c r="D18" s="200">
        <f>Input!D23</f>
        <v>0.49430000000000002</v>
      </c>
      <c r="E18" s="200">
        <f>Input!E23</f>
        <v>0.48130000000000001</v>
      </c>
      <c r="F18" s="200">
        <f>Input!F23</f>
        <v>0.49230000000000002</v>
      </c>
      <c r="G18" s="200">
        <f>Input!G23</f>
        <v>0.49230000000000002</v>
      </c>
      <c r="H18" s="200">
        <f>Input!H23</f>
        <v>0.53800000000000003</v>
      </c>
      <c r="I18" s="200">
        <f>Input!I23</f>
        <v>0.26169999999999999</v>
      </c>
      <c r="J18" s="200">
        <f>Input!J23</f>
        <v>0.26169999999999999</v>
      </c>
      <c r="K18" s="200">
        <f>Input!K23</f>
        <v>0.55630000000000002</v>
      </c>
      <c r="L18" s="200">
        <f>Input!L23</f>
        <v>0.5363</v>
      </c>
      <c r="M18" s="201"/>
      <c r="N18" s="202"/>
      <c r="O18" s="203">
        <f t="shared" si="1"/>
        <v>0.50770000000000004</v>
      </c>
      <c r="P18" s="203">
        <f t="shared" si="1"/>
        <v>0.50570000000000004</v>
      </c>
      <c r="Q18" s="203">
        <f t="shared" si="1"/>
        <v>0.51869999999999994</v>
      </c>
      <c r="R18" s="203">
        <f t="shared" si="1"/>
        <v>0.50770000000000004</v>
      </c>
      <c r="S18" s="203">
        <f t="shared" si="1"/>
        <v>0.50770000000000004</v>
      </c>
      <c r="T18" s="203">
        <f t="shared" si="1"/>
        <v>0.46199999999999997</v>
      </c>
      <c r="U18" s="203">
        <f t="shared" si="1"/>
        <v>0.73829999999999996</v>
      </c>
      <c r="V18" s="203">
        <f t="shared" si="1"/>
        <v>0.73829999999999996</v>
      </c>
      <c r="W18" s="203">
        <f t="shared" si="1"/>
        <v>0.44369999999999998</v>
      </c>
      <c r="X18" s="203">
        <f t="shared" si="1"/>
        <v>0.4637</v>
      </c>
    </row>
    <row r="19" spans="1:24" x14ac:dyDescent="0.6">
      <c r="A19" s="17"/>
      <c r="B19" s="32" t="s">
        <v>32</v>
      </c>
      <c r="C19" s="200">
        <f>Input!C24</f>
        <v>0.47970000000000002</v>
      </c>
      <c r="D19" s="200">
        <f>Input!D24</f>
        <v>0.47170000000000001</v>
      </c>
      <c r="E19" s="200">
        <f>Input!E24</f>
        <v>0.4703</v>
      </c>
      <c r="F19" s="200">
        <f>Input!F24</f>
        <v>0.47970000000000002</v>
      </c>
      <c r="G19" s="200">
        <f>Input!G24</f>
        <v>0.47970000000000002</v>
      </c>
      <c r="H19" s="200">
        <f>Input!H24</f>
        <v>0.48630000000000001</v>
      </c>
      <c r="I19" s="200">
        <f>Input!I24</f>
        <v>0.30530000000000002</v>
      </c>
      <c r="J19" s="200">
        <f>Input!J24</f>
        <v>0.30530000000000002</v>
      </c>
      <c r="K19" s="200">
        <f>Input!K24</f>
        <v>0.54369999999999996</v>
      </c>
      <c r="L19" s="200">
        <f>Input!L24</f>
        <v>0.52529999999999999</v>
      </c>
      <c r="M19" s="201"/>
      <c r="N19" s="202"/>
      <c r="O19" s="203">
        <f t="shared" si="1"/>
        <v>0.52029999999999998</v>
      </c>
      <c r="P19" s="203">
        <f t="shared" si="1"/>
        <v>0.52829999999999999</v>
      </c>
      <c r="Q19" s="203">
        <f t="shared" si="1"/>
        <v>0.52970000000000006</v>
      </c>
      <c r="R19" s="203">
        <f t="shared" si="1"/>
        <v>0.52029999999999998</v>
      </c>
      <c r="S19" s="203">
        <f t="shared" si="1"/>
        <v>0.52029999999999998</v>
      </c>
      <c r="T19" s="203">
        <f t="shared" si="1"/>
        <v>0.51370000000000005</v>
      </c>
      <c r="U19" s="203">
        <f t="shared" si="1"/>
        <v>0.69469999999999998</v>
      </c>
      <c r="V19" s="203">
        <f t="shared" si="1"/>
        <v>0.69469999999999998</v>
      </c>
      <c r="W19" s="203">
        <f t="shared" si="1"/>
        <v>0.45630000000000004</v>
      </c>
      <c r="X19" s="203">
        <f t="shared" si="1"/>
        <v>0.47470000000000001</v>
      </c>
    </row>
    <row r="20" spans="1:24" x14ac:dyDescent="0.6">
      <c r="A20" s="17"/>
      <c r="B20" s="32" t="s">
        <v>33</v>
      </c>
      <c r="C20" s="200">
        <f>Input!C25</f>
        <v>0.495</v>
      </c>
      <c r="D20" s="200">
        <f>Input!D25</f>
        <v>0.48</v>
      </c>
      <c r="E20" s="200">
        <f>Input!E25</f>
        <v>0.49</v>
      </c>
      <c r="F20" s="200">
        <f>Input!F25</f>
        <v>0.495</v>
      </c>
      <c r="G20" s="200">
        <f>Input!G25</f>
        <v>0.495</v>
      </c>
      <c r="H20" s="200">
        <f>Input!H25</f>
        <v>0.48430000000000001</v>
      </c>
      <c r="I20" s="200">
        <f>Input!I25</f>
        <v>0.32300000000000001</v>
      </c>
      <c r="J20" s="200">
        <f>Input!J25</f>
        <v>0.32300000000000001</v>
      </c>
      <c r="K20" s="200">
        <f>Input!K25</f>
        <v>0.54669999999999996</v>
      </c>
      <c r="L20" s="200">
        <f>Input!L25</f>
        <v>0.52829999999999999</v>
      </c>
      <c r="M20" s="201"/>
      <c r="N20" s="202"/>
      <c r="O20" s="203">
        <f t="shared" si="1"/>
        <v>0.505</v>
      </c>
      <c r="P20" s="203">
        <f t="shared" si="1"/>
        <v>0.52</v>
      </c>
      <c r="Q20" s="203">
        <f t="shared" si="1"/>
        <v>0.51</v>
      </c>
      <c r="R20" s="203">
        <f t="shared" si="1"/>
        <v>0.505</v>
      </c>
      <c r="S20" s="203">
        <f t="shared" si="1"/>
        <v>0.505</v>
      </c>
      <c r="T20" s="203">
        <f t="shared" si="1"/>
        <v>0.51570000000000005</v>
      </c>
      <c r="U20" s="203">
        <f t="shared" si="1"/>
        <v>0.67700000000000005</v>
      </c>
      <c r="V20" s="203">
        <f t="shared" si="1"/>
        <v>0.67700000000000005</v>
      </c>
      <c r="W20" s="203">
        <f t="shared" si="1"/>
        <v>0.45330000000000004</v>
      </c>
      <c r="X20" s="203">
        <f t="shared" si="1"/>
        <v>0.47170000000000001</v>
      </c>
    </row>
    <row r="21" spans="1:24" x14ac:dyDescent="0.6">
      <c r="A21" s="17"/>
      <c r="B21" s="3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3"/>
      <c r="P21" s="203"/>
      <c r="Q21" s="203"/>
      <c r="R21" s="203"/>
      <c r="S21" s="203"/>
      <c r="T21" s="203"/>
      <c r="U21" s="203"/>
      <c r="V21" s="203"/>
      <c r="W21" s="203"/>
      <c r="X21" s="203"/>
    </row>
    <row r="22" spans="1:24" x14ac:dyDescent="0.6">
      <c r="A22" s="17"/>
      <c r="B22" s="32"/>
      <c r="C22" s="202"/>
      <c r="D22" s="202"/>
      <c r="E22" s="14" t="str">
        <f>+Input!E9</f>
        <v>Based on average of year 2021, 2022 &amp; 2023 Load Profile Information</v>
      </c>
      <c r="K22" s="202"/>
      <c r="L22" s="202"/>
      <c r="M22" s="202"/>
      <c r="N22" s="202"/>
      <c r="O22" s="203"/>
      <c r="P22" s="203"/>
      <c r="Q22" s="203"/>
      <c r="R22" s="203"/>
      <c r="S22" s="203"/>
      <c r="T22" s="203"/>
      <c r="U22" s="203"/>
      <c r="V22" s="203"/>
      <c r="W22" s="203"/>
      <c r="X22" s="203"/>
    </row>
    <row r="23" spans="1:24" x14ac:dyDescent="0.6">
      <c r="A23" s="3" t="s">
        <v>34</v>
      </c>
      <c r="B23" s="15" t="s">
        <v>35</v>
      </c>
      <c r="C23" s="202"/>
      <c r="D23" s="202"/>
      <c r="E23" s="204" t="str">
        <f>Input!E28</f>
        <v>On-Peak periods as defined in specified rate schedule (average of %s for 2021, 2022 &amp; 2023)</v>
      </c>
      <c r="G23" s="202"/>
      <c r="H23" s="202"/>
      <c r="I23" s="205"/>
      <c r="J23" s="205"/>
      <c r="K23" s="202"/>
      <c r="L23" s="202"/>
      <c r="M23" s="202"/>
      <c r="N23" s="202"/>
      <c r="O23" s="203"/>
      <c r="P23" s="203"/>
      <c r="Q23" s="203"/>
      <c r="R23" s="203"/>
      <c r="S23" s="203"/>
      <c r="T23" s="203"/>
      <c r="U23" s="203"/>
      <c r="V23" s="203"/>
      <c r="W23" s="203"/>
      <c r="X23" s="203"/>
    </row>
    <row r="24" spans="1:24" ht="39" x14ac:dyDescent="0.6">
      <c r="A24" s="17"/>
      <c r="C24" s="22" t="s">
        <v>122</v>
      </c>
      <c r="D24" s="22" t="s">
        <v>122</v>
      </c>
      <c r="E24" s="22" t="s">
        <v>9</v>
      </c>
      <c r="F24" s="22" t="s">
        <v>122</v>
      </c>
      <c r="G24" s="22" t="s">
        <v>122</v>
      </c>
      <c r="H24" s="22" t="s">
        <v>122</v>
      </c>
      <c r="I24" s="22" t="s">
        <v>122</v>
      </c>
      <c r="J24" s="22" t="s">
        <v>122</v>
      </c>
      <c r="K24" s="22" t="s">
        <v>122</v>
      </c>
      <c r="L24" s="22" t="s">
        <v>9</v>
      </c>
      <c r="M24" s="22"/>
      <c r="N24" s="14"/>
      <c r="O24" s="22" t="s">
        <v>122</v>
      </c>
      <c r="P24" s="22" t="s">
        <v>122</v>
      </c>
      <c r="Q24" s="22" t="s">
        <v>123</v>
      </c>
      <c r="R24" s="22" t="s">
        <v>122</v>
      </c>
      <c r="S24" s="22" t="s">
        <v>122</v>
      </c>
      <c r="T24" s="22" t="s">
        <v>122</v>
      </c>
      <c r="U24" s="22" t="s">
        <v>122</v>
      </c>
      <c r="V24" s="22" t="s">
        <v>122</v>
      </c>
      <c r="W24" s="22" t="s">
        <v>122</v>
      </c>
      <c r="X24" s="22" t="s">
        <v>123</v>
      </c>
    </row>
    <row r="25" spans="1:24" x14ac:dyDescent="0.6">
      <c r="A25" s="17"/>
      <c r="B25" s="111" t="s">
        <v>11</v>
      </c>
      <c r="C25" s="8" t="str">
        <f>+C7</f>
        <v>RS</v>
      </c>
      <c r="D25" s="8" t="str">
        <f t="shared" ref="D25:L25" si="2">+D7</f>
        <v>RHS</v>
      </c>
      <c r="E25" s="8" t="str">
        <f t="shared" si="2"/>
        <v>RLM</v>
      </c>
      <c r="F25" s="8" t="str">
        <f t="shared" si="2"/>
        <v>WH</v>
      </c>
      <c r="G25" s="8" t="str">
        <f t="shared" si="2"/>
        <v>WHS</v>
      </c>
      <c r="H25" s="8" t="str">
        <f t="shared" si="2"/>
        <v>HS</v>
      </c>
      <c r="I25" s="8" t="str">
        <f t="shared" si="2"/>
        <v>PSAL</v>
      </c>
      <c r="J25" s="8" t="str">
        <f t="shared" si="2"/>
        <v>BPL</v>
      </c>
      <c r="K25" s="8" t="str">
        <f t="shared" si="2"/>
        <v>GLP</v>
      </c>
      <c r="L25" s="8" t="str">
        <f t="shared" si="2"/>
        <v>LPL-S</v>
      </c>
      <c r="M25" s="8"/>
      <c r="N25" s="27"/>
      <c r="O25" s="8" t="str">
        <f>+C7</f>
        <v>RS</v>
      </c>
      <c r="P25" s="8" t="str">
        <f t="shared" ref="P25:X25" si="3">+D7</f>
        <v>RHS</v>
      </c>
      <c r="Q25" s="8" t="str">
        <f t="shared" si="3"/>
        <v>RLM</v>
      </c>
      <c r="R25" s="8" t="str">
        <f t="shared" si="3"/>
        <v>WH</v>
      </c>
      <c r="S25" s="8" t="str">
        <f t="shared" si="3"/>
        <v>WHS</v>
      </c>
      <c r="T25" s="8" t="str">
        <f t="shared" si="3"/>
        <v>HS</v>
      </c>
      <c r="U25" s="8" t="str">
        <f t="shared" si="3"/>
        <v>PSAL</v>
      </c>
      <c r="V25" s="8" t="str">
        <f t="shared" si="3"/>
        <v>BPL</v>
      </c>
      <c r="W25" s="8" t="str">
        <f t="shared" si="3"/>
        <v>GLP</v>
      </c>
      <c r="X25" s="8" t="str">
        <f t="shared" si="3"/>
        <v>LPL-S</v>
      </c>
    </row>
    <row r="26" spans="1:24" x14ac:dyDescent="0.6">
      <c r="A26" s="17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6">
      <c r="A27" s="17"/>
      <c r="B27" s="32" t="s">
        <v>22</v>
      </c>
      <c r="C27" s="206">
        <v>0</v>
      </c>
      <c r="D27" s="206">
        <v>0</v>
      </c>
      <c r="E27" s="206">
        <f>Input!C32</f>
        <v>0.42349999999999999</v>
      </c>
      <c r="F27" s="206">
        <v>0</v>
      </c>
      <c r="G27" s="206">
        <v>0</v>
      </c>
      <c r="H27" s="206">
        <v>0</v>
      </c>
      <c r="I27" s="206">
        <v>0</v>
      </c>
      <c r="J27" s="206">
        <v>0</v>
      </c>
      <c r="K27" s="206">
        <v>0</v>
      </c>
      <c r="L27" s="206">
        <f>Input!D32</f>
        <v>0.46400000000000002</v>
      </c>
      <c r="M27" s="201"/>
      <c r="N27" s="202"/>
      <c r="O27" s="203"/>
      <c r="P27" s="203"/>
      <c r="Q27" s="203">
        <f t="shared" ref="Q27:Q38" si="4">1-E27</f>
        <v>0.57650000000000001</v>
      </c>
      <c r="R27" s="203"/>
      <c r="S27" s="203"/>
      <c r="T27" s="203"/>
      <c r="U27" s="203"/>
      <c r="V27" s="203"/>
      <c r="W27" s="203"/>
      <c r="X27" s="203">
        <f t="shared" ref="X27:X38" si="5">1-L27</f>
        <v>0.53600000000000003</v>
      </c>
    </row>
    <row r="28" spans="1:24" x14ac:dyDescent="0.6">
      <c r="A28" s="17"/>
      <c r="B28" s="32" t="s">
        <v>23</v>
      </c>
      <c r="C28" s="206">
        <v>0</v>
      </c>
      <c r="D28" s="206">
        <v>0</v>
      </c>
      <c r="E28" s="206">
        <f>Input!C33</f>
        <v>0.41649999999999998</v>
      </c>
      <c r="F28" s="206">
        <v>0</v>
      </c>
      <c r="G28" s="206">
        <v>0</v>
      </c>
      <c r="H28" s="206">
        <v>0</v>
      </c>
      <c r="I28" s="206">
        <v>0</v>
      </c>
      <c r="J28" s="206">
        <v>0</v>
      </c>
      <c r="K28" s="206">
        <v>0</v>
      </c>
      <c r="L28" s="206">
        <f>Input!D33</f>
        <v>0.46089999999999998</v>
      </c>
      <c r="M28" s="201"/>
      <c r="N28" s="202"/>
      <c r="O28" s="203"/>
      <c r="P28" s="203"/>
      <c r="Q28" s="203">
        <f t="shared" si="4"/>
        <v>0.58350000000000002</v>
      </c>
      <c r="R28" s="203"/>
      <c r="S28" s="203"/>
      <c r="T28" s="203"/>
      <c r="U28" s="203"/>
      <c r="V28" s="203"/>
      <c r="W28" s="203"/>
      <c r="X28" s="203">
        <f t="shared" si="5"/>
        <v>0.53910000000000002</v>
      </c>
    </row>
    <row r="29" spans="1:24" x14ac:dyDescent="0.6">
      <c r="A29" s="17"/>
      <c r="B29" s="32" t="s">
        <v>24</v>
      </c>
      <c r="C29" s="206">
        <v>0</v>
      </c>
      <c r="D29" s="206">
        <v>0</v>
      </c>
      <c r="E29" s="206">
        <f>Input!C34</f>
        <v>0.41049999999999998</v>
      </c>
      <c r="F29" s="206">
        <v>0</v>
      </c>
      <c r="G29" s="206">
        <v>0</v>
      </c>
      <c r="H29" s="206">
        <v>0</v>
      </c>
      <c r="I29" s="206">
        <v>0</v>
      </c>
      <c r="J29" s="206">
        <v>0</v>
      </c>
      <c r="K29" s="206">
        <v>0</v>
      </c>
      <c r="L29" s="206">
        <f>Input!D34</f>
        <v>0.46279999999999999</v>
      </c>
      <c r="M29" s="201"/>
      <c r="N29" s="202"/>
      <c r="O29" s="203"/>
      <c r="P29" s="203"/>
      <c r="Q29" s="203">
        <f t="shared" si="4"/>
        <v>0.58950000000000002</v>
      </c>
      <c r="R29" s="203"/>
      <c r="S29" s="203"/>
      <c r="T29" s="203"/>
      <c r="U29" s="203"/>
      <c r="V29" s="203"/>
      <c r="W29" s="203"/>
      <c r="X29" s="203">
        <f t="shared" si="5"/>
        <v>0.53720000000000001</v>
      </c>
    </row>
    <row r="30" spans="1:24" x14ac:dyDescent="0.6">
      <c r="A30" s="17"/>
      <c r="B30" s="32" t="s">
        <v>25</v>
      </c>
      <c r="C30" s="206">
        <v>0</v>
      </c>
      <c r="D30" s="206">
        <v>0</v>
      </c>
      <c r="E30" s="206">
        <f>Input!C35</f>
        <v>0.41839999999999999</v>
      </c>
      <c r="F30" s="206">
        <v>0</v>
      </c>
      <c r="G30" s="206">
        <v>0</v>
      </c>
      <c r="H30" s="206">
        <v>0</v>
      </c>
      <c r="I30" s="206">
        <v>0</v>
      </c>
      <c r="J30" s="206">
        <v>0</v>
      </c>
      <c r="K30" s="206">
        <v>0</v>
      </c>
      <c r="L30" s="206">
        <f>Input!D35</f>
        <v>0.47310000000000002</v>
      </c>
      <c r="M30" s="201"/>
      <c r="N30" s="202"/>
      <c r="O30" s="203"/>
      <c r="P30" s="203"/>
      <c r="Q30" s="203">
        <f t="shared" si="4"/>
        <v>0.58160000000000001</v>
      </c>
      <c r="R30" s="203"/>
      <c r="S30" s="203"/>
      <c r="T30" s="203"/>
      <c r="U30" s="203"/>
      <c r="V30" s="203"/>
      <c r="W30" s="203"/>
      <c r="X30" s="203">
        <f t="shared" si="5"/>
        <v>0.52689999999999992</v>
      </c>
    </row>
    <row r="31" spans="1:24" x14ac:dyDescent="0.6">
      <c r="A31" s="17"/>
      <c r="B31" s="32" t="s">
        <v>26</v>
      </c>
      <c r="C31" s="206">
        <v>0</v>
      </c>
      <c r="D31" s="206">
        <v>0</v>
      </c>
      <c r="E31" s="206">
        <f>Input!C36</f>
        <v>0.43480000000000002</v>
      </c>
      <c r="F31" s="206">
        <v>0</v>
      </c>
      <c r="G31" s="206">
        <v>0</v>
      </c>
      <c r="H31" s="206">
        <v>0</v>
      </c>
      <c r="I31" s="206">
        <v>0</v>
      </c>
      <c r="J31" s="206">
        <v>0</v>
      </c>
      <c r="K31" s="206">
        <v>0</v>
      </c>
      <c r="L31" s="206">
        <f>Input!D36</f>
        <v>0.4798</v>
      </c>
      <c r="M31" s="201"/>
      <c r="N31" s="207"/>
      <c r="O31" s="203"/>
      <c r="P31" s="203"/>
      <c r="Q31" s="203">
        <f t="shared" si="4"/>
        <v>0.56519999999999992</v>
      </c>
      <c r="R31" s="203"/>
      <c r="S31" s="203"/>
      <c r="T31" s="203"/>
      <c r="U31" s="203"/>
      <c r="V31" s="203"/>
      <c r="W31" s="203"/>
      <c r="X31" s="203">
        <f t="shared" si="5"/>
        <v>0.5202</v>
      </c>
    </row>
    <row r="32" spans="1:24" x14ac:dyDescent="0.6">
      <c r="A32" s="17"/>
      <c r="B32" s="32" t="s">
        <v>27</v>
      </c>
      <c r="C32" s="206">
        <v>0</v>
      </c>
      <c r="D32" s="206">
        <v>0</v>
      </c>
      <c r="E32" s="206">
        <f>Input!C37</f>
        <v>0.46260000000000001</v>
      </c>
      <c r="F32" s="206">
        <v>0</v>
      </c>
      <c r="G32" s="206">
        <v>0</v>
      </c>
      <c r="H32" s="206">
        <v>0</v>
      </c>
      <c r="I32" s="206">
        <v>0</v>
      </c>
      <c r="J32" s="206">
        <v>0</v>
      </c>
      <c r="K32" s="206">
        <v>0</v>
      </c>
      <c r="L32" s="206">
        <f>Input!D37</f>
        <v>0.48870000000000002</v>
      </c>
      <c r="M32" s="201"/>
      <c r="N32" s="207"/>
      <c r="O32" s="203"/>
      <c r="P32" s="203"/>
      <c r="Q32" s="203">
        <f t="shared" si="4"/>
        <v>0.53739999999999999</v>
      </c>
      <c r="R32" s="203"/>
      <c r="S32" s="203"/>
      <c r="T32" s="203"/>
      <c r="U32" s="203"/>
      <c r="V32" s="203"/>
      <c r="W32" s="203"/>
      <c r="X32" s="203">
        <f t="shared" si="5"/>
        <v>0.51129999999999998</v>
      </c>
    </row>
    <row r="33" spans="1:32" x14ac:dyDescent="0.6">
      <c r="A33" s="17"/>
      <c r="B33" s="32" t="s">
        <v>28</v>
      </c>
      <c r="C33" s="206">
        <v>0</v>
      </c>
      <c r="D33" s="206">
        <v>0</v>
      </c>
      <c r="E33" s="206">
        <f>Input!C38</f>
        <v>0.48039999999999999</v>
      </c>
      <c r="F33" s="206">
        <v>0</v>
      </c>
      <c r="G33" s="206">
        <v>0</v>
      </c>
      <c r="H33" s="206">
        <v>0</v>
      </c>
      <c r="I33" s="206">
        <v>0</v>
      </c>
      <c r="J33" s="206">
        <v>0</v>
      </c>
      <c r="K33" s="206">
        <v>0</v>
      </c>
      <c r="L33" s="206">
        <f>Input!D38</f>
        <v>0.49070000000000003</v>
      </c>
      <c r="M33" s="201"/>
      <c r="N33" s="207"/>
      <c r="O33" s="203"/>
      <c r="P33" s="203"/>
      <c r="Q33" s="203">
        <f t="shared" si="4"/>
        <v>0.51960000000000006</v>
      </c>
      <c r="R33" s="203"/>
      <c r="S33" s="203"/>
      <c r="T33" s="203"/>
      <c r="U33" s="203"/>
      <c r="V33" s="203"/>
      <c r="W33" s="203"/>
      <c r="X33" s="203">
        <f t="shared" si="5"/>
        <v>0.50929999999999997</v>
      </c>
    </row>
    <row r="34" spans="1:32" x14ac:dyDescent="0.6">
      <c r="A34" s="17"/>
      <c r="B34" s="32" t="s">
        <v>29</v>
      </c>
      <c r="C34" s="206">
        <v>0</v>
      </c>
      <c r="D34" s="206">
        <v>0</v>
      </c>
      <c r="E34" s="206">
        <f>Input!C39</f>
        <v>0.4839</v>
      </c>
      <c r="F34" s="206">
        <v>0</v>
      </c>
      <c r="G34" s="206">
        <v>0</v>
      </c>
      <c r="H34" s="206">
        <v>0</v>
      </c>
      <c r="I34" s="206">
        <v>0</v>
      </c>
      <c r="J34" s="206">
        <v>0</v>
      </c>
      <c r="K34" s="206">
        <v>0</v>
      </c>
      <c r="L34" s="206">
        <f>Input!D39</f>
        <v>0.48449999999999999</v>
      </c>
      <c r="M34" s="201"/>
      <c r="N34" s="207"/>
      <c r="O34" s="203"/>
      <c r="P34" s="203"/>
      <c r="Q34" s="203">
        <f t="shared" si="4"/>
        <v>0.5161</v>
      </c>
      <c r="R34" s="203"/>
      <c r="S34" s="203"/>
      <c r="T34" s="203"/>
      <c r="U34" s="203"/>
      <c r="V34" s="203"/>
      <c r="W34" s="203"/>
      <c r="X34" s="203">
        <f t="shared" si="5"/>
        <v>0.51550000000000007</v>
      </c>
    </row>
    <row r="35" spans="1:32" x14ac:dyDescent="0.6">
      <c r="A35" s="17"/>
      <c r="B35" s="32" t="s">
        <v>30</v>
      </c>
      <c r="C35" s="206">
        <v>0</v>
      </c>
      <c r="D35" s="206">
        <v>0</v>
      </c>
      <c r="E35" s="206">
        <f>Input!C40</f>
        <v>0.48520000000000002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06">
        <v>0</v>
      </c>
      <c r="L35" s="206">
        <f>Input!D40</f>
        <v>0.48880000000000001</v>
      </c>
      <c r="M35" s="201"/>
      <c r="N35" s="207"/>
      <c r="O35" s="203"/>
      <c r="P35" s="203"/>
      <c r="Q35" s="203">
        <f t="shared" si="4"/>
        <v>0.51479999999999992</v>
      </c>
      <c r="R35" s="203"/>
      <c r="S35" s="203"/>
      <c r="T35" s="203"/>
      <c r="U35" s="203"/>
      <c r="V35" s="203"/>
      <c r="W35" s="203"/>
      <c r="X35" s="203">
        <f t="shared" si="5"/>
        <v>0.51119999999999999</v>
      </c>
    </row>
    <row r="36" spans="1:32" x14ac:dyDescent="0.6">
      <c r="A36" s="17"/>
      <c r="B36" s="32" t="s">
        <v>31</v>
      </c>
      <c r="C36" s="206">
        <v>0</v>
      </c>
      <c r="D36" s="206">
        <v>0</v>
      </c>
      <c r="E36" s="206">
        <f>Input!C41</f>
        <v>0.45519999999999999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f>Input!D41</f>
        <v>0.48970000000000002</v>
      </c>
      <c r="M36" s="201"/>
      <c r="N36" s="207"/>
      <c r="O36" s="203"/>
      <c r="P36" s="203"/>
      <c r="Q36" s="203">
        <f t="shared" si="4"/>
        <v>0.54479999999999995</v>
      </c>
      <c r="R36" s="203"/>
      <c r="S36" s="203"/>
      <c r="T36" s="203"/>
      <c r="U36" s="203"/>
      <c r="V36" s="203"/>
      <c r="W36" s="203"/>
      <c r="X36" s="203">
        <f t="shared" si="5"/>
        <v>0.51029999999999998</v>
      </c>
    </row>
    <row r="37" spans="1:32" x14ac:dyDescent="0.6">
      <c r="A37" s="17"/>
      <c r="B37" s="32" t="s">
        <v>32</v>
      </c>
      <c r="C37" s="206">
        <v>0</v>
      </c>
      <c r="D37" s="206">
        <v>0</v>
      </c>
      <c r="E37" s="206">
        <f>Input!C42</f>
        <v>0.42909999999999998</v>
      </c>
      <c r="F37" s="206">
        <v>0</v>
      </c>
      <c r="G37" s="206">
        <v>0</v>
      </c>
      <c r="H37" s="206">
        <v>0</v>
      </c>
      <c r="I37" s="206">
        <v>0</v>
      </c>
      <c r="J37" s="206">
        <v>0</v>
      </c>
      <c r="K37" s="206">
        <v>0</v>
      </c>
      <c r="L37" s="206">
        <f>Input!D42</f>
        <v>0.4788</v>
      </c>
      <c r="M37" s="201"/>
      <c r="N37" s="207"/>
      <c r="O37" s="203"/>
      <c r="P37" s="203"/>
      <c r="Q37" s="203">
        <f t="shared" si="4"/>
        <v>0.57089999999999996</v>
      </c>
      <c r="R37" s="203"/>
      <c r="S37" s="203"/>
      <c r="T37" s="203"/>
      <c r="U37" s="203"/>
      <c r="V37" s="203"/>
      <c r="W37" s="203"/>
      <c r="X37" s="203">
        <f t="shared" si="5"/>
        <v>0.5212</v>
      </c>
    </row>
    <row r="38" spans="1:32" x14ac:dyDescent="0.6">
      <c r="A38" s="17"/>
      <c r="B38" s="32" t="s">
        <v>33</v>
      </c>
      <c r="C38" s="206">
        <v>0</v>
      </c>
      <c r="D38" s="206">
        <v>0</v>
      </c>
      <c r="E38" s="206">
        <f>Input!C43</f>
        <v>0.42080000000000001</v>
      </c>
      <c r="F38" s="206">
        <v>0</v>
      </c>
      <c r="G38" s="206">
        <v>0</v>
      </c>
      <c r="H38" s="206">
        <v>0</v>
      </c>
      <c r="I38" s="206">
        <v>0</v>
      </c>
      <c r="J38" s="206">
        <v>0</v>
      </c>
      <c r="K38" s="206">
        <v>0</v>
      </c>
      <c r="L38" s="206">
        <f>Input!D43</f>
        <v>0.47099999999999997</v>
      </c>
      <c r="M38" s="201"/>
      <c r="N38" s="207"/>
      <c r="O38" s="203"/>
      <c r="P38" s="203"/>
      <c r="Q38" s="203">
        <f t="shared" si="4"/>
        <v>0.57919999999999994</v>
      </c>
      <c r="R38" s="203"/>
      <c r="S38" s="203"/>
      <c r="T38" s="203"/>
      <c r="U38" s="203"/>
      <c r="V38" s="203"/>
      <c r="W38" s="203"/>
      <c r="X38" s="203">
        <f t="shared" si="5"/>
        <v>0.52900000000000003</v>
      </c>
    </row>
    <row r="39" spans="1:32" x14ac:dyDescent="0.6">
      <c r="A39" s="17"/>
      <c r="B39" s="32"/>
      <c r="C39" s="202"/>
      <c r="D39" s="202"/>
      <c r="E39" s="202"/>
      <c r="F39" s="202"/>
      <c r="G39" s="202"/>
      <c r="H39" s="202"/>
      <c r="I39" s="205"/>
      <c r="J39" s="205"/>
      <c r="K39" s="202"/>
      <c r="L39" s="202"/>
      <c r="M39" s="202"/>
      <c r="N39" s="207"/>
      <c r="O39" s="203"/>
      <c r="P39" s="203"/>
      <c r="Q39" s="203"/>
      <c r="R39" s="203"/>
      <c r="S39" s="203"/>
      <c r="T39" s="203"/>
      <c r="U39" s="203"/>
      <c r="V39" s="203"/>
      <c r="W39" s="203"/>
      <c r="X39" s="203"/>
    </row>
    <row r="40" spans="1:32" x14ac:dyDescent="0.6">
      <c r="A40" s="17"/>
      <c r="B40" s="32"/>
      <c r="C40" s="202"/>
      <c r="D40" s="202"/>
      <c r="E40" s="202"/>
      <c r="F40" s="202"/>
      <c r="G40" s="202"/>
      <c r="H40" s="202"/>
      <c r="I40" s="205"/>
      <c r="J40" s="205"/>
      <c r="K40" s="202"/>
      <c r="L40" s="202"/>
      <c r="M40" s="202"/>
      <c r="N40" s="207"/>
      <c r="O40" s="203"/>
      <c r="P40" s="203"/>
      <c r="Q40" s="203"/>
      <c r="R40" s="203"/>
      <c r="S40" s="203"/>
      <c r="T40" s="203"/>
      <c r="U40" s="203"/>
      <c r="V40" s="203"/>
      <c r="W40" s="203"/>
      <c r="X40" s="203"/>
    </row>
    <row r="41" spans="1:32" x14ac:dyDescent="0.6">
      <c r="A41" s="3" t="s">
        <v>36</v>
      </c>
      <c r="B41" s="38" t="s">
        <v>37</v>
      </c>
      <c r="C41" s="8"/>
      <c r="D41" s="8"/>
      <c r="E41" s="8"/>
      <c r="F41" s="8"/>
      <c r="G41" s="8"/>
      <c r="H41" s="8"/>
      <c r="I41" s="8"/>
      <c r="J41" s="8"/>
      <c r="K41" s="8"/>
      <c r="L41" s="8"/>
      <c r="O41" s="13" t="s">
        <v>124</v>
      </c>
    </row>
    <row r="42" spans="1:32" x14ac:dyDescent="0.6">
      <c r="A42" s="17"/>
      <c r="B42" s="39" t="str">
        <f>Input!B47</f>
        <v>Calendar month sales forecasted for 2025, less % for LPL-Sec &gt; 500 kW Peak Load Share</v>
      </c>
      <c r="G42" s="208"/>
      <c r="L42" s="8" t="s">
        <v>125</v>
      </c>
      <c r="AB42" s="41" t="s">
        <v>126</v>
      </c>
      <c r="AD42" s="13" t="s">
        <v>39</v>
      </c>
    </row>
    <row r="43" spans="1:32" x14ac:dyDescent="0.6">
      <c r="A43" s="17"/>
      <c r="B43" s="14" t="s">
        <v>38</v>
      </c>
      <c r="C43" s="8" t="str">
        <f>+C7</f>
        <v>RS</v>
      </c>
      <c r="D43" s="8" t="str">
        <f t="shared" ref="D43:L43" si="6">+D7</f>
        <v>RHS</v>
      </c>
      <c r="E43" s="8" t="str">
        <f t="shared" si="6"/>
        <v>RLM</v>
      </c>
      <c r="F43" s="8" t="str">
        <f t="shared" si="6"/>
        <v>WH</v>
      </c>
      <c r="G43" s="8" t="str">
        <f t="shared" si="6"/>
        <v>WHS</v>
      </c>
      <c r="H43" s="8" t="str">
        <f t="shared" si="6"/>
        <v>HS</v>
      </c>
      <c r="I43" s="8" t="str">
        <f t="shared" si="6"/>
        <v>PSAL</v>
      </c>
      <c r="J43" s="8" t="str">
        <f t="shared" si="6"/>
        <v>BPL</v>
      </c>
      <c r="K43" s="8" t="str">
        <f t="shared" si="6"/>
        <v>GLP</v>
      </c>
      <c r="L43" s="8" t="str">
        <f t="shared" si="6"/>
        <v>LPL-S</v>
      </c>
      <c r="M43" s="8"/>
      <c r="N43" s="8"/>
      <c r="O43" s="8" t="str">
        <f>+C7</f>
        <v>RS</v>
      </c>
      <c r="P43" s="8" t="str">
        <f t="shared" ref="P43:X43" si="7">+D7</f>
        <v>RHS</v>
      </c>
      <c r="Q43" s="8" t="str">
        <f t="shared" si="7"/>
        <v>RLM</v>
      </c>
      <c r="R43" s="8" t="str">
        <f t="shared" si="7"/>
        <v>WH</v>
      </c>
      <c r="S43" s="8" t="str">
        <f t="shared" si="7"/>
        <v>WHS</v>
      </c>
      <c r="T43" s="8" t="str">
        <f t="shared" si="7"/>
        <v>HS</v>
      </c>
      <c r="U43" s="8" t="str">
        <f t="shared" si="7"/>
        <v>PSAL</v>
      </c>
      <c r="V43" s="8" t="str">
        <f t="shared" si="7"/>
        <v>BPL</v>
      </c>
      <c r="W43" s="8" t="str">
        <f t="shared" si="7"/>
        <v>GLP</v>
      </c>
      <c r="X43" s="8" t="str">
        <f t="shared" si="7"/>
        <v>LPL-S</v>
      </c>
      <c r="Y43" s="8"/>
      <c r="Z43" s="8" t="s">
        <v>127</v>
      </c>
      <c r="AB43" s="41" t="s">
        <v>21</v>
      </c>
      <c r="AD43" s="209" t="s">
        <v>40</v>
      </c>
      <c r="AE43" s="209" t="s">
        <v>40</v>
      </c>
      <c r="AF43" s="41" t="s">
        <v>40</v>
      </c>
    </row>
    <row r="44" spans="1:32" x14ac:dyDescent="0.6">
      <c r="A44" s="17"/>
      <c r="C44" s="8"/>
      <c r="D44" s="8"/>
      <c r="E44" s="8"/>
      <c r="F44" s="8"/>
      <c r="G44" s="8"/>
      <c r="H44" s="8"/>
      <c r="I44" s="8"/>
      <c r="J44" s="8"/>
      <c r="K44" s="8"/>
      <c r="L44" s="8"/>
      <c r="Y44" s="42"/>
      <c r="AB44" s="41"/>
      <c r="AD44" s="41" t="s">
        <v>42</v>
      </c>
      <c r="AE44" s="41" t="s">
        <v>43</v>
      </c>
      <c r="AF44" s="41" t="s">
        <v>128</v>
      </c>
    </row>
    <row r="45" spans="1:32" x14ac:dyDescent="0.6">
      <c r="A45" s="17"/>
      <c r="B45" s="32" t="s">
        <v>22</v>
      </c>
      <c r="C45" s="210">
        <f>Input!C50</f>
        <v>1121491.5651200744</v>
      </c>
      <c r="D45" s="210">
        <f>Input!D50</f>
        <v>12422.381688635198</v>
      </c>
      <c r="E45" s="210">
        <f>Input!E50</f>
        <v>14246.696042579952</v>
      </c>
      <c r="F45" s="210">
        <f>Input!F50</f>
        <v>55</v>
      </c>
      <c r="G45" s="210">
        <f>Input!G50</f>
        <v>1</v>
      </c>
      <c r="H45" s="210">
        <f>Input!H50</f>
        <v>1656.724617716701</v>
      </c>
      <c r="I45" s="210">
        <f>Input!I50</f>
        <v>14910</v>
      </c>
      <c r="J45" s="210">
        <f>Input!J50</f>
        <v>31151</v>
      </c>
      <c r="K45" s="210">
        <f>Input!K50</f>
        <v>531647.04672762146</v>
      </c>
      <c r="L45" s="211">
        <f>AB45*$M$45</f>
        <v>445034.62958265928</v>
      </c>
      <c r="M45" s="212">
        <f>(1-AD45)</f>
        <v>0.69411986390342162</v>
      </c>
      <c r="N45" s="97" t="s">
        <v>129</v>
      </c>
      <c r="O45" s="65">
        <f>SUM(C45:C49,C54:C56)</f>
        <v>7348911.4358567232</v>
      </c>
      <c r="P45" s="42">
        <f t="shared" ref="P45:X45" si="8">SUM(D45:D49,D54:D56)</f>
        <v>58713.203921070133</v>
      </c>
      <c r="Q45" s="42">
        <f t="shared" si="8"/>
        <v>94472.757813328615</v>
      </c>
      <c r="R45" s="42">
        <f t="shared" si="8"/>
        <v>402</v>
      </c>
      <c r="S45" s="42">
        <f t="shared" si="8"/>
        <v>5</v>
      </c>
      <c r="T45" s="42">
        <f t="shared" si="8"/>
        <v>7309.3940726725523</v>
      </c>
      <c r="U45" s="42">
        <f t="shared" si="8"/>
        <v>88873</v>
      </c>
      <c r="V45" s="42">
        <f t="shared" si="8"/>
        <v>204001</v>
      </c>
      <c r="W45" s="42">
        <f t="shared" si="8"/>
        <v>3941851.5107721277</v>
      </c>
      <c r="X45" s="42">
        <f t="shared" si="8"/>
        <v>3299623.1661730479</v>
      </c>
      <c r="Y45" s="42">
        <f>SUM(O45:X45)</f>
        <v>15044162.468608972</v>
      </c>
      <c r="Z45" s="213">
        <f>+Y45/(Y45+Y49)</f>
        <v>0.60201045349780691</v>
      </c>
      <c r="AB45" s="214">
        <f>Input!L50</f>
        <v>641149.53731475468</v>
      </c>
      <c r="AD45" s="215">
        <f>Input!C66</f>
        <v>0.30588013609657833</v>
      </c>
      <c r="AE45" s="216">
        <f>Input!D66</f>
        <v>0.2897106941926979</v>
      </c>
      <c r="AF45" s="46">
        <f>AE45</f>
        <v>0.2897106941926979</v>
      </c>
    </row>
    <row r="46" spans="1:32" x14ac:dyDescent="0.6">
      <c r="A46" s="17"/>
      <c r="B46" s="32" t="s">
        <v>23</v>
      </c>
      <c r="C46" s="210">
        <f>Input!C51</f>
        <v>943088.51438200544</v>
      </c>
      <c r="D46" s="210">
        <f>Input!D51</f>
        <v>9972.5145846000833</v>
      </c>
      <c r="E46" s="210">
        <f>Input!E51</f>
        <v>12197.260210938475</v>
      </c>
      <c r="F46" s="210">
        <f>Input!F51</f>
        <v>53</v>
      </c>
      <c r="G46" s="210">
        <f>Input!G51</f>
        <v>1</v>
      </c>
      <c r="H46" s="210">
        <f>Input!H51</f>
        <v>1361.4225991576122</v>
      </c>
      <c r="I46" s="210">
        <f>Input!I51</f>
        <v>11882</v>
      </c>
      <c r="J46" s="210">
        <f>Input!J51</f>
        <v>29306</v>
      </c>
      <c r="K46" s="210">
        <f>Input!K51</f>
        <v>498617.12294565397</v>
      </c>
      <c r="L46" s="211">
        <f t="shared" ref="L46:L56" si="9">AB46*$M$45</f>
        <v>407025.11644193513</v>
      </c>
      <c r="M46" s="48"/>
      <c r="N46" s="97" t="s">
        <v>130</v>
      </c>
      <c r="O46" s="42"/>
      <c r="P46" s="42"/>
      <c r="Q46" s="42">
        <f>SUMPRODUCT(E27:E31,E45:E49)+SUMPRODUCT(E36:E38,E54:E56)</f>
        <v>40232.200221618754</v>
      </c>
      <c r="R46" s="42"/>
      <c r="X46" s="42">
        <f>SUMPRODUCT(L27:L31,L45:L49)+SUMPRODUCT(L36:L38,L54:L56)</f>
        <v>1558600.5114884789</v>
      </c>
      <c r="Y46" s="42"/>
      <c r="Z46" s="213"/>
      <c r="AB46" s="214">
        <f>Input!L51</f>
        <v>586390.24411865522</v>
      </c>
      <c r="AD46" s="47"/>
    </row>
    <row r="47" spans="1:32" x14ac:dyDescent="0.6">
      <c r="A47" s="17"/>
      <c r="B47" s="32" t="s">
        <v>24</v>
      </c>
      <c r="C47" s="210">
        <f>Input!C52</f>
        <v>914188.33170792577</v>
      </c>
      <c r="D47" s="210">
        <f>Input!D52</f>
        <v>7639.307818852355</v>
      </c>
      <c r="E47" s="210">
        <f>Input!E52</f>
        <v>11831.011222013953</v>
      </c>
      <c r="F47" s="210">
        <f>Input!F52</f>
        <v>59</v>
      </c>
      <c r="G47" s="210">
        <f>Input!G52</f>
        <v>1</v>
      </c>
      <c r="H47" s="210">
        <f>Input!H52</f>
        <v>1113.4045896125165</v>
      </c>
      <c r="I47" s="210">
        <f>Input!I52</f>
        <v>11649</v>
      </c>
      <c r="J47" s="210">
        <f>Input!J52</f>
        <v>27223</v>
      </c>
      <c r="K47" s="210">
        <f>Input!K52</f>
        <v>533580.76340651233</v>
      </c>
      <c r="L47" s="211">
        <f t="shared" si="9"/>
        <v>427818.08556591091</v>
      </c>
      <c r="M47" s="48"/>
      <c r="N47" s="97" t="s">
        <v>131</v>
      </c>
      <c r="O47" s="42">
        <f>+O45-O46</f>
        <v>7348911.4358567232</v>
      </c>
      <c r="P47" s="42">
        <f>+P45-P46</f>
        <v>58713.203921070133</v>
      </c>
      <c r="Q47" s="42">
        <f>+Q45-Q46</f>
        <v>54240.557591709861</v>
      </c>
      <c r="R47" s="42">
        <f>+R45-R46</f>
        <v>402</v>
      </c>
      <c r="X47" s="42">
        <f>+X45-X46</f>
        <v>1741022.654684569</v>
      </c>
      <c r="Y47" s="42"/>
      <c r="Z47" s="49"/>
      <c r="AB47" s="214">
        <f>Input!L52</f>
        <v>616346.12091354385</v>
      </c>
    </row>
    <row r="48" spans="1:32" x14ac:dyDescent="0.6">
      <c r="A48" s="17"/>
      <c r="B48" s="32" t="s">
        <v>25</v>
      </c>
      <c r="C48" s="210">
        <f>Input!C53</f>
        <v>752016.3936038306</v>
      </c>
      <c r="D48" s="210">
        <f>Input!D53</f>
        <v>3826.4590958262747</v>
      </c>
      <c r="E48" s="210">
        <f>Input!E53</f>
        <v>9990.0256127922858</v>
      </c>
      <c r="F48" s="210">
        <f>Input!F53</f>
        <v>51</v>
      </c>
      <c r="G48" s="210">
        <f>Input!G53</f>
        <v>1</v>
      </c>
      <c r="H48" s="210">
        <f>Input!H53</f>
        <v>620.04502386273953</v>
      </c>
      <c r="I48" s="210">
        <f>Input!I53</f>
        <v>9193</v>
      </c>
      <c r="J48" s="210">
        <f>Input!J53</f>
        <v>23864</v>
      </c>
      <c r="K48" s="210">
        <f>Input!K53</f>
        <v>458953.03638647136</v>
      </c>
      <c r="L48" s="211">
        <f t="shared" si="9"/>
        <v>370142.78964621463</v>
      </c>
      <c r="M48" s="48"/>
      <c r="Y48" s="42"/>
      <c r="AB48" s="214">
        <f>Input!L53</f>
        <v>533254.85826712416</v>
      </c>
    </row>
    <row r="49" spans="1:28" x14ac:dyDescent="0.6">
      <c r="A49" s="17"/>
      <c r="B49" s="32" t="s">
        <v>26</v>
      </c>
      <c r="C49" s="210">
        <f>Input!C54</f>
        <v>874037.42671892652</v>
      </c>
      <c r="D49" s="210">
        <f>Input!D54</f>
        <v>3246.0739128465275</v>
      </c>
      <c r="E49" s="210">
        <f>Input!E54</f>
        <v>12272.26332835121</v>
      </c>
      <c r="F49" s="210">
        <f>Input!F54</f>
        <v>54</v>
      </c>
      <c r="G49" s="210">
        <f>Input!G54</f>
        <v>0</v>
      </c>
      <c r="H49" s="210">
        <f>Input!H54</f>
        <v>386.30143213318877</v>
      </c>
      <c r="I49" s="210">
        <f>Input!I54</f>
        <v>8838</v>
      </c>
      <c r="J49" s="210">
        <f>Input!J54</f>
        <v>19584</v>
      </c>
      <c r="K49" s="210">
        <f>Input!K54</f>
        <v>482213.11201165582</v>
      </c>
      <c r="L49" s="211">
        <f t="shared" si="9"/>
        <v>426819.46021400602</v>
      </c>
      <c r="N49" s="97" t="s">
        <v>132</v>
      </c>
      <c r="O49" s="65">
        <f>SUM(C50:C53)</f>
        <v>5614597.5939695882</v>
      </c>
      <c r="P49" s="42">
        <f t="shared" ref="P49:X49" si="10">+SUM(D50:D53)</f>
        <v>16780.617493154812</v>
      </c>
      <c r="Q49" s="42">
        <f t="shared" si="10"/>
        <v>77647.707851378422</v>
      </c>
      <c r="R49" s="42">
        <f t="shared" si="10"/>
        <v>154</v>
      </c>
      <c r="S49" s="42">
        <f t="shared" si="10"/>
        <v>3</v>
      </c>
      <c r="T49" s="42">
        <f t="shared" si="10"/>
        <v>1943.9972762545458</v>
      </c>
      <c r="U49" s="42">
        <f t="shared" si="10"/>
        <v>33457</v>
      </c>
      <c r="V49" s="42">
        <f t="shared" si="10"/>
        <v>77192</v>
      </c>
      <c r="W49" s="42">
        <f t="shared" si="10"/>
        <v>2289221.1563356821</v>
      </c>
      <c r="X49" s="42">
        <f t="shared" si="10"/>
        <v>1834709.6230272045</v>
      </c>
      <c r="Y49" s="42">
        <f>SUM(O49:X49)</f>
        <v>9945706.6959532611</v>
      </c>
      <c r="Z49" s="49">
        <f>1-Z45</f>
        <v>0.39798954650219309</v>
      </c>
      <c r="AB49" s="214">
        <f>Input!L54</f>
        <v>614907.42796750274</v>
      </c>
    </row>
    <row r="50" spans="1:28" x14ac:dyDescent="0.6">
      <c r="A50" s="17"/>
      <c r="B50" s="32" t="s">
        <v>27</v>
      </c>
      <c r="C50" s="210">
        <f>Input!C55</f>
        <v>1222207.9763920987</v>
      </c>
      <c r="D50" s="210">
        <f>Input!D55</f>
        <v>3600.9157751373277</v>
      </c>
      <c r="E50" s="210">
        <f>Input!E55</f>
        <v>17689.046911886497</v>
      </c>
      <c r="F50" s="210">
        <f>Input!F55</f>
        <v>41</v>
      </c>
      <c r="G50" s="210">
        <f>Input!G55</f>
        <v>1</v>
      </c>
      <c r="H50" s="210">
        <f>Input!H55</f>
        <v>423.77177889899463</v>
      </c>
      <c r="I50" s="210">
        <f>Input!I55</f>
        <v>7865</v>
      </c>
      <c r="J50" s="210">
        <f>Input!J55</f>
        <v>19801</v>
      </c>
      <c r="K50" s="210">
        <f>Input!K55</f>
        <v>530905.61255474971</v>
      </c>
      <c r="L50" s="211">
        <f t="shared" si="9"/>
        <v>421693.21715060383</v>
      </c>
      <c r="M50" s="48"/>
      <c r="N50" s="97" t="s">
        <v>130</v>
      </c>
      <c r="O50" s="65"/>
      <c r="Q50" s="42">
        <f>+SUMPRODUCT(E32:E35,E50:E53)</f>
        <v>37134.588616042514</v>
      </c>
      <c r="X50" s="42">
        <f>+SUMPRODUCT(L32:L35,L50:L53)</f>
        <v>895537.69550416525</v>
      </c>
      <c r="Y50" s="42"/>
      <c r="Z50" s="213"/>
      <c r="AB50" s="214">
        <f>Input!L55</f>
        <v>607522.18612386135</v>
      </c>
    </row>
    <row r="51" spans="1:28" x14ac:dyDescent="0.6">
      <c r="A51" s="17"/>
      <c r="B51" s="32" t="s">
        <v>28</v>
      </c>
      <c r="C51" s="210">
        <f>Input!C56</f>
        <v>1647698.5711641975</v>
      </c>
      <c r="D51" s="210">
        <f>Input!D56</f>
        <v>4969.7304110426621</v>
      </c>
      <c r="E51" s="210">
        <f>Input!E56</f>
        <v>23582.148994315645</v>
      </c>
      <c r="F51" s="210">
        <f>Input!F56</f>
        <v>34</v>
      </c>
      <c r="G51" s="210">
        <f>Input!G56</f>
        <v>1</v>
      </c>
      <c r="H51" s="210">
        <f>Input!H56</f>
        <v>582.57467709693367</v>
      </c>
      <c r="I51" s="210">
        <f>Input!I56</f>
        <v>7759</v>
      </c>
      <c r="J51" s="210">
        <f>Input!J56</f>
        <v>18302</v>
      </c>
      <c r="K51" s="210">
        <f>Input!K56</f>
        <v>628843.60729956394</v>
      </c>
      <c r="L51" s="211">
        <f t="shared" si="9"/>
        <v>485004.95094096044</v>
      </c>
      <c r="M51" s="48"/>
      <c r="N51" s="97" t="s">
        <v>131</v>
      </c>
      <c r="O51" s="65"/>
      <c r="Q51" s="42">
        <f>+Q49-Q50</f>
        <v>40513.119235335907</v>
      </c>
      <c r="X51" s="42">
        <f>+X49-X50</f>
        <v>939171.92752303928</v>
      </c>
      <c r="Y51" s="42"/>
      <c r="Z51" s="49"/>
      <c r="AB51" s="214">
        <f>Input!L56</f>
        <v>698733.7146836688</v>
      </c>
    </row>
    <row r="52" spans="1:28" x14ac:dyDescent="0.6">
      <c r="A52" s="17"/>
      <c r="B52" s="32" t="s">
        <v>29</v>
      </c>
      <c r="C52" s="210">
        <f>Input!C57</f>
        <v>1590636.2955444867</v>
      </c>
      <c r="D52" s="210">
        <f>Input!D57</f>
        <v>4647.9423112666209</v>
      </c>
      <c r="E52" s="210">
        <f>Input!E57</f>
        <v>20855.736973039748</v>
      </c>
      <c r="F52" s="210">
        <f>Input!F57</f>
        <v>37</v>
      </c>
      <c r="G52" s="210">
        <f>Input!G57</f>
        <v>1</v>
      </c>
      <c r="H52" s="210">
        <f>Input!H57</f>
        <v>527.26130806169647</v>
      </c>
      <c r="I52" s="210">
        <f>Input!I57</f>
        <v>8575</v>
      </c>
      <c r="J52" s="210">
        <f>Input!J57</f>
        <v>17475</v>
      </c>
      <c r="K52" s="210">
        <f>Input!K57</f>
        <v>599871.31851592509</v>
      </c>
      <c r="L52" s="211">
        <f t="shared" si="9"/>
        <v>499467.05037328583</v>
      </c>
      <c r="M52" s="48"/>
      <c r="AB52" s="214">
        <f>Input!L57</f>
        <v>719568.876136904</v>
      </c>
    </row>
    <row r="53" spans="1:28" x14ac:dyDescent="0.6">
      <c r="A53" s="17"/>
      <c r="B53" s="32" t="s">
        <v>30</v>
      </c>
      <c r="C53" s="210">
        <f>Input!C58</f>
        <v>1154054.7508688059</v>
      </c>
      <c r="D53" s="210">
        <f>Input!D58</f>
        <v>3562.0289957081991</v>
      </c>
      <c r="E53" s="210">
        <f>Input!E58</f>
        <v>15520.774972136533</v>
      </c>
      <c r="F53" s="210">
        <f>Input!F58</f>
        <v>42</v>
      </c>
      <c r="G53" s="210">
        <f>Input!G58</f>
        <v>0</v>
      </c>
      <c r="H53" s="210">
        <f>Input!H58</f>
        <v>410.38951219692109</v>
      </c>
      <c r="I53" s="210">
        <f>Input!I58</f>
        <v>9258</v>
      </c>
      <c r="J53" s="210">
        <f>Input!J58</f>
        <v>21614</v>
      </c>
      <c r="K53" s="210">
        <f>Input!K58</f>
        <v>529600.61796544353</v>
      </c>
      <c r="L53" s="211">
        <f t="shared" si="9"/>
        <v>428544.40456235467</v>
      </c>
      <c r="M53" s="48"/>
      <c r="N53" s="97" t="s">
        <v>133</v>
      </c>
      <c r="O53" s="65">
        <f>+O49*C163</f>
        <v>3627030.0457043541</v>
      </c>
      <c r="P53" s="65">
        <f>+P49*D163</f>
        <v>11091.988162975331</v>
      </c>
      <c r="AB53" s="214">
        <f>Input!L58</f>
        <v>617392.50934616884</v>
      </c>
    </row>
    <row r="54" spans="1:28" x14ac:dyDescent="0.6">
      <c r="A54" s="17"/>
      <c r="B54" s="32" t="s">
        <v>31</v>
      </c>
      <c r="C54" s="210">
        <f>Input!C59</f>
        <v>828786.54715208046</v>
      </c>
      <c r="D54" s="210">
        <f>Input!D59</f>
        <v>4116.1656025732846</v>
      </c>
      <c r="E54" s="210">
        <f>Input!E59</f>
        <v>11069.29125036774</v>
      </c>
      <c r="F54" s="210">
        <f>Input!F59</f>
        <v>25</v>
      </c>
      <c r="G54" s="210">
        <f>Input!G59</f>
        <v>0</v>
      </c>
      <c r="H54" s="210">
        <f>Input!H59</f>
        <v>439.83049894148286</v>
      </c>
      <c r="I54" s="210">
        <f>Input!I59</f>
        <v>10722</v>
      </c>
      <c r="J54" s="210">
        <f>Input!J59</f>
        <v>23241</v>
      </c>
      <c r="K54" s="210">
        <f>Input!K59</f>
        <v>475303.33296827815</v>
      </c>
      <c r="L54" s="211">
        <f t="shared" si="9"/>
        <v>406503.78643055045</v>
      </c>
      <c r="M54" s="48"/>
      <c r="N54" s="97" t="s">
        <v>134</v>
      </c>
      <c r="O54" s="42">
        <f>+O49-O53</f>
        <v>1987567.5482652341</v>
      </c>
      <c r="P54" s="42">
        <f>+P49-P53</f>
        <v>5688.6293301794813</v>
      </c>
      <c r="AB54" s="214">
        <f>Input!L59</f>
        <v>585639.17785691051</v>
      </c>
    </row>
    <row r="55" spans="1:28" x14ac:dyDescent="0.6">
      <c r="A55" s="17"/>
      <c r="B55" s="32" t="s">
        <v>32</v>
      </c>
      <c r="C55" s="210">
        <f>Input!C60</f>
        <v>850672.42690879095</v>
      </c>
      <c r="D55" s="210">
        <f>Input!D60</f>
        <v>7473.0668367928292</v>
      </c>
      <c r="E55" s="210">
        <f>Input!E60</f>
        <v>10275.427085544639</v>
      </c>
      <c r="F55" s="210">
        <f>Input!F60</f>
        <v>53</v>
      </c>
      <c r="G55" s="210">
        <f>Input!G60</f>
        <v>0</v>
      </c>
      <c r="H55" s="210">
        <f>Input!H60</f>
        <v>683.38775291922082</v>
      </c>
      <c r="I55" s="210">
        <f>Input!I60</f>
        <v>11426</v>
      </c>
      <c r="J55" s="210">
        <f>Input!J60</f>
        <v>25784</v>
      </c>
      <c r="K55" s="210">
        <f>Input!K60</f>
        <v>460826.87477111619</v>
      </c>
      <c r="L55" s="211">
        <f t="shared" si="9"/>
        <v>394534.96043131343</v>
      </c>
      <c r="M55" s="48"/>
      <c r="AB55" s="214">
        <f>Input!L60</f>
        <v>568396.00903023314</v>
      </c>
    </row>
    <row r="56" spans="1:28" x14ac:dyDescent="0.6">
      <c r="A56" s="17"/>
      <c r="B56" s="32" t="s">
        <v>33</v>
      </c>
      <c r="C56" s="210">
        <f>Input!C61</f>
        <v>1064630.2302630888</v>
      </c>
      <c r="D56" s="210">
        <f>Input!D61</f>
        <v>10017.234380943582</v>
      </c>
      <c r="E56" s="210">
        <f>Input!E61</f>
        <v>12590.783060740356</v>
      </c>
      <c r="F56" s="210">
        <f>Input!F61</f>
        <v>52</v>
      </c>
      <c r="G56" s="210">
        <f>Input!G61</f>
        <v>1</v>
      </c>
      <c r="H56" s="210">
        <f>Input!H61</f>
        <v>1048.277558329092</v>
      </c>
      <c r="I56" s="210">
        <f>Input!I61</f>
        <v>10253</v>
      </c>
      <c r="J56" s="210">
        <f>Input!J61</f>
        <v>23848</v>
      </c>
      <c r="K56" s="210">
        <f>Input!K61</f>
        <v>500710.22155481786</v>
      </c>
      <c r="L56" s="211">
        <f t="shared" si="9"/>
        <v>421744.33786045806</v>
      </c>
      <c r="M56" s="48"/>
      <c r="AB56" s="214">
        <f>Input!L61</f>
        <v>607595.8343689451</v>
      </c>
    </row>
    <row r="57" spans="1:28" x14ac:dyDescent="0.6">
      <c r="A57" s="17"/>
      <c r="B57" s="50" t="s">
        <v>126</v>
      </c>
      <c r="C57" s="42">
        <f>SUM(C45:C56)</f>
        <v>12963509.029826313</v>
      </c>
      <c r="D57" s="42">
        <f>SUM(D45:D56)</f>
        <v>75493.821414224949</v>
      </c>
      <c r="E57" s="42">
        <f t="shared" ref="E57:K57" si="11">SUM(E45:E56)</f>
        <v>172120.46566470704</v>
      </c>
      <c r="F57" s="42">
        <f t="shared" si="11"/>
        <v>556</v>
      </c>
      <c r="G57" s="42">
        <f t="shared" si="11"/>
        <v>8</v>
      </c>
      <c r="H57" s="42">
        <f>SUM(H45:H56)</f>
        <v>9253.3913489270981</v>
      </c>
      <c r="I57" s="42">
        <f>SUM(I45:I56)</f>
        <v>122330</v>
      </c>
      <c r="J57" s="42">
        <f>SUM(J45:J56)</f>
        <v>281193</v>
      </c>
      <c r="K57" s="42">
        <f t="shared" si="11"/>
        <v>6231072.6671078093</v>
      </c>
      <c r="L57" s="42">
        <f>SUM(L45:L56)</f>
        <v>5134332.7892002519</v>
      </c>
      <c r="M57" s="42"/>
      <c r="O57" s="13" t="s">
        <v>135</v>
      </c>
      <c r="AB57" s="42">
        <f>SUM(AB45:AB56)</f>
        <v>7396896.4961282723</v>
      </c>
    </row>
    <row r="58" spans="1:28" x14ac:dyDescent="0.6">
      <c r="A58" s="17"/>
      <c r="B58" s="32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O58" s="14" t="s">
        <v>136</v>
      </c>
      <c r="AB58" s="59"/>
    </row>
    <row r="59" spans="1:28" x14ac:dyDescent="0.6">
      <c r="A59" s="17"/>
      <c r="L59" s="42"/>
      <c r="Y59" s="8" t="s">
        <v>126</v>
      </c>
      <c r="Z59" s="8" t="s">
        <v>127</v>
      </c>
      <c r="AB59" s="59"/>
    </row>
    <row r="60" spans="1:28" x14ac:dyDescent="0.6">
      <c r="A60" s="3" t="s">
        <v>44</v>
      </c>
      <c r="B60" s="13" t="s">
        <v>45</v>
      </c>
      <c r="G60" s="218" t="s">
        <v>46</v>
      </c>
      <c r="H60" s="13" t="s">
        <v>47</v>
      </c>
      <c r="N60" s="41" t="s">
        <v>55</v>
      </c>
    </row>
    <row r="61" spans="1:28" x14ac:dyDescent="0.6">
      <c r="A61" s="17"/>
      <c r="B61" s="14" t="s">
        <v>48</v>
      </c>
      <c r="D61" s="8" t="s">
        <v>49</v>
      </c>
      <c r="E61" s="8" t="s">
        <v>137</v>
      </c>
      <c r="G61" s="11"/>
      <c r="N61" s="97" t="s">
        <v>130</v>
      </c>
      <c r="O61" s="65">
        <f>SUMPRODUCT(C9:C13,C45:C49)+SUMPRODUCT(C18:C20,C54:C56)</f>
        <v>3576179.9453148618</v>
      </c>
      <c r="P61" s="65">
        <f t="shared" ref="P61:X61" si="12">SUMPRODUCT(D9:D13,D45:D49)+SUMPRODUCT(D18:D20,D54:D56)</f>
        <v>27874.008496698043</v>
      </c>
      <c r="Q61" s="65">
        <f t="shared" si="12"/>
        <v>44895.790519077906</v>
      </c>
      <c r="R61" s="65">
        <f t="shared" si="12"/>
        <v>195.72030000000001</v>
      </c>
      <c r="S61" s="65">
        <f t="shared" si="12"/>
        <v>2.4742999999999999</v>
      </c>
      <c r="T61" s="65">
        <f t="shared" si="12"/>
        <v>3568.498377118879</v>
      </c>
      <c r="U61" s="65">
        <f t="shared" si="12"/>
        <v>24444.356899999999</v>
      </c>
      <c r="V61" s="65">
        <f t="shared" si="12"/>
        <v>56011.132799999992</v>
      </c>
      <c r="W61" s="65">
        <f t="shared" si="12"/>
        <v>2147756.0383257149</v>
      </c>
      <c r="X61" s="65">
        <f t="shared" si="12"/>
        <v>1735883.9070400055</v>
      </c>
      <c r="Y61" s="42">
        <f>SUM(O61:X61)</f>
        <v>7616811.8723734766</v>
      </c>
      <c r="Z61" s="213">
        <f>+Y61/(Y61+Y62)</f>
        <v>0.5062968369469989</v>
      </c>
    </row>
    <row r="62" spans="1:28" x14ac:dyDescent="0.6">
      <c r="A62" s="17"/>
      <c r="C62" s="8" t="s">
        <v>52</v>
      </c>
      <c r="D62" s="8" t="s">
        <v>53</v>
      </c>
      <c r="E62" s="8" t="s">
        <v>57</v>
      </c>
      <c r="G62" s="8"/>
      <c r="H62" s="8" t="s">
        <v>52</v>
      </c>
      <c r="I62" s="8" t="s">
        <v>57</v>
      </c>
      <c r="N62" s="97" t="s">
        <v>131</v>
      </c>
      <c r="O62" s="42">
        <f>+O45-O61</f>
        <v>3772731.4905418614</v>
      </c>
      <c r="P62" s="42">
        <f t="shared" ref="P62:X62" si="13">+P45-P61</f>
        <v>30839.19542437209</v>
      </c>
      <c r="Q62" s="42">
        <f t="shared" si="13"/>
        <v>49576.96729425071</v>
      </c>
      <c r="R62" s="42">
        <f t="shared" si="13"/>
        <v>206.27969999999999</v>
      </c>
      <c r="S62" s="42">
        <f t="shared" si="13"/>
        <v>2.5257000000000001</v>
      </c>
      <c r="T62" s="42">
        <f t="shared" si="13"/>
        <v>3740.8956955536732</v>
      </c>
      <c r="U62" s="42">
        <f t="shared" si="13"/>
        <v>64428.643100000001</v>
      </c>
      <c r="V62" s="42">
        <f t="shared" si="13"/>
        <v>147989.86720000001</v>
      </c>
      <c r="W62" s="42">
        <f t="shared" si="13"/>
        <v>1794095.4724464128</v>
      </c>
      <c r="X62" s="42">
        <f t="shared" si="13"/>
        <v>1563739.2591330423</v>
      </c>
      <c r="Y62" s="42">
        <f t="shared" ref="Y62:Y69" si="14">SUM(O62:X62)</f>
        <v>7427350.5962354932</v>
      </c>
      <c r="Z62" s="49">
        <f>1-Z61</f>
        <v>0.4937031630530011</v>
      </c>
    </row>
    <row r="63" spans="1:28" x14ac:dyDescent="0.6">
      <c r="A63" s="17"/>
      <c r="B63" s="32" t="s">
        <v>22</v>
      </c>
      <c r="C63" s="219">
        <f>Input!C73</f>
        <v>75.400000000000006</v>
      </c>
      <c r="D63" s="220">
        <f>Input!F74</f>
        <v>0.81660495030208535</v>
      </c>
      <c r="E63" s="71">
        <f>ROUND(+C63*D63,3)</f>
        <v>61.572000000000003</v>
      </c>
      <c r="H63" s="205">
        <f>Input!F81</f>
        <v>0.81943118915823632</v>
      </c>
      <c r="I63" s="205">
        <f>Input!G81</f>
        <v>0.88228545204222131</v>
      </c>
      <c r="J63" s="221" t="s">
        <v>138</v>
      </c>
      <c r="K63" s="116"/>
      <c r="L63" s="116"/>
      <c r="Y63" s="42"/>
    </row>
    <row r="64" spans="1:28" x14ac:dyDescent="0.6">
      <c r="A64" s="17"/>
      <c r="B64" s="32" t="s">
        <v>23</v>
      </c>
      <c r="C64" s="219">
        <f>Input!C74</f>
        <v>64.900000000000006</v>
      </c>
      <c r="D64" s="70">
        <f>+$D$63</f>
        <v>0.81660495030208535</v>
      </c>
      <c r="E64" s="71">
        <f>ROUND(+C64*D64,3)</f>
        <v>52.997999999999998</v>
      </c>
      <c r="H64" s="222">
        <f>+$H$63</f>
        <v>0.81943118915823632</v>
      </c>
      <c r="I64" s="222">
        <f>+$I$63</f>
        <v>0.88228545204222131</v>
      </c>
      <c r="J64" s="14"/>
      <c r="N64" s="41" t="s">
        <v>54</v>
      </c>
      <c r="Y64" s="42"/>
    </row>
    <row r="65" spans="1:26" x14ac:dyDescent="0.6">
      <c r="A65" s="17"/>
      <c r="B65" s="32" t="s">
        <v>24</v>
      </c>
      <c r="C65" s="219">
        <f>Input!C75</f>
        <v>49.65</v>
      </c>
      <c r="D65" s="70">
        <f>+$D$63</f>
        <v>0.81660495030208535</v>
      </c>
      <c r="E65" s="71">
        <f t="shared" ref="E65:E74" si="15">ROUND(+C65*D65,3)</f>
        <v>40.543999999999997</v>
      </c>
      <c r="H65" s="222">
        <f>+$H$63</f>
        <v>0.81943118915823632</v>
      </c>
      <c r="I65" s="222">
        <f>+$I$63</f>
        <v>0.88228545204222131</v>
      </c>
      <c r="J65" s="223" t="s">
        <v>139</v>
      </c>
      <c r="N65" s="97" t="s">
        <v>130</v>
      </c>
      <c r="O65" s="65">
        <f>SUMPRODUCT(C14:C17,C50:C53)</f>
        <v>2957293.8823857037</v>
      </c>
      <c r="P65" s="65">
        <f t="shared" ref="P65:X65" si="16">SUMPRODUCT(D14:D17,D50:D53)</f>
        <v>8983.3873520984089</v>
      </c>
      <c r="Q65" s="65">
        <f t="shared" si="16"/>
        <v>41059.776047366016</v>
      </c>
      <c r="R65" s="65">
        <f t="shared" si="16"/>
        <v>80.954499999999996</v>
      </c>
      <c r="S65" s="65">
        <f t="shared" si="16"/>
        <v>1.6007</v>
      </c>
      <c r="T65" s="65">
        <f t="shared" si="16"/>
        <v>1173.2929095576358</v>
      </c>
      <c r="U65" s="65">
        <f t="shared" si="16"/>
        <v>7188.0889999999999</v>
      </c>
      <c r="V65" s="65">
        <f t="shared" si="16"/>
        <v>16568.953999999998</v>
      </c>
      <c r="W65" s="65">
        <f t="shared" si="16"/>
        <v>1327067.4720803797</v>
      </c>
      <c r="X65" s="65">
        <f t="shared" si="16"/>
        <v>1009159.6442853149</v>
      </c>
      <c r="Y65" s="42">
        <f t="shared" si="14"/>
        <v>5368577.0532604204</v>
      </c>
      <c r="Z65" s="213">
        <f>+Y65/(Y65+Y66)</f>
        <v>0.53978839487040198</v>
      </c>
    </row>
    <row r="66" spans="1:26" ht="23.4" customHeight="1" x14ac:dyDescent="0.6">
      <c r="A66" s="17"/>
      <c r="B66" s="32" t="s">
        <v>25</v>
      </c>
      <c r="C66" s="219">
        <f>Input!C76</f>
        <v>46.2</v>
      </c>
      <c r="D66" s="70">
        <f>+$D$63</f>
        <v>0.81660495030208535</v>
      </c>
      <c r="E66" s="71">
        <f t="shared" si="15"/>
        <v>37.726999999999997</v>
      </c>
      <c r="H66" s="222">
        <f>+$H$63</f>
        <v>0.81943118915823632</v>
      </c>
      <c r="I66" s="72">
        <f>+$I$63</f>
        <v>0.88228545204222131</v>
      </c>
      <c r="J66" s="420" t="s">
        <v>140</v>
      </c>
      <c r="K66" s="420"/>
      <c r="L66" s="420"/>
      <c r="M66" s="224"/>
      <c r="N66" s="97" t="s">
        <v>131</v>
      </c>
      <c r="O66" s="42">
        <f>+O49-O65</f>
        <v>2657303.7115838844</v>
      </c>
      <c r="P66" s="42">
        <f t="shared" ref="P66:X66" si="17">+P49-P65</f>
        <v>7797.2301410564032</v>
      </c>
      <c r="Q66" s="42">
        <f t="shared" si="17"/>
        <v>36587.931804012405</v>
      </c>
      <c r="R66" s="42">
        <f t="shared" si="17"/>
        <v>73.045500000000004</v>
      </c>
      <c r="S66" s="42">
        <f t="shared" si="17"/>
        <v>1.3993</v>
      </c>
      <c r="T66" s="42">
        <f t="shared" si="17"/>
        <v>770.70436669691003</v>
      </c>
      <c r="U66" s="42">
        <f t="shared" si="17"/>
        <v>26268.911</v>
      </c>
      <c r="V66" s="42">
        <f t="shared" si="17"/>
        <v>60623.046000000002</v>
      </c>
      <c r="W66" s="42">
        <f t="shared" si="17"/>
        <v>962153.68425530242</v>
      </c>
      <c r="X66" s="42">
        <f t="shared" si="17"/>
        <v>825549.97874188959</v>
      </c>
      <c r="Y66" s="42">
        <f t="shared" si="14"/>
        <v>4577129.6426928425</v>
      </c>
      <c r="Z66" s="49">
        <f>1-Z65</f>
        <v>0.46021160512959802</v>
      </c>
    </row>
    <row r="67" spans="1:26" ht="24" customHeight="1" x14ac:dyDescent="0.6">
      <c r="A67" s="17"/>
      <c r="B67" s="32" t="s">
        <v>26</v>
      </c>
      <c r="C67" s="219">
        <f>Input!C77</f>
        <v>49.95</v>
      </c>
      <c r="D67" s="70">
        <f>+$D$63</f>
        <v>0.81660495030208535</v>
      </c>
      <c r="E67" s="71">
        <f t="shared" si="15"/>
        <v>40.789000000000001</v>
      </c>
      <c r="H67" s="222">
        <f>+$H$63</f>
        <v>0.81943118915823632</v>
      </c>
      <c r="I67" s="72">
        <f>+$I$63</f>
        <v>0.88228545204222131</v>
      </c>
      <c r="J67" s="420" t="s">
        <v>141</v>
      </c>
      <c r="K67" s="420"/>
      <c r="L67" s="420"/>
      <c r="Y67" s="42"/>
    </row>
    <row r="68" spans="1:26" x14ac:dyDescent="0.6">
      <c r="A68" s="17"/>
      <c r="B68" s="32" t="s">
        <v>27</v>
      </c>
      <c r="C68" s="219">
        <f>Input!C78</f>
        <v>49.55</v>
      </c>
      <c r="D68" s="225">
        <f>Input!F73</f>
        <v>0.60545507584597424</v>
      </c>
      <c r="E68" s="71">
        <f t="shared" si="15"/>
        <v>30</v>
      </c>
      <c r="H68" s="226">
        <f>Input!F80</f>
        <v>0.8048579662412515</v>
      </c>
      <c r="I68" s="226">
        <f>Input!G80</f>
        <v>0.87972819932049839</v>
      </c>
      <c r="N68" s="97" t="s">
        <v>142</v>
      </c>
      <c r="O68" s="42">
        <f>+O61+O65</f>
        <v>6533473.8277005656</v>
      </c>
      <c r="P68" s="42">
        <f t="shared" ref="P68:X69" si="18">+P61+P65</f>
        <v>36857.395848796456</v>
      </c>
      <c r="Q68" s="42">
        <f t="shared" si="18"/>
        <v>85955.566566443915</v>
      </c>
      <c r="R68" s="42">
        <f t="shared" si="18"/>
        <v>276.6748</v>
      </c>
      <c r="S68" s="42">
        <f t="shared" si="18"/>
        <v>4.0750000000000002</v>
      </c>
      <c r="T68" s="42">
        <f t="shared" si="18"/>
        <v>4741.7912866765146</v>
      </c>
      <c r="U68" s="42">
        <f t="shared" si="18"/>
        <v>31632.445899999999</v>
      </c>
      <c r="V68" s="42">
        <f t="shared" si="18"/>
        <v>72580.08679999999</v>
      </c>
      <c r="W68" s="42">
        <f t="shared" si="18"/>
        <v>3474823.5104060946</v>
      </c>
      <c r="X68" s="42">
        <f t="shared" si="18"/>
        <v>2745043.5513253203</v>
      </c>
      <c r="Y68" s="42">
        <f t="shared" si="14"/>
        <v>12985388.925633896</v>
      </c>
      <c r="Z68" s="213">
        <f>+Y68/(Y68+Y69)</f>
        <v>0.51962612689658605</v>
      </c>
    </row>
    <row r="69" spans="1:26" x14ac:dyDescent="0.6">
      <c r="A69" s="17"/>
      <c r="B69" s="32" t="s">
        <v>28</v>
      </c>
      <c r="C69" s="219">
        <f>Input!C79</f>
        <v>68.7</v>
      </c>
      <c r="D69" s="227">
        <f>+$D$68</f>
        <v>0.60545507584597424</v>
      </c>
      <c r="E69" s="71">
        <f t="shared" si="15"/>
        <v>41.594999999999999</v>
      </c>
      <c r="H69" s="228">
        <f>+$H$68</f>
        <v>0.8048579662412515</v>
      </c>
      <c r="I69" s="228">
        <f>+$I$68</f>
        <v>0.87972819932049839</v>
      </c>
      <c r="N69" s="97" t="s">
        <v>143</v>
      </c>
      <c r="O69" s="42">
        <f>+O62+O66</f>
        <v>6430035.2021257458</v>
      </c>
      <c r="P69" s="42">
        <f t="shared" si="18"/>
        <v>38636.425565428493</v>
      </c>
      <c r="Q69" s="42">
        <f t="shared" si="18"/>
        <v>86164.899098263122</v>
      </c>
      <c r="R69" s="42">
        <f t="shared" si="18"/>
        <v>279.3252</v>
      </c>
      <c r="S69" s="42">
        <f t="shared" si="18"/>
        <v>3.9249999999999998</v>
      </c>
      <c r="T69" s="42">
        <f t="shared" si="18"/>
        <v>4511.6000622505835</v>
      </c>
      <c r="U69" s="42">
        <f t="shared" si="18"/>
        <v>90697.554100000008</v>
      </c>
      <c r="V69" s="42">
        <f t="shared" si="18"/>
        <v>208612.91320000001</v>
      </c>
      <c r="W69" s="42">
        <f t="shared" si="18"/>
        <v>2756249.1567017152</v>
      </c>
      <c r="X69" s="42">
        <f t="shared" si="18"/>
        <v>2389289.2378749317</v>
      </c>
      <c r="Y69" s="42">
        <f t="shared" si="14"/>
        <v>12004480.238928333</v>
      </c>
      <c r="Z69" s="49">
        <f>1-Z68</f>
        <v>0.48037387310341395</v>
      </c>
    </row>
    <row r="70" spans="1:26" x14ac:dyDescent="0.6">
      <c r="A70" s="17"/>
      <c r="B70" s="32" t="s">
        <v>29</v>
      </c>
      <c r="C70" s="219">
        <f>Input!C80</f>
        <v>60.45</v>
      </c>
      <c r="D70" s="227">
        <f>+$D$68</f>
        <v>0.60545507584597424</v>
      </c>
      <c r="E70" s="71">
        <f t="shared" si="15"/>
        <v>36.6</v>
      </c>
      <c r="H70" s="228">
        <f>+$H$68</f>
        <v>0.8048579662412515</v>
      </c>
      <c r="I70" s="228">
        <f>+$I$68</f>
        <v>0.87972819932049839</v>
      </c>
    </row>
    <row r="71" spans="1:26" x14ac:dyDescent="0.6">
      <c r="A71" s="17"/>
      <c r="B71" s="32" t="s">
        <v>30</v>
      </c>
      <c r="C71" s="219">
        <f>Input!C81</f>
        <v>50.35</v>
      </c>
      <c r="D71" s="229">
        <f>+$D$68</f>
        <v>0.60545507584597424</v>
      </c>
      <c r="E71" s="71">
        <f t="shared" si="15"/>
        <v>30.484999999999999</v>
      </c>
      <c r="H71" s="230">
        <f>+$H$68</f>
        <v>0.8048579662412515</v>
      </c>
      <c r="I71" s="230">
        <f>+$I$68</f>
        <v>0.87972819932049839</v>
      </c>
    </row>
    <row r="72" spans="1:26" x14ac:dyDescent="0.6">
      <c r="A72" s="17"/>
      <c r="B72" s="32" t="s">
        <v>31</v>
      </c>
      <c r="C72" s="219">
        <f>Input!C82</f>
        <v>48.2</v>
      </c>
      <c r="D72" s="74">
        <f>+$D$63</f>
        <v>0.81660495030208535</v>
      </c>
      <c r="E72" s="71">
        <f t="shared" si="15"/>
        <v>39.36</v>
      </c>
      <c r="H72" s="222">
        <f>+$H$63</f>
        <v>0.81943118915823632</v>
      </c>
      <c r="I72" s="222">
        <f>+$I$63</f>
        <v>0.88228545204222131</v>
      </c>
    </row>
    <row r="73" spans="1:26" x14ac:dyDescent="0.6">
      <c r="A73" s="17"/>
      <c r="B73" s="32" t="s">
        <v>32</v>
      </c>
      <c r="C73" s="219">
        <f>Input!C83</f>
        <v>47.95</v>
      </c>
      <c r="D73" s="70">
        <f>+$D$63</f>
        <v>0.81660495030208535</v>
      </c>
      <c r="E73" s="71">
        <f t="shared" si="15"/>
        <v>39.155999999999999</v>
      </c>
      <c r="H73" s="222">
        <f>+$H$63</f>
        <v>0.81943118915823632</v>
      </c>
      <c r="I73" s="222">
        <f>+$I$63</f>
        <v>0.88228545204222131</v>
      </c>
    </row>
    <row r="74" spans="1:26" x14ac:dyDescent="0.6">
      <c r="A74" s="17"/>
      <c r="B74" s="32" t="s">
        <v>33</v>
      </c>
      <c r="C74" s="219">
        <f>Input!C84</f>
        <v>56.5</v>
      </c>
      <c r="D74" s="70">
        <f>+$D$63</f>
        <v>0.81660495030208535</v>
      </c>
      <c r="E74" s="71">
        <f t="shared" si="15"/>
        <v>46.137999999999998</v>
      </c>
      <c r="H74" s="222">
        <f>+$H$63</f>
        <v>0.81943118915823632</v>
      </c>
      <c r="I74" s="222">
        <f>+$I$63</f>
        <v>0.88228545204222131</v>
      </c>
    </row>
    <row r="75" spans="1:26" x14ac:dyDescent="0.6">
      <c r="A75" s="17"/>
      <c r="B75" s="32"/>
      <c r="C75" s="76"/>
      <c r="D75" s="76"/>
      <c r="G75" s="205"/>
      <c r="K75" s="205"/>
    </row>
    <row r="76" spans="1:26" x14ac:dyDescent="0.6">
      <c r="A76" s="17"/>
      <c r="B76" s="77"/>
      <c r="C76" s="77"/>
      <c r="D76" s="76"/>
      <c r="G76" s="205"/>
      <c r="K76" s="205"/>
    </row>
    <row r="77" spans="1:26" x14ac:dyDescent="0.6">
      <c r="A77" s="3" t="s">
        <v>58</v>
      </c>
      <c r="B77" s="38" t="s">
        <v>144</v>
      </c>
      <c r="C77" s="8" t="str">
        <f>+C7</f>
        <v>RS</v>
      </c>
      <c r="D77" s="8" t="str">
        <f t="shared" ref="D77:L77" si="19">+D7</f>
        <v>RHS</v>
      </c>
      <c r="E77" s="8" t="str">
        <f t="shared" si="19"/>
        <v>RLM</v>
      </c>
      <c r="F77" s="8" t="str">
        <f t="shared" si="19"/>
        <v>WH</v>
      </c>
      <c r="G77" s="8" t="str">
        <f t="shared" si="19"/>
        <v>WHS</v>
      </c>
      <c r="H77" s="8" t="str">
        <f t="shared" si="19"/>
        <v>HS</v>
      </c>
      <c r="I77" s="8" t="str">
        <f t="shared" si="19"/>
        <v>PSAL</v>
      </c>
      <c r="J77" s="8" t="str">
        <f t="shared" si="19"/>
        <v>BPL</v>
      </c>
      <c r="K77" s="8" t="str">
        <f t="shared" si="19"/>
        <v>GLP</v>
      </c>
      <c r="L77" s="8" t="str">
        <f t="shared" si="19"/>
        <v>LPL-S</v>
      </c>
      <c r="M77" s="8"/>
      <c r="P77" s="231" t="s">
        <v>59</v>
      </c>
      <c r="Q77" s="231" t="s">
        <v>60</v>
      </c>
      <c r="R77" s="231" t="s">
        <v>61</v>
      </c>
    </row>
    <row r="78" spans="1:26" x14ac:dyDescent="0.6">
      <c r="A78" s="17"/>
      <c r="B78" s="39" t="s">
        <v>145</v>
      </c>
      <c r="C78" s="232"/>
      <c r="D78" s="41"/>
      <c r="E78" s="41"/>
      <c r="F78" s="41"/>
      <c r="P78" s="2" t="s">
        <v>62</v>
      </c>
      <c r="Q78" s="233">
        <f>Input!C89</f>
        <v>5.8326999999999997E-2</v>
      </c>
      <c r="R78" s="11" t="s">
        <v>146</v>
      </c>
    </row>
    <row r="79" spans="1:26" x14ac:dyDescent="0.6">
      <c r="A79" s="17"/>
      <c r="B79" s="32" t="s">
        <v>147</v>
      </c>
      <c r="C79" s="80">
        <f>1-((1-$Q$78)*(1-$Q$79))</f>
        <v>6.2621028879999985E-2</v>
      </c>
      <c r="D79" s="80">
        <f>+$C79</f>
        <v>6.2621028879999985E-2</v>
      </c>
      <c r="E79" s="80">
        <f t="shared" ref="E79:L79" si="20">+$C79</f>
        <v>6.2621028879999985E-2</v>
      </c>
      <c r="F79" s="80">
        <f t="shared" si="20"/>
        <v>6.2621028879999985E-2</v>
      </c>
      <c r="G79" s="80">
        <f t="shared" si="20"/>
        <v>6.2621028879999985E-2</v>
      </c>
      <c r="H79" s="80">
        <f t="shared" si="20"/>
        <v>6.2621028879999985E-2</v>
      </c>
      <c r="I79" s="80">
        <f t="shared" si="20"/>
        <v>6.2621028879999985E-2</v>
      </c>
      <c r="J79" s="80">
        <f t="shared" si="20"/>
        <v>6.2621028879999985E-2</v>
      </c>
      <c r="K79" s="80">
        <f t="shared" si="20"/>
        <v>6.2621028879999985E-2</v>
      </c>
      <c r="L79" s="80">
        <f t="shared" si="20"/>
        <v>6.2621028879999985E-2</v>
      </c>
      <c r="M79" s="77"/>
      <c r="N79" s="113"/>
      <c r="P79" s="2" t="s">
        <v>64</v>
      </c>
      <c r="Q79" s="233">
        <f>Input!C90</f>
        <v>4.5599999999999998E-3</v>
      </c>
      <c r="R79" s="2" t="s">
        <v>148</v>
      </c>
    </row>
    <row r="80" spans="1:26" x14ac:dyDescent="0.6">
      <c r="A80" s="17"/>
      <c r="B80" s="2" t="s">
        <v>149</v>
      </c>
      <c r="C80" s="82">
        <f>ROUND(1/(1-C79),6)</f>
        <v>1.0668040000000001</v>
      </c>
      <c r="D80" s="82">
        <f t="shared" ref="D80:L80" si="21">ROUND(1/(1-D79),6)</f>
        <v>1.0668040000000001</v>
      </c>
      <c r="E80" s="82">
        <f t="shared" si="21"/>
        <v>1.0668040000000001</v>
      </c>
      <c r="F80" s="82">
        <f t="shared" si="21"/>
        <v>1.0668040000000001</v>
      </c>
      <c r="G80" s="82">
        <f t="shared" si="21"/>
        <v>1.0668040000000001</v>
      </c>
      <c r="H80" s="82">
        <f t="shared" si="21"/>
        <v>1.0668040000000001</v>
      </c>
      <c r="I80" s="82">
        <f t="shared" si="21"/>
        <v>1.0668040000000001</v>
      </c>
      <c r="J80" s="82">
        <f t="shared" si="21"/>
        <v>1.0668040000000001</v>
      </c>
      <c r="K80" s="82">
        <f t="shared" si="21"/>
        <v>1.0668040000000001</v>
      </c>
      <c r="L80" s="82">
        <f t="shared" si="21"/>
        <v>1.0668040000000001</v>
      </c>
      <c r="M80" s="78"/>
      <c r="P80" s="2" t="s">
        <v>66</v>
      </c>
      <c r="Q80" s="233">
        <f>+Input!C91</f>
        <v>1.3639397377851185E-2</v>
      </c>
      <c r="R80" s="2" t="s">
        <v>150</v>
      </c>
    </row>
    <row r="81" spans="1:17" x14ac:dyDescent="0.6">
      <c r="A81" s="17"/>
      <c r="B81" s="2" t="s">
        <v>151</v>
      </c>
      <c r="C81" s="82">
        <f>1/C80</f>
        <v>0.93737931241352668</v>
      </c>
      <c r="D81" s="82">
        <f t="shared" ref="D81:L81" si="22">1/D80</f>
        <v>0.93737931241352668</v>
      </c>
      <c r="E81" s="82">
        <f t="shared" si="22"/>
        <v>0.93737931241352668</v>
      </c>
      <c r="F81" s="82">
        <f t="shared" si="22"/>
        <v>0.93737931241352668</v>
      </c>
      <c r="G81" s="82">
        <f t="shared" si="22"/>
        <v>0.93737931241352668</v>
      </c>
      <c r="H81" s="82">
        <f t="shared" si="22"/>
        <v>0.93737931241352668</v>
      </c>
      <c r="I81" s="82">
        <f t="shared" si="22"/>
        <v>0.93737931241352668</v>
      </c>
      <c r="J81" s="82">
        <f t="shared" si="22"/>
        <v>0.93737931241352668</v>
      </c>
      <c r="K81" s="82">
        <f t="shared" si="22"/>
        <v>0.93737931241352668</v>
      </c>
      <c r="L81" s="82">
        <f t="shared" si="22"/>
        <v>0.93737931241352668</v>
      </c>
      <c r="M81" s="78"/>
      <c r="P81" s="2" t="s">
        <v>152</v>
      </c>
      <c r="Q81" s="234">
        <f>ROUND(1-((1-Q80)/(1-Q79)),7)</f>
        <v>9.1210000000000006E-3</v>
      </c>
    </row>
    <row r="82" spans="1:17" x14ac:dyDescent="0.6">
      <c r="A82" s="17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</row>
    <row r="83" spans="1:17" x14ac:dyDescent="0.6">
      <c r="A83" s="17"/>
      <c r="B83" s="39" t="s">
        <v>153</v>
      </c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</row>
    <row r="84" spans="1:17" x14ac:dyDescent="0.6">
      <c r="A84" s="17"/>
      <c r="B84" s="32" t="s">
        <v>147</v>
      </c>
      <c r="C84" s="80">
        <f>1-((1-$Q$78)/((1-$Q$80)/(1-$Q$79)))</f>
        <v>4.9658949649789119E-2</v>
      </c>
      <c r="D84" s="80">
        <f>+$C84</f>
        <v>4.9658949649789119E-2</v>
      </c>
      <c r="E84" s="80">
        <f t="shared" ref="E84:L84" si="23">+$C84</f>
        <v>4.9658949649789119E-2</v>
      </c>
      <c r="F84" s="80">
        <f t="shared" si="23"/>
        <v>4.9658949649789119E-2</v>
      </c>
      <c r="G84" s="80">
        <f t="shared" si="23"/>
        <v>4.9658949649789119E-2</v>
      </c>
      <c r="H84" s="80">
        <f t="shared" si="23"/>
        <v>4.9658949649789119E-2</v>
      </c>
      <c r="I84" s="80">
        <f t="shared" si="23"/>
        <v>4.9658949649789119E-2</v>
      </c>
      <c r="J84" s="80">
        <f t="shared" si="23"/>
        <v>4.9658949649789119E-2</v>
      </c>
      <c r="K84" s="80">
        <f t="shared" si="23"/>
        <v>4.9658949649789119E-2</v>
      </c>
      <c r="L84" s="80">
        <f t="shared" si="23"/>
        <v>4.9658949649789119E-2</v>
      </c>
      <c r="M84" s="78"/>
      <c r="P84" s="11" t="s">
        <v>154</v>
      </c>
    </row>
    <row r="85" spans="1:17" x14ac:dyDescent="0.6">
      <c r="A85" s="17"/>
      <c r="B85" s="2" t="s">
        <v>149</v>
      </c>
      <c r="C85" s="82">
        <f>ROUND(1/(1-C84),6)</f>
        <v>1.052254</v>
      </c>
      <c r="D85" s="82">
        <f>+$C$85</f>
        <v>1.052254</v>
      </c>
      <c r="E85" s="82">
        <f t="shared" ref="E85:L85" si="24">+$C$85</f>
        <v>1.052254</v>
      </c>
      <c r="F85" s="82">
        <f t="shared" si="24"/>
        <v>1.052254</v>
      </c>
      <c r="G85" s="82">
        <f t="shared" si="24"/>
        <v>1.052254</v>
      </c>
      <c r="H85" s="82">
        <f t="shared" si="24"/>
        <v>1.052254</v>
      </c>
      <c r="I85" s="82">
        <f t="shared" si="24"/>
        <v>1.052254</v>
      </c>
      <c r="J85" s="82">
        <f t="shared" si="24"/>
        <v>1.052254</v>
      </c>
      <c r="K85" s="82">
        <f t="shared" si="24"/>
        <v>1.052254</v>
      </c>
      <c r="L85" s="82">
        <f t="shared" si="24"/>
        <v>1.052254</v>
      </c>
      <c r="M85" s="78"/>
      <c r="Q85" s="11" t="s">
        <v>155</v>
      </c>
    </row>
    <row r="86" spans="1:17" x14ac:dyDescent="0.6">
      <c r="A86" s="17"/>
      <c r="B86" s="2" t="s">
        <v>151</v>
      </c>
      <c r="C86" s="82">
        <f>1/C85</f>
        <v>0.95034088727626598</v>
      </c>
      <c r="D86" s="82">
        <f t="shared" ref="D86:L86" si="25">1/D85</f>
        <v>0.95034088727626598</v>
      </c>
      <c r="E86" s="82">
        <f t="shared" si="25"/>
        <v>0.95034088727626598</v>
      </c>
      <c r="F86" s="82">
        <f t="shared" si="25"/>
        <v>0.95034088727626598</v>
      </c>
      <c r="G86" s="82">
        <f t="shared" si="25"/>
        <v>0.95034088727626598</v>
      </c>
      <c r="H86" s="82">
        <f t="shared" si="25"/>
        <v>0.95034088727626598</v>
      </c>
      <c r="I86" s="82">
        <f t="shared" si="25"/>
        <v>0.95034088727626598</v>
      </c>
      <c r="J86" s="82">
        <f t="shared" si="25"/>
        <v>0.95034088727626598</v>
      </c>
      <c r="K86" s="82">
        <f t="shared" si="25"/>
        <v>0.95034088727626598</v>
      </c>
      <c r="L86" s="82">
        <f t="shared" si="25"/>
        <v>0.95034088727626598</v>
      </c>
      <c r="M86" s="78"/>
      <c r="P86" s="11" t="s">
        <v>156</v>
      </c>
      <c r="Q86" s="11" t="s">
        <v>157</v>
      </c>
    </row>
    <row r="87" spans="1:17" x14ac:dyDescent="0.6">
      <c r="A87" s="17"/>
      <c r="C87" s="84"/>
      <c r="D87" s="78"/>
      <c r="E87" s="78"/>
      <c r="F87" s="78"/>
      <c r="G87" s="78"/>
      <c r="H87" s="78"/>
      <c r="I87" s="78"/>
      <c r="J87" s="78"/>
      <c r="K87" s="78"/>
      <c r="L87" s="78"/>
      <c r="M87" s="78"/>
    </row>
    <row r="88" spans="1:17" x14ac:dyDescent="0.6">
      <c r="A88" s="17"/>
      <c r="P88" s="11" t="s">
        <v>158</v>
      </c>
    </row>
    <row r="89" spans="1:17" x14ac:dyDescent="0.6">
      <c r="A89" s="3" t="s">
        <v>159</v>
      </c>
      <c r="B89" s="13" t="s">
        <v>160</v>
      </c>
      <c r="Q89" s="11" t="s">
        <v>161</v>
      </c>
    </row>
    <row r="90" spans="1:17" x14ac:dyDescent="0.6">
      <c r="B90" s="14" t="s">
        <v>162</v>
      </c>
      <c r="Q90" s="11" t="s">
        <v>163</v>
      </c>
    </row>
    <row r="91" spans="1:17" x14ac:dyDescent="0.6">
      <c r="A91" s="17"/>
      <c r="B91" s="14" t="s">
        <v>164</v>
      </c>
    </row>
    <row r="92" spans="1:17" x14ac:dyDescent="0.6">
      <c r="A92" s="17"/>
      <c r="B92" s="13"/>
      <c r="C92" s="8" t="str">
        <f>+C7</f>
        <v>RS</v>
      </c>
      <c r="D92" s="8" t="str">
        <f t="shared" ref="D92:L92" si="26">+D7</f>
        <v>RHS</v>
      </c>
      <c r="E92" s="8" t="str">
        <f t="shared" si="26"/>
        <v>RLM</v>
      </c>
      <c r="F92" s="8" t="str">
        <f t="shared" si="26"/>
        <v>WH</v>
      </c>
      <c r="G92" s="8" t="str">
        <f t="shared" si="26"/>
        <v>WHS</v>
      </c>
      <c r="H92" s="8" t="str">
        <f t="shared" si="26"/>
        <v>HS</v>
      </c>
      <c r="I92" s="8" t="str">
        <f t="shared" si="26"/>
        <v>PSAL</v>
      </c>
      <c r="J92" s="8" t="str">
        <f t="shared" si="26"/>
        <v>BPL</v>
      </c>
      <c r="K92" s="8" t="str">
        <f t="shared" si="26"/>
        <v>GLP</v>
      </c>
      <c r="L92" s="8" t="str">
        <f t="shared" si="26"/>
        <v>LPL-S</v>
      </c>
      <c r="M92" s="8"/>
    </row>
    <row r="93" spans="1:17" x14ac:dyDescent="0.6">
      <c r="A93" s="17"/>
    </row>
    <row r="94" spans="1:17" x14ac:dyDescent="0.6">
      <c r="A94" s="17"/>
      <c r="B94" s="32" t="s">
        <v>165</v>
      </c>
      <c r="C94" s="235">
        <f t="shared" ref="C94:L94" si="27">(SUMPRODUCT(C14:C17,C50:C53,$C68:$C71,$H68:$H71)*C80+SUMPRODUCT(O14:O17,C50:C53,$E68:$E71,$I68:$I71)*C80)/SUM(C50:C53)</f>
        <v>42.136180121000656</v>
      </c>
      <c r="D94" s="235">
        <f t="shared" si="27"/>
        <v>42.270092667112742</v>
      </c>
      <c r="E94" s="235">
        <f t="shared" si="27"/>
        <v>42.192840664704342</v>
      </c>
      <c r="F94" s="235">
        <f t="shared" si="27"/>
        <v>40.816900561420951</v>
      </c>
      <c r="G94" s="235">
        <f t="shared" si="27"/>
        <v>43.061907625495792</v>
      </c>
      <c r="H94" s="235">
        <f t="shared" si="27"/>
        <v>43.429135830973934</v>
      </c>
      <c r="I94" s="235">
        <f t="shared" si="27"/>
        <v>35.924788151706792</v>
      </c>
      <c r="J94" s="235">
        <f t="shared" si="27"/>
        <v>35.780013674756709</v>
      </c>
      <c r="K94" s="235">
        <f t="shared" si="27"/>
        <v>42.60087810928264</v>
      </c>
      <c r="L94" s="235">
        <f t="shared" si="27"/>
        <v>42.03586015463727</v>
      </c>
      <c r="M94" s="235"/>
    </row>
    <row r="95" spans="1:17" x14ac:dyDescent="0.6">
      <c r="A95" s="17"/>
      <c r="B95" s="159" t="s">
        <v>166</v>
      </c>
      <c r="C95" s="235">
        <f t="shared" ref="C95:L95" si="28">(SUMPRODUCT(C14:C17,C50:C53,$C68:$C71,$H68:$H71)*C80)/SUMPRODUCT(C14:C17,C50:C53)</f>
        <v>50.180218988662297</v>
      </c>
      <c r="D95" s="235">
        <f t="shared" si="28"/>
        <v>50.148615847023201</v>
      </c>
      <c r="E95" s="235">
        <f t="shared" si="28"/>
        <v>50.200359117850638</v>
      </c>
      <c r="F95" s="235">
        <f t="shared" si="28"/>
        <v>48.635316996845972</v>
      </c>
      <c r="G95" s="235">
        <f t="shared" si="28"/>
        <v>51.062677302102344</v>
      </c>
      <c r="H95" s="235">
        <f t="shared" si="28"/>
        <v>50.149160079412212</v>
      </c>
      <c r="I95" s="235">
        <f t="shared" si="28"/>
        <v>48.616879220850421</v>
      </c>
      <c r="J95" s="235">
        <f t="shared" si="28"/>
        <v>48.422078151928957</v>
      </c>
      <c r="K95" s="235">
        <f t="shared" si="28"/>
        <v>49.617116491733171</v>
      </c>
      <c r="L95" s="235">
        <f t="shared" si="28"/>
        <v>49.516452301814745</v>
      </c>
      <c r="M95" s="235"/>
    </row>
    <row r="96" spans="1:17" x14ac:dyDescent="0.6">
      <c r="A96" s="17"/>
      <c r="B96" s="159" t="s">
        <v>167</v>
      </c>
      <c r="C96" s="235">
        <f t="shared" ref="C96:L96" si="29">(SUMPRODUCT(O14:O17,C50:C53,$E68:$E71,$I68:$I71)*C80)/SUMPRODUCT(O14:O17,C50:C53)</f>
        <v>33.184028046961117</v>
      </c>
      <c r="D96" s="235">
        <f t="shared" si="29"/>
        <v>33.193045535343373</v>
      </c>
      <c r="E96" s="235">
        <f t="shared" si="29"/>
        <v>33.206628595038197</v>
      </c>
      <c r="F96" s="235">
        <f t="shared" si="29"/>
        <v>32.151945248340546</v>
      </c>
      <c r="G96" s="235">
        <f t="shared" si="29"/>
        <v>33.909594310735471</v>
      </c>
      <c r="H96" s="235">
        <f t="shared" si="29"/>
        <v>33.198809984320569</v>
      </c>
      <c r="I96" s="235">
        <f t="shared" si="29"/>
        <v>32.451789967613443</v>
      </c>
      <c r="J96" s="235">
        <f t="shared" si="29"/>
        <v>32.32479658145359</v>
      </c>
      <c r="K96" s="235">
        <f t="shared" si="29"/>
        <v>32.923607330115395</v>
      </c>
      <c r="L96" s="235">
        <f t="shared" si="29"/>
        <v>32.891517710593185</v>
      </c>
      <c r="M96" s="235"/>
    </row>
    <row r="97" spans="1:13" x14ac:dyDescent="0.6">
      <c r="A97" s="17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</row>
    <row r="98" spans="1:13" x14ac:dyDescent="0.6">
      <c r="A98" s="17"/>
      <c r="B98" s="32" t="s">
        <v>168</v>
      </c>
      <c r="C98" s="235">
        <f t="shared" ref="C98:L98" si="30">(SUMPRODUCT(C9:C13,C45:C49,$C63:$C67,$H63:$H67)*C80+SUMPRODUCT(O9:O13,C45:C49,$E63:$E67,$I63:$I67)*C80+SUMPRODUCT(C18:C20,C54:C56,$C72:$C74,$H72:$H74)*C80+SUMPRODUCT(O18:O20,C54:C56,$E72:$E74,$I72:$I74)*C80)/SUM(C45:C49,C54:C56)</f>
        <v>45.791048056974248</v>
      </c>
      <c r="D98" s="235">
        <f t="shared" si="30"/>
        <v>47.744698977223408</v>
      </c>
      <c r="E98" s="235">
        <f t="shared" si="30"/>
        <v>45.630260571226955</v>
      </c>
      <c r="F98" s="235">
        <f t="shared" si="30"/>
        <v>45.388119138080789</v>
      </c>
      <c r="G98" s="235">
        <f t="shared" si="30"/>
        <v>48.028572997457651</v>
      </c>
      <c r="H98" s="235">
        <f t="shared" si="30"/>
        <v>48.194556999004782</v>
      </c>
      <c r="I98" s="235">
        <f t="shared" si="30"/>
        <v>44.750740759520212</v>
      </c>
      <c r="J98" s="235">
        <f t="shared" si="30"/>
        <v>44.540434992201718</v>
      </c>
      <c r="K98" s="235">
        <f t="shared" si="30"/>
        <v>45.579554311419741</v>
      </c>
      <c r="L98" s="235">
        <f t="shared" si="30"/>
        <v>45.444229469384986</v>
      </c>
      <c r="M98" s="235"/>
    </row>
    <row r="99" spans="1:13" x14ac:dyDescent="0.6">
      <c r="A99" s="17"/>
      <c r="B99" s="159" t="s">
        <v>166</v>
      </c>
      <c r="C99" s="235">
        <f t="shared" ref="C99:L99" si="31">(SUMPRODUCT(C9:C13,C45:C49,$C63:$C67,$H63:$H67)*C80+SUMPRODUCT(C18:C20,C54:C56,$C72:$C74,$H72:$H74)*C80)/(SUMPRODUCT(C9:C13,C45:C49)+SUMPRODUCT(C18:C20,C54:C56))</f>
        <v>48.724760162906612</v>
      </c>
      <c r="D99" s="235">
        <f t="shared" si="31"/>
        <v>50.779784155879753</v>
      </c>
      <c r="E99" s="235">
        <f t="shared" si="31"/>
        <v>48.659060457464427</v>
      </c>
      <c r="F99" s="235">
        <f t="shared" si="31"/>
        <v>48.297496250789273</v>
      </c>
      <c r="G99" s="235">
        <f t="shared" si="31"/>
        <v>50.903520824655985</v>
      </c>
      <c r="H99" s="235">
        <f t="shared" si="31"/>
        <v>51.072293568986275</v>
      </c>
      <c r="I99" s="235">
        <f t="shared" si="31"/>
        <v>49.626306644557445</v>
      </c>
      <c r="J99" s="235">
        <f t="shared" si="31"/>
        <v>49.395744104997242</v>
      </c>
      <c r="K99" s="235">
        <f t="shared" si="31"/>
        <v>48.103874160284143</v>
      </c>
      <c r="L99" s="235">
        <f t="shared" si="31"/>
        <v>48.100924023325476</v>
      </c>
      <c r="M99" s="235"/>
    </row>
    <row r="100" spans="1:13" x14ac:dyDescent="0.6">
      <c r="A100" s="17"/>
      <c r="B100" s="159" t="s">
        <v>167</v>
      </c>
      <c r="C100" s="235">
        <f t="shared" ref="C100:L100" si="32">(SUMPRODUCT(O9:O13,C45:C49,$E63:$E67,$I63:$I67)*C80+SUMPRODUCT(O18:O20,C54:C56,$E72:$E74,$I72:$I74)*C80)/(SUMPRODUCT(O9:O13,C45:C49)+SUMPRODUCT(O18:O20,C54:C56))</f>
        <v>43.010176313288106</v>
      </c>
      <c r="D100" s="235">
        <f t="shared" si="32"/>
        <v>45.001437069968532</v>
      </c>
      <c r="E100" s="235">
        <f t="shared" si="32"/>
        <v>42.88744727226797</v>
      </c>
      <c r="F100" s="235">
        <f t="shared" si="32"/>
        <v>42.627672223951883</v>
      </c>
      <c r="G100" s="235">
        <f t="shared" si="32"/>
        <v>45.212132640789463</v>
      </c>
      <c r="H100" s="235">
        <f t="shared" si="32"/>
        <v>45.449439488254484</v>
      </c>
      <c r="I100" s="235">
        <f t="shared" si="32"/>
        <v>42.900941247239111</v>
      </c>
      <c r="J100" s="235">
        <f t="shared" si="32"/>
        <v>42.702799965917713</v>
      </c>
      <c r="K100" s="235">
        <f t="shared" si="32"/>
        <v>42.557628621661955</v>
      </c>
      <c r="L100" s="235">
        <f t="shared" si="32"/>
        <v>42.495071996250424</v>
      </c>
      <c r="M100" s="235"/>
    </row>
    <row r="101" spans="1:13" x14ac:dyDescent="0.6">
      <c r="A101" s="17"/>
      <c r="C101" s="236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</row>
    <row r="102" spans="1:13" x14ac:dyDescent="0.6">
      <c r="A102" s="17"/>
      <c r="B102" s="2" t="s">
        <v>169</v>
      </c>
      <c r="C102" s="235">
        <f t="shared" ref="C102:L102" si="33">(C94*SUM(C50:C53)+C98*SUM(C45:C49,C54:C56))/C57</f>
        <v>44.208096043566428</v>
      </c>
      <c r="D102" s="237">
        <f t="shared" si="33"/>
        <v>46.527814301171375</v>
      </c>
      <c r="E102" s="237">
        <f t="shared" si="33"/>
        <v>44.079557256351428</v>
      </c>
      <c r="F102" s="237">
        <f t="shared" si="33"/>
        <v>44.121990251739753</v>
      </c>
      <c r="G102" s="237">
        <f t="shared" si="33"/>
        <v>46.166073482971953</v>
      </c>
      <c r="H102" s="237">
        <f t="shared" si="33"/>
        <v>47.193414237228922</v>
      </c>
      <c r="I102" s="237">
        <f t="shared" si="33"/>
        <v>42.336861119206198</v>
      </c>
      <c r="J102" s="237">
        <f t="shared" si="33"/>
        <v>42.135558475587807</v>
      </c>
      <c r="K102" s="237">
        <f t="shared" si="33"/>
        <v>44.485224499507787</v>
      </c>
      <c r="L102" s="237">
        <f t="shared" si="33"/>
        <v>44.226278035899448</v>
      </c>
      <c r="M102" s="237"/>
    </row>
    <row r="103" spans="1:13" x14ac:dyDescent="0.6">
      <c r="A103" s="17"/>
      <c r="C103" s="235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</row>
    <row r="104" spans="1:13" x14ac:dyDescent="0.6">
      <c r="A104" s="17"/>
      <c r="B104" s="2" t="s">
        <v>170</v>
      </c>
      <c r="C104" s="235">
        <f>SUMPRODUCT(C102:L102,C57:L57)/SUM(C57:L57)</f>
        <v>44.255677768005576</v>
      </c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</row>
    <row r="105" spans="1:13" x14ac:dyDescent="0.6">
      <c r="A105" s="17"/>
      <c r="C105" s="235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</row>
    <row r="106" spans="1:13" x14ac:dyDescent="0.6">
      <c r="A106" s="17"/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</row>
    <row r="107" spans="1:13" x14ac:dyDescent="0.6">
      <c r="A107" s="3" t="s">
        <v>171</v>
      </c>
      <c r="B107" s="13" t="s">
        <v>172</v>
      </c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</row>
    <row r="108" spans="1:13" x14ac:dyDescent="0.6">
      <c r="A108" s="17"/>
      <c r="B108" s="14" t="s">
        <v>173</v>
      </c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</row>
    <row r="109" spans="1:13" x14ac:dyDescent="0.6">
      <c r="A109" s="17"/>
      <c r="B109" s="14" t="s">
        <v>174</v>
      </c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</row>
    <row r="110" spans="1:13" x14ac:dyDescent="0.6">
      <c r="A110" s="17"/>
      <c r="B110" s="13"/>
      <c r="C110" s="8" t="str">
        <f>+C7</f>
        <v>RS</v>
      </c>
      <c r="D110" s="8" t="str">
        <f t="shared" ref="D110:L110" si="34">+D7</f>
        <v>RHS</v>
      </c>
      <c r="E110" s="8" t="str">
        <f t="shared" si="34"/>
        <v>RLM</v>
      </c>
      <c r="F110" s="8" t="str">
        <f t="shared" si="34"/>
        <v>WH</v>
      </c>
      <c r="G110" s="8" t="str">
        <f t="shared" si="34"/>
        <v>WHS</v>
      </c>
      <c r="H110" s="8" t="str">
        <f t="shared" si="34"/>
        <v>HS</v>
      </c>
      <c r="I110" s="8" t="str">
        <f t="shared" si="34"/>
        <v>PSAL</v>
      </c>
      <c r="J110" s="8" t="str">
        <f t="shared" si="34"/>
        <v>BPL</v>
      </c>
      <c r="K110" s="8" t="str">
        <f t="shared" si="34"/>
        <v>GLP</v>
      </c>
      <c r="L110" s="8" t="str">
        <f t="shared" si="34"/>
        <v>LPL-S</v>
      </c>
      <c r="M110" s="8"/>
    </row>
    <row r="111" spans="1:13" x14ac:dyDescent="0.6">
      <c r="A111" s="17"/>
      <c r="C111" s="168"/>
    </row>
    <row r="112" spans="1:13" x14ac:dyDescent="0.6">
      <c r="A112" s="17"/>
      <c r="B112" s="32" t="s">
        <v>165</v>
      </c>
      <c r="C112" s="238">
        <f t="shared" ref="C112:L112" si="35">SUM(C50:C53)*C94/1000</f>
        <v>236577.69552643949</v>
      </c>
      <c r="D112" s="238">
        <f t="shared" si="35"/>
        <v>709.31825644702701</v>
      </c>
      <c r="E112" s="238">
        <f t="shared" si="35"/>
        <v>3276.1773653527221</v>
      </c>
      <c r="F112" s="238">
        <f t="shared" si="35"/>
        <v>6.2858026864588261</v>
      </c>
      <c r="G112" s="238">
        <f t="shared" si="35"/>
        <v>0.12918572287648739</v>
      </c>
      <c r="H112" s="238">
        <f t="shared" si="35"/>
        <v>84.426121765502032</v>
      </c>
      <c r="I112" s="238">
        <f t="shared" si="35"/>
        <v>1201.9356371916542</v>
      </c>
      <c r="J112" s="238">
        <f t="shared" si="35"/>
        <v>2761.9308155818198</v>
      </c>
      <c r="K112" s="238">
        <f t="shared" si="35"/>
        <v>97522.831446247452</v>
      </c>
      <c r="L112" s="238">
        <f t="shared" si="35"/>
        <v>77123.597137938821</v>
      </c>
      <c r="M112" s="238"/>
    </row>
    <row r="113" spans="1:30" x14ac:dyDescent="0.6">
      <c r="A113" s="17"/>
      <c r="B113" s="159" t="s">
        <v>166</v>
      </c>
      <c r="C113" s="238">
        <f t="shared" ref="C113:L113" si="36">SUMPRODUCT(C50:C53,C14:C17)*C95/1000</f>
        <v>148397.65463194594</v>
      </c>
      <c r="D113" s="238">
        <f t="shared" si="36"/>
        <v>450.50444132539008</v>
      </c>
      <c r="E113" s="238">
        <f t="shared" si="36"/>
        <v>2061.2155028762959</v>
      </c>
      <c r="F113" s="238">
        <f t="shared" si="36"/>
        <v>3.937247769821167</v>
      </c>
      <c r="G113" s="238">
        <f t="shared" si="36"/>
        <v>8.1736027557475222E-2</v>
      </c>
      <c r="H113" s="238">
        <f t="shared" si="36"/>
        <v>58.839653941445192</v>
      </c>
      <c r="I113" s="238">
        <f t="shared" si="36"/>
        <v>349.46245474172349</v>
      </c>
      <c r="J113" s="238">
        <f t="shared" si="36"/>
        <v>802.30318548371588</v>
      </c>
      <c r="K113" s="238">
        <f t="shared" si="36"/>
        <v>65845.261354602058</v>
      </c>
      <c r="L113" s="238">
        <f t="shared" si="36"/>
        <v>49970.005391170132</v>
      </c>
      <c r="M113" s="238"/>
    </row>
    <row r="114" spans="1:30" x14ac:dyDescent="0.6">
      <c r="A114" s="17"/>
      <c r="B114" s="159" t="s">
        <v>167</v>
      </c>
      <c r="C114" s="238">
        <f t="shared" ref="C114:L114" si="37">SUMPRODUCT(C50:C53,O14:O17)*C96/1000</f>
        <v>88180.040894493548</v>
      </c>
      <c r="D114" s="238">
        <f t="shared" si="37"/>
        <v>258.81381512163694</v>
      </c>
      <c r="E114" s="238">
        <f t="shared" si="37"/>
        <v>1214.9618624764257</v>
      </c>
      <c r="F114" s="238">
        <f t="shared" si="37"/>
        <v>2.3485549166376596</v>
      </c>
      <c r="G114" s="238">
        <f t="shared" si="37"/>
        <v>4.7449695319012143E-2</v>
      </c>
      <c r="H114" s="238">
        <f t="shared" si="37"/>
        <v>25.586467824056843</v>
      </c>
      <c r="I114" s="238">
        <f t="shared" si="37"/>
        <v>852.47318244993062</v>
      </c>
      <c r="J114" s="238">
        <f t="shared" si="37"/>
        <v>1959.6276300981037</v>
      </c>
      <c r="K114" s="238">
        <f t="shared" si="37"/>
        <v>31677.570091645408</v>
      </c>
      <c r="L114" s="238">
        <f t="shared" si="37"/>
        <v>27153.591746768696</v>
      </c>
      <c r="M114" s="238"/>
    </row>
    <row r="115" spans="1:30" x14ac:dyDescent="0.6">
      <c r="A115" s="17"/>
      <c r="C115" s="239"/>
      <c r="D115" s="239"/>
      <c r="E115" s="239"/>
      <c r="F115" s="239"/>
      <c r="G115" s="239"/>
      <c r="H115" s="239"/>
      <c r="I115" s="239"/>
      <c r="J115" s="239"/>
      <c r="K115" s="239"/>
      <c r="L115" s="239"/>
      <c r="M115" s="239"/>
    </row>
    <row r="116" spans="1:30" x14ac:dyDescent="0.6">
      <c r="A116" s="17"/>
      <c r="B116" s="32" t="s">
        <v>168</v>
      </c>
      <c r="C116" s="239">
        <f t="shared" ref="C116:L116" si="38">SUM(C45:C49,C54:C56)*C98/1000</f>
        <v>336514.35672576283</v>
      </c>
      <c r="D116" s="239">
        <f t="shared" si="38"/>
        <v>2803.2442471998265</v>
      </c>
      <c r="E116" s="239">
        <f t="shared" si="38"/>
        <v>4310.816555904602</v>
      </c>
      <c r="F116" s="239">
        <f t="shared" si="38"/>
        <v>18.246023893508479</v>
      </c>
      <c r="G116" s="239">
        <f t="shared" si="38"/>
        <v>0.24014286498728826</v>
      </c>
      <c r="H116" s="239">
        <f t="shared" si="38"/>
        <v>352.27300926360499</v>
      </c>
      <c r="I116" s="239">
        <f t="shared" si="38"/>
        <v>3977.1325835208399</v>
      </c>
      <c r="J116" s="239">
        <f t="shared" si="38"/>
        <v>9086.2932788441431</v>
      </c>
      <c r="K116" s="239">
        <f t="shared" si="38"/>
        <v>179667.83502279015</v>
      </c>
      <c r="L116" s="239">
        <f t="shared" si="38"/>
        <v>149948.83232606662</v>
      </c>
      <c r="M116" s="239"/>
    </row>
    <row r="117" spans="1:30" x14ac:dyDescent="0.6">
      <c r="A117" s="17"/>
      <c r="B117" s="159" t="s">
        <v>166</v>
      </c>
      <c r="C117" s="238">
        <f t="shared" ref="C117:L117" si="39">(SUMPRODUCT(C45:C49,C9:C13)+SUMPRODUCT(C54:C56,C18:C20))*C99/1000</f>
        <v>174248.51013486314</v>
      </c>
      <c r="D117" s="238">
        <f t="shared" si="39"/>
        <v>1415.4361350214849</v>
      </c>
      <c r="E117" s="238">
        <f t="shared" si="39"/>
        <v>2184.5869851534703</v>
      </c>
      <c r="F117" s="238">
        <f t="shared" si="39"/>
        <v>9.4528004554533531</v>
      </c>
      <c r="G117" s="238">
        <f t="shared" si="39"/>
        <v>0.12595058157644629</v>
      </c>
      <c r="H117" s="238">
        <f t="shared" si="39"/>
        <v>182.25139671666651</v>
      </c>
      <c r="I117" s="238">
        <f t="shared" si="39"/>
        <v>1213.0831512484035</v>
      </c>
      <c r="J117" s="238">
        <f t="shared" si="39"/>
        <v>2766.7115828198171</v>
      </c>
      <c r="K117" s="238">
        <f t="shared" si="39"/>
        <v>103315.38619461059</v>
      </c>
      <c r="L117" s="238">
        <f t="shared" si="39"/>
        <v>83497.619925844687</v>
      </c>
      <c r="M117" s="238"/>
    </row>
    <row r="118" spans="1:30" x14ac:dyDescent="0.6">
      <c r="A118" s="17"/>
      <c r="B118" s="159" t="s">
        <v>167</v>
      </c>
      <c r="C118" s="238">
        <f t="shared" ref="C118:L118" si="40">+(SUMPRODUCT(C45:C49,O9:O13)+SUMPRODUCT(C54:C56,O18:O20))*C100/1000</f>
        <v>162265.84659089972</v>
      </c>
      <c r="D118" s="238">
        <f t="shared" si="40"/>
        <v>1387.8081121783418</v>
      </c>
      <c r="E118" s="238">
        <f t="shared" si="40"/>
        <v>2126.2295707511307</v>
      </c>
      <c r="F118" s="238">
        <f t="shared" si="40"/>
        <v>8.7932234380551275</v>
      </c>
      <c r="G118" s="238">
        <f t="shared" si="40"/>
        <v>0.11419228341084195</v>
      </c>
      <c r="H118" s="238">
        <f t="shared" si="40"/>
        <v>170.0216125469384</v>
      </c>
      <c r="I118" s="238">
        <f t="shared" si="40"/>
        <v>2764.0494322724371</v>
      </c>
      <c r="J118" s="238">
        <f t="shared" si="40"/>
        <v>6319.5816960243255</v>
      </c>
      <c r="K118" s="238">
        <f t="shared" si="40"/>
        <v>76352.448828179564</v>
      </c>
      <c r="L118" s="238">
        <f t="shared" si="40"/>
        <v>66451.212400221935</v>
      </c>
      <c r="M118" s="238"/>
    </row>
    <row r="119" spans="1:30" x14ac:dyDescent="0.6">
      <c r="A119" s="17"/>
      <c r="C119" s="236"/>
      <c r="D119" s="236"/>
      <c r="E119" s="236"/>
      <c r="F119" s="236"/>
      <c r="G119" s="236"/>
      <c r="H119" s="236"/>
      <c r="I119" s="236"/>
      <c r="J119" s="236"/>
      <c r="K119" s="236"/>
      <c r="L119" s="236"/>
      <c r="M119" s="236"/>
    </row>
    <row r="120" spans="1:30" x14ac:dyDescent="0.6">
      <c r="A120" s="17"/>
      <c r="B120" s="2" t="s">
        <v>169</v>
      </c>
      <c r="C120" s="239">
        <f>+C112+C116</f>
        <v>573092.05225220229</v>
      </c>
      <c r="D120" s="239">
        <f t="shared" ref="D120:L120" si="41">+D112+D116</f>
        <v>3512.5625036468537</v>
      </c>
      <c r="E120" s="239">
        <f t="shared" si="41"/>
        <v>7586.9939212573245</v>
      </c>
      <c r="F120" s="239">
        <f t="shared" si="41"/>
        <v>24.531826579967305</v>
      </c>
      <c r="G120" s="239">
        <f t="shared" si="41"/>
        <v>0.36932858786377565</v>
      </c>
      <c r="H120" s="239">
        <f t="shared" si="41"/>
        <v>436.69913102910704</v>
      </c>
      <c r="I120" s="239">
        <f t="shared" si="41"/>
        <v>5179.0682207124937</v>
      </c>
      <c r="J120" s="239">
        <f t="shared" si="41"/>
        <v>11848.224094425963</v>
      </c>
      <c r="K120" s="239">
        <f t="shared" si="41"/>
        <v>277190.66646903759</v>
      </c>
      <c r="L120" s="239">
        <f t="shared" si="41"/>
        <v>227072.42946400546</v>
      </c>
      <c r="M120" s="239"/>
    </row>
    <row r="121" spans="1:30" x14ac:dyDescent="0.6">
      <c r="A121" s="17"/>
    </row>
    <row r="122" spans="1:30" x14ac:dyDescent="0.6">
      <c r="A122" s="17"/>
      <c r="B122" s="2" t="s">
        <v>170</v>
      </c>
      <c r="C122" s="238">
        <f>SUM(C120:L120)</f>
        <v>1105943.5972114848</v>
      </c>
      <c r="E122" s="240"/>
      <c r="F122" s="235"/>
    </row>
    <row r="123" spans="1:30" x14ac:dyDescent="0.6">
      <c r="A123" s="17"/>
    </row>
    <row r="124" spans="1:30" x14ac:dyDescent="0.6">
      <c r="A124" s="17"/>
    </row>
    <row r="125" spans="1:30" x14ac:dyDescent="0.6">
      <c r="A125" s="3" t="s">
        <v>175</v>
      </c>
      <c r="B125" s="13" t="s">
        <v>176</v>
      </c>
      <c r="C125" s="237"/>
      <c r="Q125" s="2" t="s">
        <v>177</v>
      </c>
      <c r="T125" s="2" t="s">
        <v>178</v>
      </c>
      <c r="W125" s="2" t="s">
        <v>179</v>
      </c>
      <c r="Z125" s="2" t="s">
        <v>180</v>
      </c>
    </row>
    <row r="126" spans="1:30" x14ac:dyDescent="0.6">
      <c r="A126" s="17"/>
      <c r="B126" s="14" t="s">
        <v>181</v>
      </c>
      <c r="C126" s="237"/>
      <c r="W126" s="2" t="s">
        <v>182</v>
      </c>
      <c r="Z126" s="2" t="s">
        <v>183</v>
      </c>
      <c r="AC126" s="2" t="s">
        <v>184</v>
      </c>
    </row>
    <row r="127" spans="1:30" x14ac:dyDescent="0.6">
      <c r="A127" s="17"/>
      <c r="B127" s="14" t="s">
        <v>164</v>
      </c>
      <c r="C127" s="237"/>
    </row>
    <row r="128" spans="1:30" x14ac:dyDescent="0.6">
      <c r="A128" s="17"/>
      <c r="B128" s="13"/>
      <c r="C128" s="8" t="str">
        <f>+C7</f>
        <v>RS</v>
      </c>
      <c r="D128" s="8" t="str">
        <f t="shared" ref="D128:L128" si="42">+D7</f>
        <v>RHS</v>
      </c>
      <c r="E128" s="8" t="str">
        <f t="shared" si="42"/>
        <v>RLM</v>
      </c>
      <c r="F128" s="8" t="str">
        <f t="shared" si="42"/>
        <v>WH</v>
      </c>
      <c r="G128" s="8" t="str">
        <f t="shared" si="42"/>
        <v>WHS</v>
      </c>
      <c r="H128" s="8" t="str">
        <f t="shared" si="42"/>
        <v>HS</v>
      </c>
      <c r="I128" s="8" t="str">
        <f t="shared" si="42"/>
        <v>PSAL</v>
      </c>
      <c r="J128" s="8" t="str">
        <f t="shared" si="42"/>
        <v>BPL</v>
      </c>
      <c r="K128" s="8" t="str">
        <f t="shared" si="42"/>
        <v>GLP</v>
      </c>
      <c r="L128" s="8" t="str">
        <f t="shared" si="42"/>
        <v>LPL-S</v>
      </c>
      <c r="M128" s="8"/>
      <c r="O128" s="8"/>
      <c r="P128" s="8"/>
      <c r="Q128" s="8" t="str">
        <f>+E128</f>
        <v>RLM</v>
      </c>
      <c r="R128" s="8" t="str">
        <f>+L128</f>
        <v>LPL-S</v>
      </c>
      <c r="S128" s="8"/>
      <c r="T128" s="8" t="str">
        <f>+E128</f>
        <v>RLM</v>
      </c>
      <c r="U128" s="8" t="str">
        <f>+L128</f>
        <v>LPL-S</v>
      </c>
      <c r="V128" s="8"/>
      <c r="W128" s="8" t="str">
        <f>+E128</f>
        <v>RLM</v>
      </c>
      <c r="X128" s="8" t="str">
        <f>+L128</f>
        <v>LPL-S</v>
      </c>
      <c r="Z128" s="8" t="str">
        <f>+E128</f>
        <v>RLM</v>
      </c>
      <c r="AA128" s="8" t="str">
        <f>+L128</f>
        <v>LPL-S</v>
      </c>
      <c r="AC128" s="241" t="str">
        <f>+E128</f>
        <v>RLM</v>
      </c>
      <c r="AD128" s="8" t="str">
        <f>+L128</f>
        <v>LPL-S</v>
      </c>
    </row>
    <row r="129" spans="1:39" x14ac:dyDescent="0.6">
      <c r="A129" s="17"/>
      <c r="C129" s="168"/>
    </row>
    <row r="130" spans="1:39" x14ac:dyDescent="0.6">
      <c r="A130" s="17"/>
      <c r="B130" s="32" t="s">
        <v>165</v>
      </c>
      <c r="C130" s="235">
        <f t="shared" ref="C130:L130" si="43">+C112/SUM(C50:C53)*1000</f>
        <v>42.136180121000656</v>
      </c>
      <c r="D130" s="235">
        <f t="shared" si="43"/>
        <v>42.270092667112742</v>
      </c>
      <c r="E130" s="235">
        <f t="shared" si="43"/>
        <v>42.192840664704342</v>
      </c>
      <c r="F130" s="235">
        <f t="shared" si="43"/>
        <v>40.816900561420951</v>
      </c>
      <c r="G130" s="235">
        <f t="shared" si="43"/>
        <v>43.061907625495799</v>
      </c>
      <c r="H130" s="235">
        <f t="shared" si="43"/>
        <v>43.429135830973934</v>
      </c>
      <c r="I130" s="235">
        <f t="shared" si="43"/>
        <v>35.924788151706792</v>
      </c>
      <c r="J130" s="235">
        <f t="shared" si="43"/>
        <v>35.780013674756709</v>
      </c>
      <c r="K130" s="235">
        <f t="shared" si="43"/>
        <v>42.60087810928264</v>
      </c>
      <c r="L130" s="235">
        <f t="shared" si="43"/>
        <v>42.035860154637263</v>
      </c>
      <c r="M130" s="235"/>
    </row>
    <row r="131" spans="1:39" x14ac:dyDescent="0.6">
      <c r="A131" s="17"/>
      <c r="B131" s="159" t="s">
        <v>185</v>
      </c>
      <c r="C131" s="238"/>
      <c r="E131" s="235">
        <f>+(E113*1000-W131*AVERAGE(E$95,E$96))/Q131</f>
        <v>51.098491828423143</v>
      </c>
      <c r="F131" s="235"/>
      <c r="G131" s="238"/>
      <c r="H131" s="238"/>
      <c r="I131" s="238"/>
      <c r="J131" s="238"/>
      <c r="K131" s="238"/>
      <c r="L131" s="235">
        <f>+(L113*1000-X131*AVERAGE(L$95,L$96))/R131</f>
        <v>50.571102193213399</v>
      </c>
      <c r="M131" s="235"/>
      <c r="N131" s="235"/>
      <c r="Q131" s="42">
        <f>SUMPRODUCT(E50:E53,E32:E35)</f>
        <v>37134.588616042514</v>
      </c>
      <c r="R131" s="42">
        <f>SUMPRODUCT(L50:L53,L32:L35)</f>
        <v>895537.69550416525</v>
      </c>
      <c r="T131" s="42">
        <f>SUMPRODUCT(E50:E53,E14:E17)</f>
        <v>41059.776047366016</v>
      </c>
      <c r="U131" s="42">
        <f>SUMPRODUCT(L50:L53,L14:L17)</f>
        <v>1009159.6442853149</v>
      </c>
      <c r="W131" s="42">
        <f>+T131-Q131</f>
        <v>3925.1874313235021</v>
      </c>
      <c r="X131" s="42">
        <f>+U131-R131</f>
        <v>113621.94878114969</v>
      </c>
      <c r="Z131" s="242">
        <f>+E131*Q131/1000</f>
        <v>1897.5214729487034</v>
      </c>
      <c r="AA131" s="242">
        <f>+L131*R131/1000</f>
        <v>45288.328317215964</v>
      </c>
    </row>
    <row r="132" spans="1:39" ht="15.25" x14ac:dyDescent="1.05">
      <c r="A132" s="17"/>
      <c r="B132" s="159" t="s">
        <v>186</v>
      </c>
      <c r="C132" s="235"/>
      <c r="D132" s="235"/>
      <c r="E132" s="235">
        <f>+(E114*1000-W132*AVERAGE(E$95,E$96))/Q132</f>
        <v>34.029862879616097</v>
      </c>
      <c r="F132" s="238"/>
      <c r="G132" s="238"/>
      <c r="H132" s="238"/>
      <c r="I132" s="238"/>
      <c r="J132" s="238"/>
      <c r="K132" s="238"/>
      <c r="L132" s="235">
        <f>+(L114*1000-X132*AVERAGE(L$95,L$96))/R132</f>
        <v>33.897168226359589</v>
      </c>
      <c r="M132" s="235"/>
      <c r="N132" s="235"/>
      <c r="Q132" s="42">
        <f>SUMPRODUCT(E50:E53,Q32:Q35)</f>
        <v>40513.119235335907</v>
      </c>
      <c r="R132" s="42">
        <f>SUMPRODUCT(L50:L53,X32:X35)</f>
        <v>939171.92752303951</v>
      </c>
      <c r="T132" s="42">
        <f>SUMPRODUCT(E50:E53,Q14:Q17)</f>
        <v>36587.931804012405</v>
      </c>
      <c r="U132" s="42">
        <f>SUMPRODUCT(L50:L53,X14:X17)</f>
        <v>825549.97874188982</v>
      </c>
      <c r="W132" s="42">
        <f>+T132-Q132</f>
        <v>-3925.1874313235021</v>
      </c>
      <c r="X132" s="42">
        <f>+U132-R132</f>
        <v>-113621.94878114969</v>
      </c>
      <c r="Z132" s="243">
        <f>+E132*Q132/1000</f>
        <v>1378.6558924040182</v>
      </c>
      <c r="AA132" s="243">
        <f>+L132*R132/1000</f>
        <v>31835.268820722868</v>
      </c>
    </row>
    <row r="133" spans="1:39" x14ac:dyDescent="0.6">
      <c r="A133" s="17"/>
      <c r="C133" s="235"/>
      <c r="D133" s="235"/>
      <c r="E133" s="239"/>
      <c r="F133" s="239"/>
      <c r="G133" s="239"/>
      <c r="H133" s="239"/>
      <c r="I133" s="239"/>
      <c r="J133" s="239"/>
      <c r="K133" s="239"/>
      <c r="L133" s="239"/>
      <c r="M133" s="239"/>
      <c r="Q133" s="42"/>
      <c r="R133" s="42"/>
      <c r="T133" s="42"/>
      <c r="U133" s="42"/>
      <c r="W133" s="42"/>
      <c r="X133" s="42"/>
      <c r="Z133" s="242">
        <f>+Z132+Z131</f>
        <v>3276.1773653527216</v>
      </c>
      <c r="AA133" s="242">
        <f>+AA132+AA131</f>
        <v>77123.597137938836</v>
      </c>
      <c r="AC133" s="168">
        <f>+E112</f>
        <v>3276.1773653527221</v>
      </c>
      <c r="AD133" s="168">
        <f>+L112</f>
        <v>77123.597137938821</v>
      </c>
    </row>
    <row r="134" spans="1:39" x14ac:dyDescent="0.6">
      <c r="A134" s="17"/>
      <c r="B134" s="32" t="s">
        <v>168</v>
      </c>
      <c r="C134" s="237">
        <f t="shared" ref="C134:L134" si="44">+C116/SUM(C45:C49,C54:C56)*1000</f>
        <v>45.791048056974248</v>
      </c>
      <c r="D134" s="237">
        <f t="shared" si="44"/>
        <v>47.744698977223408</v>
      </c>
      <c r="E134" s="237">
        <f t="shared" si="44"/>
        <v>45.630260571226955</v>
      </c>
      <c r="F134" s="237">
        <f t="shared" si="44"/>
        <v>45.388119138080796</v>
      </c>
      <c r="G134" s="237">
        <f t="shared" si="44"/>
        <v>48.028572997457651</v>
      </c>
      <c r="H134" s="237">
        <f t="shared" si="44"/>
        <v>48.194556999004774</v>
      </c>
      <c r="I134" s="237">
        <f t="shared" si="44"/>
        <v>44.750740759520212</v>
      </c>
      <c r="J134" s="237">
        <f t="shared" si="44"/>
        <v>44.540434992201718</v>
      </c>
      <c r="K134" s="237">
        <f t="shared" si="44"/>
        <v>45.579554311419741</v>
      </c>
      <c r="L134" s="237">
        <f t="shared" si="44"/>
        <v>45.444229469384993</v>
      </c>
      <c r="M134" s="237"/>
      <c r="Q134" s="42"/>
      <c r="R134" s="42"/>
      <c r="T134" s="42"/>
      <c r="U134" s="42"/>
      <c r="W134" s="42"/>
      <c r="X134" s="42"/>
      <c r="Z134" s="242"/>
      <c r="AA134" s="242"/>
      <c r="AC134" s="168"/>
    </row>
    <row r="135" spans="1:39" x14ac:dyDescent="0.6">
      <c r="A135" s="17"/>
      <c r="B135" s="159" t="s">
        <v>185</v>
      </c>
      <c r="C135" s="238"/>
      <c r="D135" s="238"/>
      <c r="E135" s="235">
        <f>+(E117*1000-W135*AVERAGE(E$99,E$100))/Q135</f>
        <v>48.993574094587188</v>
      </c>
      <c r="F135" s="235"/>
      <c r="G135" s="235"/>
      <c r="H135" s="238"/>
      <c r="I135" s="238"/>
      <c r="J135" s="238"/>
      <c r="K135" s="238"/>
      <c r="L135" s="235">
        <f>+(L117*1000-X135*AVERAGE(L$99,L$100))/R135</f>
        <v>48.419743526781858</v>
      </c>
      <c r="M135" s="235"/>
      <c r="N135" s="235"/>
      <c r="Q135" s="42">
        <f>SUMPRODUCT(E45:E49,E27:E31)+SUMPRODUCT(E54:E56,E36:E38)</f>
        <v>40232.200221618754</v>
      </c>
      <c r="R135" s="42">
        <f>SUMPRODUCT(L45:L49,L27:L31)+SUMPRODUCT(L54:L56,L36:L38)</f>
        <v>1558600.5114884789</v>
      </c>
      <c r="T135" s="42">
        <f>SUMPRODUCT(E45:E49,E9:E13)+SUMPRODUCT(E54:E56,E18:E20)</f>
        <v>44895.790519077906</v>
      </c>
      <c r="U135" s="42">
        <f>SUMPRODUCT(L45:L49,L9:L13)+SUMPRODUCT(L54:L56,L18:L20)</f>
        <v>1735883.9070400055</v>
      </c>
      <c r="W135" s="42">
        <f>+T135-Q135</f>
        <v>4663.5902974591518</v>
      </c>
      <c r="X135" s="42">
        <f>+U135-R135</f>
        <v>177283.39555152669</v>
      </c>
      <c r="Z135" s="242">
        <f>+E135*Q135/1000</f>
        <v>1971.1192825461455</v>
      </c>
      <c r="AA135" s="242">
        <f>+L135*R135/1000</f>
        <v>75467.037026983176</v>
      </c>
      <c r="AC135" s="168"/>
    </row>
    <row r="136" spans="1:39" ht="15.25" x14ac:dyDescent="1.05">
      <c r="A136" s="17"/>
      <c r="B136" s="159" t="s">
        <v>186</v>
      </c>
      <c r="C136" s="238"/>
      <c r="D136" s="238"/>
      <c r="E136" s="235">
        <f>+(E118*1000-W136*AVERAGE(E$99,E$100))/Q136</f>
        <v>43.13556823973461</v>
      </c>
      <c r="F136" s="235"/>
      <c r="G136" s="235"/>
      <c r="H136" s="238"/>
      <c r="I136" s="238"/>
      <c r="J136" s="238"/>
      <c r="K136" s="238"/>
      <c r="L136" s="235">
        <f>+(L118*1000-X136*AVERAGE(L$99,L$100))/R136</f>
        <v>42.780485996937095</v>
      </c>
      <c r="M136" s="235"/>
      <c r="N136" s="235"/>
      <c r="Q136" s="42">
        <f>SUMPRODUCT(E45:E49,Q27:Q31)+SUMPRODUCT(E54:E56,Q36:Q38)</f>
        <v>54240.557591709854</v>
      </c>
      <c r="R136" s="42">
        <f>SUMPRODUCT(L45:L49,X27:X31)+SUMPRODUCT(L54:L56,X36:X38)</f>
        <v>1741022.6546845692</v>
      </c>
      <c r="T136" s="42">
        <f>SUMPRODUCT(E45:E49,Q9:Q13)+SUMPRODUCT(E54:E56,Q18:Q20)</f>
        <v>49576.967294250702</v>
      </c>
      <c r="U136" s="42">
        <f>SUMPRODUCT(L45:L49,X9:X13)+SUMPRODUCT(L54:L56,X18:X20)</f>
        <v>1563739.2591330423</v>
      </c>
      <c r="W136" s="42">
        <f>+T136-Q136</f>
        <v>-4663.5902974591518</v>
      </c>
      <c r="X136" s="42">
        <f>+U136-R136</f>
        <v>-177283.39555152692</v>
      </c>
      <c r="Z136" s="243">
        <f>+E136*Q136/1000</f>
        <v>2339.6972733584553</v>
      </c>
      <c r="AA136" s="243">
        <f>+L136*R136/1000</f>
        <v>74481.79529908346</v>
      </c>
      <c r="AC136" s="168"/>
    </row>
    <row r="137" spans="1:39" x14ac:dyDescent="0.6">
      <c r="A137" s="17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Z137" s="242">
        <f>+Z136+Z135</f>
        <v>4310.816555904601</v>
      </c>
      <c r="AA137" s="242">
        <f>+AA136+AA135</f>
        <v>149948.83232606662</v>
      </c>
      <c r="AC137" s="168">
        <f>+E116</f>
        <v>4310.816555904602</v>
      </c>
      <c r="AD137" s="168">
        <f>+L116</f>
        <v>149948.83232606662</v>
      </c>
    </row>
    <row r="138" spans="1:39" x14ac:dyDescent="0.6">
      <c r="A138" s="17"/>
      <c r="B138" s="2" t="s">
        <v>187</v>
      </c>
      <c r="C138" s="235">
        <f t="shared" ref="C138:L138" si="45">(C130*SUM(C50:C53)+C134*SUM(C45:C49,C54:C56))/C57</f>
        <v>44.208096043566428</v>
      </c>
      <c r="D138" s="235">
        <f t="shared" si="45"/>
        <v>46.527814301171375</v>
      </c>
      <c r="E138" s="235">
        <f t="shared" si="45"/>
        <v>44.079557256351428</v>
      </c>
      <c r="F138" s="235">
        <f t="shared" si="45"/>
        <v>44.121990251739767</v>
      </c>
      <c r="G138" s="235">
        <f t="shared" si="45"/>
        <v>46.166073482971953</v>
      </c>
      <c r="H138" s="235">
        <f t="shared" si="45"/>
        <v>47.193414237228922</v>
      </c>
      <c r="I138" s="235">
        <f t="shared" si="45"/>
        <v>42.336861119206198</v>
      </c>
      <c r="J138" s="235">
        <f t="shared" si="45"/>
        <v>42.135558475587807</v>
      </c>
      <c r="K138" s="235">
        <f t="shared" si="45"/>
        <v>44.485224499507787</v>
      </c>
      <c r="L138" s="235">
        <f t="shared" si="45"/>
        <v>44.226278035899455</v>
      </c>
      <c r="M138" s="235"/>
      <c r="AC138" s="168"/>
    </row>
    <row r="139" spans="1:39" x14ac:dyDescent="0.6">
      <c r="A139" s="17"/>
      <c r="B139" s="2" t="s">
        <v>188</v>
      </c>
      <c r="C139" s="235">
        <f>+C122/SUM(C57:L57)*1000</f>
        <v>44.255677768005576</v>
      </c>
      <c r="T139" s="42"/>
      <c r="U139" s="42"/>
    </row>
    <row r="140" spans="1:39" x14ac:dyDescent="0.6">
      <c r="A140" s="17"/>
      <c r="T140" s="42"/>
      <c r="U140" s="42"/>
    </row>
    <row r="141" spans="1:39" x14ac:dyDescent="0.6">
      <c r="A141" s="17"/>
      <c r="T141" s="42"/>
      <c r="U141" s="42"/>
    </row>
    <row r="142" spans="1:39" x14ac:dyDescent="0.6">
      <c r="A142" s="3" t="s">
        <v>68</v>
      </c>
      <c r="B142" s="13" t="s">
        <v>69</v>
      </c>
      <c r="L142" s="8" t="s">
        <v>189</v>
      </c>
      <c r="T142" s="42"/>
      <c r="U142" s="42"/>
    </row>
    <row r="143" spans="1:39" x14ac:dyDescent="0.6">
      <c r="A143" s="17"/>
      <c r="B143" s="14" t="str">
        <f>Input!B97</f>
        <v>Obligations - Peak Load shares eff 6/1/24, scaling factors eff 6/1/24, Transmission Loads eff 1/1/24; costs are market estimates</v>
      </c>
      <c r="L143" s="8" t="s">
        <v>190</v>
      </c>
      <c r="T143" s="42"/>
      <c r="U143" s="42"/>
    </row>
    <row r="144" spans="1:39" x14ac:dyDescent="0.6">
      <c r="A144" s="17"/>
      <c r="B144" s="14" t="s">
        <v>71</v>
      </c>
      <c r="C144" s="8" t="str">
        <f>+C7</f>
        <v>RS</v>
      </c>
      <c r="D144" s="8" t="str">
        <f t="shared" ref="D144:L144" si="46">+D7</f>
        <v>RHS</v>
      </c>
      <c r="E144" s="8" t="str">
        <f t="shared" si="46"/>
        <v>RLM</v>
      </c>
      <c r="F144" s="8" t="str">
        <f t="shared" si="46"/>
        <v>WH</v>
      </c>
      <c r="G144" s="8" t="str">
        <f t="shared" si="46"/>
        <v>WHS</v>
      </c>
      <c r="H144" s="8" t="str">
        <f t="shared" si="46"/>
        <v>HS</v>
      </c>
      <c r="I144" s="8" t="str">
        <f t="shared" si="46"/>
        <v>PSAL</v>
      </c>
      <c r="J144" s="8" t="str">
        <f t="shared" si="46"/>
        <v>BPL</v>
      </c>
      <c r="K144" s="8" t="str">
        <f t="shared" si="46"/>
        <v>GLP</v>
      </c>
      <c r="L144" s="8" t="str">
        <f t="shared" si="46"/>
        <v>LPL-S</v>
      </c>
      <c r="M144" s="8"/>
      <c r="T144" s="42"/>
      <c r="U144" s="42"/>
      <c r="AD144" s="8" t="s">
        <v>12</v>
      </c>
      <c r="AE144" s="8" t="s">
        <v>13</v>
      </c>
      <c r="AF144" s="8" t="s">
        <v>14</v>
      </c>
      <c r="AG144" s="8" t="s">
        <v>15</v>
      </c>
      <c r="AH144" s="8" t="s">
        <v>16</v>
      </c>
      <c r="AI144" s="8" t="s">
        <v>17</v>
      </c>
      <c r="AJ144" s="8" t="s">
        <v>18</v>
      </c>
      <c r="AK144" s="8" t="s">
        <v>19</v>
      </c>
      <c r="AL144" s="8" t="s">
        <v>20</v>
      </c>
      <c r="AM144" s="8" t="s">
        <v>21</v>
      </c>
    </row>
    <row r="145" spans="1:39" x14ac:dyDescent="0.6">
      <c r="A145" s="17"/>
      <c r="B145" s="14"/>
      <c r="C145" s="8"/>
      <c r="D145" s="8"/>
      <c r="E145" s="8"/>
      <c r="F145" s="8"/>
      <c r="G145" s="8"/>
      <c r="H145" s="8"/>
      <c r="I145" s="8"/>
      <c r="J145" s="8"/>
      <c r="K145" s="8"/>
      <c r="M145" s="8"/>
      <c r="R145" s="421"/>
      <c r="S145" s="421"/>
      <c r="T145" s="421"/>
      <c r="U145" s="421"/>
      <c r="V145" s="421"/>
      <c r="AC145" s="108" t="s">
        <v>72</v>
      </c>
      <c r="AD145" s="95">
        <f>Input!C101</f>
        <v>4373.7012211177444</v>
      </c>
      <c r="AE145" s="95">
        <f>Input!D101</f>
        <v>14.741968057168139</v>
      </c>
      <c r="AF145" s="95">
        <f>Input!E101</f>
        <v>62.308453294254917</v>
      </c>
      <c r="AG145" s="95">
        <f>Input!F101</f>
        <v>0</v>
      </c>
      <c r="AH145" s="95">
        <f>Input!G101</f>
        <v>0</v>
      </c>
      <c r="AI145" s="95">
        <f>Input!H101</f>
        <v>2.3291195765305455</v>
      </c>
      <c r="AJ145" s="95">
        <f>Input!I101</f>
        <v>0</v>
      </c>
      <c r="AK145" s="95">
        <f>Input!J101</f>
        <v>0</v>
      </c>
      <c r="AL145" s="95">
        <f>Input!K101</f>
        <v>1747.5279487439136</v>
      </c>
      <c r="AM145" s="95">
        <f>Input!L101</f>
        <v>1274.6135020427903</v>
      </c>
    </row>
    <row r="146" spans="1:39" x14ac:dyDescent="0.6">
      <c r="A146" s="17"/>
      <c r="T146" s="11"/>
      <c r="AC146" s="97" t="s">
        <v>73</v>
      </c>
      <c r="AD146" s="95">
        <f>Input!C102</f>
        <v>4467.4395103739362</v>
      </c>
      <c r="AE146" s="95">
        <f>Input!D102</f>
        <v>15.121380698434363</v>
      </c>
      <c r="AF146" s="95">
        <f>Input!E102</f>
        <v>61.907096824438739</v>
      </c>
      <c r="AG146" s="95">
        <f>Input!F102</f>
        <v>0</v>
      </c>
      <c r="AH146" s="95">
        <f>Input!G102</f>
        <v>0</v>
      </c>
      <c r="AI146" s="95">
        <f>Input!H102</f>
        <v>2.3837579421471684</v>
      </c>
      <c r="AJ146" s="95">
        <f>Input!I102</f>
        <v>0</v>
      </c>
      <c r="AK146" s="95">
        <f>Input!J102</f>
        <v>0</v>
      </c>
      <c r="AL146" s="95">
        <f>Input!K102</f>
        <v>1765.8050466595644</v>
      </c>
      <c r="AM146" s="95">
        <f>Input!L102</f>
        <v>1272.2775071358039</v>
      </c>
    </row>
    <row r="147" spans="1:39" x14ac:dyDescent="0.6">
      <c r="A147" s="86"/>
      <c r="B147" s="2" t="s">
        <v>191</v>
      </c>
      <c r="C147" s="91">
        <f>ROUND(AD145*$AD$148*$AD$149,1)</f>
        <v>5468.3</v>
      </c>
      <c r="D147" s="91">
        <f t="shared" ref="D147:K147" si="47">ROUND(AE145*$AD$148*$AD$149,1)</f>
        <v>18.399999999999999</v>
      </c>
      <c r="E147" s="91">
        <f t="shared" si="47"/>
        <v>77.900000000000006</v>
      </c>
      <c r="F147" s="91">
        <f t="shared" si="47"/>
        <v>0</v>
      </c>
      <c r="G147" s="91">
        <f t="shared" si="47"/>
        <v>0</v>
      </c>
      <c r="H147" s="91">
        <f t="shared" si="47"/>
        <v>2.9</v>
      </c>
      <c r="I147" s="91">
        <f t="shared" si="47"/>
        <v>0</v>
      </c>
      <c r="J147" s="91">
        <f t="shared" si="47"/>
        <v>0</v>
      </c>
      <c r="K147" s="91">
        <f t="shared" si="47"/>
        <v>2184.9</v>
      </c>
      <c r="L147" s="91">
        <f>ROUND(AM145*$AD$148*$AD$149*(1-AE45),1)</f>
        <v>1131.9000000000001</v>
      </c>
      <c r="M147" s="89"/>
      <c r="R147" s="100"/>
      <c r="S147" s="108"/>
      <c r="T147" s="100"/>
      <c r="U147" s="101"/>
      <c r="V147" s="199"/>
    </row>
    <row r="148" spans="1:39" x14ac:dyDescent="0.6">
      <c r="A148" s="2"/>
      <c r="C148" s="244"/>
      <c r="D148" s="11"/>
      <c r="E148" s="11"/>
      <c r="F148" s="11"/>
      <c r="G148" s="11"/>
      <c r="H148" s="11"/>
      <c r="I148" s="11"/>
      <c r="J148" s="11"/>
      <c r="K148" s="11"/>
      <c r="L148" s="11"/>
      <c r="R148" s="100"/>
      <c r="S148" s="108"/>
      <c r="T148" s="100"/>
      <c r="U148" s="101"/>
      <c r="V148" s="199"/>
      <c r="AC148" s="97" t="s">
        <v>75</v>
      </c>
      <c r="AD148" s="245">
        <f>Input!C104</f>
        <v>1.1193161113506478</v>
      </c>
    </row>
    <row r="149" spans="1:39" x14ac:dyDescent="0.6">
      <c r="A149" s="86"/>
      <c r="B149" s="2" t="s">
        <v>192</v>
      </c>
      <c r="C149" s="91">
        <f>ROUND(AD146,1)</f>
        <v>4467.3999999999996</v>
      </c>
      <c r="D149" s="91">
        <f t="shared" ref="D149:K149" si="48">ROUND(AE146,1)</f>
        <v>15.1</v>
      </c>
      <c r="E149" s="91">
        <f t="shared" si="48"/>
        <v>61.9</v>
      </c>
      <c r="F149" s="91">
        <f t="shared" si="48"/>
        <v>0</v>
      </c>
      <c r="G149" s="91">
        <f t="shared" si="48"/>
        <v>0</v>
      </c>
      <c r="H149" s="91">
        <f t="shared" si="48"/>
        <v>2.4</v>
      </c>
      <c r="I149" s="91">
        <f t="shared" si="48"/>
        <v>0</v>
      </c>
      <c r="J149" s="91">
        <f t="shared" si="48"/>
        <v>0</v>
      </c>
      <c r="K149" s="91">
        <f t="shared" si="48"/>
        <v>1765.8</v>
      </c>
      <c r="L149" s="91">
        <f>ROUND(AM146*(1-AF45),1)</f>
        <v>903.7</v>
      </c>
      <c r="M149" s="89"/>
      <c r="R149" s="100"/>
      <c r="S149" s="108"/>
      <c r="T149" s="100"/>
      <c r="U149" s="101"/>
      <c r="V149" s="246"/>
      <c r="X149" s="2" t="str">
        <f>+Input!B105</f>
        <v>PJM June 1, 2024 (through May 31, 2025) Forecast Pool Requirement</v>
      </c>
      <c r="AD149" s="245">
        <f>Input!C105</f>
        <v>1.117</v>
      </c>
    </row>
    <row r="150" spans="1:39" x14ac:dyDescent="0.6">
      <c r="A150" s="2"/>
      <c r="C150" s="95"/>
      <c r="D150" s="95"/>
      <c r="E150" s="95"/>
      <c r="F150" s="95"/>
      <c r="G150" s="95"/>
      <c r="H150" s="95"/>
      <c r="I150" s="95"/>
      <c r="J150" s="95"/>
      <c r="K150" s="95"/>
      <c r="M150" s="95"/>
      <c r="V150" s="199"/>
    </row>
    <row r="151" spans="1:39" x14ac:dyDescent="0.6">
      <c r="A151" s="17"/>
      <c r="B151" s="2" t="s">
        <v>193</v>
      </c>
      <c r="I151" s="95"/>
      <c r="K151" s="8"/>
      <c r="M151" s="95"/>
    </row>
    <row r="152" spans="1:39" x14ac:dyDescent="0.6">
      <c r="A152" s="17"/>
      <c r="D152" s="97" t="s">
        <v>194</v>
      </c>
      <c r="E152" s="98">
        <v>122</v>
      </c>
      <c r="G152" s="97" t="s">
        <v>195</v>
      </c>
      <c r="H152" s="11">
        <v>4</v>
      </c>
      <c r="I152" s="95"/>
      <c r="M152" s="95"/>
    </row>
    <row r="153" spans="1:39" x14ac:dyDescent="0.6">
      <c r="A153" s="17"/>
      <c r="D153" s="102" t="s">
        <v>196</v>
      </c>
      <c r="E153" s="247">
        <v>243</v>
      </c>
      <c r="G153" s="102" t="s">
        <v>197</v>
      </c>
      <c r="H153" s="11">
        <v>8</v>
      </c>
      <c r="I153" s="95"/>
      <c r="K153" s="248"/>
      <c r="L153" s="248"/>
      <c r="M153" s="95"/>
    </row>
    <row r="154" spans="1:39" x14ac:dyDescent="0.6">
      <c r="A154" s="17"/>
      <c r="G154" s="97" t="s">
        <v>198</v>
      </c>
      <c r="H154" s="2">
        <f>+H152+H153</f>
        <v>12</v>
      </c>
      <c r="I154" s="95"/>
      <c r="J154" s="103"/>
      <c r="K154" s="248"/>
      <c r="L154" s="248"/>
      <c r="M154" s="95"/>
    </row>
    <row r="155" spans="1:39" x14ac:dyDescent="0.6">
      <c r="A155" s="17"/>
      <c r="B155" s="11" t="s">
        <v>199</v>
      </c>
      <c r="C155" s="97" t="s">
        <v>200</v>
      </c>
      <c r="D155" s="249">
        <v>0</v>
      </c>
      <c r="E155" s="113" t="s">
        <v>201</v>
      </c>
      <c r="K155" s="250"/>
      <c r="L155" s="251"/>
    </row>
    <row r="156" spans="1:39" x14ac:dyDescent="0.6">
      <c r="A156" s="17"/>
      <c r="B156" s="11"/>
      <c r="C156" s="97"/>
      <c r="D156" s="249"/>
      <c r="E156" s="113"/>
      <c r="K156" s="250"/>
      <c r="L156" s="251"/>
    </row>
    <row r="157" spans="1:39" ht="26" x14ac:dyDescent="0.6">
      <c r="A157" s="17"/>
      <c r="B157" s="11"/>
      <c r="D157" s="252" t="s">
        <v>202</v>
      </c>
      <c r="E157" s="252" t="s">
        <v>203</v>
      </c>
      <c r="F157" s="2" t="s">
        <v>204</v>
      </c>
      <c r="I157" s="248"/>
      <c r="K157" s="250"/>
      <c r="L157" s="251"/>
    </row>
    <row r="158" spans="1:39" x14ac:dyDescent="0.6">
      <c r="A158" s="17"/>
      <c r="B158" s="11" t="s">
        <v>78</v>
      </c>
      <c r="C158" s="97" t="s">
        <v>79</v>
      </c>
      <c r="D158" s="248">
        <f>Input!E113</f>
        <v>270.35000000000002</v>
      </c>
      <c r="E158" s="248">
        <v>0</v>
      </c>
      <c r="F158" s="181">
        <f>SUM(D158:E158)</f>
        <v>270.35000000000002</v>
      </c>
      <c r="G158" s="113" t="s">
        <v>80</v>
      </c>
      <c r="K158" s="253"/>
    </row>
    <row r="159" spans="1:39" x14ac:dyDescent="0.6">
      <c r="A159" s="17"/>
      <c r="C159" s="97" t="s">
        <v>81</v>
      </c>
      <c r="D159" s="248">
        <f>Input!E114</f>
        <v>270.35000000000002</v>
      </c>
      <c r="E159" s="248">
        <v>0</v>
      </c>
      <c r="F159" s="181">
        <f>SUM(D159:E159)</f>
        <v>270.35000000000002</v>
      </c>
      <c r="G159" s="113" t="s">
        <v>80</v>
      </c>
      <c r="Q159" s="97" t="s">
        <v>205</v>
      </c>
    </row>
    <row r="160" spans="1:39" x14ac:dyDescent="0.6">
      <c r="A160" s="17"/>
      <c r="E160" s="129"/>
      <c r="F160" s="11"/>
      <c r="G160" s="11"/>
      <c r="H160" s="11"/>
      <c r="I160" s="11"/>
      <c r="J160" s="11"/>
      <c r="P160" s="97" t="s">
        <v>206</v>
      </c>
      <c r="Q160" s="254">
        <f>(F158*E152+F159*E153)/1000</f>
        <v>98.677750000000003</v>
      </c>
      <c r="R160" s="2" t="s">
        <v>207</v>
      </c>
    </row>
    <row r="161" spans="1:18" x14ac:dyDescent="0.6">
      <c r="A161" s="3"/>
      <c r="C161" s="8" t="str">
        <f>+C7</f>
        <v>RS</v>
      </c>
      <c r="D161" s="8" t="str">
        <f>+D7</f>
        <v>RHS</v>
      </c>
      <c r="F161" s="11"/>
      <c r="G161" s="11"/>
      <c r="H161" s="11"/>
      <c r="I161" s="11"/>
      <c r="J161" s="108"/>
    </row>
    <row r="162" spans="1:18" x14ac:dyDescent="0.6">
      <c r="A162" s="3"/>
      <c r="B162" s="255" t="s">
        <v>208</v>
      </c>
      <c r="C162" s="255"/>
      <c r="D162" s="255"/>
      <c r="F162" s="11"/>
      <c r="G162" s="11"/>
      <c r="H162" s="11"/>
      <c r="I162" s="11"/>
      <c r="J162" s="108"/>
      <c r="K162" s="236"/>
    </row>
    <row r="163" spans="1:18" x14ac:dyDescent="0.6">
      <c r="A163" s="3"/>
      <c r="B163" s="108" t="s">
        <v>209</v>
      </c>
      <c r="C163" s="46">
        <f>ROUND(Q165/Q167,3)</f>
        <v>0.64600000000000002</v>
      </c>
      <c r="D163" s="46">
        <f>ROUND(R165/R167,3)</f>
        <v>0.66100000000000003</v>
      </c>
      <c r="F163" s="14" t="s">
        <v>210</v>
      </c>
      <c r="G163" s="256"/>
      <c r="H163" s="257"/>
      <c r="I163" s="257"/>
      <c r="J163" s="108"/>
      <c r="K163" s="236"/>
      <c r="P163" s="11" t="s">
        <v>211</v>
      </c>
    </row>
    <row r="164" spans="1:18" x14ac:dyDescent="0.6">
      <c r="A164" s="3"/>
      <c r="B164" s="108" t="s">
        <v>212</v>
      </c>
      <c r="C164" s="46">
        <f>1-C163</f>
        <v>0.35399999999999998</v>
      </c>
      <c r="D164" s="46">
        <f>1-D163</f>
        <v>0.33899999999999997</v>
      </c>
      <c r="F164" s="11"/>
      <c r="H164" s="11"/>
      <c r="I164" s="11"/>
      <c r="J164" s="108"/>
      <c r="K164" s="236"/>
      <c r="N164" s="100"/>
      <c r="Q164" s="2" t="s">
        <v>12</v>
      </c>
      <c r="R164" s="2" t="s">
        <v>13</v>
      </c>
    </row>
    <row r="165" spans="1:18" x14ac:dyDescent="0.6">
      <c r="A165" s="3"/>
      <c r="F165" s="11"/>
      <c r="H165" s="11"/>
      <c r="I165" s="11"/>
      <c r="J165" s="108"/>
      <c r="K165" s="236"/>
      <c r="P165" s="2" t="s">
        <v>213</v>
      </c>
      <c r="Q165" s="258">
        <v>3528124</v>
      </c>
      <c r="R165" s="258">
        <v>19973</v>
      </c>
    </row>
    <row r="166" spans="1:18" x14ac:dyDescent="0.6">
      <c r="A166" s="3"/>
      <c r="B166" s="108" t="s">
        <v>83</v>
      </c>
      <c r="C166" s="220">
        <f>Input!C119</f>
        <v>0.86519999999999975</v>
      </c>
      <c r="D166" s="220">
        <f>Input!D119</f>
        <v>1.1569000000000003</v>
      </c>
      <c r="E166" s="11" t="s">
        <v>84</v>
      </c>
      <c r="F166" s="111" t="s">
        <v>214</v>
      </c>
      <c r="I166" s="11"/>
      <c r="J166" s="108"/>
      <c r="K166" s="236"/>
      <c r="P166" s="2" t="s">
        <v>215</v>
      </c>
      <c r="Q166" s="259">
        <v>1931618</v>
      </c>
      <c r="R166" s="259">
        <v>10227</v>
      </c>
    </row>
    <row r="167" spans="1:18" x14ac:dyDescent="0.6">
      <c r="A167" s="3"/>
      <c r="F167" s="11"/>
      <c r="H167" s="11"/>
      <c r="I167" s="11"/>
      <c r="J167" s="108"/>
      <c r="K167" s="236"/>
      <c r="P167" s="2" t="s">
        <v>216</v>
      </c>
      <c r="Q167" s="258">
        <f>SUM(Q165:Q166)</f>
        <v>5459742</v>
      </c>
      <c r="R167" s="258">
        <f>SUM(R165:R166)</f>
        <v>30200</v>
      </c>
    </row>
    <row r="168" spans="1:18" x14ac:dyDescent="0.6">
      <c r="A168" s="3" t="s">
        <v>86</v>
      </c>
      <c r="B168" s="13" t="s">
        <v>87</v>
      </c>
      <c r="F168" s="11"/>
      <c r="H168" s="11"/>
      <c r="I168" s="11"/>
      <c r="J168" s="108"/>
      <c r="K168" s="236"/>
      <c r="Q168" s="258"/>
      <c r="R168" s="258"/>
    </row>
    <row r="169" spans="1:18" x14ac:dyDescent="0.6">
      <c r="A169" s="2"/>
      <c r="B169" s="9" t="s">
        <v>88</v>
      </c>
      <c r="C169" s="11"/>
      <c r="D169" s="248">
        <f>+Input!D123</f>
        <v>2</v>
      </c>
      <c r="E169" s="11"/>
      <c r="F169" s="11"/>
      <c r="G169" s="11"/>
      <c r="H169" s="11"/>
      <c r="I169" s="11"/>
      <c r="J169" s="11"/>
    </row>
    <row r="170" spans="1:18" x14ac:dyDescent="0.6">
      <c r="A170" s="3"/>
      <c r="B170" s="9" t="s">
        <v>91</v>
      </c>
      <c r="D170" s="248">
        <f>+Input!D124</f>
        <v>21.82</v>
      </c>
      <c r="I170" s="11"/>
      <c r="J170" s="11"/>
    </row>
    <row r="171" spans="1:18" x14ac:dyDescent="0.6">
      <c r="A171" s="17"/>
      <c r="B171" s="9" t="s">
        <v>217</v>
      </c>
      <c r="D171" s="237">
        <f>SUM(D169:D170)</f>
        <v>23.82</v>
      </c>
      <c r="E171" s="113" t="s">
        <v>89</v>
      </c>
    </row>
    <row r="172" spans="1:18" x14ac:dyDescent="0.6">
      <c r="A172" s="17"/>
      <c r="B172" s="14"/>
      <c r="F172" s="113"/>
    </row>
    <row r="173" spans="1:18" x14ac:dyDescent="0.6">
      <c r="A173" s="17"/>
      <c r="B173" s="13"/>
      <c r="E173" s="260"/>
      <c r="F173" s="113"/>
    </row>
    <row r="174" spans="1:18" x14ac:dyDescent="0.6">
      <c r="A174" s="3" t="s">
        <v>218</v>
      </c>
      <c r="B174" s="13" t="s">
        <v>219</v>
      </c>
    </row>
    <row r="175" spans="1:18" x14ac:dyDescent="0.6">
      <c r="A175" s="3"/>
      <c r="B175" s="13"/>
    </row>
    <row r="176" spans="1:18" x14ac:dyDescent="0.6">
      <c r="A176" s="3"/>
      <c r="B176" s="13"/>
      <c r="C176" s="8" t="str">
        <f t="shared" ref="C176:J176" si="49">+C7</f>
        <v>RS</v>
      </c>
      <c r="D176" s="8" t="str">
        <f t="shared" si="49"/>
        <v>RHS</v>
      </c>
      <c r="E176" s="8" t="str">
        <f t="shared" si="49"/>
        <v>RLM</v>
      </c>
      <c r="F176" s="8" t="str">
        <f t="shared" si="49"/>
        <v>WH</v>
      </c>
      <c r="G176" s="8" t="str">
        <f t="shared" si="49"/>
        <v>WHS</v>
      </c>
      <c r="H176" s="8" t="str">
        <f t="shared" si="49"/>
        <v>HS</v>
      </c>
      <c r="I176" s="8" t="str">
        <f t="shared" si="49"/>
        <v>PSAL</v>
      </c>
      <c r="J176" s="8" t="str">
        <f t="shared" si="49"/>
        <v>BPL</v>
      </c>
    </row>
    <row r="177" spans="1:13" x14ac:dyDescent="0.6">
      <c r="A177" s="3"/>
      <c r="B177" s="13"/>
    </row>
    <row r="178" spans="1:13" x14ac:dyDescent="0.6">
      <c r="A178" s="17"/>
      <c r="B178" s="97" t="s">
        <v>220</v>
      </c>
      <c r="C178" s="254">
        <f>(+$D$155*C149*$H$154/12)/C57</f>
        <v>0</v>
      </c>
      <c r="D178" s="254">
        <f>(+$D$155*D149*$H$154/12)/D57</f>
        <v>0</v>
      </c>
      <c r="E178" s="254">
        <f>(+$D$155*E149*$H$154/12)/SUMPRODUCT(E27:E38,E45:E56)</f>
        <v>0</v>
      </c>
      <c r="F178" s="254">
        <f>(+$D$155*F149*$H$154/12)/F57</f>
        <v>0</v>
      </c>
      <c r="G178" s="254">
        <f>(+$D$155*G149*$H$154/12)/G57</f>
        <v>0</v>
      </c>
      <c r="H178" s="254">
        <f>(+$D$155*H149*$H$154/12)/H57</f>
        <v>0</v>
      </c>
      <c r="I178" s="254">
        <f>(+$D$155*I149*$H$154/12)/I57</f>
        <v>0</v>
      </c>
      <c r="J178" s="254">
        <f>(+$D$155*J149*$H$154/12)/J57</f>
        <v>0</v>
      </c>
      <c r="K178" s="254"/>
      <c r="L178" s="254"/>
      <c r="M178" s="254"/>
    </row>
    <row r="179" spans="1:13" x14ac:dyDescent="0.6">
      <c r="A179" s="17"/>
      <c r="B179" s="97"/>
      <c r="C179" s="254"/>
      <c r="D179" s="254"/>
      <c r="E179" s="254"/>
      <c r="F179" s="254"/>
      <c r="G179" s="254"/>
      <c r="H179" s="254"/>
      <c r="I179" s="254"/>
      <c r="J179" s="254"/>
      <c r="K179" s="254"/>
      <c r="L179" s="254"/>
      <c r="M179" s="254"/>
    </row>
    <row r="180" spans="1:13" x14ac:dyDescent="0.6">
      <c r="A180" s="17"/>
      <c r="B180" s="97" t="s">
        <v>221</v>
      </c>
      <c r="K180" s="254"/>
      <c r="L180" s="254"/>
      <c r="M180" s="254"/>
    </row>
    <row r="181" spans="1:13" x14ac:dyDescent="0.6">
      <c r="A181" s="3"/>
      <c r="B181" s="108" t="s">
        <v>222</v>
      </c>
      <c r="C181" s="235">
        <f>((+$Q$160*C147*1000)/C57)</f>
        <v>41.624496815136609</v>
      </c>
      <c r="D181" s="235">
        <f>((+$Q$160*D147*1000)/D57)</f>
        <v>24.050585411985537</v>
      </c>
      <c r="E181" s="235">
        <f>(+$Q$160*E147*1000)/SUMPRODUCT(E45:E56,E27:E38)</f>
        <v>99.357836101090186</v>
      </c>
      <c r="F181" s="235">
        <f>((+$Q$160*F147*1000)/F57)</f>
        <v>0</v>
      </c>
      <c r="G181" s="235">
        <f>((+$Q$160*G147*1000)/G57)</f>
        <v>0</v>
      </c>
      <c r="H181" s="235">
        <f>((+$Q$160*H147*1000)/H57)</f>
        <v>30.925469831466714</v>
      </c>
      <c r="I181" s="235">
        <f>((+$Q$160*I147*1000)/I57)</f>
        <v>0</v>
      </c>
      <c r="J181" s="235">
        <f>((+$Q$160*J147*1000)/J57)</f>
        <v>0</v>
      </c>
      <c r="K181" s="254"/>
      <c r="L181" s="254"/>
      <c r="M181" s="254"/>
    </row>
    <row r="182" spans="1:13" x14ac:dyDescent="0.6">
      <c r="A182" s="17"/>
      <c r="B182" s="97" t="s">
        <v>223</v>
      </c>
      <c r="C182" s="261">
        <f>(C147*$F$158*$E$152)/SUM(C50:C53)</f>
        <v>32.12328139129982</v>
      </c>
      <c r="D182" s="261">
        <f>(D147*$F$158*$E$152)/SUM(D50:D53)</f>
        <v>36.165634563064231</v>
      </c>
      <c r="E182" s="261">
        <f>(E147*$F$158*$E$152)/SUMPRODUCT(E50:E53,E32:E35)</f>
        <v>69.190273159240405</v>
      </c>
      <c r="F182" s="261">
        <f>(F147*$F$158*$E$152)/SUM(F50:F53)</f>
        <v>0</v>
      </c>
      <c r="G182" s="261">
        <f>(G147*$F$158*$E$152)/SUM(G50:G53)</f>
        <v>0</v>
      </c>
      <c r="H182" s="261">
        <f>(H147*$F$158*$E$152)/SUM(H50:H53)</f>
        <v>49.202656386580074</v>
      </c>
      <c r="I182" s="261">
        <f>(I147*$F$158*$E$152)/SUM(I50:I53)</f>
        <v>0</v>
      </c>
      <c r="J182" s="261">
        <f>(J147*$F$158*$E$152)/SUM(J50:J53)</f>
        <v>0</v>
      </c>
      <c r="K182" s="254"/>
      <c r="L182" s="254"/>
      <c r="M182" s="254"/>
    </row>
    <row r="183" spans="1:13" x14ac:dyDescent="0.6">
      <c r="A183" s="17"/>
      <c r="B183" s="97" t="s">
        <v>224</v>
      </c>
      <c r="C183" s="254">
        <f>(C147*$F$159*$E$153)/SUM(C45:C49,C54:C56)</f>
        <v>48.883463224525919</v>
      </c>
      <c r="D183" s="254">
        <f>(D147*$F$159*$E$153)/SUM(D45:D49,D54:D56)</f>
        <v>20.588025167643892</v>
      </c>
      <c r="E183" s="254">
        <f>(E147*$F$159*$E$153)/(SUMPRODUCT(E45:E49,E27:E31)+SUMPRODUCT(E54:E56,E36:E38))</f>
        <v>127.20269751118499</v>
      </c>
      <c r="F183" s="254">
        <f>(F147*$F$159*$E$153)/SUM(F45:F49,F54:F56)</f>
        <v>0</v>
      </c>
      <c r="G183" s="254">
        <f>(G147*$F$159*$E$153)/SUM(G45:G49,G54:G56)</f>
        <v>0</v>
      </c>
      <c r="H183" s="254">
        <f>(H147*$F$159*$E$153)/SUM(H45:H49,H54:H56)</f>
        <v>26.064492228196595</v>
      </c>
      <c r="I183" s="254">
        <f>(I147*$F$159*$E$153)/SUM(I45:I49,I54:I56)</f>
        <v>0</v>
      </c>
      <c r="J183" s="254">
        <f>(J147*$F$159*$E$153)/SUM(J45:J49,J54:J56)</f>
        <v>0</v>
      </c>
      <c r="K183" s="254"/>
      <c r="L183" s="254"/>
      <c r="M183" s="254"/>
    </row>
    <row r="184" spans="1:13" x14ac:dyDescent="0.6">
      <c r="A184" s="17"/>
      <c r="E184" s="262" t="s">
        <v>225</v>
      </c>
      <c r="F184" s="254"/>
      <c r="G184" s="254"/>
      <c r="H184" s="254"/>
      <c r="K184" s="254"/>
      <c r="L184" s="254"/>
      <c r="M184" s="254"/>
    </row>
    <row r="185" spans="1:13" x14ac:dyDescent="0.6">
      <c r="A185" s="17"/>
      <c r="E185" s="262" t="s">
        <v>226</v>
      </c>
      <c r="F185" s="254"/>
      <c r="G185" s="254"/>
      <c r="H185" s="254"/>
      <c r="K185" s="254"/>
      <c r="L185" s="254"/>
      <c r="M185" s="254"/>
    </row>
    <row r="186" spans="1:13" x14ac:dyDescent="0.6">
      <c r="A186" s="17"/>
    </row>
    <row r="187" spans="1:13" x14ac:dyDescent="0.6">
      <c r="A187" s="3" t="s">
        <v>227</v>
      </c>
      <c r="B187" s="13" t="s">
        <v>228</v>
      </c>
    </row>
    <row r="188" spans="1:13" x14ac:dyDescent="0.6">
      <c r="A188" s="17"/>
      <c r="B188" s="13"/>
      <c r="K188" s="263"/>
    </row>
    <row r="189" spans="1:13" x14ac:dyDescent="0.6">
      <c r="A189" s="17"/>
      <c r="B189" s="13" t="s">
        <v>229</v>
      </c>
    </row>
    <row r="190" spans="1:13" x14ac:dyDescent="0.6">
      <c r="A190" s="17"/>
      <c r="B190" s="14" t="s">
        <v>230</v>
      </c>
    </row>
    <row r="191" spans="1:13" x14ac:dyDescent="0.6">
      <c r="A191" s="17"/>
      <c r="B191" s="14" t="s">
        <v>164</v>
      </c>
    </row>
    <row r="192" spans="1:13" x14ac:dyDescent="0.6">
      <c r="A192" s="17"/>
      <c r="C192" s="8" t="str">
        <f t="shared" ref="C192:J192" si="50">+C7</f>
        <v>RS</v>
      </c>
      <c r="D192" s="8" t="str">
        <f t="shared" si="50"/>
        <v>RHS</v>
      </c>
      <c r="E192" s="8" t="str">
        <f t="shared" si="50"/>
        <v>RLM</v>
      </c>
      <c r="F192" s="8" t="str">
        <f t="shared" si="50"/>
        <v>WH</v>
      </c>
      <c r="G192" s="8" t="str">
        <f t="shared" si="50"/>
        <v>WHS</v>
      </c>
      <c r="H192" s="8" t="str">
        <f t="shared" si="50"/>
        <v>HS</v>
      </c>
      <c r="I192" s="8" t="str">
        <f t="shared" si="50"/>
        <v>PSAL</v>
      </c>
      <c r="J192" s="8" t="str">
        <f t="shared" si="50"/>
        <v>BPL</v>
      </c>
    </row>
    <row r="193" spans="1:11" x14ac:dyDescent="0.6">
      <c r="A193" s="17"/>
      <c r="C193" s="8"/>
      <c r="D193" s="8"/>
      <c r="E193" s="235"/>
      <c r="F193" s="8"/>
      <c r="G193" s="8"/>
    </row>
    <row r="194" spans="1:11" x14ac:dyDescent="0.6">
      <c r="A194" s="17"/>
      <c r="B194" s="32" t="s">
        <v>165</v>
      </c>
      <c r="C194" s="235">
        <f>+C130+($D$171*C80)+C$178+C181</f>
        <v>109.17194821613727</v>
      </c>
      <c r="D194" s="235">
        <f>+D130+($D$171*D80)+D$178+D181</f>
        <v>91.73194935909828</v>
      </c>
      <c r="E194" s="235"/>
      <c r="F194" s="235">
        <f>+F130+($D$171*F80)+F$178+F181</f>
        <v>66.228171841420959</v>
      </c>
      <c r="G194" s="235">
        <f>+G130+($D$171*G80)+G$178+G181</f>
        <v>68.4731789054958</v>
      </c>
      <c r="H194" s="235">
        <f>+H130+($D$171*H80)+H$178+H181</f>
        <v>99.765876942440642</v>
      </c>
      <c r="I194" s="235">
        <f>+I130+($D$171*I80)+I$178+I181</f>
        <v>61.336059431706794</v>
      </c>
      <c r="J194" s="235">
        <f>+J130+($D$171*J80)+J$178+J181</f>
        <v>61.191284954756711</v>
      </c>
      <c r="K194" s="235"/>
    </row>
    <row r="195" spans="1:11" x14ac:dyDescent="0.6">
      <c r="A195" s="17"/>
      <c r="B195" s="159" t="s">
        <v>185</v>
      </c>
      <c r="C195" s="235"/>
      <c r="D195" s="235"/>
      <c r="E195" s="235">
        <f>+E131+($D$171*E80)+E$178+E181</f>
        <v>175.86759920951334</v>
      </c>
      <c r="F195" s="235"/>
      <c r="G195" s="235"/>
      <c r="H195" s="235"/>
      <c r="I195" s="235"/>
      <c r="J195" s="235"/>
    </row>
    <row r="196" spans="1:11" x14ac:dyDescent="0.6">
      <c r="A196" s="17"/>
      <c r="B196" s="159" t="s">
        <v>186</v>
      </c>
      <c r="C196" s="235"/>
      <c r="D196" s="235"/>
      <c r="E196" s="235">
        <f>+E132+($D$171*E80)</f>
        <v>59.441134159616098</v>
      </c>
      <c r="F196" s="235"/>
      <c r="G196" s="235"/>
      <c r="H196" s="235"/>
      <c r="I196" s="235"/>
      <c r="J196" s="235"/>
    </row>
    <row r="197" spans="1:11" x14ac:dyDescent="0.6">
      <c r="A197" s="17"/>
      <c r="B197" s="108" t="s">
        <v>209</v>
      </c>
      <c r="C197" s="235">
        <f>(C194*SUM(C50:C53)-C166*10*C164*SUM(C50:C53))/SUM(C50:C53)</f>
        <v>106.10914021613726</v>
      </c>
      <c r="D197" s="235">
        <f>(D194*SUM(D50:D53)-D166*10*D164*SUM(D50:D53))/SUM(D50:D53)</f>
        <v>87.810058359098278</v>
      </c>
      <c r="E197" s="235"/>
      <c r="F197" s="235"/>
      <c r="G197" s="235"/>
      <c r="H197" s="235"/>
      <c r="I197" s="235"/>
      <c r="J197" s="235"/>
    </row>
    <row r="198" spans="1:11" x14ac:dyDescent="0.6">
      <c r="A198" s="17"/>
      <c r="B198" s="108" t="s">
        <v>231</v>
      </c>
      <c r="C198" s="235">
        <f>+C197+C166*10</f>
        <v>114.76114021613726</v>
      </c>
      <c r="D198" s="235">
        <f>+D197+D166*10</f>
        <v>99.379058359098281</v>
      </c>
      <c r="E198" s="235"/>
      <c r="F198" s="235"/>
      <c r="G198" s="235"/>
      <c r="H198" s="235"/>
      <c r="I198" s="235"/>
      <c r="J198" s="235"/>
    </row>
    <row r="199" spans="1:11" x14ac:dyDescent="0.6">
      <c r="A199" s="17"/>
      <c r="C199" s="235"/>
      <c r="D199" s="235"/>
      <c r="E199" s="235"/>
      <c r="F199" s="235"/>
      <c r="G199" s="235"/>
      <c r="H199" s="235"/>
      <c r="I199" s="235"/>
      <c r="J199" s="235"/>
    </row>
    <row r="200" spans="1:11" x14ac:dyDescent="0.6">
      <c r="A200" s="17"/>
      <c r="B200" s="32" t="s">
        <v>168</v>
      </c>
      <c r="C200" s="235">
        <f>+C134+($D$171*C80)+C$178+C181</f>
        <v>112.82681615211087</v>
      </c>
      <c r="D200" s="235">
        <f>+D134+($D$171*D80)+D$178+D181</f>
        <v>97.206555669208939</v>
      </c>
      <c r="E200" s="235"/>
      <c r="F200" s="235">
        <f>+F134+($D$171*F80)+F$178+F181</f>
        <v>70.799390418080804</v>
      </c>
      <c r="G200" s="235">
        <f>+G134+($D$171*G80)+G$178+G181</f>
        <v>73.439844277457652</v>
      </c>
      <c r="H200" s="235">
        <f>+H134+($D$171*H80)+H$178+H181</f>
        <v>104.5312981104715</v>
      </c>
      <c r="I200" s="235">
        <f>+I134+($D$171*I80)+I$178+I181</f>
        <v>70.162012039520221</v>
      </c>
      <c r="J200" s="235">
        <f>+J134+($D$171*J80)+J$178+J181</f>
        <v>69.951706272201719</v>
      </c>
      <c r="K200" s="235"/>
    </row>
    <row r="201" spans="1:11" x14ac:dyDescent="0.6">
      <c r="A201" s="17"/>
      <c r="B201" s="159" t="s">
        <v>185</v>
      </c>
      <c r="C201" s="235"/>
      <c r="D201" s="235"/>
      <c r="E201" s="235">
        <f>+E135+($D$171*E80)+E$178+E181</f>
        <v>173.76268147567737</v>
      </c>
      <c r="F201" s="235"/>
      <c r="G201" s="235"/>
      <c r="H201" s="235"/>
      <c r="I201" s="235"/>
      <c r="J201" s="235"/>
    </row>
    <row r="202" spans="1:11" x14ac:dyDescent="0.6">
      <c r="A202" s="17"/>
      <c r="B202" s="159" t="s">
        <v>186</v>
      </c>
      <c r="C202" s="235"/>
      <c r="D202" s="235"/>
      <c r="E202" s="235">
        <f>+E136+($D$171*E80)</f>
        <v>68.546839519734618</v>
      </c>
      <c r="F202" s="235"/>
      <c r="G202" s="235"/>
      <c r="H202" s="235"/>
      <c r="I202" s="235"/>
      <c r="J202" s="235"/>
    </row>
    <row r="203" spans="1:11" x14ac:dyDescent="0.6">
      <c r="A203" s="17"/>
      <c r="C203" s="235"/>
      <c r="D203" s="235"/>
      <c r="E203" s="235"/>
      <c r="F203" s="235"/>
      <c r="G203" s="235"/>
      <c r="H203" s="235"/>
      <c r="I203" s="235"/>
      <c r="J203" s="235"/>
    </row>
    <row r="204" spans="1:11" x14ac:dyDescent="0.6">
      <c r="A204" s="17"/>
      <c r="B204" s="2" t="s">
        <v>232</v>
      </c>
      <c r="C204" s="235">
        <f>+C138+($D$171*C80)+C$178+C181</f>
        <v>111.24386413870303</v>
      </c>
      <c r="D204" s="235">
        <f>+D138+($D$171*D80)+D$178+D181</f>
        <v>95.989670993156921</v>
      </c>
      <c r="E204" s="235">
        <f>((E195*SUMPRODUCT(E32:E35,E50:E53)+E196*SUMPRODUCT(Q32:Q35,E50:E53))+(E201*(SUMPRODUCT(E27:E31,E45:E49)+SUMPRODUCT(E36:E38,E54:E56))+E202*(SUMPRODUCT(Q27:Q31,E45:E49)+SUMPRODUCT(Q36:Q38,E54:E56))))/E57</f>
        <v>114.15139051725133</v>
      </c>
      <c r="F204" s="235">
        <f>+F138+($D$171*F80)+F$178+F181</f>
        <v>69.533261531739768</v>
      </c>
      <c r="G204" s="235">
        <f>+G138+($D$171*G80)+G$178+G181</f>
        <v>71.577344762971961</v>
      </c>
      <c r="H204" s="235">
        <f>+H138+($D$171*H80)+H$178+H181</f>
        <v>103.53015534869563</v>
      </c>
      <c r="I204" s="235">
        <f>+I138+($D$171*I80)+I$178+I181</f>
        <v>67.748132399206199</v>
      </c>
      <c r="J204" s="235">
        <f>+J138+($D$171*J80)+J$178+J181</f>
        <v>67.546829755587808</v>
      </c>
      <c r="K204" s="235"/>
    </row>
    <row r="205" spans="1:11" x14ac:dyDescent="0.6">
      <c r="A205" s="17"/>
      <c r="C205" s="235"/>
      <c r="D205" s="235"/>
      <c r="E205" s="235"/>
      <c r="F205" s="235"/>
      <c r="G205" s="235"/>
      <c r="H205" s="235"/>
      <c r="I205" s="235"/>
      <c r="J205" s="235"/>
      <c r="K205" s="235"/>
    </row>
    <row r="206" spans="1:11" x14ac:dyDescent="0.6">
      <c r="A206" s="17"/>
      <c r="B206" s="13" t="s">
        <v>233</v>
      </c>
    </row>
    <row r="207" spans="1:11" x14ac:dyDescent="0.6">
      <c r="A207" s="17"/>
      <c r="B207" s="14" t="s">
        <v>234</v>
      </c>
    </row>
    <row r="208" spans="1:11" x14ac:dyDescent="0.6">
      <c r="A208" s="17"/>
      <c r="B208" s="14" t="s">
        <v>164</v>
      </c>
    </row>
    <row r="209" spans="1:15" x14ac:dyDescent="0.6">
      <c r="A209" s="17"/>
      <c r="C209" s="8" t="str">
        <f>+K7</f>
        <v>GLP</v>
      </c>
      <c r="D209" s="8" t="str">
        <f>+L7</f>
        <v>LPL-S</v>
      </c>
      <c r="E209" s="8"/>
      <c r="H209" s="13" t="s">
        <v>235</v>
      </c>
      <c r="I209" s="8" t="str">
        <f>+C209</f>
        <v>GLP</v>
      </c>
      <c r="J209" s="8" t="str">
        <f>+D209</f>
        <v>LPL-S</v>
      </c>
    </row>
    <row r="210" spans="1:15" x14ac:dyDescent="0.6">
      <c r="A210" s="17"/>
      <c r="C210" s="8"/>
      <c r="D210" s="8"/>
      <c r="F210" s="13"/>
    </row>
    <row r="211" spans="1:15" x14ac:dyDescent="0.6">
      <c r="A211" s="17"/>
      <c r="B211" s="32" t="s">
        <v>165</v>
      </c>
      <c r="C211" s="235">
        <f>+K130+($D$171*K80)</f>
        <v>68.012149389282641</v>
      </c>
      <c r="D211" s="235">
        <f>+L130+($D$171*L$80)</f>
        <v>67.447131434637271</v>
      </c>
      <c r="E211" s="129"/>
      <c r="H211" s="153" t="s">
        <v>236</v>
      </c>
    </row>
    <row r="212" spans="1:15" x14ac:dyDescent="0.6">
      <c r="A212" s="17"/>
      <c r="B212" s="159" t="s">
        <v>185</v>
      </c>
      <c r="C212" s="235"/>
      <c r="D212" s="235">
        <f>+L131+($D$171*L$80)</f>
        <v>75.9823734732134</v>
      </c>
      <c r="H212" s="97" t="s">
        <v>237</v>
      </c>
      <c r="I212" s="264">
        <f>+$F158*$E152/$H152/1000</f>
        <v>8.2456750000000003</v>
      </c>
      <c r="J212" s="264">
        <f>+$F158*$E152/$H152/1000</f>
        <v>8.2456750000000003</v>
      </c>
      <c r="K212" s="113" t="s">
        <v>238</v>
      </c>
      <c r="O212" s="157"/>
    </row>
    <row r="213" spans="1:15" x14ac:dyDescent="0.6">
      <c r="A213" s="17"/>
      <c r="B213" s="159" t="s">
        <v>186</v>
      </c>
      <c r="C213" s="235"/>
      <c r="D213" s="235">
        <f>+L132+($D$171*L$80)</f>
        <v>59.308439506359591</v>
      </c>
      <c r="H213" s="97" t="s">
        <v>239</v>
      </c>
      <c r="I213" s="264">
        <f>+$F159*$E153/$H153/1000</f>
        <v>8.2118812500000011</v>
      </c>
      <c r="J213" s="264">
        <f>+$F159*$E153/$H153/1000</f>
        <v>8.2118812500000011</v>
      </c>
      <c r="K213" s="113" t="s">
        <v>238</v>
      </c>
    </row>
    <row r="214" spans="1:15" x14ac:dyDescent="0.6">
      <c r="A214" s="17"/>
      <c r="C214" s="235"/>
      <c r="D214" s="235"/>
      <c r="H214" s="97" t="s">
        <v>240</v>
      </c>
      <c r="I214" s="264">
        <f>($F$158*$E$152+$F$159*$E$153)/$H$154/1000</f>
        <v>8.2231458333333336</v>
      </c>
      <c r="J214" s="264">
        <f>($F$158*$E$152+$F$159*$E$153)/$H$154/1000</f>
        <v>8.2231458333333336</v>
      </c>
      <c r="K214" s="113" t="s">
        <v>238</v>
      </c>
    </row>
    <row r="215" spans="1:15" x14ac:dyDescent="0.6">
      <c r="A215" s="17"/>
      <c r="B215" s="32" t="s">
        <v>168</v>
      </c>
      <c r="C215" s="235">
        <f>+K134+($D$171*K80)</f>
        <v>70.990825591419735</v>
      </c>
      <c r="D215" s="235">
        <f>+L134+($D$171*L$80)</f>
        <v>70.855500749384987</v>
      </c>
    </row>
    <row r="216" spans="1:15" x14ac:dyDescent="0.6">
      <c r="A216" s="17"/>
      <c r="B216" s="159" t="s">
        <v>185</v>
      </c>
      <c r="C216" s="235"/>
      <c r="D216" s="235">
        <f>+L135+($D$171*L$80)</f>
        <v>73.831014806781866</v>
      </c>
      <c r="H216" s="153" t="s">
        <v>241</v>
      </c>
      <c r="I216" s="164"/>
      <c r="J216" s="164"/>
      <c r="K216" s="113"/>
    </row>
    <row r="217" spans="1:15" x14ac:dyDescent="0.6">
      <c r="A217" s="17"/>
      <c r="B217" s="159" t="s">
        <v>186</v>
      </c>
      <c r="C217" s="235"/>
      <c r="D217" s="235">
        <f>+L136+($D$171*L$80)</f>
        <v>68.191757276937096</v>
      </c>
      <c r="H217" s="97" t="s">
        <v>242</v>
      </c>
      <c r="I217" s="264">
        <f>+$D155/1000/12</f>
        <v>0</v>
      </c>
      <c r="J217" s="264">
        <f>+$D155/1000/12</f>
        <v>0</v>
      </c>
      <c r="K217" s="113" t="s">
        <v>243</v>
      </c>
    </row>
    <row r="218" spans="1:15" x14ac:dyDescent="0.6">
      <c r="A218" s="17"/>
      <c r="B218" s="159"/>
      <c r="C218" s="235"/>
      <c r="D218" s="235"/>
    </row>
    <row r="219" spans="1:15" x14ac:dyDescent="0.6">
      <c r="A219" s="17"/>
      <c r="B219" s="2" t="s">
        <v>244</v>
      </c>
      <c r="C219" s="235">
        <f>+K138+($D$171*K80)</f>
        <v>69.896495779507788</v>
      </c>
      <c r="D219" s="235">
        <f>+L138+($D$171*L$80)</f>
        <v>69.637549315899463</v>
      </c>
    </row>
    <row r="220" spans="1:15" x14ac:dyDescent="0.6">
      <c r="A220" s="17"/>
      <c r="C220" s="235"/>
      <c r="D220" s="235"/>
    </row>
    <row r="221" spans="1:15" x14ac:dyDescent="0.6">
      <c r="A221" s="17"/>
      <c r="B221" s="166" t="s">
        <v>245</v>
      </c>
      <c r="C221" s="235"/>
      <c r="D221" s="235"/>
    </row>
    <row r="222" spans="1:15" x14ac:dyDescent="0.6">
      <c r="A222" s="17"/>
      <c r="B222" s="32" t="s">
        <v>165</v>
      </c>
      <c r="C222" s="235">
        <f>(C211*W49+((I214*$H152)*K147*1000)+(I217*$H152*K149*1000))/W49</f>
        <v>99.405798327961989</v>
      </c>
      <c r="D222" s="235">
        <f>(D211*X49+((J214*$H152)*L147*1000)+(J217*$H152*L149*1000))/X49</f>
        <v>87.739778623989238</v>
      </c>
      <c r="F222" s="2" t="s">
        <v>246</v>
      </c>
    </row>
    <row r="223" spans="1:15" x14ac:dyDescent="0.6">
      <c r="A223" s="17"/>
      <c r="B223" s="159" t="s">
        <v>185</v>
      </c>
      <c r="C223" s="235"/>
      <c r="D223" s="235">
        <f>(D212*X50+((J214*$H152)*L147*1000)+(J217*$H152*L149*1000))/X50</f>
        <v>117.55640800231249</v>
      </c>
    </row>
    <row r="224" spans="1:15" x14ac:dyDescent="0.6">
      <c r="A224" s="17"/>
      <c r="B224" s="159" t="s">
        <v>186</v>
      </c>
      <c r="C224" s="235"/>
      <c r="D224" s="235">
        <f>+D213</f>
        <v>59.308439506359591</v>
      </c>
    </row>
    <row r="225" spans="1:7" x14ac:dyDescent="0.6">
      <c r="A225" s="17"/>
      <c r="C225" s="235"/>
      <c r="D225" s="235"/>
    </row>
    <row r="226" spans="1:7" x14ac:dyDescent="0.6">
      <c r="A226" s="17"/>
      <c r="B226" s="32" t="s">
        <v>168</v>
      </c>
      <c r="C226" s="235">
        <f>(C215*W45+((I214*$H153)*K147*1000)+(I217*$H153*K149*1000))/W45</f>
        <v>107.45440374935129</v>
      </c>
      <c r="D226" s="235">
        <f>(D215*X45+((J214*$H153)*L147*1000)+(J217*$H153*L149*1000))/X45</f>
        <v>93.422389875806772</v>
      </c>
    </row>
    <row r="227" spans="1:7" x14ac:dyDescent="0.6">
      <c r="A227" s="17"/>
      <c r="B227" s="159" t="s">
        <v>185</v>
      </c>
      <c r="C227" s="235"/>
      <c r="D227" s="235">
        <f>(D216*X46+((J214*$H153)*L147*1000)+(J217*$H153*L149*1000))/X46</f>
        <v>121.60607300876323</v>
      </c>
    </row>
    <row r="228" spans="1:7" x14ac:dyDescent="0.6">
      <c r="A228" s="17"/>
      <c r="B228" s="159" t="s">
        <v>186</v>
      </c>
      <c r="C228" s="235"/>
      <c r="D228" s="235">
        <f>+D217</f>
        <v>68.191757276937096</v>
      </c>
    </row>
    <row r="229" spans="1:7" x14ac:dyDescent="0.6">
      <c r="A229" s="17"/>
      <c r="B229" s="159"/>
      <c r="C229" s="235"/>
      <c r="D229" s="235"/>
    </row>
    <row r="230" spans="1:7" x14ac:dyDescent="0.6">
      <c r="A230" s="17"/>
      <c r="B230" s="11" t="s">
        <v>247</v>
      </c>
      <c r="C230" s="235">
        <f>(C219*K57+((I214*$H152+I214*$H153)*K147*1000)+(I217*$H154*K149*1000))/K57</f>
        <v>104.49744291868994</v>
      </c>
      <c r="D230" s="235">
        <f>(D219*L57+((J214*$H152+J214*$H153)*L147*1000)+(J217*$H154*L149*1000))/L57</f>
        <v>91.391757664049393</v>
      </c>
    </row>
    <row r="231" spans="1:7" x14ac:dyDescent="0.6">
      <c r="A231" s="17"/>
      <c r="C231" s="238"/>
      <c r="D231" s="238"/>
    </row>
    <row r="232" spans="1:7" x14ac:dyDescent="0.6">
      <c r="A232" s="17"/>
      <c r="B232" s="13" t="s">
        <v>248</v>
      </c>
      <c r="C232" s="235"/>
      <c r="D232" s="235"/>
    </row>
    <row r="233" spans="1:7" x14ac:dyDescent="0.6">
      <c r="A233" s="17"/>
      <c r="B233" s="97" t="s">
        <v>249</v>
      </c>
      <c r="C233" s="242">
        <f>(+SUMPRODUCT(C204:J204,C57:J57)+SUMPRODUCT(C230:D230,K57:L57))/1000</f>
        <v>2617650.6761288824</v>
      </c>
      <c r="G233" s="168"/>
    </row>
    <row r="234" spans="1:7" x14ac:dyDescent="0.6">
      <c r="A234" s="17"/>
      <c r="C234" s="97" t="s">
        <v>250</v>
      </c>
      <c r="D234" s="254">
        <f>+C233/SUM(C57:L57)*1000</f>
        <v>104.74847462750763</v>
      </c>
      <c r="E234" s="2" t="s">
        <v>251</v>
      </c>
    </row>
    <row r="235" spans="1:7" x14ac:dyDescent="0.6">
      <c r="A235" s="17"/>
      <c r="C235" s="97" t="s">
        <v>252</v>
      </c>
      <c r="D235" s="254">
        <f>+C233/SUMPRODUCT(C57:L57,C85:L85)*1000</f>
        <v>99.546758318341048</v>
      </c>
      <c r="E235" s="2" t="s">
        <v>253</v>
      </c>
    </row>
    <row r="236" spans="1:7" x14ac:dyDescent="0.6">
      <c r="A236" s="17"/>
    </row>
    <row r="237" spans="1:7" x14ac:dyDescent="0.6">
      <c r="A237" s="17"/>
      <c r="E237" s="164"/>
    </row>
    <row r="238" spans="1:7" x14ac:dyDescent="0.6">
      <c r="A238" s="3" t="s">
        <v>254</v>
      </c>
      <c r="B238" s="13" t="s">
        <v>255</v>
      </c>
    </row>
    <row r="239" spans="1:7" x14ac:dyDescent="0.6">
      <c r="A239" s="17"/>
      <c r="B239" s="13"/>
    </row>
    <row r="240" spans="1:7" x14ac:dyDescent="0.6">
      <c r="A240" s="17"/>
      <c r="B240" s="13" t="s">
        <v>229</v>
      </c>
    </row>
    <row r="241" spans="1:13" x14ac:dyDescent="0.6">
      <c r="A241" s="17"/>
      <c r="B241" s="14" t="s">
        <v>230</v>
      </c>
    </row>
    <row r="242" spans="1:13" x14ac:dyDescent="0.6">
      <c r="A242" s="17"/>
      <c r="B242" s="13"/>
    </row>
    <row r="243" spans="1:13" x14ac:dyDescent="0.6">
      <c r="A243" s="17"/>
      <c r="C243" s="8" t="str">
        <f t="shared" ref="C243:J243" si="51">+C7</f>
        <v>RS</v>
      </c>
      <c r="D243" s="8" t="str">
        <f t="shared" si="51"/>
        <v>RHS</v>
      </c>
      <c r="E243" s="8" t="str">
        <f t="shared" si="51"/>
        <v>RLM</v>
      </c>
      <c r="F243" s="8" t="str">
        <f t="shared" si="51"/>
        <v>WH</v>
      </c>
      <c r="G243" s="8" t="str">
        <f t="shared" si="51"/>
        <v>WHS</v>
      </c>
      <c r="H243" s="8" t="str">
        <f t="shared" si="51"/>
        <v>HS</v>
      </c>
      <c r="I243" s="8" t="str">
        <f t="shared" si="51"/>
        <v>PSAL</v>
      </c>
      <c r="J243" s="8" t="str">
        <f t="shared" si="51"/>
        <v>BPL</v>
      </c>
    </row>
    <row r="244" spans="1:13" x14ac:dyDescent="0.6">
      <c r="A244" s="17"/>
      <c r="C244" s="8"/>
      <c r="D244" s="8"/>
      <c r="E244" s="8"/>
      <c r="F244" s="8"/>
      <c r="G244" s="8"/>
    </row>
    <row r="245" spans="1:13" x14ac:dyDescent="0.6">
      <c r="A245" s="17"/>
      <c r="B245" s="32" t="s">
        <v>165</v>
      </c>
      <c r="E245" s="171"/>
      <c r="F245" s="170">
        <f>ROUND(+F194/$D$235,3)</f>
        <v>0.66500000000000004</v>
      </c>
      <c r="G245" s="170">
        <f>ROUND(+G194/$D$235,3)</f>
        <v>0.68799999999999994</v>
      </c>
      <c r="H245" s="170">
        <f>ROUND(+H194/$D$235,3)</f>
        <v>1.002</v>
      </c>
      <c r="I245" s="171">
        <f>ROUND(+I194/$D$235,3)</f>
        <v>0.61599999999999999</v>
      </c>
      <c r="J245" s="171">
        <f>ROUND(+J194/$D$235,3)</f>
        <v>0.61499999999999999</v>
      </c>
      <c r="K245" s="265"/>
      <c r="L245" s="265"/>
      <c r="M245" s="265"/>
    </row>
    <row r="246" spans="1:13" x14ac:dyDescent="0.6">
      <c r="A246" s="17"/>
      <c r="B246" s="159" t="s">
        <v>185</v>
      </c>
      <c r="C246" s="177"/>
      <c r="D246" s="172"/>
      <c r="E246" s="170">
        <f>ROUND(+E195/$D$235,3)</f>
        <v>1.7669999999999999</v>
      </c>
      <c r="F246" s="171"/>
      <c r="G246" s="171"/>
      <c r="H246" s="171"/>
      <c r="I246" s="11"/>
      <c r="J246" s="173" t="s">
        <v>256</v>
      </c>
      <c r="K246" s="265"/>
      <c r="L246" s="265"/>
      <c r="M246" s="265"/>
    </row>
    <row r="247" spans="1:13" x14ac:dyDescent="0.6">
      <c r="A247" s="17"/>
      <c r="B247" s="159" t="s">
        <v>186</v>
      </c>
      <c r="C247" s="177"/>
      <c r="D247" s="172"/>
      <c r="E247" s="170">
        <f>ROUND(+E196/$D$235,3)</f>
        <v>0.59699999999999998</v>
      </c>
      <c r="F247" s="171"/>
      <c r="G247" s="171"/>
      <c r="H247" s="174"/>
      <c r="I247" s="11"/>
      <c r="J247" s="173" t="s">
        <v>257</v>
      </c>
      <c r="K247" s="175">
        <f>ROUND((I245*U49+J245*V49)/(U49+V49),3)</f>
        <v>0.61499999999999999</v>
      </c>
      <c r="L247" s="265"/>
      <c r="M247" s="265"/>
    </row>
    <row r="248" spans="1:13" x14ac:dyDescent="0.6">
      <c r="A248" s="17"/>
      <c r="E248" s="177"/>
      <c r="F248" s="172"/>
      <c r="G248" s="172"/>
      <c r="L248" s="265"/>
      <c r="M248" s="265"/>
    </row>
    <row r="249" spans="1:13" x14ac:dyDescent="0.6">
      <c r="A249" s="17"/>
      <c r="B249" s="176" t="s">
        <v>258</v>
      </c>
      <c r="C249" s="170">
        <f>ROUND(+C194/$D$235,3)</f>
        <v>1.097</v>
      </c>
      <c r="D249" s="170">
        <f>ROUND(+D194/$D$235,3)</f>
        <v>0.92100000000000004</v>
      </c>
      <c r="E249" s="177"/>
      <c r="F249" s="172"/>
      <c r="G249" s="172"/>
      <c r="H249" s="172"/>
      <c r="I249" s="172"/>
      <c r="J249" s="172"/>
      <c r="K249" s="265"/>
      <c r="L249" s="265"/>
      <c r="M249" s="265"/>
    </row>
    <row r="250" spans="1:13" x14ac:dyDescent="0.6">
      <c r="A250" s="3"/>
      <c r="B250" s="176" t="s">
        <v>259</v>
      </c>
      <c r="C250" s="178">
        <f>ROUND(+C197-C194,3)</f>
        <v>-3.0630000000000002</v>
      </c>
      <c r="D250" s="178">
        <f>ROUND(D197-D194,3)</f>
        <v>-3.9220000000000002</v>
      </c>
      <c r="E250" s="9" t="s">
        <v>260</v>
      </c>
      <c r="F250" s="172"/>
      <c r="G250" s="172"/>
      <c r="H250" s="172"/>
      <c r="I250" s="172"/>
      <c r="J250" s="172"/>
      <c r="K250" s="265"/>
      <c r="L250" s="265"/>
      <c r="M250" s="265"/>
    </row>
    <row r="251" spans="1:13" x14ac:dyDescent="0.6">
      <c r="A251" s="3"/>
      <c r="B251" s="176" t="s">
        <v>259</v>
      </c>
      <c r="C251" s="178">
        <f>ROUND(+C198-C194,3)</f>
        <v>5.5890000000000004</v>
      </c>
      <c r="D251" s="178">
        <f>ROUND(D198-D194,3)</f>
        <v>7.6470000000000002</v>
      </c>
      <c r="E251" s="9" t="s">
        <v>261</v>
      </c>
      <c r="F251" s="172"/>
      <c r="G251" s="172"/>
      <c r="H251" s="172"/>
      <c r="I251" s="172"/>
      <c r="J251" s="172"/>
      <c r="K251" s="265"/>
      <c r="L251" s="265"/>
      <c r="M251" s="265"/>
    </row>
    <row r="252" spans="1:13" x14ac:dyDescent="0.6">
      <c r="A252" s="17"/>
      <c r="G252" s="172"/>
      <c r="H252" s="172"/>
      <c r="I252" s="172"/>
      <c r="J252" s="172"/>
      <c r="K252" s="265"/>
      <c r="L252" s="265"/>
      <c r="M252" s="265"/>
    </row>
    <row r="253" spans="1:13" x14ac:dyDescent="0.6">
      <c r="A253" s="17"/>
      <c r="H253" s="172"/>
      <c r="I253" s="172"/>
      <c r="J253" s="172"/>
      <c r="K253" s="265"/>
      <c r="L253" s="265"/>
      <c r="M253" s="265"/>
    </row>
    <row r="254" spans="1:13" x14ac:dyDescent="0.6">
      <c r="A254" s="17"/>
      <c r="C254" s="172"/>
      <c r="D254" s="172"/>
      <c r="E254" s="172"/>
      <c r="F254" s="172"/>
      <c r="G254" s="172"/>
      <c r="H254" s="172"/>
      <c r="I254" s="172"/>
      <c r="J254" s="172"/>
      <c r="K254" s="265"/>
      <c r="L254" s="265"/>
      <c r="M254" s="265"/>
    </row>
    <row r="255" spans="1:13" x14ac:dyDescent="0.6">
      <c r="A255" s="17"/>
      <c r="B255" s="32" t="s">
        <v>168</v>
      </c>
      <c r="C255" s="170">
        <f>ROUND(+C200/$D$235,3)</f>
        <v>1.133</v>
      </c>
      <c r="D255" s="170">
        <f>ROUND(+D200/$D$235,3)</f>
        <v>0.97599999999999998</v>
      </c>
      <c r="E255" s="171"/>
      <c r="F255" s="170">
        <f>ROUND(+F200/$D$235,3)</f>
        <v>0.71099999999999997</v>
      </c>
      <c r="G255" s="170">
        <f>ROUND(+G200/$D$235,3)</f>
        <v>0.73799999999999999</v>
      </c>
      <c r="H255" s="170">
        <f>ROUND(+H200/$D$235,3)</f>
        <v>1.05</v>
      </c>
      <c r="I255" s="171">
        <f>ROUND(+I200/$D$235,3)</f>
        <v>0.70499999999999996</v>
      </c>
      <c r="J255" s="171">
        <f>ROUND(+J200/$D$235,3)</f>
        <v>0.70299999999999996</v>
      </c>
      <c r="K255" s="265"/>
      <c r="L255" s="265"/>
      <c r="M255" s="265"/>
    </row>
    <row r="256" spans="1:13" x14ac:dyDescent="0.6">
      <c r="A256" s="17"/>
      <c r="B256" s="159" t="s">
        <v>185</v>
      </c>
      <c r="C256" s="172"/>
      <c r="D256" s="172"/>
      <c r="E256" s="170">
        <f>ROUND(+E201/$D$235,3)</f>
        <v>1.746</v>
      </c>
      <c r="F256" s="172"/>
      <c r="G256" s="172"/>
      <c r="H256" s="172"/>
      <c r="J256" s="173" t="s">
        <v>256</v>
      </c>
      <c r="K256" s="265"/>
      <c r="L256" s="265"/>
      <c r="M256" s="265"/>
    </row>
    <row r="257" spans="1:13" x14ac:dyDescent="0.6">
      <c r="A257" s="17"/>
      <c r="B257" s="159" t="s">
        <v>186</v>
      </c>
      <c r="C257" s="172"/>
      <c r="D257" s="172"/>
      <c r="E257" s="170">
        <f>ROUND(+E202/$D$235,3)</f>
        <v>0.68899999999999995</v>
      </c>
      <c r="F257" s="172"/>
      <c r="G257" s="172"/>
      <c r="J257" s="173" t="s">
        <v>257</v>
      </c>
      <c r="K257" s="175">
        <f>ROUND((I255*U45+J255*V45)/(U45+V45),3)</f>
        <v>0.70399999999999996</v>
      </c>
      <c r="L257" s="265"/>
      <c r="M257" s="265"/>
    </row>
    <row r="258" spans="1:13" x14ac:dyDescent="0.6">
      <c r="A258" s="17"/>
      <c r="C258" s="265"/>
      <c r="D258" s="265"/>
      <c r="E258" s="265"/>
      <c r="F258" s="265"/>
      <c r="G258" s="265"/>
      <c r="K258" s="265"/>
      <c r="L258" s="265"/>
      <c r="M258" s="265"/>
    </row>
    <row r="259" spans="1:13" x14ac:dyDescent="0.6">
      <c r="A259" s="17"/>
      <c r="B259" s="2" t="s">
        <v>262</v>
      </c>
      <c r="C259" s="266">
        <f>ROUND(+C204/$D$235,3)</f>
        <v>1.1180000000000001</v>
      </c>
      <c r="D259" s="266">
        <f t="shared" ref="D259:J259" si="52">ROUND(+D204/$D$235,3)</f>
        <v>0.96399999999999997</v>
      </c>
      <c r="E259" s="266">
        <f t="shared" si="52"/>
        <v>1.147</v>
      </c>
      <c r="F259" s="266">
        <f t="shared" si="52"/>
        <v>0.69799999999999995</v>
      </c>
      <c r="G259" s="266">
        <f t="shared" si="52"/>
        <v>0.71899999999999997</v>
      </c>
      <c r="H259" s="266">
        <f t="shared" si="52"/>
        <v>1.04</v>
      </c>
      <c r="I259" s="266">
        <f t="shared" si="52"/>
        <v>0.68100000000000005</v>
      </c>
      <c r="J259" s="266">
        <f t="shared" si="52"/>
        <v>0.67900000000000005</v>
      </c>
      <c r="K259" s="265"/>
      <c r="L259" s="265"/>
      <c r="M259" s="265"/>
    </row>
    <row r="260" spans="1:13" x14ac:dyDescent="0.6">
      <c r="A260" s="17"/>
    </row>
    <row r="261" spans="1:13" x14ac:dyDescent="0.6">
      <c r="A261" s="17"/>
    </row>
    <row r="262" spans="1:13" x14ac:dyDescent="0.6">
      <c r="A262" s="17"/>
      <c r="B262" s="13" t="s">
        <v>233</v>
      </c>
    </row>
    <row r="263" spans="1:13" x14ac:dyDescent="0.6">
      <c r="A263" s="17"/>
      <c r="B263" s="14" t="s">
        <v>234</v>
      </c>
    </row>
    <row r="264" spans="1:13" x14ac:dyDescent="0.6">
      <c r="A264" s="17"/>
      <c r="B264" s="11"/>
    </row>
    <row r="265" spans="1:13" x14ac:dyDescent="0.6">
      <c r="A265" s="17"/>
      <c r="C265" s="8" t="str">
        <f>+K7</f>
        <v>GLP</v>
      </c>
      <c r="D265" s="8" t="str">
        <f>+C265</f>
        <v>GLP</v>
      </c>
      <c r="E265" s="8" t="str">
        <f>+L7</f>
        <v>LPL-S</v>
      </c>
      <c r="F265" s="8" t="str">
        <f>+E265</f>
        <v>LPL-S</v>
      </c>
      <c r="H265" s="13" t="s">
        <v>235</v>
      </c>
    </row>
    <row r="266" spans="1:13" ht="26" x14ac:dyDescent="0.6">
      <c r="A266" s="17"/>
      <c r="C266" s="8" t="s">
        <v>263</v>
      </c>
      <c r="D266" s="180" t="s">
        <v>259</v>
      </c>
      <c r="E266" s="8" t="s">
        <v>263</v>
      </c>
      <c r="F266" s="180" t="s">
        <v>259</v>
      </c>
    </row>
    <row r="267" spans="1:13" x14ac:dyDescent="0.6">
      <c r="A267" s="17"/>
      <c r="B267" s="32" t="s">
        <v>165</v>
      </c>
      <c r="C267" s="170">
        <f>ROUND(+C222/$D$235,3)</f>
        <v>0.999</v>
      </c>
      <c r="D267" s="175">
        <f>ROUND(+C211-C222,3)</f>
        <v>-31.393999999999998</v>
      </c>
      <c r="E267" s="174"/>
      <c r="F267" s="174"/>
      <c r="H267" s="153" t="s">
        <v>236</v>
      </c>
    </row>
    <row r="268" spans="1:13" x14ac:dyDescent="0.6">
      <c r="A268" s="17"/>
      <c r="B268" s="159" t="s">
        <v>185</v>
      </c>
      <c r="C268" s="171"/>
      <c r="D268" s="175"/>
      <c r="E268" s="170">
        <f>ROUND(D223/$D$235,3)</f>
        <v>1.181</v>
      </c>
      <c r="F268" s="175">
        <f>ROUND(+D212-D223,3)</f>
        <v>-41.573999999999998</v>
      </c>
      <c r="H268" s="97" t="s">
        <v>237</v>
      </c>
      <c r="I268" s="267">
        <f t="shared" ref="I268:J270" si="53">ROUND(+I212,4)</f>
        <v>8.2456999999999994</v>
      </c>
      <c r="J268" s="267">
        <f t="shared" si="53"/>
        <v>8.2456999999999994</v>
      </c>
      <c r="K268" s="113" t="s">
        <v>238</v>
      </c>
    </row>
    <row r="269" spans="1:13" x14ac:dyDescent="0.6">
      <c r="A269" s="17"/>
      <c r="B269" s="159" t="s">
        <v>186</v>
      </c>
      <c r="C269" s="171"/>
      <c r="D269" s="175"/>
      <c r="E269" s="170">
        <f>ROUND(D224/$D$235,3)</f>
        <v>0.59599999999999997</v>
      </c>
      <c r="F269" s="175">
        <f>ROUND(+D213-D224,3)</f>
        <v>0</v>
      </c>
      <c r="H269" s="97" t="s">
        <v>239</v>
      </c>
      <c r="I269" s="267">
        <f t="shared" si="53"/>
        <v>8.2119</v>
      </c>
      <c r="J269" s="267">
        <f t="shared" si="53"/>
        <v>8.2119</v>
      </c>
      <c r="K269" s="113" t="s">
        <v>238</v>
      </c>
    </row>
    <row r="270" spans="1:13" x14ac:dyDescent="0.6">
      <c r="A270" s="17"/>
      <c r="C270" s="171"/>
      <c r="D270" s="175"/>
      <c r="E270" s="171"/>
      <c r="F270" s="175"/>
      <c r="H270" s="97" t="s">
        <v>240</v>
      </c>
      <c r="I270" s="267">
        <f t="shared" si="53"/>
        <v>8.2231000000000005</v>
      </c>
      <c r="J270" s="267">
        <f t="shared" si="53"/>
        <v>8.2231000000000005</v>
      </c>
      <c r="K270" s="113" t="s">
        <v>238</v>
      </c>
    </row>
    <row r="271" spans="1:13" x14ac:dyDescent="0.6">
      <c r="A271" s="17"/>
      <c r="B271" s="32" t="s">
        <v>168</v>
      </c>
      <c r="C271" s="170">
        <f>ROUND(+C226/$D$235,3)</f>
        <v>1.079</v>
      </c>
      <c r="D271" s="175">
        <f>ROUND(+C215-C226,3)</f>
        <v>-36.463999999999999</v>
      </c>
      <c r="E271" s="170"/>
      <c r="F271" s="175"/>
    </row>
    <row r="272" spans="1:13" x14ac:dyDescent="0.6">
      <c r="A272" s="17"/>
      <c r="B272" s="159" t="s">
        <v>185</v>
      </c>
      <c r="C272" s="171"/>
      <c r="D272" s="174"/>
      <c r="E272" s="170">
        <f>ROUND(D227/$D$235,3)</f>
        <v>1.222</v>
      </c>
      <c r="F272" s="175">
        <f>ROUND(+D216-D227,3)</f>
        <v>-47.774999999999999</v>
      </c>
      <c r="H272" s="153" t="s">
        <v>241</v>
      </c>
      <c r="I272" s="164"/>
      <c r="J272" s="164"/>
    </row>
    <row r="273" spans="1:11" x14ac:dyDescent="0.6">
      <c r="A273" s="17"/>
      <c r="B273" s="159" t="s">
        <v>186</v>
      </c>
      <c r="C273" s="171"/>
      <c r="D273" s="174"/>
      <c r="E273" s="170">
        <f>ROUND(D228/$D$235,3)</f>
        <v>0.68500000000000005</v>
      </c>
      <c r="F273" s="175">
        <f>ROUND(+D217-D228,3)</f>
        <v>0</v>
      </c>
      <c r="H273" s="97" t="s">
        <v>242</v>
      </c>
      <c r="I273" s="267">
        <f>ROUND(+I217,4)</f>
        <v>0</v>
      </c>
      <c r="J273" s="267">
        <f>ROUND(+J217,4)</f>
        <v>0</v>
      </c>
      <c r="K273" s="113" t="s">
        <v>243</v>
      </c>
    </row>
    <row r="274" spans="1:11" x14ac:dyDescent="0.6">
      <c r="A274" s="17"/>
      <c r="C274" s="266"/>
      <c r="D274" s="174"/>
      <c r="E274" s="266"/>
      <c r="F274" s="174"/>
    </row>
    <row r="275" spans="1:11" x14ac:dyDescent="0.6">
      <c r="A275" s="17"/>
      <c r="B275" s="11" t="s">
        <v>247</v>
      </c>
      <c r="C275" s="266">
        <f>ROUND(+C230/$D$235,3)</f>
        <v>1.05</v>
      </c>
      <c r="D275" s="174"/>
      <c r="E275" s="266">
        <f>ROUND(+D230/$D$235,3)</f>
        <v>0.91800000000000004</v>
      </c>
      <c r="F275" s="174"/>
    </row>
    <row r="276" spans="1:11" x14ac:dyDescent="0.6">
      <c r="A276" s="17"/>
      <c r="C276" s="265"/>
      <c r="E276" s="265"/>
    </row>
    <row r="277" spans="1:11" x14ac:dyDescent="0.6">
      <c r="A277" s="17"/>
      <c r="C277" s="265"/>
      <c r="E277" s="265"/>
    </row>
    <row r="279" spans="1:11" x14ac:dyDescent="0.6">
      <c r="A279" s="13" t="s">
        <v>264</v>
      </c>
      <c r="E279" s="236"/>
      <c r="G279" s="157"/>
    </row>
    <row r="280" spans="1:11" x14ac:dyDescent="0.6">
      <c r="A280" s="17"/>
      <c r="B280" s="97" t="s">
        <v>265</v>
      </c>
      <c r="C280" s="129">
        <f>+F158</f>
        <v>270.35000000000002</v>
      </c>
      <c r="D280" s="113" t="s">
        <v>266</v>
      </c>
      <c r="E280" s="7" t="s">
        <v>237</v>
      </c>
      <c r="G280" s="157"/>
    </row>
    <row r="281" spans="1:11" x14ac:dyDescent="0.6">
      <c r="A281" s="17"/>
      <c r="B281" s="97"/>
      <c r="C281" s="129">
        <f>+F159</f>
        <v>270.35000000000002</v>
      </c>
      <c r="D281" s="113" t="s">
        <v>266</v>
      </c>
      <c r="E281" s="7" t="s">
        <v>239</v>
      </c>
    </row>
    <row r="282" spans="1:11" x14ac:dyDescent="0.6">
      <c r="A282" s="17"/>
      <c r="B282" s="97"/>
    </row>
    <row r="283" spans="1:11" x14ac:dyDescent="0.6">
      <c r="A283" s="17"/>
      <c r="B283" s="97" t="s">
        <v>267</v>
      </c>
      <c r="C283" s="129">
        <f>+D155</f>
        <v>0</v>
      </c>
      <c r="D283" s="113" t="s">
        <v>201</v>
      </c>
      <c r="E283" s="260"/>
    </row>
    <row r="284" spans="1:11" x14ac:dyDescent="0.6">
      <c r="A284" s="17"/>
      <c r="B284" s="97" t="s">
        <v>268</v>
      </c>
      <c r="C284" s="268">
        <f>+H152</f>
        <v>4</v>
      </c>
      <c r="D284" s="2" t="s">
        <v>269</v>
      </c>
      <c r="E284" s="260"/>
    </row>
    <row r="285" spans="1:11" x14ac:dyDescent="0.6">
      <c r="A285" s="17"/>
      <c r="B285" s="97"/>
      <c r="C285" s="268">
        <f>+H153</f>
        <v>8</v>
      </c>
      <c r="D285" s="2" t="s">
        <v>270</v>
      </c>
      <c r="E285" s="260"/>
    </row>
    <row r="286" spans="1:11" x14ac:dyDescent="0.6">
      <c r="A286" s="17"/>
      <c r="B286" s="108" t="s">
        <v>271</v>
      </c>
      <c r="C286" s="181">
        <f>+D171</f>
        <v>23.82</v>
      </c>
      <c r="D286" s="2" t="s">
        <v>96</v>
      </c>
    </row>
    <row r="287" spans="1:11" x14ac:dyDescent="0.6">
      <c r="A287" s="17"/>
      <c r="B287" s="97" t="s">
        <v>272</v>
      </c>
      <c r="C287" s="11" t="s">
        <v>273</v>
      </c>
    </row>
    <row r="288" spans="1:11" x14ac:dyDescent="0.6">
      <c r="A288" s="17"/>
      <c r="B288" s="97" t="s">
        <v>274</v>
      </c>
      <c r="C288" s="9" t="str">
        <f>" forecasted "&amp;(Input!D2-1)&amp;" energy use by class, PJM and PSE&amp;G on/off % from "&amp;(Input!D2-4)&amp;", "&amp;(Input!D2-3)&amp;" &amp; "&amp;(Input!D2-2)&amp;" class load profiles"</f>
        <v xml:space="preserve"> forecasted 2024 energy use by class, PJM and PSE&amp;G on/off % from 2021, 2022 &amp; 2023 class load profiles</v>
      </c>
    </row>
    <row r="289" spans="1:13" x14ac:dyDescent="0.6">
      <c r="A289" s="17"/>
      <c r="B289" s="97"/>
      <c r="C289" s="7"/>
    </row>
    <row r="290" spans="1:13" x14ac:dyDescent="0.6">
      <c r="A290" s="17"/>
      <c r="B290" s="97" t="s">
        <v>275</v>
      </c>
      <c r="C290" s="2" t="s">
        <v>276</v>
      </c>
    </row>
    <row r="291" spans="1:13" x14ac:dyDescent="0.6">
      <c r="A291" s="17"/>
      <c r="B291" s="97" t="s">
        <v>277</v>
      </c>
      <c r="C291" s="2" t="s">
        <v>278</v>
      </c>
    </row>
    <row r="292" spans="1:13" x14ac:dyDescent="0.6">
      <c r="A292" s="17"/>
      <c r="B292" s="97" t="s">
        <v>279</v>
      </c>
      <c r="C292" s="2" t="s">
        <v>280</v>
      </c>
    </row>
    <row r="293" spans="1:13" x14ac:dyDescent="0.6">
      <c r="C293" s="2" t="s">
        <v>281</v>
      </c>
    </row>
    <row r="294" spans="1:13" x14ac:dyDescent="0.6">
      <c r="B294" s="97" t="s">
        <v>282</v>
      </c>
      <c r="C294" s="2" t="s">
        <v>283</v>
      </c>
    </row>
    <row r="295" spans="1:13" x14ac:dyDescent="0.6">
      <c r="A295" s="17"/>
      <c r="B295" s="108" t="s">
        <v>284</v>
      </c>
      <c r="C295" s="265" t="s">
        <v>285</v>
      </c>
      <c r="E295" s="265"/>
    </row>
    <row r="296" spans="1:13" x14ac:dyDescent="0.6">
      <c r="A296" s="17"/>
      <c r="C296" s="265"/>
      <c r="E296" s="265"/>
    </row>
    <row r="297" spans="1:13" x14ac:dyDescent="0.6">
      <c r="A297" s="17"/>
      <c r="C297" s="265"/>
      <c r="E297" s="265"/>
    </row>
    <row r="298" spans="1:13" x14ac:dyDescent="0.6">
      <c r="A298" s="3" t="s">
        <v>286</v>
      </c>
      <c r="B298" s="13" t="s">
        <v>287</v>
      </c>
    </row>
    <row r="299" spans="1:13" x14ac:dyDescent="0.6">
      <c r="A299" s="17"/>
      <c r="B299" s="13"/>
    </row>
    <row r="300" spans="1:13" x14ac:dyDescent="0.6">
      <c r="A300" s="17"/>
      <c r="C300" s="8" t="s">
        <v>12</v>
      </c>
      <c r="D300" s="8" t="s">
        <v>13</v>
      </c>
      <c r="E300" s="8" t="s">
        <v>14</v>
      </c>
      <c r="F300" s="8" t="s">
        <v>15</v>
      </c>
      <c r="G300" s="8" t="s">
        <v>16</v>
      </c>
      <c r="H300" s="8" t="s">
        <v>17</v>
      </c>
      <c r="I300" s="8" t="s">
        <v>18</v>
      </c>
      <c r="J300" s="8" t="s">
        <v>19</v>
      </c>
      <c r="K300" s="8" t="s">
        <v>20</v>
      </c>
      <c r="L300" s="8" t="s">
        <v>21</v>
      </c>
      <c r="M300" s="8"/>
    </row>
    <row r="301" spans="1:13" x14ac:dyDescent="0.6">
      <c r="A301" s="17"/>
      <c r="B301" s="2" t="s">
        <v>288</v>
      </c>
    </row>
    <row r="302" spans="1:13" x14ac:dyDescent="0.6">
      <c r="A302" s="17"/>
      <c r="B302" s="41" t="s">
        <v>54</v>
      </c>
      <c r="C302" s="239">
        <f>(+C197*SUM(C50:C53)*C163+C198*SUM(C50:C53)*C164)/1000</f>
        <v>612956.55778329668</v>
      </c>
      <c r="D302" s="239">
        <f>(+D197*SUM(D50:D53)*D163+D198*SUM(D50:D53)*D164)/1000</f>
        <v>1539.3187540964759</v>
      </c>
      <c r="E302" s="242">
        <f>(E195*SUMPRODUCT(E32:E35,E50:E53)+E196*SUMPRODUCT(Q32:Q35,E50:E53))/1000</f>
        <v>8938.9167032284477</v>
      </c>
      <c r="F302" s="242">
        <f>+F194*SUM(F50:F53)/1000</f>
        <v>10.199138463578826</v>
      </c>
      <c r="G302" s="242">
        <f>+G194*SUM(G50:G53)/1000</f>
        <v>0.20541953671648741</v>
      </c>
      <c r="H302" s="242">
        <f>+H194*SUM(H50:H53)/1000</f>
        <v>193.94459303925078</v>
      </c>
      <c r="I302" s="242">
        <f>+I194*SUM(I50:I53)/1000</f>
        <v>2052.1205404066141</v>
      </c>
      <c r="J302" s="242">
        <f>+J194*SUM(J50:J53)/1000</f>
        <v>4723.4776682275806</v>
      </c>
      <c r="K302" s="242">
        <f>(C211*SUM(K50:K53)/1000)+(I212*$H152*K147)+(I217*$H152*K149)</f>
        <v>227758.75249980879</v>
      </c>
      <c r="L302" s="242">
        <f>(D211*SUM(L50:L53)/1000)+(J212*$H152*L147)+(J217*$H152*L149)</f>
        <v>161079.01921870967</v>
      </c>
      <c r="M302" s="242"/>
    </row>
    <row r="303" spans="1:13" x14ac:dyDescent="0.6">
      <c r="A303" s="17"/>
      <c r="B303" s="41" t="s">
        <v>55</v>
      </c>
      <c r="C303" s="242">
        <f>+C200*SUM(C45:C49,C54:C56)/1000</f>
        <v>829154.27949155169</v>
      </c>
      <c r="D303" s="242">
        <f>+D200*SUM(D45:D49,D54:D56)/1000</f>
        <v>5707.308325471121</v>
      </c>
      <c r="E303" s="242">
        <f>(E201*(SUMPRODUCT(E27:E31,E45:E49)+SUMPRODUCT(E36:E38,E54:E56))+E202*(SUMPRODUCT(Q27:Q31,E45:E49)+SUMPRODUCT(Q36:Q38,E54:E56)))/1000</f>
        <v>10708.873788874675</v>
      </c>
      <c r="F303" s="242">
        <f>+F200*SUM(F45:F49,F54:F56)/1000</f>
        <v>28.461354948068486</v>
      </c>
      <c r="G303" s="242">
        <f>+G200*SUM(G45:G49,G54:G56)/1000</f>
        <v>0.36719922138728828</v>
      </c>
      <c r="H303" s="242">
        <f>+H200*SUM(H45:H49,H54:H56)/1000</f>
        <v>764.06045081744799</v>
      </c>
      <c r="I303" s="242">
        <f>+I200*SUM(I45:I49,I54:I56)/1000</f>
        <v>6235.5084959882806</v>
      </c>
      <c r="J303" s="242">
        <f>+J200*SUM(J45:J49,J54:J56)/1000</f>
        <v>14270.218031235423</v>
      </c>
      <c r="K303" s="242">
        <f>(C215*SUM(K45:K49,K54:K56)/1000)+(I213*$H153*K147)+(I217*$H153*K149)</f>
        <v>423372.40785349853</v>
      </c>
      <c r="L303" s="242">
        <f>(D215*SUM(L45:L49,L54:L56)/1000)+(J213*$H153*L147)+(J217*$H153*L149)</f>
        <v>308156.67881846247</v>
      </c>
      <c r="M303" s="242"/>
    </row>
    <row r="304" spans="1:13" x14ac:dyDescent="0.6">
      <c r="A304" s="17"/>
      <c r="B304" s="41" t="s">
        <v>126</v>
      </c>
      <c r="C304" s="168">
        <f>+C303+C302</f>
        <v>1442110.8372748485</v>
      </c>
      <c r="D304" s="168">
        <f t="shared" ref="D304:J304" si="54">+D303+D302</f>
        <v>7246.6270795675973</v>
      </c>
      <c r="E304" s="168">
        <f t="shared" si="54"/>
        <v>19647.790492103122</v>
      </c>
      <c r="F304" s="168">
        <f t="shared" si="54"/>
        <v>38.660493411647309</v>
      </c>
      <c r="G304" s="168">
        <f t="shared" si="54"/>
        <v>0.57261875810377572</v>
      </c>
      <c r="H304" s="168">
        <f t="shared" si="54"/>
        <v>958.00504385669876</v>
      </c>
      <c r="I304" s="168">
        <f t="shared" si="54"/>
        <v>8287.6290363948938</v>
      </c>
      <c r="J304" s="242">
        <f t="shared" si="54"/>
        <v>18993.695699463002</v>
      </c>
      <c r="K304" s="242">
        <f>+K303+K302</f>
        <v>651131.16035330738</v>
      </c>
      <c r="L304" s="242">
        <f>+L303+L302</f>
        <v>469235.69803717214</v>
      </c>
      <c r="M304" s="242"/>
    </row>
    <row r="305" spans="1:13" x14ac:dyDescent="0.6">
      <c r="A305" s="17"/>
      <c r="B305" s="41"/>
    </row>
    <row r="306" spans="1:13" x14ac:dyDescent="0.6">
      <c r="A306" s="17"/>
      <c r="B306" s="2" t="s">
        <v>289</v>
      </c>
    </row>
    <row r="307" spans="1:13" x14ac:dyDescent="0.6">
      <c r="A307" s="17"/>
      <c r="B307" s="41" t="s">
        <v>54</v>
      </c>
      <c r="C307" s="217">
        <f>+C302/C304</f>
        <v>0.42504122563949276</v>
      </c>
      <c r="D307" s="217">
        <f t="shared" ref="D307:I307" si="55">+D302/D304</f>
        <v>0.21241865176651623</v>
      </c>
      <c r="E307" s="217">
        <f t="shared" si="55"/>
        <v>0.45495785934918198</v>
      </c>
      <c r="F307" s="217">
        <f t="shared" si="55"/>
        <v>0.26381294090018303</v>
      </c>
      <c r="G307" s="217">
        <f t="shared" si="55"/>
        <v>0.35873700225387872</v>
      </c>
      <c r="H307" s="217">
        <f t="shared" si="55"/>
        <v>0.20244631725369244</v>
      </c>
      <c r="I307" s="217">
        <f t="shared" si="55"/>
        <v>0.24761249947298358</v>
      </c>
      <c r="J307" s="217">
        <f>+J302/J304</f>
        <v>0.2486866033323428</v>
      </c>
      <c r="K307" s="217">
        <f>+K302/K304</f>
        <v>0.34978936098869179</v>
      </c>
      <c r="L307" s="217">
        <f>+L302/L304</f>
        <v>0.34327954989892784</v>
      </c>
      <c r="M307" s="217"/>
    </row>
    <row r="308" spans="1:13" x14ac:dyDescent="0.6">
      <c r="A308" s="17"/>
      <c r="B308" s="41" t="s">
        <v>55</v>
      </c>
      <c r="C308" s="217">
        <f>+C303/C304</f>
        <v>0.57495877436050713</v>
      </c>
      <c r="D308" s="217">
        <f t="shared" ref="D308:I308" si="56">+D303/D304</f>
        <v>0.78758134823348369</v>
      </c>
      <c r="E308" s="217">
        <f t="shared" si="56"/>
        <v>0.54504214065081802</v>
      </c>
      <c r="F308" s="217">
        <f t="shared" si="56"/>
        <v>0.73618705909981708</v>
      </c>
      <c r="G308" s="217">
        <f t="shared" si="56"/>
        <v>0.64126299774612128</v>
      </c>
      <c r="H308" s="217">
        <f t="shared" si="56"/>
        <v>0.79755368274630756</v>
      </c>
      <c r="I308" s="217">
        <f t="shared" si="56"/>
        <v>0.75238750052701653</v>
      </c>
      <c r="J308" s="217">
        <f>+J303/J304</f>
        <v>0.75131339666765729</v>
      </c>
      <c r="K308" s="217">
        <f>+K303/K304</f>
        <v>0.65021063901130816</v>
      </c>
      <c r="L308" s="217">
        <f>+L303/L304</f>
        <v>0.65672045010107216</v>
      </c>
      <c r="M308" s="217"/>
    </row>
    <row r="309" spans="1:13" x14ac:dyDescent="0.6">
      <c r="A309" s="17"/>
    </row>
    <row r="310" spans="1:13" x14ac:dyDescent="0.6">
      <c r="A310" s="17"/>
      <c r="B310" s="2" t="s">
        <v>290</v>
      </c>
    </row>
    <row r="311" spans="1:13" x14ac:dyDescent="0.6">
      <c r="A311" s="17"/>
      <c r="B311" s="41" t="s">
        <v>54</v>
      </c>
      <c r="C311" s="269">
        <f>+SUM(C302:L302)</f>
        <v>1019252.5123188139</v>
      </c>
    </row>
    <row r="312" spans="1:13" x14ac:dyDescent="0.6">
      <c r="A312" s="17"/>
      <c r="B312" s="41" t="s">
        <v>55</v>
      </c>
      <c r="C312" s="269">
        <f>+SUM(C303:L303)</f>
        <v>1598398.1638100692</v>
      </c>
    </row>
    <row r="313" spans="1:13" x14ac:dyDescent="0.6">
      <c r="A313" s="17"/>
      <c r="B313" s="41" t="s">
        <v>126</v>
      </c>
      <c r="C313" s="168">
        <f>+C312+C311</f>
        <v>2617650.6761288829</v>
      </c>
      <c r="D313" s="157"/>
    </row>
    <row r="314" spans="1:13" x14ac:dyDescent="0.6">
      <c r="A314" s="17"/>
      <c r="L314" s="183" t="s">
        <v>291</v>
      </c>
    </row>
    <row r="315" spans="1:13" x14ac:dyDescent="0.6">
      <c r="A315" s="17"/>
      <c r="B315" s="2" t="s">
        <v>292</v>
      </c>
      <c r="D315" s="2" t="s">
        <v>293</v>
      </c>
      <c r="K315" s="41" t="s">
        <v>3</v>
      </c>
    </row>
    <row r="316" spans="1:13" x14ac:dyDescent="0.6">
      <c r="A316" s="17"/>
      <c r="B316" s="41" t="s">
        <v>54</v>
      </c>
      <c r="C316" s="217">
        <f>+C311/C313</f>
        <v>0.38937682617993064</v>
      </c>
      <c r="E316" s="236">
        <f>+C311/SUMPRODUCT(O49:X49,C85:L85)*1000</f>
        <v>97.39250980624098</v>
      </c>
      <c r="F316" s="2" t="s">
        <v>294</v>
      </c>
      <c r="I316" s="2" t="s">
        <v>295</v>
      </c>
      <c r="K316" s="41" t="s">
        <v>54</v>
      </c>
      <c r="L316" s="74">
        <f>IF(ROUND(E316/$D$235,4)&lt;ROUND(E317/$D$235,4),1,ROUND(E316/$D$235,4))</f>
        <v>1</v>
      </c>
      <c r="M316" s="270"/>
    </row>
    <row r="317" spans="1:13" x14ac:dyDescent="0.6">
      <c r="A317" s="17"/>
      <c r="B317" s="41" t="s">
        <v>55</v>
      </c>
      <c r="C317" s="217">
        <f>+C312/C313</f>
        <v>0.61062317382006948</v>
      </c>
      <c r="E317" s="236">
        <f>+C312/SUMPRODUCT(O45:X45,C85:L85)*1000</f>
        <v>100.97093356879103</v>
      </c>
      <c r="F317" s="2" t="s">
        <v>294</v>
      </c>
      <c r="K317" s="41" t="s">
        <v>55</v>
      </c>
      <c r="L317" s="74">
        <f>IF(ROUND(E316/$D$235,4)&lt;ROUND(E317/$D$235,4),1,ROUND(E317/$D$235,4))</f>
        <v>1</v>
      </c>
      <c r="M317" s="270"/>
    </row>
    <row r="318" spans="1:13" x14ac:dyDescent="0.6">
      <c r="A318" s="17"/>
    </row>
    <row r="319" spans="1:13" x14ac:dyDescent="0.6">
      <c r="A319" s="17"/>
      <c r="C319" s="265"/>
      <c r="E319" s="265"/>
    </row>
    <row r="320" spans="1:13" x14ac:dyDescent="0.6">
      <c r="A320" s="3" t="s">
        <v>296</v>
      </c>
      <c r="B320" s="13" t="s">
        <v>297</v>
      </c>
      <c r="C320" s="265"/>
      <c r="E320" s="265"/>
    </row>
    <row r="321" spans="1:12" x14ac:dyDescent="0.6">
      <c r="A321" s="17"/>
      <c r="C321" s="265"/>
      <c r="E321" s="265"/>
    </row>
    <row r="322" spans="1:12" x14ac:dyDescent="0.6">
      <c r="A322" s="17"/>
      <c r="B322" s="97" t="s">
        <v>298</v>
      </c>
      <c r="C322" s="235">
        <f>D235</f>
        <v>99.546758318341048</v>
      </c>
      <c r="E322" s="271" t="s">
        <v>299</v>
      </c>
    </row>
    <row r="323" spans="1:12" x14ac:dyDescent="0.6">
      <c r="A323" s="17"/>
      <c r="B323" s="97" t="s">
        <v>300</v>
      </c>
      <c r="C323" s="272">
        <f>+L316</f>
        <v>1</v>
      </c>
      <c r="E323" s="265"/>
    </row>
    <row r="324" spans="1:12" x14ac:dyDescent="0.6">
      <c r="A324" s="17"/>
      <c r="B324" s="97" t="s">
        <v>301</v>
      </c>
      <c r="C324" s="272">
        <f>+L317</f>
        <v>1</v>
      </c>
      <c r="E324" s="265"/>
    </row>
    <row r="325" spans="1:12" x14ac:dyDescent="0.6">
      <c r="A325" s="17"/>
      <c r="C325" s="265"/>
      <c r="E325" s="265"/>
    </row>
    <row r="326" spans="1:12" x14ac:dyDescent="0.6">
      <c r="A326" s="17"/>
      <c r="C326" s="8" t="s">
        <v>12</v>
      </c>
      <c r="D326" s="8" t="s">
        <v>13</v>
      </c>
      <c r="E326" s="8" t="s">
        <v>14</v>
      </c>
      <c r="F326" s="8" t="s">
        <v>15</v>
      </c>
      <c r="G326" s="8" t="s">
        <v>16</v>
      </c>
      <c r="H326" s="8" t="s">
        <v>17</v>
      </c>
      <c r="I326" s="8" t="s">
        <v>18</v>
      </c>
      <c r="J326" s="8" t="s">
        <v>19</v>
      </c>
      <c r="K326" s="8" t="s">
        <v>20</v>
      </c>
      <c r="L326" s="8" t="s">
        <v>21</v>
      </c>
    </row>
    <row r="327" spans="1:12" x14ac:dyDescent="0.6">
      <c r="A327" s="17"/>
      <c r="B327" s="2" t="s">
        <v>302</v>
      </c>
    </row>
    <row r="328" spans="1:12" x14ac:dyDescent="0.6">
      <c r="A328" s="17"/>
      <c r="B328" s="41" t="s">
        <v>54</v>
      </c>
      <c r="C328" s="242">
        <f>+($C$322*C249*O49+C250*O53+C251*O54)/1000</f>
        <v>613128.66574382968</v>
      </c>
      <c r="D328" s="242">
        <f>+($C$322*D249*P49+D250*P53+D251*P54)/1000</f>
        <v>1538.4882150884364</v>
      </c>
      <c r="E328" s="273">
        <f>(($C$322*E246*Q50)+(C322*E247*Q51))/1000</f>
        <v>8939.6124959585068</v>
      </c>
      <c r="F328" s="242">
        <f>+$C$322*F245*R49/1000</f>
        <v>10.194583519381307</v>
      </c>
      <c r="G328" s="242">
        <f>+$C$322*G245*S49/1000</f>
        <v>0.20546450916905587</v>
      </c>
      <c r="H328" s="242">
        <f>+$C$322*H245*T49/1000</f>
        <v>193.90566428488617</v>
      </c>
      <c r="I328" s="242">
        <f>+$C$322*K247*U49/1000</f>
        <v>2048.2795742298927</v>
      </c>
      <c r="J328" s="242">
        <f>+$C$322*K247*V49/1000</f>
        <v>4725.7912213872696</v>
      </c>
      <c r="K328" s="273">
        <f>+($C$322*C267+D267)*W49/1000+(I268*H152*K147)+(I273*H152*K149)</f>
        <v>227852.97137979197</v>
      </c>
      <c r="L328" s="273">
        <f>(($C$322*E268+F268)*X50+(C322*E269*X51))/1000+(J268*$H$152*L147)+(J273*$H$152*L149)</f>
        <v>161106.73344759337</v>
      </c>
    </row>
    <row r="329" spans="1:12" x14ac:dyDescent="0.6">
      <c r="A329" s="17"/>
      <c r="B329" s="41" t="s">
        <v>55</v>
      </c>
      <c r="C329" s="242">
        <f>+$C$322*C255*O45/1000</f>
        <v>828857.83191900223</v>
      </c>
      <c r="D329" s="242">
        <f>+$C$322*D255*P45/1000</f>
        <v>5704.4361019264124</v>
      </c>
      <c r="E329" s="273">
        <f>(($C$322*E256*Q46)+(C322*E257*Q47))/1000</f>
        <v>10712.939991575553</v>
      </c>
      <c r="F329" s="242">
        <f>+$C$322*F255*R45/1000</f>
        <v>28.452653556064877</v>
      </c>
      <c r="G329" s="242">
        <f>+$C$322*G255*S45/1000</f>
        <v>0.3673275381946785</v>
      </c>
      <c r="H329" s="242">
        <f>+$C$322*H255*T45/1000</f>
        <v>764.00780946614168</v>
      </c>
      <c r="I329" s="242">
        <f>+$C$322*K257*U45/1000</f>
        <v>6228.3014126262497</v>
      </c>
      <c r="J329" s="242">
        <f>+$C$322*K257*V45/1000</f>
        <v>14296.577323564723</v>
      </c>
      <c r="K329" s="273">
        <f>+($C$322*C271+D271)*W45/1000+(I269*H153*K147)+(I273*H153*K149)</f>
        <v>423199.79329472571</v>
      </c>
      <c r="L329" s="273">
        <f>(($C$322*E272+F272)*X46+C322*E273*X47)/1000+(J269*$H$153*L147)+(J273*$H$153*L149)</f>
        <v>308215.50696888455</v>
      </c>
    </row>
    <row r="330" spans="1:12" x14ac:dyDescent="0.6">
      <c r="A330" s="17"/>
      <c r="B330" s="41" t="s">
        <v>126</v>
      </c>
      <c r="C330" s="168">
        <f>+C329+C328</f>
        <v>1441986.497662832</v>
      </c>
      <c r="D330" s="168">
        <f t="shared" ref="D330:L330" si="57">+D329+D328</f>
        <v>7242.9243170148493</v>
      </c>
      <c r="E330" s="168">
        <f t="shared" si="57"/>
        <v>19652.55248753406</v>
      </c>
      <c r="F330" s="168">
        <f t="shared" si="57"/>
        <v>38.647237075446185</v>
      </c>
      <c r="G330" s="168">
        <f t="shared" si="57"/>
        <v>0.57279204736373435</v>
      </c>
      <c r="H330" s="168">
        <f t="shared" si="57"/>
        <v>957.91347375102782</v>
      </c>
      <c r="I330" s="168">
        <f t="shared" si="57"/>
        <v>8276.5809868561428</v>
      </c>
      <c r="J330" s="168">
        <f t="shared" si="57"/>
        <v>19022.368544951991</v>
      </c>
      <c r="K330" s="168">
        <f t="shared" si="57"/>
        <v>651052.76467451768</v>
      </c>
      <c r="L330" s="168">
        <f t="shared" si="57"/>
        <v>469322.2404164779</v>
      </c>
    </row>
    <row r="331" spans="1:12" x14ac:dyDescent="0.6">
      <c r="A331" s="17"/>
      <c r="B331" s="41"/>
      <c r="C331" s="168"/>
      <c r="D331" s="168"/>
      <c r="E331" s="168"/>
      <c r="F331" s="168"/>
      <c r="G331" s="168"/>
      <c r="H331" s="168"/>
      <c r="I331" s="168"/>
      <c r="J331" s="168"/>
      <c r="K331" s="168"/>
      <c r="L331" s="168"/>
    </row>
    <row r="332" spans="1:12" x14ac:dyDescent="0.6">
      <c r="A332" s="17"/>
      <c r="B332" s="41" t="s">
        <v>303</v>
      </c>
      <c r="C332" s="168">
        <f>SUM(C328:L328)</f>
        <v>1019544.8477901923</v>
      </c>
      <c r="D332" s="168"/>
      <c r="E332" s="168"/>
      <c r="F332" s="168"/>
      <c r="G332" s="168"/>
      <c r="H332" s="168"/>
      <c r="I332" s="168"/>
      <c r="J332" s="168"/>
      <c r="K332" s="168"/>
      <c r="L332" s="168"/>
    </row>
    <row r="333" spans="1:12" x14ac:dyDescent="0.6">
      <c r="A333" s="17"/>
      <c r="B333" s="41" t="s">
        <v>304</v>
      </c>
      <c r="C333" s="168">
        <f>SUM(C329:L329)</f>
        <v>1598008.2148028656</v>
      </c>
      <c r="E333" s="265"/>
    </row>
    <row r="334" spans="1:12" x14ac:dyDescent="0.6">
      <c r="A334" s="17"/>
      <c r="B334" s="41" t="s">
        <v>305</v>
      </c>
      <c r="C334" s="168">
        <f>+C333+C332</f>
        <v>2617553.0625930578</v>
      </c>
      <c r="E334" s="265"/>
    </row>
    <row r="335" spans="1:12" x14ac:dyDescent="0.6">
      <c r="A335" s="17"/>
      <c r="B335" s="41"/>
      <c r="C335" s="265"/>
      <c r="E335" s="265"/>
    </row>
    <row r="336" spans="1:12" x14ac:dyDescent="0.6">
      <c r="A336" s="17"/>
      <c r="C336" s="8" t="s">
        <v>12</v>
      </c>
      <c r="D336" s="8" t="s">
        <v>13</v>
      </c>
      <c r="E336" s="8" t="s">
        <v>14</v>
      </c>
      <c r="F336" s="8" t="s">
        <v>15</v>
      </c>
      <c r="G336" s="8" t="s">
        <v>16</v>
      </c>
      <c r="H336" s="8" t="s">
        <v>17</v>
      </c>
      <c r="I336" s="8" t="s">
        <v>18</v>
      </c>
      <c r="J336" s="8" t="s">
        <v>19</v>
      </c>
      <c r="K336" s="8" t="s">
        <v>20</v>
      </c>
      <c r="L336" s="8" t="s">
        <v>21</v>
      </c>
    </row>
    <row r="337" spans="1:12" x14ac:dyDescent="0.6">
      <c r="A337" s="17"/>
      <c r="B337" s="2" t="s">
        <v>306</v>
      </c>
    </row>
    <row r="338" spans="1:12" x14ac:dyDescent="0.6">
      <c r="A338" s="17"/>
      <c r="B338" s="41" t="s">
        <v>54</v>
      </c>
      <c r="C338" s="242">
        <f t="shared" ref="C338:L338" si="58">+$C$322*$C$323*O49*C85/1000</f>
        <v>588120.53361558891</v>
      </c>
      <c r="D338" s="242">
        <f t="shared" si="58"/>
        <v>1757.7440857156378</v>
      </c>
      <c r="E338" s="242">
        <f t="shared" si="58"/>
        <v>8133.478955754239</v>
      </c>
      <c r="F338" s="242">
        <f t="shared" si="58"/>
        <v>16.131265092636177</v>
      </c>
      <c r="G338" s="242">
        <f t="shared" si="58"/>
        <v>0.31424542388252291</v>
      </c>
      <c r="H338" s="242">
        <f t="shared" si="58"/>
        <v>203.63074936769326</v>
      </c>
      <c r="I338" s="242">
        <f t="shared" si="58"/>
        <v>3504.5697156125234</v>
      </c>
      <c r="J338" s="242">
        <f t="shared" si="58"/>
        <v>8085.7442534465699</v>
      </c>
      <c r="K338" s="242">
        <f t="shared" si="58"/>
        <v>239792.4242111819</v>
      </c>
      <c r="L338" s="242">
        <f t="shared" si="58"/>
        <v>192183.03439650926</v>
      </c>
    </row>
    <row r="339" spans="1:12" x14ac:dyDescent="0.6">
      <c r="A339" s="17"/>
      <c r="B339" s="41" t="s">
        <v>55</v>
      </c>
      <c r="C339" s="242">
        <f t="shared" ref="C339:L339" si="59">+$C$322*$C$324*O45*C85/1000</f>
        <v>769787.2630786387</v>
      </c>
      <c r="D339" s="242">
        <f t="shared" si="59"/>
        <v>6150.1185512258971</v>
      </c>
      <c r="E339" s="242">
        <f t="shared" si="59"/>
        <v>9895.8772748001247</v>
      </c>
      <c r="F339" s="242">
        <f t="shared" si="59"/>
        <v>42.108886800258077</v>
      </c>
      <c r="G339" s="242">
        <f t="shared" si="59"/>
        <v>0.52374237313753824</v>
      </c>
      <c r="H339" s="242">
        <f t="shared" si="59"/>
        <v>765.64787956379564</v>
      </c>
      <c r="I339" s="242">
        <f t="shared" si="59"/>
        <v>9309.3111855704865</v>
      </c>
      <c r="J339" s="242">
        <f t="shared" si="59"/>
        <v>21368.793572486189</v>
      </c>
      <c r="K339" s="242">
        <f t="shared" si="59"/>
        <v>412902.93296151684</v>
      </c>
      <c r="L339" s="242">
        <f t="shared" si="59"/>
        <v>345630.49350221391</v>
      </c>
    </row>
    <row r="340" spans="1:12" x14ac:dyDescent="0.6">
      <c r="A340" s="17"/>
      <c r="B340" s="41" t="s">
        <v>126</v>
      </c>
      <c r="C340" s="168">
        <f t="shared" ref="C340:L340" si="60">+C339+C338</f>
        <v>1357907.7966942275</v>
      </c>
      <c r="D340" s="168">
        <f t="shared" si="60"/>
        <v>7907.8626369415351</v>
      </c>
      <c r="E340" s="168">
        <f t="shared" si="60"/>
        <v>18029.356230554364</v>
      </c>
      <c r="F340" s="168">
        <f t="shared" si="60"/>
        <v>58.240151892894254</v>
      </c>
      <c r="G340" s="168">
        <f t="shared" si="60"/>
        <v>0.8379877970200611</v>
      </c>
      <c r="H340" s="168">
        <f t="shared" si="60"/>
        <v>969.27862893148892</v>
      </c>
      <c r="I340" s="168">
        <f t="shared" si="60"/>
        <v>12813.880901183009</v>
      </c>
      <c r="J340" s="242">
        <f t="shared" si="60"/>
        <v>29454.537825932759</v>
      </c>
      <c r="K340" s="242">
        <f t="shared" si="60"/>
        <v>652695.35717269871</v>
      </c>
      <c r="L340" s="242">
        <f t="shared" si="60"/>
        <v>537813.52789872314</v>
      </c>
    </row>
    <row r="341" spans="1:12" x14ac:dyDescent="0.6">
      <c r="A341" s="17"/>
      <c r="C341" s="265"/>
      <c r="D341" s="265"/>
      <c r="E341" s="265"/>
      <c r="F341" s="265"/>
      <c r="G341" s="265"/>
      <c r="H341" s="265"/>
      <c r="I341" s="265"/>
      <c r="J341" s="265"/>
      <c r="K341" s="265"/>
      <c r="L341" s="265"/>
    </row>
    <row r="342" spans="1:12" x14ac:dyDescent="0.6">
      <c r="A342" s="17"/>
      <c r="B342" s="41" t="s">
        <v>303</v>
      </c>
      <c r="C342" s="168">
        <f>SUM(C338:L338)</f>
        <v>1041797.6054936933</v>
      </c>
    </row>
    <row r="343" spans="1:12" x14ac:dyDescent="0.6">
      <c r="A343" s="17"/>
      <c r="B343" s="41" t="s">
        <v>304</v>
      </c>
      <c r="C343" s="168">
        <f>SUM(C339:L339)</f>
        <v>1575853.0706351891</v>
      </c>
    </row>
    <row r="344" spans="1:12" x14ac:dyDescent="0.6">
      <c r="A344" s="17"/>
      <c r="B344" s="41" t="s">
        <v>305</v>
      </c>
      <c r="C344" s="168">
        <f>+C343+C342</f>
        <v>2617650.6761288824</v>
      </c>
    </row>
    <row r="345" spans="1:12" x14ac:dyDescent="0.6">
      <c r="A345" s="17"/>
      <c r="C345" s="265"/>
      <c r="E345" s="265"/>
    </row>
    <row r="346" spans="1:12" x14ac:dyDescent="0.6">
      <c r="B346" s="97" t="s">
        <v>307</v>
      </c>
      <c r="C346" s="168">
        <f>+C334-C344</f>
        <v>-97.613535824697465</v>
      </c>
    </row>
    <row r="347" spans="1:12" x14ac:dyDescent="0.6">
      <c r="C347" s="2" t="s">
        <v>308</v>
      </c>
    </row>
    <row r="350" spans="1:12" x14ac:dyDescent="0.6">
      <c r="A350" s="3" t="s">
        <v>309</v>
      </c>
      <c r="B350" s="13" t="s">
        <v>310</v>
      </c>
      <c r="C350" s="111" t="s">
        <v>311</v>
      </c>
    </row>
    <row r="351" spans="1:12" x14ac:dyDescent="0.6">
      <c r="B351" s="14" t="s">
        <v>38</v>
      </c>
    </row>
    <row r="352" spans="1:12" x14ac:dyDescent="0.6">
      <c r="B352" s="41" t="s">
        <v>54</v>
      </c>
      <c r="C352" s="42">
        <f>SUMPRODUCT(O49:X49,C85:L85)</f>
        <v>10465409.653643606</v>
      </c>
    </row>
    <row r="353" spans="2:3" x14ac:dyDescent="0.6">
      <c r="B353" s="41" t="s">
        <v>55</v>
      </c>
      <c r="C353" s="190">
        <f>SUMPRODUCT(O45:X45,C85:L85)</f>
        <v>15830280.134243663</v>
      </c>
    </row>
    <row r="354" spans="2:3" x14ac:dyDescent="0.6">
      <c r="B354" s="41" t="s">
        <v>126</v>
      </c>
      <c r="C354" s="42">
        <f>+C353+C352</f>
        <v>26295689.787887268</v>
      </c>
    </row>
  </sheetData>
  <mergeCells count="3">
    <mergeCell ref="J66:L66"/>
    <mergeCell ref="J67:L67"/>
    <mergeCell ref="R145:V145"/>
  </mergeCells>
  <pageMargins left="0.75" right="0.75" top="1" bottom="1" header="0.5" footer="0.5"/>
  <pageSetup scale="60" fitToHeight="9" orientation="landscape" r:id="rId1"/>
  <headerFooter alignWithMargins="0">
    <oddHeader>&amp;C&amp;"Arial,Bold"Public Service Electric and Gas Company Specific Addendum
Attachment 2</oddHeader>
    <oddFooter>&amp;CPage &amp;P of &amp;N</oddFooter>
  </headerFooter>
  <rowBreaks count="6" manualBreakCount="6">
    <brk id="39" max="16383" man="1"/>
    <brk id="87" max="11" man="1"/>
    <brk id="140" max="11" man="1"/>
    <brk id="186" max="11" man="1"/>
    <brk id="236" max="11" man="1"/>
    <brk id="29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6134-68AE-4018-A133-AD0E0B9DBE44}">
  <sheetPr codeName="Sheet2">
    <pageSetUpPr fitToPage="1"/>
  </sheetPr>
  <dimension ref="A1:R213"/>
  <sheetViews>
    <sheetView view="pageBreakPreview" zoomScaleNormal="100" zoomScaleSheetLayoutView="100" workbookViewId="0"/>
  </sheetViews>
  <sheetFormatPr defaultColWidth="9.08984375" defaultRowHeight="13" x14ac:dyDescent="0.6"/>
  <cols>
    <col min="1" max="1" width="8.453125" style="2" bestFit="1" customWidth="1"/>
    <col min="2" max="2" width="36.453125" style="2" customWidth="1"/>
    <col min="3" max="3" width="13.86328125" style="2" customWidth="1"/>
    <col min="4" max="4" width="13.08984375" style="2" customWidth="1"/>
    <col min="5" max="5" width="13.453125" style="2" customWidth="1"/>
    <col min="6" max="7" width="12.08984375" style="2" customWidth="1"/>
    <col min="8" max="8" width="11.86328125" style="2" customWidth="1"/>
    <col min="9" max="9" width="19.453125" style="2" customWidth="1"/>
    <col min="10" max="10" width="13.08984375" style="2" customWidth="1"/>
    <col min="11" max="11" width="12.54296875" style="2" customWidth="1"/>
    <col min="12" max="12" width="12.54296875" style="2" bestFit="1" customWidth="1"/>
    <col min="13" max="13" width="14.453125" style="2" bestFit="1" customWidth="1"/>
    <col min="14" max="14" width="24.08984375" style="2" bestFit="1" customWidth="1"/>
    <col min="15" max="16" width="10.86328125" style="2" bestFit="1" customWidth="1"/>
    <col min="17" max="17" width="14.453125" style="2" bestFit="1" customWidth="1"/>
    <col min="18" max="16384" width="9.08984375" style="2"/>
  </cols>
  <sheetData>
    <row r="1" spans="1:18" ht="17.399999999999999" customHeight="1" x14ac:dyDescent="0.7">
      <c r="B1" s="10" t="str">
        <f>"Calculation of June "&amp;(Input!D2)&amp;" to May "&amp;(Input!D2+1)&amp;" BGS-RSCP Rates"</f>
        <v>Calculation of June 2025 to May 2026 BGS-RSCP Rates</v>
      </c>
      <c r="O1" s="422"/>
      <c r="P1" s="422"/>
      <c r="Q1" s="422"/>
      <c r="R1" s="422"/>
    </row>
    <row r="2" spans="1:18" ht="15.65" customHeight="1" x14ac:dyDescent="0.65">
      <c r="B2" s="274" t="s">
        <v>312</v>
      </c>
      <c r="O2" s="422"/>
      <c r="P2" s="422"/>
      <c r="Q2" s="422"/>
      <c r="R2" s="422"/>
    </row>
    <row r="3" spans="1:18" ht="18.649999999999999" customHeight="1" x14ac:dyDescent="0.6">
      <c r="B3" s="14" t="s">
        <v>313</v>
      </c>
    </row>
    <row r="5" spans="1:18" x14ac:dyDescent="0.6">
      <c r="A5" s="3" t="s">
        <v>314</v>
      </c>
      <c r="B5" s="13" t="s">
        <v>1</v>
      </c>
    </row>
    <row r="6" spans="1:18" ht="51" customHeight="1" x14ac:dyDescent="0.6">
      <c r="A6" s="41" t="s">
        <v>315</v>
      </c>
      <c r="B6" s="13" t="s">
        <v>98</v>
      </c>
      <c r="C6" s="22" t="str">
        <f>Input!C135</f>
        <v>remaining portion of 36 month bid - 2023 auction</v>
      </c>
      <c r="D6" s="22" t="str">
        <f>Input!D135</f>
        <v>remaining portion of 36 month bid - 2024 auction</v>
      </c>
      <c r="E6" s="22" t="str">
        <f>Input!E135</f>
        <v>2025 auction</v>
      </c>
      <c r="G6" s="275" t="s">
        <v>316</v>
      </c>
    </row>
    <row r="7" spans="1:18" x14ac:dyDescent="0.6">
      <c r="C7" s="135" t="str">
        <f>LEFT(RIGHT(C6,12),4)</f>
        <v>2023</v>
      </c>
      <c r="D7" s="135" t="str">
        <f t="shared" ref="D7:E7" si="0">LEFT(RIGHT(D6,12),4)</f>
        <v>2024</v>
      </c>
      <c r="E7" s="135" t="str">
        <f t="shared" si="0"/>
        <v>2025</v>
      </c>
      <c r="F7" s="276"/>
    </row>
    <row r="8" spans="1:18" x14ac:dyDescent="0.6">
      <c r="A8" s="41">
        <v>1</v>
      </c>
      <c r="B8" s="13" t="s">
        <v>109</v>
      </c>
      <c r="C8" s="237">
        <f>Input!C136</f>
        <v>93.11</v>
      </c>
      <c r="D8" s="237">
        <f>Input!D136</f>
        <v>80.88</v>
      </c>
      <c r="E8" s="248">
        <f>D11</f>
        <v>108.36999999999999</v>
      </c>
      <c r="G8" s="11" t="s">
        <v>312</v>
      </c>
    </row>
    <row r="9" spans="1:18" x14ac:dyDescent="0.6">
      <c r="A9" s="209" t="s">
        <v>317</v>
      </c>
      <c r="B9" s="2" t="s">
        <v>318</v>
      </c>
      <c r="C9" s="248">
        <f>'Attach 4 P1'!C21</f>
        <v>27.84</v>
      </c>
      <c r="D9" s="248">
        <f>'Attach 4 P1'!D21</f>
        <v>27.49</v>
      </c>
      <c r="E9" s="277"/>
      <c r="G9" s="278" t="s">
        <v>319</v>
      </c>
      <c r="J9" s="129"/>
    </row>
    <row r="10" spans="1:18" x14ac:dyDescent="0.6">
      <c r="A10" s="209" t="s">
        <v>320</v>
      </c>
      <c r="B10" s="279"/>
      <c r="C10" s="277"/>
      <c r="D10" s="277"/>
      <c r="E10" s="277"/>
      <c r="F10" s="13"/>
      <c r="G10" s="11"/>
    </row>
    <row r="11" spans="1:18" x14ac:dyDescent="0.6">
      <c r="A11" s="209" t="s">
        <v>321</v>
      </c>
      <c r="B11" s="13" t="s">
        <v>322</v>
      </c>
      <c r="C11" s="280">
        <f>C8+C9-C10</f>
        <v>120.95</v>
      </c>
      <c r="D11" s="280">
        <f t="shared" ref="D11:E11" si="1">D8+D9-D10</f>
        <v>108.36999999999999</v>
      </c>
      <c r="E11" s="280">
        <f t="shared" si="1"/>
        <v>108.36999999999999</v>
      </c>
      <c r="G11" s="47" t="s">
        <v>323</v>
      </c>
    </row>
    <row r="12" spans="1:18" x14ac:dyDescent="0.6">
      <c r="A12" s="41"/>
      <c r="B12" s="13"/>
      <c r="C12" s="281"/>
      <c r="D12" s="281"/>
      <c r="E12" s="281"/>
      <c r="G12" s="47"/>
    </row>
    <row r="13" spans="1:18" x14ac:dyDescent="0.6">
      <c r="B13" s="14" t="s">
        <v>324</v>
      </c>
    </row>
    <row r="14" spans="1:18" x14ac:dyDescent="0.6">
      <c r="A14" s="41">
        <v>2</v>
      </c>
      <c r="B14" s="13" t="s">
        <v>110</v>
      </c>
      <c r="C14" s="11">
        <f>Input!C137</f>
        <v>28</v>
      </c>
      <c r="D14" s="11">
        <f>Input!D137</f>
        <v>29</v>
      </c>
      <c r="E14" s="11">
        <f>Input!E137</f>
        <v>28</v>
      </c>
      <c r="G14" s="2" t="s">
        <v>325</v>
      </c>
    </row>
    <row r="15" spans="1:18" x14ac:dyDescent="0.6">
      <c r="A15" s="41">
        <v>3</v>
      </c>
      <c r="B15" s="13" t="s">
        <v>326</v>
      </c>
      <c r="C15" s="11">
        <f>SUM(C14:E14)</f>
        <v>85</v>
      </c>
      <c r="D15" s="11">
        <f>C15</f>
        <v>85</v>
      </c>
      <c r="E15" s="11">
        <f>D15</f>
        <v>85</v>
      </c>
      <c r="G15" s="2" t="s">
        <v>325</v>
      </c>
    </row>
    <row r="16" spans="1:18" x14ac:dyDescent="0.6">
      <c r="A16" s="41"/>
      <c r="B16" s="13" t="s">
        <v>113</v>
      </c>
      <c r="C16" s="11"/>
      <c r="D16" s="11"/>
      <c r="E16" s="11"/>
    </row>
    <row r="17" spans="1:12" x14ac:dyDescent="0.6">
      <c r="A17" s="41">
        <v>4</v>
      </c>
      <c r="B17" s="217" t="s">
        <v>114</v>
      </c>
      <c r="C17" s="70">
        <f>Input!C140</f>
        <v>1</v>
      </c>
      <c r="D17" s="70">
        <f>Input!D140</f>
        <v>1</v>
      </c>
      <c r="E17" s="70">
        <f>IF(LEFT(Input!$B$2,6)="rebase",Input!E140,'Attachment 2'!L316)</f>
        <v>1</v>
      </c>
      <c r="K17" s="220"/>
    </row>
    <row r="18" spans="1:12" ht="12.75" customHeight="1" x14ac:dyDescent="0.6">
      <c r="A18" s="41">
        <v>5</v>
      </c>
      <c r="B18" s="217" t="s">
        <v>115</v>
      </c>
      <c r="C18" s="70">
        <f>Input!C141</f>
        <v>1</v>
      </c>
      <c r="D18" s="70">
        <f>Input!D141</f>
        <v>1</v>
      </c>
      <c r="E18" s="70">
        <f>IF(LEFT(Input!$B$2,6)="rebase",Input!E141,'Attachment 2'!L317)</f>
        <v>1</v>
      </c>
      <c r="K18" s="220"/>
    </row>
    <row r="19" spans="1:12" x14ac:dyDescent="0.6">
      <c r="A19" s="41"/>
    </row>
    <row r="20" spans="1:12" x14ac:dyDescent="0.6">
      <c r="A20" s="41"/>
      <c r="B20" s="13" t="s">
        <v>327</v>
      </c>
    </row>
    <row r="21" spans="1:12" x14ac:dyDescent="0.6">
      <c r="A21" s="41">
        <v>6</v>
      </c>
      <c r="B21" s="2" t="s">
        <v>328</v>
      </c>
      <c r="C21" s="247">
        <f>+'Attachment 2'!C352</f>
        <v>10465409.653643606</v>
      </c>
      <c r="D21" s="48"/>
      <c r="E21" s="48"/>
      <c r="G21" s="11" t="s">
        <v>329</v>
      </c>
    </row>
    <row r="22" spans="1:12" x14ac:dyDescent="0.6">
      <c r="A22" s="41">
        <v>7</v>
      </c>
      <c r="B22" s="2" t="s">
        <v>330</v>
      </c>
      <c r="C22" s="247">
        <f>+'Attachment 2'!C353</f>
        <v>15830280.134243663</v>
      </c>
      <c r="D22" s="48"/>
      <c r="E22" s="48"/>
    </row>
    <row r="23" spans="1:12" x14ac:dyDescent="0.6">
      <c r="A23" s="41"/>
    </row>
    <row r="24" spans="1:12" x14ac:dyDescent="0.6">
      <c r="A24" s="41"/>
      <c r="B24" s="13" t="s">
        <v>331</v>
      </c>
    </row>
    <row r="25" spans="1:12" x14ac:dyDescent="0.6">
      <c r="A25" s="41">
        <v>8</v>
      </c>
      <c r="B25" s="217" t="s">
        <v>114</v>
      </c>
      <c r="C25" s="282">
        <f>(+C$11*C$14/C$15*C17*$C21/1000)</f>
        <v>416966.54509446403</v>
      </c>
      <c r="D25" s="282">
        <f t="shared" ref="D25:E26" si="2">(+D$11*D$14/D$15*D17*$C21/1000)</f>
        <v>386940.66918582778</v>
      </c>
      <c r="E25" s="282">
        <f t="shared" si="2"/>
        <v>373597.88748976483</v>
      </c>
      <c r="F25" s="283"/>
      <c r="G25" s="113" t="s">
        <v>332</v>
      </c>
      <c r="J25" s="168"/>
      <c r="L25" s="168"/>
    </row>
    <row r="26" spans="1:12" x14ac:dyDescent="0.6">
      <c r="A26" s="41">
        <v>9</v>
      </c>
      <c r="B26" s="217" t="s">
        <v>115</v>
      </c>
      <c r="C26" s="284">
        <f>(+C$11*C$14/C$15*C18*$C22/1000)</f>
        <v>630715.60826623044</v>
      </c>
      <c r="D26" s="284">
        <f t="shared" si="2"/>
        <v>585297.60336813622</v>
      </c>
      <c r="E26" s="284">
        <f t="shared" si="2"/>
        <v>565114.92738992465</v>
      </c>
      <c r="F26" s="283"/>
      <c r="G26" s="113" t="s">
        <v>333</v>
      </c>
    </row>
    <row r="27" spans="1:12" x14ac:dyDescent="0.6">
      <c r="A27" s="41">
        <v>10</v>
      </c>
      <c r="B27" s="2" t="s">
        <v>334</v>
      </c>
      <c r="C27" s="168">
        <f>+C26+C25</f>
        <v>1047682.1533606944</v>
      </c>
      <c r="D27" s="168">
        <f>+D26+D25</f>
        <v>972238.27255396405</v>
      </c>
      <c r="E27" s="168">
        <f>+E26+E25</f>
        <v>938712.81487968948</v>
      </c>
      <c r="G27" s="2" t="s">
        <v>335</v>
      </c>
      <c r="J27" s="168"/>
      <c r="L27" s="168"/>
    </row>
    <row r="28" spans="1:12" x14ac:dyDescent="0.6">
      <c r="A28" s="41"/>
    </row>
    <row r="29" spans="1:12" x14ac:dyDescent="0.6">
      <c r="A29" s="41"/>
      <c r="B29" s="13" t="s">
        <v>336</v>
      </c>
    </row>
    <row r="30" spans="1:12" x14ac:dyDescent="0.6">
      <c r="A30" s="41">
        <v>11</v>
      </c>
      <c r="B30" s="217" t="s">
        <v>114</v>
      </c>
      <c r="C30" s="285">
        <f>ROUND(+SUM(C25:E25)/C21*1000,3)</f>
        <v>112.514</v>
      </c>
      <c r="D30" s="164"/>
      <c r="G30" s="113" t="s">
        <v>337</v>
      </c>
    </row>
    <row r="31" spans="1:12" x14ac:dyDescent="0.6">
      <c r="A31" s="41">
        <v>12</v>
      </c>
      <c r="B31" s="217" t="s">
        <v>115</v>
      </c>
      <c r="C31" s="286">
        <f>ROUND(+SUM(C26:E26)/C22*1000,3)</f>
        <v>112.514</v>
      </c>
      <c r="G31" s="113" t="s">
        <v>338</v>
      </c>
    </row>
    <row r="32" spans="1:12" x14ac:dyDescent="0.6">
      <c r="A32" s="41"/>
      <c r="B32" s="217"/>
      <c r="C32" s="264"/>
      <c r="G32" s="113"/>
    </row>
    <row r="33" spans="1:10" x14ac:dyDescent="0.6">
      <c r="A33" s="41">
        <v>13</v>
      </c>
      <c r="B33" s="2" t="s">
        <v>339</v>
      </c>
      <c r="C33" s="287">
        <f>ROUND(+SUM(C27:E27)/(C21+C22)*1000,3)</f>
        <v>112.514</v>
      </c>
      <c r="D33" s="2" t="s">
        <v>340</v>
      </c>
      <c r="G33" s="113" t="s">
        <v>341</v>
      </c>
    </row>
    <row r="34" spans="1:10" x14ac:dyDescent="0.6">
      <c r="D34" s="2" t="s">
        <v>342</v>
      </c>
      <c r="G34" s="2" t="s">
        <v>343</v>
      </c>
    </row>
    <row r="35" spans="1:10" x14ac:dyDescent="0.6">
      <c r="C35" s="164"/>
    </row>
    <row r="36" spans="1:10" x14ac:dyDescent="0.6">
      <c r="B36" s="189" t="s">
        <v>344</v>
      </c>
      <c r="D36" s="164"/>
    </row>
    <row r="37" spans="1:10" x14ac:dyDescent="0.6">
      <c r="A37" s="41">
        <v>14</v>
      </c>
      <c r="B37" s="97" t="s">
        <v>345</v>
      </c>
      <c r="C37" s="168">
        <f>(C33*(C22+C21))/1000</f>
        <v>2958633.2407943476</v>
      </c>
      <c r="D37" s="164"/>
      <c r="G37" s="113" t="s">
        <v>346</v>
      </c>
    </row>
    <row r="38" spans="1:10" ht="15.25" x14ac:dyDescent="1.05">
      <c r="A38" s="41">
        <v>15</v>
      </c>
      <c r="B38" s="97" t="s">
        <v>347</v>
      </c>
      <c r="C38" s="288">
        <f>SUM(C27:E27)</f>
        <v>2958633.2407943481</v>
      </c>
      <c r="D38" s="164"/>
      <c r="G38" s="113" t="s">
        <v>348</v>
      </c>
    </row>
    <row r="39" spans="1:10" x14ac:dyDescent="0.6">
      <c r="A39" s="41">
        <v>16</v>
      </c>
      <c r="B39" s="97" t="s">
        <v>349</v>
      </c>
      <c r="C39" s="242">
        <f>+C37-C38</f>
        <v>0</v>
      </c>
      <c r="D39" s="164"/>
      <c r="G39" s="113" t="s">
        <v>350</v>
      </c>
    </row>
    <row r="40" spans="1:10" x14ac:dyDescent="0.6">
      <c r="B40" s="97"/>
      <c r="D40" s="164"/>
    </row>
    <row r="42" spans="1:10" x14ac:dyDescent="0.6">
      <c r="A42" s="3" t="s">
        <v>351</v>
      </c>
      <c r="B42" s="13" t="s">
        <v>352</v>
      </c>
      <c r="G42" s="14" t="s">
        <v>353</v>
      </c>
    </row>
    <row r="43" spans="1:10" x14ac:dyDescent="0.6">
      <c r="A43" s="3"/>
      <c r="B43" s="13"/>
      <c r="G43" s="14" t="s">
        <v>354</v>
      </c>
    </row>
    <row r="44" spans="1:10" x14ac:dyDescent="0.6">
      <c r="B44" s="13" t="s">
        <v>229</v>
      </c>
    </row>
    <row r="45" spans="1:10" x14ac:dyDescent="0.6">
      <c r="B45" s="14" t="s">
        <v>355</v>
      </c>
    </row>
    <row r="46" spans="1:10" x14ac:dyDescent="0.6">
      <c r="B46" s="13"/>
    </row>
    <row r="47" spans="1:10" x14ac:dyDescent="0.6">
      <c r="C47" s="8" t="str">
        <f>+'Attachment 2'!C243</f>
        <v>RS</v>
      </c>
      <c r="D47" s="8" t="str">
        <f>+'Attachment 2'!D243</f>
        <v>RHS</v>
      </c>
      <c r="E47" s="8" t="str">
        <f>+'Attachment 2'!E243</f>
        <v>RLM</v>
      </c>
      <c r="F47" s="8" t="str">
        <f>+'Attachment 2'!F243</f>
        <v>WH</v>
      </c>
      <c r="G47" s="8" t="str">
        <f>+'Attachment 2'!G243</f>
        <v>WHS</v>
      </c>
      <c r="H47" s="8" t="str">
        <f>+'Attachment 2'!H243</f>
        <v>HS</v>
      </c>
      <c r="I47" s="8" t="str">
        <f>+'Attachment 2'!I243</f>
        <v>PSAL</v>
      </c>
      <c r="J47" s="8" t="str">
        <f>+'Attachment 2'!J243</f>
        <v>BPL</v>
      </c>
    </row>
    <row r="48" spans="1:10" x14ac:dyDescent="0.6">
      <c r="C48" s="8"/>
      <c r="D48" s="8"/>
      <c r="E48" s="8"/>
      <c r="F48" s="8"/>
      <c r="G48" s="8"/>
    </row>
    <row r="49" spans="2:16" x14ac:dyDescent="0.6">
      <c r="B49" s="32" t="s">
        <v>165</v>
      </c>
      <c r="E49" s="171"/>
      <c r="F49" s="170">
        <f>+'Attachment 2'!F245</f>
        <v>0.66500000000000004</v>
      </c>
      <c r="G49" s="170">
        <f>+'Attachment 2'!G245</f>
        <v>0.68799999999999994</v>
      </c>
      <c r="H49" s="170">
        <f>+'Attachment 2'!H245</f>
        <v>1.002</v>
      </c>
      <c r="I49" s="171">
        <f>+'Attachment 2'!I245</f>
        <v>0.61599999999999999</v>
      </c>
      <c r="J49" s="171">
        <f>+'Attachment 2'!J245</f>
        <v>0.61499999999999999</v>
      </c>
      <c r="K49" s="265"/>
      <c r="L49" s="265"/>
      <c r="M49" s="265"/>
    </row>
    <row r="50" spans="2:16" x14ac:dyDescent="0.6">
      <c r="B50" s="159" t="s">
        <v>185</v>
      </c>
      <c r="C50" s="177"/>
      <c r="D50" s="172"/>
      <c r="E50" s="170">
        <f>+'Attachment 2'!E246</f>
        <v>1.7669999999999999</v>
      </c>
      <c r="F50" s="171"/>
      <c r="G50" s="171"/>
      <c r="H50" s="171"/>
      <c r="I50" s="11"/>
      <c r="J50" s="173" t="s">
        <v>256</v>
      </c>
      <c r="K50" s="265"/>
      <c r="L50" s="265"/>
      <c r="M50" s="265"/>
    </row>
    <row r="51" spans="2:16" x14ac:dyDescent="0.6">
      <c r="B51" s="159" t="s">
        <v>186</v>
      </c>
      <c r="C51" s="177"/>
      <c r="D51" s="172"/>
      <c r="E51" s="170">
        <f>+'Attachment 2'!E247</f>
        <v>0.59699999999999998</v>
      </c>
      <c r="F51" s="171"/>
      <c r="G51" s="171"/>
      <c r="H51" s="174"/>
      <c r="I51" s="11"/>
      <c r="J51" s="173" t="s">
        <v>257</v>
      </c>
      <c r="K51" s="175">
        <f>+'Attachment 2'!K247</f>
        <v>0.61499999999999999</v>
      </c>
      <c r="L51" s="265"/>
      <c r="M51" s="265"/>
    </row>
    <row r="52" spans="2:16" x14ac:dyDescent="0.6">
      <c r="E52" s="177"/>
      <c r="F52" s="172"/>
      <c r="G52" s="172"/>
      <c r="L52" s="265"/>
      <c r="M52" s="265"/>
    </row>
    <row r="53" spans="2:16" x14ac:dyDescent="0.6">
      <c r="B53" s="176" t="s">
        <v>258</v>
      </c>
      <c r="C53" s="170">
        <f>+'Attachment 2'!C249</f>
        <v>1.097</v>
      </c>
      <c r="D53" s="170">
        <f>+'Attachment 2'!D249</f>
        <v>0.92100000000000004</v>
      </c>
      <c r="E53" s="177"/>
      <c r="F53" s="172"/>
      <c r="G53" s="172"/>
      <c r="H53" s="172"/>
      <c r="I53" s="172"/>
      <c r="J53" s="172"/>
      <c r="K53" s="265"/>
      <c r="L53" s="265"/>
      <c r="M53" s="265"/>
    </row>
    <row r="54" spans="2:16" x14ac:dyDescent="0.6">
      <c r="B54" s="176" t="s">
        <v>259</v>
      </c>
      <c r="C54" s="178">
        <f>+'Attachment 2'!C250</f>
        <v>-3.0630000000000002</v>
      </c>
      <c r="D54" s="178">
        <f>+'Attachment 2'!D250</f>
        <v>-3.9220000000000002</v>
      </c>
      <c r="E54" s="9" t="s">
        <v>260</v>
      </c>
      <c r="F54" s="172"/>
      <c r="G54" s="172"/>
      <c r="H54" s="172"/>
      <c r="I54" s="172"/>
      <c r="J54" s="172"/>
      <c r="K54" s="265"/>
      <c r="L54" s="265"/>
      <c r="M54" s="265"/>
    </row>
    <row r="55" spans="2:16" x14ac:dyDescent="0.6">
      <c r="B55" s="176" t="s">
        <v>259</v>
      </c>
      <c r="C55" s="178">
        <f>+'Attachment 2'!C251</f>
        <v>5.5890000000000004</v>
      </c>
      <c r="D55" s="178">
        <f>+'Attachment 2'!D251</f>
        <v>7.6470000000000002</v>
      </c>
      <c r="E55" s="9" t="s">
        <v>261</v>
      </c>
      <c r="F55" s="172"/>
      <c r="G55" s="172"/>
      <c r="H55" s="172"/>
      <c r="I55" s="172"/>
      <c r="J55" s="172"/>
      <c r="K55" s="265"/>
      <c r="L55" s="265"/>
      <c r="M55" s="265"/>
    </row>
    <row r="56" spans="2:16" x14ac:dyDescent="0.6">
      <c r="G56" s="172"/>
      <c r="H56" s="172"/>
      <c r="I56" s="172"/>
      <c r="J56" s="172"/>
      <c r="K56" s="265"/>
      <c r="L56" s="265"/>
      <c r="M56" s="265"/>
    </row>
    <row r="57" spans="2:16" x14ac:dyDescent="0.6">
      <c r="H57" s="172"/>
      <c r="I57" s="172"/>
      <c r="J57" s="172"/>
      <c r="K57" s="265"/>
      <c r="L57" s="265"/>
      <c r="M57" s="265"/>
    </row>
    <row r="58" spans="2:16" x14ac:dyDescent="0.6">
      <c r="C58" s="172"/>
      <c r="D58" s="172"/>
      <c r="E58" s="172"/>
      <c r="F58" s="172"/>
      <c r="G58" s="172"/>
      <c r="H58" s="172"/>
      <c r="I58" s="172"/>
      <c r="J58" s="172"/>
      <c r="K58" s="265"/>
      <c r="L58" s="265"/>
      <c r="M58" s="265"/>
    </row>
    <row r="59" spans="2:16" x14ac:dyDescent="0.6">
      <c r="B59" s="32" t="s">
        <v>168</v>
      </c>
      <c r="C59" s="170">
        <f>+'Attachment 2'!C255</f>
        <v>1.133</v>
      </c>
      <c r="D59" s="170">
        <f>+'Attachment 2'!D255</f>
        <v>0.97599999999999998</v>
      </c>
      <c r="E59" s="171"/>
      <c r="F59" s="170">
        <f>+'Attachment 2'!F255</f>
        <v>0.71099999999999997</v>
      </c>
      <c r="G59" s="170">
        <f>+'Attachment 2'!G255</f>
        <v>0.73799999999999999</v>
      </c>
      <c r="H59" s="170">
        <f>+'Attachment 2'!H255</f>
        <v>1.05</v>
      </c>
      <c r="I59" s="171">
        <f>+'Attachment 2'!I255</f>
        <v>0.70499999999999996</v>
      </c>
      <c r="J59" s="171">
        <f>+'Attachment 2'!J255</f>
        <v>0.70299999999999996</v>
      </c>
      <c r="K59" s="265"/>
      <c r="L59" s="265"/>
      <c r="M59" s="265"/>
    </row>
    <row r="60" spans="2:16" x14ac:dyDescent="0.6">
      <c r="B60" s="159" t="s">
        <v>185</v>
      </c>
      <c r="C60" s="172"/>
      <c r="D60" s="172"/>
      <c r="E60" s="170">
        <f>+'Attachment 2'!E256</f>
        <v>1.746</v>
      </c>
      <c r="F60" s="172"/>
      <c r="G60" s="172"/>
      <c r="H60" s="172"/>
      <c r="J60" s="173" t="s">
        <v>256</v>
      </c>
      <c r="K60" s="265"/>
      <c r="L60" s="265"/>
      <c r="M60" s="265"/>
    </row>
    <row r="61" spans="2:16" x14ac:dyDescent="0.6">
      <c r="B61" s="159" t="s">
        <v>186</v>
      </c>
      <c r="C61" s="172"/>
      <c r="D61" s="172"/>
      <c r="E61" s="170">
        <f>+'Attachment 2'!E257</f>
        <v>0.68899999999999995</v>
      </c>
      <c r="F61" s="172"/>
      <c r="G61" s="172"/>
      <c r="J61" s="173" t="s">
        <v>257</v>
      </c>
      <c r="K61" s="175">
        <f>+'Attachment 2'!K257</f>
        <v>0.70399999999999996</v>
      </c>
      <c r="L61" s="265"/>
      <c r="M61" s="265"/>
    </row>
    <row r="62" spans="2:16" x14ac:dyDescent="0.6">
      <c r="C62" s="265"/>
      <c r="D62" s="265"/>
      <c r="E62" s="265"/>
      <c r="F62" s="265"/>
      <c r="G62" s="265"/>
      <c r="K62" s="265"/>
      <c r="L62" s="265"/>
      <c r="M62" s="265"/>
    </row>
    <row r="63" spans="2:16" x14ac:dyDescent="0.6">
      <c r="B63" s="2" t="s">
        <v>262</v>
      </c>
      <c r="C63" s="266">
        <f>+'Attachment 2'!C259</f>
        <v>1.1180000000000001</v>
      </c>
      <c r="D63" s="266">
        <f>+'Attachment 2'!D259</f>
        <v>0.96399999999999997</v>
      </c>
      <c r="E63" s="266">
        <f>+'Attachment 2'!E259</f>
        <v>1.147</v>
      </c>
      <c r="F63" s="266">
        <f>+'Attachment 2'!F259</f>
        <v>0.69799999999999995</v>
      </c>
      <c r="G63" s="266">
        <f>+'Attachment 2'!G259</f>
        <v>0.71899999999999997</v>
      </c>
      <c r="H63" s="266">
        <f>+'Attachment 2'!H259</f>
        <v>1.04</v>
      </c>
      <c r="I63" s="266">
        <f>+'Attachment 2'!I259</f>
        <v>0.68100000000000005</v>
      </c>
      <c r="J63" s="266">
        <f>+'Attachment 2'!J259</f>
        <v>0.67900000000000005</v>
      </c>
      <c r="K63" s="265"/>
      <c r="L63" s="265"/>
      <c r="M63" s="265"/>
    </row>
    <row r="64" spans="2:16" x14ac:dyDescent="0.6">
      <c r="N64" s="289" t="s">
        <v>356</v>
      </c>
      <c r="O64"/>
      <c r="P64"/>
    </row>
    <row r="65" spans="2:16" x14ac:dyDescent="0.6">
      <c r="N65" s="289" t="s">
        <v>357</v>
      </c>
      <c r="O65"/>
      <c r="P65"/>
    </row>
    <row r="66" spans="2:16" x14ac:dyDescent="0.6">
      <c r="B66" s="13" t="s">
        <v>233</v>
      </c>
      <c r="N66" s="290">
        <f>C33*C71+D71</f>
        <v>81.007486</v>
      </c>
      <c r="O66"/>
      <c r="P66"/>
    </row>
    <row r="67" spans="2:16" x14ac:dyDescent="0.6">
      <c r="B67" s="14" t="s">
        <v>234</v>
      </c>
    </row>
    <row r="68" spans="2:16" x14ac:dyDescent="0.6">
      <c r="B68" s="11"/>
      <c r="N68" s="157"/>
    </row>
    <row r="69" spans="2:16" x14ac:dyDescent="0.6">
      <c r="C69" s="8" t="str">
        <f>+'Attachment 2'!C265</f>
        <v>GLP</v>
      </c>
      <c r="D69" s="8" t="str">
        <f>+'Attachment 2'!D265</f>
        <v>GLP</v>
      </c>
      <c r="E69" s="8" t="str">
        <f>+'Attachment 2'!E265</f>
        <v>LPL-S</v>
      </c>
      <c r="F69" s="8" t="str">
        <f>+'Attachment 2'!F265</f>
        <v>LPL-S</v>
      </c>
      <c r="H69" s="13" t="s">
        <v>235</v>
      </c>
      <c r="I69" s="8" t="str">
        <f>+C69</f>
        <v>GLP</v>
      </c>
      <c r="J69" s="8" t="str">
        <f>+E69</f>
        <v>LPL-S</v>
      </c>
    </row>
    <row r="70" spans="2:16" ht="26" x14ac:dyDescent="0.6">
      <c r="C70" s="8" t="s">
        <v>263</v>
      </c>
      <c r="D70" s="180" t="s">
        <v>259</v>
      </c>
      <c r="E70" s="8" t="s">
        <v>263</v>
      </c>
      <c r="F70" s="180" t="s">
        <v>259</v>
      </c>
    </row>
    <row r="71" spans="2:16" x14ac:dyDescent="0.6">
      <c r="B71" s="32" t="s">
        <v>165</v>
      </c>
      <c r="C71" s="170">
        <f>+'Attachment 2'!C267</f>
        <v>0.999</v>
      </c>
      <c r="D71" s="175">
        <f>+'Attachment 2'!D267</f>
        <v>-31.393999999999998</v>
      </c>
      <c r="E71" s="174"/>
      <c r="F71" s="174"/>
      <c r="H71" s="153" t="s">
        <v>236</v>
      </c>
      <c r="N71" s="291"/>
    </row>
    <row r="72" spans="2:16" x14ac:dyDescent="0.6">
      <c r="B72" s="159" t="s">
        <v>185</v>
      </c>
      <c r="C72" s="171"/>
      <c r="D72" s="175"/>
      <c r="E72" s="170">
        <f>+'Attachment 2'!E268</f>
        <v>1.181</v>
      </c>
      <c r="F72" s="175">
        <f>+'Attachment 2'!F268</f>
        <v>-41.573999999999998</v>
      </c>
      <c r="H72" s="97" t="s">
        <v>237</v>
      </c>
      <c r="I72" s="267">
        <f>+'Attachment 2'!I$270</f>
        <v>8.2231000000000005</v>
      </c>
      <c r="J72" s="267">
        <f>+'Attachment 2'!J$270</f>
        <v>8.2231000000000005</v>
      </c>
      <c r="K72" s="113" t="s">
        <v>238</v>
      </c>
      <c r="N72" s="129"/>
    </row>
    <row r="73" spans="2:16" x14ac:dyDescent="0.6">
      <c r="B73" s="159" t="s">
        <v>186</v>
      </c>
      <c r="C73" s="171"/>
      <c r="D73" s="175"/>
      <c r="E73" s="170">
        <f>+'Attachment 2'!E269</f>
        <v>0.59599999999999997</v>
      </c>
      <c r="F73" s="175">
        <f>+'Attachment 2'!F269</f>
        <v>0</v>
      </c>
      <c r="H73" s="97" t="s">
        <v>239</v>
      </c>
      <c r="I73" s="267">
        <f>+'Attachment 2'!I$270</f>
        <v>8.2231000000000005</v>
      </c>
      <c r="J73" s="267">
        <f>+'Attachment 2'!J$270</f>
        <v>8.2231000000000005</v>
      </c>
      <c r="K73" s="113" t="s">
        <v>238</v>
      </c>
    </row>
    <row r="74" spans="2:16" x14ac:dyDescent="0.6">
      <c r="C74" s="171"/>
      <c r="D74" s="175"/>
      <c r="E74" s="171"/>
      <c r="F74" s="175"/>
      <c r="H74" s="97"/>
      <c r="I74" s="267"/>
      <c r="J74" s="267"/>
      <c r="K74" s="113"/>
    </row>
    <row r="75" spans="2:16" x14ac:dyDescent="0.6">
      <c r="B75" s="32" t="s">
        <v>168</v>
      </c>
      <c r="C75" s="170">
        <f>+'Attachment 2'!C271</f>
        <v>1.079</v>
      </c>
      <c r="D75" s="175">
        <f>+'Attachment 2'!D271</f>
        <v>-36.463999999999999</v>
      </c>
      <c r="E75" s="170"/>
      <c r="F75" s="175"/>
      <c r="H75" s="153" t="s">
        <v>241</v>
      </c>
      <c r="I75" s="164"/>
      <c r="J75" s="164"/>
    </row>
    <row r="76" spans="2:16" x14ac:dyDescent="0.6">
      <c r="B76" s="159" t="s">
        <v>185</v>
      </c>
      <c r="C76" s="171"/>
      <c r="D76" s="174"/>
      <c r="E76" s="170">
        <f>+'Attachment 2'!E272</f>
        <v>1.222</v>
      </c>
      <c r="F76" s="175">
        <f>+'Attachment 2'!F272</f>
        <v>-47.774999999999999</v>
      </c>
      <c r="H76" s="97" t="s">
        <v>242</v>
      </c>
      <c r="I76" s="267">
        <f>+'Attachment 2'!I273</f>
        <v>0</v>
      </c>
      <c r="J76" s="267">
        <f>+'Attachment 2'!J273</f>
        <v>0</v>
      </c>
      <c r="K76" s="113" t="s">
        <v>243</v>
      </c>
    </row>
    <row r="77" spans="2:16" x14ac:dyDescent="0.6">
      <c r="B77" s="159" t="s">
        <v>186</v>
      </c>
      <c r="C77" s="171"/>
      <c r="D77" s="174"/>
      <c r="E77" s="170">
        <f>+'Attachment 2'!E273</f>
        <v>0.68500000000000005</v>
      </c>
      <c r="F77" s="175">
        <f>+'Attachment 2'!F273</f>
        <v>0</v>
      </c>
    </row>
    <row r="78" spans="2:16" x14ac:dyDescent="0.6">
      <c r="C78" s="266"/>
      <c r="D78" s="174"/>
      <c r="E78" s="266"/>
      <c r="F78" s="174"/>
    </row>
    <row r="79" spans="2:16" x14ac:dyDescent="0.6">
      <c r="B79" s="2" t="s">
        <v>358</v>
      </c>
      <c r="C79" s="266">
        <f>+'Attachment 2'!C275</f>
        <v>1.05</v>
      </c>
      <c r="D79" s="174"/>
      <c r="E79" s="266">
        <f>+'Attachment 2'!E275</f>
        <v>0.91800000000000004</v>
      </c>
      <c r="F79" s="174"/>
    </row>
    <row r="80" spans="2:16" x14ac:dyDescent="0.6">
      <c r="C80" s="266"/>
      <c r="D80" s="174"/>
      <c r="E80" s="266"/>
      <c r="F80" s="174"/>
    </row>
    <row r="81" spans="1:13" x14ac:dyDescent="0.6">
      <c r="C81" s="265"/>
      <c r="E81" s="265"/>
      <c r="I81" s="157"/>
    </row>
    <row r="82" spans="1:13" x14ac:dyDescent="0.6">
      <c r="A82" s="292" t="s">
        <v>359</v>
      </c>
      <c r="B82" s="189" t="s">
        <v>360</v>
      </c>
      <c r="C82" s="265"/>
      <c r="E82" s="265"/>
    </row>
    <row r="83" spans="1:13" x14ac:dyDescent="0.6">
      <c r="A83" s="292"/>
      <c r="B83" s="14" t="s">
        <v>361</v>
      </c>
    </row>
    <row r="85" spans="1:13" x14ac:dyDescent="0.6">
      <c r="B85" s="13" t="s">
        <v>362</v>
      </c>
    </row>
    <row r="86" spans="1:13" x14ac:dyDescent="0.6">
      <c r="B86" s="14" t="s">
        <v>355</v>
      </c>
    </row>
    <row r="87" spans="1:13" x14ac:dyDescent="0.6">
      <c r="B87" s="13"/>
    </row>
    <row r="88" spans="1:13" x14ac:dyDescent="0.6">
      <c r="C88" s="8" t="str">
        <f>+C47</f>
        <v>RS</v>
      </c>
      <c r="D88" s="8" t="str">
        <f t="shared" ref="D88:J88" si="3">+D47</f>
        <v>RHS</v>
      </c>
      <c r="E88" s="8" t="str">
        <f t="shared" si="3"/>
        <v>RLM</v>
      </c>
      <c r="F88" s="8" t="str">
        <f t="shared" si="3"/>
        <v>WH</v>
      </c>
      <c r="G88" s="8" t="str">
        <f t="shared" si="3"/>
        <v>WHS</v>
      </c>
      <c r="H88" s="8" t="str">
        <f t="shared" si="3"/>
        <v>HS</v>
      </c>
      <c r="I88" s="8" t="str">
        <f t="shared" si="3"/>
        <v>PSAL</v>
      </c>
      <c r="J88" s="8" t="str">
        <f t="shared" si="3"/>
        <v>BPL</v>
      </c>
    </row>
    <row r="89" spans="1:13" x14ac:dyDescent="0.6">
      <c r="C89" s="292"/>
      <c r="D89" s="292"/>
      <c r="E89" s="292"/>
      <c r="F89" s="293"/>
      <c r="G89" s="293"/>
      <c r="H89" s="293"/>
      <c r="I89" s="293"/>
      <c r="J89" s="293"/>
    </row>
    <row r="90" spans="1:13" x14ac:dyDescent="0.6">
      <c r="B90" s="32" t="s">
        <v>165</v>
      </c>
      <c r="C90" s="292"/>
      <c r="D90" s="292"/>
      <c r="E90" s="292"/>
      <c r="F90" s="293">
        <f>ROUND(($C$33*F49)/10,4)</f>
        <v>7.4821999999999997</v>
      </c>
      <c r="G90" s="293">
        <f>ROUND(($C$33*G49)/10,4)</f>
        <v>7.7409999999999997</v>
      </c>
      <c r="H90" s="293">
        <f>ROUND(($C$33*H49)/10,4)</f>
        <v>11.273899999999999</v>
      </c>
      <c r="I90" s="293">
        <f>ROUND(($C$33*K51)/10,4)</f>
        <v>6.9196</v>
      </c>
      <c r="J90" s="293">
        <f>+I90</f>
        <v>6.9196</v>
      </c>
      <c r="L90" s="265"/>
      <c r="M90" s="265"/>
    </row>
    <row r="91" spans="1:13" x14ac:dyDescent="0.6">
      <c r="B91" s="159" t="s">
        <v>185</v>
      </c>
      <c r="C91" s="292"/>
      <c r="D91" s="292"/>
      <c r="E91" s="293">
        <f>ROUND(($C$33*E50)/10,4)</f>
        <v>19.8812</v>
      </c>
      <c r="F91" s="292"/>
      <c r="G91" s="293"/>
      <c r="H91" s="293"/>
      <c r="I91" s="293"/>
      <c r="J91" s="292"/>
      <c r="L91" s="265"/>
      <c r="M91" s="265"/>
    </row>
    <row r="92" spans="1:13" x14ac:dyDescent="0.6">
      <c r="B92" s="159" t="s">
        <v>186</v>
      </c>
      <c r="C92" s="292"/>
      <c r="D92" s="292"/>
      <c r="E92" s="293">
        <f>ROUND(($C$33*E51/10),4)</f>
        <v>6.7171000000000003</v>
      </c>
      <c r="F92" s="292"/>
      <c r="G92" s="292"/>
      <c r="H92" s="292"/>
      <c r="I92" s="292"/>
      <c r="J92" s="292"/>
      <c r="L92" s="265"/>
      <c r="M92" s="265"/>
    </row>
    <row r="93" spans="1:13" x14ac:dyDescent="0.6">
      <c r="B93" s="176"/>
      <c r="C93" s="292"/>
      <c r="D93" s="292"/>
      <c r="E93" s="292"/>
      <c r="F93" s="292"/>
      <c r="G93" s="292"/>
      <c r="H93" s="292"/>
      <c r="I93" s="292"/>
      <c r="J93" s="292"/>
      <c r="L93" s="265"/>
      <c r="M93" s="265"/>
    </row>
    <row r="94" spans="1:13" x14ac:dyDescent="0.6">
      <c r="B94" s="9" t="s">
        <v>260</v>
      </c>
      <c r="C94" s="293">
        <f>ROUND((+$C$33*C53+C54)/10,4)</f>
        <v>12.0365</v>
      </c>
      <c r="D94" s="293">
        <f>ROUND((+$C$33*D53+D54)/10,4)</f>
        <v>9.9702999999999999</v>
      </c>
      <c r="E94" s="292"/>
      <c r="F94" s="292"/>
      <c r="G94" s="292"/>
      <c r="H94" s="292"/>
      <c r="I94" s="292"/>
      <c r="J94" s="292"/>
      <c r="L94" s="265"/>
      <c r="M94" s="265"/>
    </row>
    <row r="95" spans="1:13" x14ac:dyDescent="0.6">
      <c r="B95" s="9" t="s">
        <v>261</v>
      </c>
      <c r="C95" s="293">
        <f>ROUND((+$C$33*C53+C55)/10,4)</f>
        <v>12.9017</v>
      </c>
      <c r="D95" s="293">
        <f>ROUND((+$C$33*D53+D55)/10,4)</f>
        <v>11.1272</v>
      </c>
      <c r="E95" s="292"/>
      <c r="F95" s="292"/>
      <c r="G95" s="292"/>
      <c r="H95" s="292"/>
      <c r="I95" s="292"/>
      <c r="J95" s="292"/>
      <c r="L95" s="265"/>
      <c r="M95" s="265"/>
    </row>
    <row r="96" spans="1:13" x14ac:dyDescent="0.6">
      <c r="C96" s="293"/>
      <c r="D96" s="293"/>
      <c r="E96" s="292"/>
      <c r="F96" s="292"/>
      <c r="G96" s="292"/>
      <c r="H96" s="292"/>
      <c r="I96" s="292"/>
      <c r="J96" s="292"/>
      <c r="L96" s="265"/>
      <c r="M96" s="265"/>
    </row>
    <row r="97" spans="2:13" x14ac:dyDescent="0.6">
      <c r="B97" s="32" t="s">
        <v>168</v>
      </c>
      <c r="C97" s="293">
        <f>ROUND(($C$33*C59)/10,4)</f>
        <v>12.7478</v>
      </c>
      <c r="D97" s="293">
        <f>ROUND(($C$33*D59)/10,4)</f>
        <v>10.981400000000001</v>
      </c>
      <c r="E97" s="292"/>
      <c r="F97" s="293">
        <f>ROUND(($C$33*F59)/10,4)</f>
        <v>7.9996999999999998</v>
      </c>
      <c r="G97" s="293">
        <f>ROUND(($C$33*G59)/10,4)</f>
        <v>8.3034999999999997</v>
      </c>
      <c r="H97" s="293">
        <f>ROUND(($C$33*H59)/10,4)</f>
        <v>11.814</v>
      </c>
      <c r="I97" s="293">
        <f>ROUND(($C$33*K61)/10,4)</f>
        <v>7.9210000000000003</v>
      </c>
      <c r="J97" s="293">
        <f>+I97</f>
        <v>7.9210000000000003</v>
      </c>
      <c r="L97" s="265"/>
      <c r="M97" s="265"/>
    </row>
    <row r="98" spans="2:13" x14ac:dyDescent="0.6">
      <c r="B98" s="159" t="s">
        <v>185</v>
      </c>
      <c r="C98" s="292"/>
      <c r="D98" s="292"/>
      <c r="E98" s="293">
        <f>ROUND(($C$33*E60)/10,4)</f>
        <v>19.6449</v>
      </c>
      <c r="F98" s="292"/>
      <c r="G98" s="292"/>
      <c r="H98" s="292"/>
      <c r="I98" s="292"/>
      <c r="J98" s="292"/>
      <c r="L98" s="265"/>
      <c r="M98" s="265"/>
    </row>
    <row r="99" spans="2:13" x14ac:dyDescent="0.6">
      <c r="B99" s="159" t="s">
        <v>186</v>
      </c>
      <c r="C99" s="292"/>
      <c r="D99" s="292"/>
      <c r="E99" s="293">
        <f>ROUND(($C$33*E61)/10,4)</f>
        <v>7.7522000000000002</v>
      </c>
      <c r="F99" s="292"/>
      <c r="G99" s="292"/>
      <c r="H99" s="292"/>
      <c r="I99" s="292"/>
      <c r="J99" s="292"/>
      <c r="L99" s="265"/>
      <c r="M99" s="265"/>
    </row>
    <row r="100" spans="2:13" x14ac:dyDescent="0.6">
      <c r="C100" s="292"/>
      <c r="D100" s="292"/>
      <c r="E100" s="293"/>
      <c r="F100" s="292"/>
      <c r="G100" s="292"/>
      <c r="H100" s="292"/>
      <c r="I100" s="292"/>
      <c r="J100" s="292"/>
      <c r="L100" s="265"/>
      <c r="M100" s="265"/>
    </row>
    <row r="103" spans="2:13" x14ac:dyDescent="0.6">
      <c r="B103" s="13" t="s">
        <v>363</v>
      </c>
    </row>
    <row r="104" spans="2:13" x14ac:dyDescent="0.6">
      <c r="B104" s="14" t="s">
        <v>234</v>
      </c>
    </row>
    <row r="105" spans="2:13" x14ac:dyDescent="0.6">
      <c r="B105" s="11"/>
    </row>
    <row r="106" spans="2:13" x14ac:dyDescent="0.6">
      <c r="C106" s="8" t="str">
        <f>+C69</f>
        <v>GLP</v>
      </c>
      <c r="D106" s="8"/>
      <c r="E106" s="8" t="str">
        <f>+E69</f>
        <v>LPL-S</v>
      </c>
      <c r="F106" s="8"/>
      <c r="H106" s="13" t="s">
        <v>235</v>
      </c>
      <c r="I106" s="8" t="str">
        <f>+C106</f>
        <v>GLP</v>
      </c>
      <c r="J106" s="8" t="str">
        <f>+E106</f>
        <v>LPL-S</v>
      </c>
    </row>
    <row r="107" spans="2:13" x14ac:dyDescent="0.6">
      <c r="F107" s="180"/>
    </row>
    <row r="108" spans="2:13" x14ac:dyDescent="0.6">
      <c r="B108" s="32" t="s">
        <v>165</v>
      </c>
      <c r="C108" s="293">
        <f>ROUND(($C$33*C71+D71)/10,4)</f>
        <v>8.1006999999999998</v>
      </c>
      <c r="D108" s="293"/>
      <c r="E108" s="293"/>
      <c r="F108" s="174"/>
      <c r="H108" s="153" t="s">
        <v>236</v>
      </c>
    </row>
    <row r="109" spans="2:13" x14ac:dyDescent="0.6">
      <c r="B109" s="159" t="s">
        <v>185</v>
      </c>
      <c r="C109" s="293"/>
      <c r="D109" s="293"/>
      <c r="E109" s="293">
        <f>ROUND(($C$33*E72+F72)/10,4)</f>
        <v>9.1304999999999996</v>
      </c>
      <c r="F109" s="175"/>
      <c r="H109" s="97" t="s">
        <v>237</v>
      </c>
      <c r="I109" s="294">
        <f>+I72</f>
        <v>8.2231000000000005</v>
      </c>
      <c r="J109" s="294">
        <f>+J72</f>
        <v>8.2231000000000005</v>
      </c>
      <c r="K109" s="113" t="s">
        <v>238</v>
      </c>
    </row>
    <row r="110" spans="2:13" x14ac:dyDescent="0.6">
      <c r="B110" s="159" t="s">
        <v>186</v>
      </c>
      <c r="C110" s="293"/>
      <c r="D110" s="293"/>
      <c r="E110" s="293">
        <f>ROUND(($C$33*E73+F73)/10,4)</f>
        <v>6.7058</v>
      </c>
      <c r="F110" s="175"/>
      <c r="H110" s="97" t="s">
        <v>239</v>
      </c>
      <c r="I110" s="294">
        <f>+I73</f>
        <v>8.2231000000000005</v>
      </c>
      <c r="J110" s="294">
        <f>+J73</f>
        <v>8.2231000000000005</v>
      </c>
      <c r="K110" s="113" t="s">
        <v>238</v>
      </c>
    </row>
    <row r="111" spans="2:13" x14ac:dyDescent="0.6">
      <c r="C111" s="293"/>
      <c r="D111" s="293"/>
      <c r="E111" s="293"/>
      <c r="F111" s="175"/>
      <c r="H111" s="97"/>
      <c r="I111" s="267"/>
      <c r="J111" s="267"/>
      <c r="K111" s="113"/>
    </row>
    <row r="112" spans="2:13" x14ac:dyDescent="0.6">
      <c r="B112" s="32" t="s">
        <v>168</v>
      </c>
      <c r="C112" s="293">
        <f>ROUND(($C$33*C75+D75)/10,4)</f>
        <v>8.4939</v>
      </c>
      <c r="D112" s="293"/>
      <c r="E112" s="293"/>
      <c r="F112" s="175"/>
      <c r="H112" s="153" t="s">
        <v>241</v>
      </c>
      <c r="I112" s="164"/>
      <c r="J112" s="164"/>
    </row>
    <row r="113" spans="1:12" x14ac:dyDescent="0.6">
      <c r="B113" s="159" t="s">
        <v>185</v>
      </c>
      <c r="C113" s="293"/>
      <c r="D113" s="293"/>
      <c r="E113" s="293">
        <f>ROUND(($C$33*E76+F76)/10,4)</f>
        <v>8.9717000000000002</v>
      </c>
      <c r="F113" s="175"/>
      <c r="H113" s="97" t="s">
        <v>242</v>
      </c>
      <c r="I113" s="294">
        <f>+I76</f>
        <v>0</v>
      </c>
      <c r="J113" s="294">
        <f>+J76</f>
        <v>0</v>
      </c>
      <c r="K113" s="113" t="s">
        <v>243</v>
      </c>
    </row>
    <row r="114" spans="1:12" x14ac:dyDescent="0.6">
      <c r="B114" s="159" t="s">
        <v>186</v>
      </c>
      <c r="C114" s="293"/>
      <c r="D114" s="293"/>
      <c r="E114" s="293">
        <f>ROUND(($C$33*E77+F77)/10,4)</f>
        <v>7.7072000000000003</v>
      </c>
      <c r="F114" s="175"/>
    </row>
    <row r="115" spans="1:12" x14ac:dyDescent="0.6">
      <c r="C115" s="266"/>
      <c r="D115" s="174"/>
      <c r="E115" s="266"/>
      <c r="F115" s="174"/>
    </row>
    <row r="116" spans="1:12" x14ac:dyDescent="0.6">
      <c r="C116" s="266"/>
      <c r="D116" s="174"/>
      <c r="E116" s="266"/>
      <c r="F116" s="174"/>
    </row>
    <row r="118" spans="1:12" x14ac:dyDescent="0.6">
      <c r="A118" s="292" t="s">
        <v>364</v>
      </c>
      <c r="B118" s="13" t="s">
        <v>365</v>
      </c>
      <c r="C118" s="265"/>
      <c r="E118" s="265"/>
    </row>
    <row r="119" spans="1:12" x14ac:dyDescent="0.6">
      <c r="C119" s="265"/>
      <c r="E119" s="265"/>
    </row>
    <row r="120" spans="1:12" x14ac:dyDescent="0.6">
      <c r="C120" s="8" t="s">
        <v>12</v>
      </c>
      <c r="D120" s="8" t="s">
        <v>13</v>
      </c>
      <c r="E120" s="8" t="s">
        <v>14</v>
      </c>
      <c r="F120" s="8" t="s">
        <v>15</v>
      </c>
      <c r="G120" s="8" t="s">
        <v>16</v>
      </c>
      <c r="H120" s="8" t="s">
        <v>17</v>
      </c>
      <c r="I120" s="8" t="s">
        <v>18</v>
      </c>
      <c r="J120" s="8" t="s">
        <v>19</v>
      </c>
    </row>
    <row r="121" spans="1:12" x14ac:dyDescent="0.6">
      <c r="B121" s="2" t="s">
        <v>366</v>
      </c>
    </row>
    <row r="122" spans="1:12" x14ac:dyDescent="0.6">
      <c r="B122" s="41" t="s">
        <v>54</v>
      </c>
      <c r="C122" s="242">
        <f>+C94/100*'Attachment 2'!O53+'Attachment 3'!C95/100*'Attachment 2'!O54</f>
        <v>692997.47382574028</v>
      </c>
      <c r="D122" s="242">
        <f>+D94/100*'Attachment 2'!P53+'Attachment 3'!D95/100*'Attachment 2'!P54</f>
        <v>1738.8896586408605</v>
      </c>
      <c r="E122" s="273">
        <f>+E91/100*'Attachment 2'!Q50+E92/100*'Attachment 2'!Q51</f>
        <v>10104.108564089393</v>
      </c>
      <c r="F122" s="242">
        <f>+F90/100*'Attachment 2'!R49</f>
        <v>11.522588000000001</v>
      </c>
      <c r="G122" s="242">
        <f>+G90/100*'Attachment 2'!S49</f>
        <v>0.23222999999999999</v>
      </c>
      <c r="H122" s="242">
        <f>+H90/100*'Attachment 2'!T49</f>
        <v>219.16430892766121</v>
      </c>
      <c r="I122" s="242">
        <f>+I90/100*'Attachment 2'!U49</f>
        <v>2315.0905719999996</v>
      </c>
      <c r="J122" s="242">
        <f>+J90/100*'Attachment 2'!V49</f>
        <v>5341.3776319999997</v>
      </c>
    </row>
    <row r="123" spans="1:12" ht="15.25" x14ac:dyDescent="1.05">
      <c r="B123" s="41" t="s">
        <v>55</v>
      </c>
      <c r="C123" s="243">
        <f>+C97/100*'Attachment 2'!O45</f>
        <v>936824.53202014347</v>
      </c>
      <c r="D123" s="243">
        <f>+D97/100*'Attachment 2'!P45</f>
        <v>6447.5317753883965</v>
      </c>
      <c r="E123" s="243">
        <f>+E98/100*'Attachment 2'!Q46+'Attachment 3'!E99/100*'Attachment 2'!Q47</f>
        <v>12108.412006961313</v>
      </c>
      <c r="F123" s="243">
        <f>+F97/100*'Attachment 2'!R45</f>
        <v>32.158794</v>
      </c>
      <c r="G123" s="243">
        <f>+G97/100*'Attachment 2'!S45</f>
        <v>0.41517499999999996</v>
      </c>
      <c r="H123" s="243">
        <f>+H97/100*'Attachment 2'!T45</f>
        <v>863.53181574553525</v>
      </c>
      <c r="I123" s="243">
        <f>+I97/100*'Attachment 2'!U45</f>
        <v>7039.63033</v>
      </c>
      <c r="J123" s="243">
        <f>+J97/100*'Attachment 2'!V45</f>
        <v>16158.91921</v>
      </c>
    </row>
    <row r="124" spans="1:12" x14ac:dyDescent="0.6">
      <c r="B124" s="41" t="s">
        <v>126</v>
      </c>
      <c r="C124" s="168">
        <f>+C123+C122</f>
        <v>1629822.0058458839</v>
      </c>
      <c r="D124" s="168">
        <f t="shared" ref="D124:J124" si="4">+D123+D122</f>
        <v>8186.4214340292565</v>
      </c>
      <c r="E124" s="168">
        <f t="shared" si="4"/>
        <v>22212.520571050707</v>
      </c>
      <c r="F124" s="168">
        <f t="shared" si="4"/>
        <v>43.681381999999999</v>
      </c>
      <c r="G124" s="168">
        <f t="shared" si="4"/>
        <v>0.64740500000000001</v>
      </c>
      <c r="H124" s="168">
        <f t="shared" si="4"/>
        <v>1082.6961246731964</v>
      </c>
      <c r="I124" s="168">
        <f t="shared" si="4"/>
        <v>9354.7209019999991</v>
      </c>
      <c r="J124" s="168">
        <f t="shared" si="4"/>
        <v>21500.296842</v>
      </c>
    </row>
    <row r="125" spans="1:12" x14ac:dyDescent="0.6">
      <c r="B125" s="41"/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</row>
    <row r="126" spans="1:12" x14ac:dyDescent="0.6">
      <c r="B126" s="41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</row>
    <row r="127" spans="1:12" x14ac:dyDescent="0.6">
      <c r="B127" s="41"/>
      <c r="C127" s="8" t="s">
        <v>20</v>
      </c>
      <c r="D127" s="8" t="s">
        <v>20</v>
      </c>
      <c r="F127" s="8" t="s">
        <v>21</v>
      </c>
      <c r="G127" s="8" t="s">
        <v>21</v>
      </c>
      <c r="H127" s="168"/>
      <c r="I127" s="168"/>
      <c r="J127" s="168"/>
      <c r="K127" s="168"/>
      <c r="L127" s="168"/>
    </row>
    <row r="128" spans="1:12" x14ac:dyDescent="0.6">
      <c r="B128" s="41"/>
      <c r="C128" s="8" t="s">
        <v>367</v>
      </c>
      <c r="D128" s="8" t="s">
        <v>368</v>
      </c>
      <c r="F128" s="8" t="s">
        <v>367</v>
      </c>
      <c r="G128" s="8" t="s">
        <v>368</v>
      </c>
      <c r="H128" s="168"/>
      <c r="I128" s="168"/>
      <c r="J128" s="168"/>
      <c r="K128" s="168"/>
      <c r="L128" s="168"/>
    </row>
    <row r="129" spans="2:12" x14ac:dyDescent="0.6">
      <c r="B129" s="41"/>
      <c r="G129" s="168"/>
      <c r="H129" s="168"/>
      <c r="I129" s="168"/>
      <c r="J129" s="168"/>
      <c r="K129" s="168"/>
      <c r="L129" s="168"/>
    </row>
    <row r="130" spans="2:12" x14ac:dyDescent="0.6">
      <c r="B130" s="41" t="s">
        <v>54</v>
      </c>
      <c r="C130" s="273">
        <f>+C108/100*'Attachment 2'!W49</f>
        <v>185442.93821128461</v>
      </c>
      <c r="D130" s="273">
        <f>I109*'Attachment 2'!K147*4+'Attachment 3'!I113*'Attachment 2'!K149*4</f>
        <v>71866.604760000002</v>
      </c>
      <c r="F130" s="273">
        <f>+E109/100*'Attachment 2'!X50+'Attachment 3'!E110/100*'Attachment 2'!X51</f>
        <v>144746.06040384778</v>
      </c>
      <c r="G130" s="273">
        <f>'Attachment 3'!J109*'Attachment 2'!L147*4+'Attachment 3'!J113*'Attachment 2'!L149*4</f>
        <v>37230.907560000007</v>
      </c>
      <c r="H130" s="168"/>
      <c r="I130" s="168"/>
      <c r="J130" s="168"/>
      <c r="K130" s="168"/>
      <c r="L130" s="168"/>
    </row>
    <row r="131" spans="2:12" ht="15.25" x14ac:dyDescent="1.05">
      <c r="B131" s="41" t="s">
        <v>55</v>
      </c>
      <c r="C131" s="295">
        <f>+C112/100*'Attachment 2'!W45</f>
        <v>334816.92547347373</v>
      </c>
      <c r="D131" s="295">
        <f>'Attachment 3'!I110*'Attachment 2'!K147*8+'Attachment 3'!I113*'Attachment 2'!K149*8</f>
        <v>143733.20952</v>
      </c>
      <c r="F131" s="295">
        <f>+E113/100*'Attachment 2'!X46+'Attachment 3'!E114/100*'Attachment 2'!X47</f>
        <v>274017.06013106095</v>
      </c>
      <c r="G131" s="295">
        <f>'Attachment 3'!J110*'Attachment 2'!L147*8+'Attachment 3'!J113*'Attachment 2'!L149*8</f>
        <v>74461.815120000014</v>
      </c>
      <c r="H131" s="168"/>
      <c r="I131" s="168"/>
      <c r="J131" s="168"/>
      <c r="K131" s="168"/>
      <c r="L131" s="168"/>
    </row>
    <row r="132" spans="2:12" x14ac:dyDescent="0.6">
      <c r="B132" s="41" t="s">
        <v>126</v>
      </c>
      <c r="C132" s="168">
        <f>+C131+C130</f>
        <v>520259.86368475831</v>
      </c>
      <c r="D132" s="168">
        <f>+D131+D130</f>
        <v>215599.81427999999</v>
      </c>
      <c r="F132" s="168">
        <f>+F131+F130</f>
        <v>418763.12053490872</v>
      </c>
      <c r="G132" s="168">
        <f>+G131+G130</f>
        <v>111692.72268000002</v>
      </c>
      <c r="H132" s="168"/>
      <c r="I132" s="168"/>
      <c r="J132" s="168"/>
      <c r="K132" s="168"/>
      <c r="L132" s="168"/>
    </row>
    <row r="133" spans="2:12" x14ac:dyDescent="0.6">
      <c r="B133" s="41"/>
      <c r="C133" s="168"/>
      <c r="F133" s="168"/>
      <c r="G133" s="168"/>
      <c r="H133" s="168"/>
      <c r="I133" s="168"/>
      <c r="J133" s="168"/>
      <c r="K133" s="168"/>
      <c r="L133" s="168"/>
    </row>
    <row r="134" spans="2:12" x14ac:dyDescent="0.6">
      <c r="B134" s="41"/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</row>
    <row r="135" spans="2:12" x14ac:dyDescent="0.6">
      <c r="B135" s="41"/>
      <c r="C135" s="8" t="s">
        <v>367</v>
      </c>
      <c r="D135" s="8" t="s">
        <v>368</v>
      </c>
      <c r="E135" s="8" t="s">
        <v>369</v>
      </c>
      <c r="F135" s="168"/>
      <c r="G135" s="168"/>
      <c r="H135" s="168"/>
      <c r="I135" s="168"/>
      <c r="J135" s="168"/>
      <c r="K135" s="168"/>
      <c r="L135" s="168"/>
    </row>
    <row r="136" spans="2:12" x14ac:dyDescent="0.6">
      <c r="B136" s="41" t="s">
        <v>303</v>
      </c>
      <c r="C136" s="168">
        <f>SUM(C122:J122)+C130+F130</f>
        <v>1042916.8579945306</v>
      </c>
      <c r="D136" s="168">
        <f>+D130+G130</f>
        <v>109097.51232000001</v>
      </c>
      <c r="E136" s="168">
        <f>+C136+D136</f>
        <v>1152014.3703145306</v>
      </c>
      <c r="F136" s="168"/>
      <c r="G136" s="168"/>
      <c r="H136" s="168"/>
      <c r="I136" s="168"/>
      <c r="J136" s="168"/>
      <c r="K136" s="168"/>
      <c r="L136" s="168"/>
    </row>
    <row r="137" spans="2:12" ht="15.25" x14ac:dyDescent="1.05">
      <c r="B137" s="41" t="s">
        <v>304</v>
      </c>
      <c r="C137" s="288">
        <f>SUM(C123:J123)+C131+F131</f>
        <v>1588309.1167317731</v>
      </c>
      <c r="D137" s="288">
        <f>+D131+G131</f>
        <v>218195.02464000002</v>
      </c>
      <c r="E137" s="288">
        <f>+C137+D137</f>
        <v>1806504.1413717731</v>
      </c>
    </row>
    <row r="138" spans="2:12" x14ac:dyDescent="0.6">
      <c r="B138" s="41" t="s">
        <v>305</v>
      </c>
      <c r="C138" s="168">
        <f>+C137+C136</f>
        <v>2631225.9747263035</v>
      </c>
      <c r="D138" s="168">
        <f>+D132+G132</f>
        <v>327292.53696</v>
      </c>
      <c r="E138" s="296">
        <f>+C138+D138</f>
        <v>2958518.5116863037</v>
      </c>
    </row>
    <row r="139" spans="2:12" x14ac:dyDescent="0.6">
      <c r="B139" s="41"/>
      <c r="C139" s="265"/>
      <c r="E139" s="265"/>
    </row>
    <row r="140" spans="2:12" x14ac:dyDescent="0.6"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2:12" x14ac:dyDescent="0.6">
      <c r="B141" s="2" t="s">
        <v>306</v>
      </c>
    </row>
    <row r="142" spans="2:12" x14ac:dyDescent="0.6">
      <c r="B142" s="41" t="s">
        <v>54</v>
      </c>
      <c r="C142" s="168">
        <f>+C25+D25+E25</f>
        <v>1177505.1017700566</v>
      </c>
    </row>
    <row r="143" spans="2:12" ht="15.25" x14ac:dyDescent="1.05">
      <c r="B143" s="41" t="s">
        <v>55</v>
      </c>
      <c r="C143" s="288">
        <f>+C26+D26+E26</f>
        <v>1781128.1390242914</v>
      </c>
      <c r="E143" s="297"/>
      <c r="F143" s="298"/>
      <c r="G143" s="298"/>
      <c r="H143" s="299"/>
    </row>
    <row r="144" spans="2:12" x14ac:dyDescent="0.6">
      <c r="B144" s="41" t="s">
        <v>126</v>
      </c>
      <c r="C144" s="168">
        <f>+C143+C142</f>
        <v>2958633.2407943481</v>
      </c>
      <c r="E144" s="300" t="s">
        <v>370</v>
      </c>
      <c r="H144" s="301"/>
    </row>
    <row r="145" spans="1:10" x14ac:dyDescent="0.6">
      <c r="C145" s="265"/>
      <c r="E145" s="300" t="s">
        <v>371</v>
      </c>
      <c r="F145" s="14" t="s">
        <v>372</v>
      </c>
      <c r="H145" s="301"/>
    </row>
    <row r="146" spans="1:10" x14ac:dyDescent="0.6">
      <c r="B146" s="7" t="s">
        <v>373</v>
      </c>
      <c r="C146" s="209"/>
      <c r="D146" s="209"/>
      <c r="E146" s="302" t="s">
        <v>374</v>
      </c>
      <c r="H146" s="301"/>
    </row>
    <row r="147" spans="1:10" x14ac:dyDescent="0.6">
      <c r="B147" s="41" t="s">
        <v>54</v>
      </c>
      <c r="C147" s="168">
        <f>+C142-E136</f>
        <v>25490.731455526082</v>
      </c>
      <c r="D147" s="303"/>
      <c r="E147" s="304">
        <f>ROUND(1+(C147/C136),5)</f>
        <v>1.02444</v>
      </c>
      <c r="H147" s="301"/>
    </row>
    <row r="148" spans="1:10" ht="15.25" x14ac:dyDescent="1.05">
      <c r="B148" s="41" t="s">
        <v>55</v>
      </c>
      <c r="C148" s="288">
        <f>+C143-E137</f>
        <v>-25376.00234748167</v>
      </c>
      <c r="D148" s="303"/>
      <c r="E148" s="304">
        <f>ROUND(1+(C148/C137),5)</f>
        <v>0.98402000000000001</v>
      </c>
      <c r="H148" s="301"/>
    </row>
    <row r="149" spans="1:10" x14ac:dyDescent="0.6">
      <c r="B149" s="41" t="s">
        <v>126</v>
      </c>
      <c r="C149" s="168">
        <f>+C144-E138</f>
        <v>114.72910804441199</v>
      </c>
      <c r="D149" s="303"/>
      <c r="E149" s="305"/>
      <c r="F149" s="231"/>
      <c r="G149" s="231"/>
      <c r="H149" s="306"/>
    </row>
    <row r="151" spans="1:10" x14ac:dyDescent="0.6">
      <c r="C151" s="2" t="s">
        <v>375</v>
      </c>
    </row>
    <row r="152" spans="1:10" x14ac:dyDescent="0.6">
      <c r="C152" s="2" t="s">
        <v>376</v>
      </c>
    </row>
    <row r="154" spans="1:10" x14ac:dyDescent="0.6">
      <c r="A154" s="292" t="s">
        <v>377</v>
      </c>
      <c r="B154" s="189" t="s">
        <v>378</v>
      </c>
      <c r="C154" s="265"/>
      <c r="E154" s="265"/>
    </row>
    <row r="155" spans="1:10" x14ac:dyDescent="0.6">
      <c r="B155" s="14" t="s">
        <v>361</v>
      </c>
    </row>
    <row r="157" spans="1:10" x14ac:dyDescent="0.6">
      <c r="B157" s="13" t="s">
        <v>362</v>
      </c>
    </row>
    <row r="158" spans="1:10" x14ac:dyDescent="0.6">
      <c r="B158" s="14" t="s">
        <v>379</v>
      </c>
    </row>
    <row r="159" spans="1:10" x14ac:dyDescent="0.6">
      <c r="B159" s="13"/>
    </row>
    <row r="160" spans="1:10" x14ac:dyDescent="0.6">
      <c r="C160" s="8" t="str">
        <f>+C120</f>
        <v>RS</v>
      </c>
      <c r="D160" s="8" t="str">
        <f t="shared" ref="D160:J160" si="5">+D120</f>
        <v>RHS</v>
      </c>
      <c r="E160" s="8" t="str">
        <f t="shared" si="5"/>
        <v>RLM</v>
      </c>
      <c r="F160" s="8" t="str">
        <f t="shared" si="5"/>
        <v>WH</v>
      </c>
      <c r="G160" s="8" t="str">
        <f t="shared" si="5"/>
        <v>WHS</v>
      </c>
      <c r="H160" s="8" t="str">
        <f t="shared" si="5"/>
        <v>HS</v>
      </c>
      <c r="I160" s="8" t="str">
        <f t="shared" si="5"/>
        <v>PSAL</v>
      </c>
      <c r="J160" s="8" t="str">
        <f t="shared" si="5"/>
        <v>BPL</v>
      </c>
    </row>
    <row r="161" spans="2:10" x14ac:dyDescent="0.6">
      <c r="C161" s="292"/>
      <c r="D161" s="292"/>
      <c r="E161" s="292"/>
      <c r="F161" s="293"/>
      <c r="G161" s="293"/>
      <c r="H161" s="293"/>
      <c r="I161" s="293"/>
      <c r="J161" s="293"/>
    </row>
    <row r="162" spans="2:10" x14ac:dyDescent="0.6">
      <c r="B162" s="32" t="s">
        <v>165</v>
      </c>
      <c r="C162" s="292"/>
      <c r="D162" s="292"/>
      <c r="E162" s="292"/>
      <c r="F162" s="293">
        <f>ROUND(+F90*$E$147,4)</f>
        <v>7.6650999999999998</v>
      </c>
      <c r="G162" s="293">
        <f>ROUND(+G90*$E$147,4)</f>
        <v>7.9302000000000001</v>
      </c>
      <c r="H162" s="293">
        <f>ROUND(+H90*$E$147,4)</f>
        <v>11.5494</v>
      </c>
      <c r="I162" s="293">
        <f>ROUND(+I90*$E$147,4)</f>
        <v>7.0887000000000002</v>
      </c>
      <c r="J162" s="293">
        <f>ROUND(+J90*$E$147,4)</f>
        <v>7.0887000000000002</v>
      </c>
    </row>
    <row r="163" spans="2:10" x14ac:dyDescent="0.6">
      <c r="B163" s="159" t="s">
        <v>185</v>
      </c>
      <c r="C163" s="292"/>
      <c r="D163" s="292"/>
      <c r="E163" s="293">
        <f>ROUND(+E91*$E$147,4)</f>
        <v>20.367100000000001</v>
      </c>
      <c r="G163" s="293"/>
      <c r="H163" s="293"/>
      <c r="I163" s="293"/>
      <c r="J163" s="292"/>
    </row>
    <row r="164" spans="2:10" x14ac:dyDescent="0.6">
      <c r="B164" s="159" t="s">
        <v>186</v>
      </c>
      <c r="C164" s="292"/>
      <c r="D164" s="292"/>
      <c r="E164" s="293">
        <f>ROUND(+E92*$E$147,4)</f>
        <v>6.8813000000000004</v>
      </c>
      <c r="F164" s="292"/>
      <c r="G164" s="292"/>
      <c r="H164" s="292"/>
      <c r="I164" s="292"/>
      <c r="J164" s="292"/>
    </row>
    <row r="165" spans="2:10" x14ac:dyDescent="0.6">
      <c r="B165" s="176"/>
      <c r="C165" s="292"/>
      <c r="D165" s="292"/>
      <c r="E165" s="292"/>
      <c r="F165" s="292"/>
      <c r="G165" s="292"/>
      <c r="H165" s="292"/>
      <c r="I165" s="292"/>
      <c r="J165" s="292"/>
    </row>
    <row r="166" spans="2:10" x14ac:dyDescent="0.6">
      <c r="B166" s="9" t="s">
        <v>260</v>
      </c>
      <c r="C166" s="293">
        <f>ROUND(+C94*$E$147,4)</f>
        <v>12.3307</v>
      </c>
      <c r="D166" s="293">
        <f>ROUND(+D94*$E$147,4)</f>
        <v>10.214</v>
      </c>
      <c r="E166" s="292"/>
      <c r="F166" s="292"/>
      <c r="G166" s="292"/>
      <c r="H166" s="292"/>
      <c r="I166" s="292"/>
      <c r="J166" s="292"/>
    </row>
    <row r="167" spans="2:10" x14ac:dyDescent="0.6">
      <c r="B167" s="9" t="s">
        <v>261</v>
      </c>
      <c r="C167" s="293">
        <f>ROUND(+C95*$E$147,4)</f>
        <v>13.217000000000001</v>
      </c>
      <c r="D167" s="293">
        <f>ROUND(+D95*$E$147,4)</f>
        <v>11.399100000000001</v>
      </c>
      <c r="E167" s="292"/>
      <c r="F167" s="292"/>
      <c r="G167" s="292"/>
      <c r="H167" s="292"/>
      <c r="I167" s="292"/>
      <c r="J167" s="292"/>
    </row>
    <row r="168" spans="2:10" x14ac:dyDescent="0.6">
      <c r="C168" s="293"/>
      <c r="D168" s="293"/>
      <c r="E168" s="292"/>
      <c r="F168" s="292"/>
      <c r="G168" s="292"/>
      <c r="H168" s="292"/>
      <c r="I168" s="292"/>
      <c r="J168" s="292"/>
    </row>
    <row r="169" spans="2:10" x14ac:dyDescent="0.6">
      <c r="B169" s="32" t="s">
        <v>168</v>
      </c>
      <c r="C169" s="293">
        <f>ROUND(+C97*$E$148,4)</f>
        <v>12.5441</v>
      </c>
      <c r="D169" s="293">
        <f>ROUND(+D97*$E$148,4)</f>
        <v>10.805899999999999</v>
      </c>
      <c r="E169" s="292"/>
      <c r="F169" s="293">
        <f>ROUND(+F97*$E$148,4)</f>
        <v>7.8719000000000001</v>
      </c>
      <c r="G169" s="293">
        <f>ROUND(+G97*$E$148,4)</f>
        <v>8.1707999999999998</v>
      </c>
      <c r="H169" s="293">
        <f>ROUND(+H97*$E$148,4)</f>
        <v>11.6252</v>
      </c>
      <c r="I169" s="293">
        <f>ROUND(+I97*$E$148,4)</f>
        <v>7.7944000000000004</v>
      </c>
      <c r="J169" s="293">
        <f>ROUND(+J97*$E$148,4)</f>
        <v>7.7944000000000004</v>
      </c>
    </row>
    <row r="170" spans="2:10" x14ac:dyDescent="0.6">
      <c r="B170" s="159" t="s">
        <v>185</v>
      </c>
      <c r="C170" s="292"/>
      <c r="D170" s="292"/>
      <c r="E170" s="293">
        <f>ROUND(+E98*$E$148,4)</f>
        <v>19.331</v>
      </c>
      <c r="F170" s="292"/>
      <c r="G170" s="292"/>
      <c r="H170" s="292"/>
      <c r="I170" s="292"/>
      <c r="J170" s="292"/>
    </row>
    <row r="171" spans="2:10" x14ac:dyDescent="0.6">
      <c r="B171" s="159" t="s">
        <v>186</v>
      </c>
      <c r="C171" s="292"/>
      <c r="D171" s="292"/>
      <c r="E171" s="293">
        <f>ROUND(+E99*$E$148,4)</f>
        <v>7.6283000000000003</v>
      </c>
      <c r="F171" s="292"/>
      <c r="G171" s="292"/>
      <c r="H171" s="292"/>
      <c r="I171" s="292"/>
      <c r="J171" s="292"/>
    </row>
    <row r="172" spans="2:10" x14ac:dyDescent="0.6">
      <c r="C172" s="292"/>
      <c r="D172" s="292"/>
      <c r="E172" s="293"/>
      <c r="F172" s="292"/>
      <c r="G172" s="292"/>
      <c r="H172" s="292"/>
      <c r="I172" s="292"/>
      <c r="J172" s="292"/>
    </row>
    <row r="175" spans="2:10" x14ac:dyDescent="0.6">
      <c r="B175" s="13" t="s">
        <v>363</v>
      </c>
    </row>
    <row r="176" spans="2:10" x14ac:dyDescent="0.6">
      <c r="B176" s="14" t="s">
        <v>380</v>
      </c>
    </row>
    <row r="177" spans="1:12" x14ac:dyDescent="0.6">
      <c r="B177" s="11"/>
    </row>
    <row r="178" spans="1:12" x14ac:dyDescent="0.6">
      <c r="C178" s="8" t="str">
        <f>+C106</f>
        <v>GLP</v>
      </c>
      <c r="D178" s="8"/>
      <c r="E178" s="8" t="str">
        <f>+E106</f>
        <v>LPL-S</v>
      </c>
      <c r="F178" s="8"/>
      <c r="H178" s="13" t="s">
        <v>235</v>
      </c>
      <c r="I178" s="8" t="str">
        <f>+C178</f>
        <v>GLP</v>
      </c>
      <c r="J178" s="8" t="str">
        <f>+E178</f>
        <v>LPL-S</v>
      </c>
    </row>
    <row r="179" spans="1:12" x14ac:dyDescent="0.6">
      <c r="F179" s="180"/>
    </row>
    <row r="180" spans="1:12" x14ac:dyDescent="0.6">
      <c r="B180" s="32" t="s">
        <v>165</v>
      </c>
      <c r="C180" s="293">
        <f>ROUND(+C108*$E$147,4)</f>
        <v>8.2987000000000002</v>
      </c>
      <c r="D180" s="293"/>
      <c r="E180" s="293"/>
      <c r="F180" s="174"/>
      <c r="H180" s="153" t="s">
        <v>236</v>
      </c>
    </row>
    <row r="181" spans="1:12" x14ac:dyDescent="0.6">
      <c r="B181" s="159" t="s">
        <v>185</v>
      </c>
      <c r="C181" s="293"/>
      <c r="D181" s="293"/>
      <c r="E181" s="293">
        <f>ROUND(+E109*$E$147,4)</f>
        <v>9.3536000000000001</v>
      </c>
      <c r="F181" s="175"/>
      <c r="H181" s="97" t="s">
        <v>237</v>
      </c>
      <c r="I181" s="307">
        <f>+I109</f>
        <v>8.2231000000000005</v>
      </c>
      <c r="J181" s="307">
        <f>+J109</f>
        <v>8.2231000000000005</v>
      </c>
    </row>
    <row r="182" spans="1:12" x14ac:dyDescent="0.6">
      <c r="B182" s="159" t="s">
        <v>186</v>
      </c>
      <c r="C182" s="293"/>
      <c r="D182" s="293"/>
      <c r="E182" s="293">
        <f>ROUND(+E110*$E$147,4)</f>
        <v>6.8696999999999999</v>
      </c>
      <c r="F182" s="175"/>
      <c r="H182" s="97" t="s">
        <v>239</v>
      </c>
      <c r="I182" s="307">
        <f>+I110</f>
        <v>8.2231000000000005</v>
      </c>
      <c r="J182" s="307">
        <f>+J110</f>
        <v>8.2231000000000005</v>
      </c>
    </row>
    <row r="183" spans="1:12" x14ac:dyDescent="0.6">
      <c r="C183" s="293"/>
      <c r="D183" s="293"/>
      <c r="E183" s="293"/>
      <c r="F183" s="175"/>
      <c r="H183" s="97"/>
      <c r="I183" s="267"/>
      <c r="J183" s="267"/>
    </row>
    <row r="184" spans="1:12" x14ac:dyDescent="0.6">
      <c r="B184" s="32" t="s">
        <v>168</v>
      </c>
      <c r="C184" s="293">
        <f>ROUND(+C112*$E$148,4)</f>
        <v>8.3582000000000001</v>
      </c>
      <c r="D184" s="293"/>
      <c r="E184" s="293"/>
      <c r="F184" s="175"/>
      <c r="H184" s="153" t="s">
        <v>241</v>
      </c>
      <c r="I184" s="164"/>
      <c r="J184" s="164"/>
    </row>
    <row r="185" spans="1:12" x14ac:dyDescent="0.6">
      <c r="B185" s="159" t="s">
        <v>185</v>
      </c>
      <c r="C185" s="293"/>
      <c r="D185" s="293"/>
      <c r="E185" s="293">
        <f>ROUND(+E113*$E$148,4)</f>
        <v>8.8283000000000005</v>
      </c>
      <c r="F185" s="175"/>
      <c r="H185" s="97" t="s">
        <v>242</v>
      </c>
      <c r="I185" s="307">
        <f>+I113</f>
        <v>0</v>
      </c>
      <c r="J185" s="307">
        <f>+J113</f>
        <v>0</v>
      </c>
    </row>
    <row r="186" spans="1:12" x14ac:dyDescent="0.6">
      <c r="B186" s="159" t="s">
        <v>186</v>
      </c>
      <c r="C186" s="293"/>
      <c r="D186" s="293"/>
      <c r="E186" s="293">
        <f>ROUND(+E114*$E$148,4)</f>
        <v>7.5839999999999996</v>
      </c>
      <c r="F186" s="175"/>
    </row>
    <row r="190" spans="1:12" x14ac:dyDescent="0.6">
      <c r="A190" s="292" t="s">
        <v>381</v>
      </c>
      <c r="B190" s="13" t="s">
        <v>382</v>
      </c>
      <c r="C190" s="265"/>
      <c r="E190" s="265"/>
    </row>
    <row r="191" spans="1:12" x14ac:dyDescent="0.6">
      <c r="C191" s="265"/>
      <c r="E191" s="265"/>
    </row>
    <row r="192" spans="1:12" x14ac:dyDescent="0.6">
      <c r="C192" s="8" t="s">
        <v>12</v>
      </c>
      <c r="D192" s="8" t="s">
        <v>13</v>
      </c>
      <c r="E192" s="8" t="s">
        <v>14</v>
      </c>
      <c r="F192" s="8" t="s">
        <v>15</v>
      </c>
      <c r="G192" s="8" t="s">
        <v>16</v>
      </c>
      <c r="H192" s="8" t="s">
        <v>17</v>
      </c>
      <c r="I192" s="8" t="s">
        <v>18</v>
      </c>
      <c r="J192" s="8" t="s">
        <v>19</v>
      </c>
      <c r="K192" s="8" t="s">
        <v>20</v>
      </c>
      <c r="L192" s="8" t="s">
        <v>21</v>
      </c>
    </row>
    <row r="193" spans="2:12" x14ac:dyDescent="0.6">
      <c r="B193" s="2" t="s">
        <v>302</v>
      </c>
    </row>
    <row r="194" spans="2:12" x14ac:dyDescent="0.6">
      <c r="B194" s="41" t="s">
        <v>54</v>
      </c>
      <c r="C194" s="242">
        <f>+C166/100*'Attachment 2'!O53+'Attachment 3'!C167/100*'Attachment 2'!O54</f>
        <v>709934.99669988279</v>
      </c>
      <c r="D194" s="242">
        <f>+D166/100*'Attachment 2'!P53+'Attachment 3'!D167/100*'Attachment 2'!P54</f>
        <v>1781.3882169427898</v>
      </c>
      <c r="E194" s="273">
        <f>+E163/100*'Attachment 2'!Q50+E164/100*'Attachment 2'!Q51</f>
        <v>10351.068071959166</v>
      </c>
      <c r="F194" s="242">
        <f>+F162/100*'Attachment 2'!R49</f>
        <v>11.804254</v>
      </c>
      <c r="G194" s="242">
        <f>+G162/100*'Attachment 2'!S49</f>
        <v>0.23790600000000001</v>
      </c>
      <c r="H194" s="242">
        <f>+H162/100*'Attachment 2'!T49</f>
        <v>224.52002142374252</v>
      </c>
      <c r="I194" s="242">
        <f>+I162/100*'Attachment 2'!U49</f>
        <v>2371.6663590000003</v>
      </c>
      <c r="J194" s="242">
        <f>+J162/100*'Attachment 2'!V49</f>
        <v>5471.9093040000007</v>
      </c>
      <c r="K194" s="273">
        <f>+C180/100*'Attachment 2'!W49+I181*'Attachment 2'!K147*4+'Attachment 3'!I185*'Attachment 2'!K149*4</f>
        <v>261842.20086082927</v>
      </c>
      <c r="L194" s="273">
        <f>+E181/100*'Attachment 2'!X50+'Attachment 3'!E182/100*'Attachment 2'!X51+'Attachment 3'!J181*'Attachment 2'!L147*4+'Attachment 3'!J185*'Attachment 2'!L149*4</f>
        <v>185514.21535172785</v>
      </c>
    </row>
    <row r="195" spans="2:12" ht="15.25" x14ac:dyDescent="1.05">
      <c r="B195" s="41" t="s">
        <v>55</v>
      </c>
      <c r="C195" s="243">
        <f>+C169/100*'Attachment 2'!O45</f>
        <v>921854.79942530324</v>
      </c>
      <c r="D195" s="243">
        <f>+D169/100*'Attachment 2'!P45</f>
        <v>6344.4901025069166</v>
      </c>
      <c r="E195" s="243">
        <f>+E170/100*'Attachment 2'!Q46+'Attachment 3'!E171/100*'Attachment 2'!Q47</f>
        <v>11914.919079609524</v>
      </c>
      <c r="F195" s="243">
        <f>+F169/100*'Attachment 2'!R45</f>
        <v>31.645038</v>
      </c>
      <c r="G195" s="243">
        <f>+G169/100*'Attachment 2'!S45</f>
        <v>0.40854000000000001</v>
      </c>
      <c r="H195" s="243">
        <f>+H169/100*'Attachment 2'!T45</f>
        <v>849.73167973632951</v>
      </c>
      <c r="I195" s="243">
        <f>+I169/100*'Attachment 2'!U45</f>
        <v>6927.1171119999999</v>
      </c>
      <c r="J195" s="243">
        <f>+J169/100*'Attachment 2'!V45</f>
        <v>15900.653944</v>
      </c>
      <c r="K195" s="295">
        <f>+C184/100*'Attachment 2'!W45+'Attachment 3'!I182*'Attachment 2'!K147*8+'Attachment 3'!I185*'Attachment 2'!K149*8</f>
        <v>473201.04249335604</v>
      </c>
      <c r="L195" s="295">
        <f>+E185/100*'Attachment 2'!X46+'Attachment 3'!E186/100*'Attachment 2'!X47+'Attachment 3'!J182*'Attachment 2'!L147*8+'Attachment 3'!J185*'Attachment 2'!L149*8</f>
        <v>344098.90220701508</v>
      </c>
    </row>
    <row r="196" spans="2:12" x14ac:dyDescent="0.6">
      <c r="B196" s="41" t="s">
        <v>126</v>
      </c>
      <c r="C196" s="168">
        <f t="shared" ref="C196:L196" si="6">+C195+C194</f>
        <v>1631789.7961251861</v>
      </c>
      <c r="D196" s="168">
        <f t="shared" si="6"/>
        <v>8125.8783194497064</v>
      </c>
      <c r="E196" s="168">
        <f t="shared" si="6"/>
        <v>22265.98715156869</v>
      </c>
      <c r="F196" s="168">
        <f t="shared" si="6"/>
        <v>43.449292</v>
      </c>
      <c r="G196" s="168">
        <f t="shared" si="6"/>
        <v>0.64644600000000008</v>
      </c>
      <c r="H196" s="168">
        <f t="shared" si="6"/>
        <v>1074.2517011600721</v>
      </c>
      <c r="I196" s="168">
        <f t="shared" si="6"/>
        <v>9298.7834710000006</v>
      </c>
      <c r="J196" s="168">
        <f t="shared" si="6"/>
        <v>21372.563247999999</v>
      </c>
      <c r="K196" s="168">
        <f t="shared" si="6"/>
        <v>735043.24335418525</v>
      </c>
      <c r="L196" s="168">
        <f t="shared" si="6"/>
        <v>529613.11755874287</v>
      </c>
    </row>
    <row r="197" spans="2:12" x14ac:dyDescent="0.6">
      <c r="B197" s="41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</row>
    <row r="198" spans="2:12" x14ac:dyDescent="0.6">
      <c r="B198" s="41" t="s">
        <v>303</v>
      </c>
      <c r="C198" s="168">
        <f>SUM(C194:L194)</f>
        <v>1177504.0070457654</v>
      </c>
      <c r="D198" s="168"/>
      <c r="E198" s="168"/>
      <c r="F198" s="168"/>
      <c r="G198" s="168"/>
      <c r="H198" s="168"/>
      <c r="I198" s="168"/>
      <c r="J198" s="168"/>
      <c r="K198" s="168"/>
      <c r="L198" s="168"/>
    </row>
    <row r="199" spans="2:12" ht="15.25" x14ac:dyDescent="1.05">
      <c r="B199" s="41" t="s">
        <v>304</v>
      </c>
      <c r="C199" s="288">
        <f>SUM(C195:L195)</f>
        <v>1781123.7096215272</v>
      </c>
      <c r="E199" s="265"/>
    </row>
    <row r="200" spans="2:12" x14ac:dyDescent="0.6">
      <c r="B200" s="41" t="s">
        <v>305</v>
      </c>
      <c r="C200" s="168">
        <f>+C199+C198</f>
        <v>2958627.7166672926</v>
      </c>
      <c r="E200" s="265"/>
    </row>
    <row r="201" spans="2:12" x14ac:dyDescent="0.6">
      <c r="B201" s="41"/>
      <c r="C201" s="265"/>
      <c r="E201" s="265"/>
    </row>
    <row r="202" spans="2:12" x14ac:dyDescent="0.6"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2:12" x14ac:dyDescent="0.6">
      <c r="B203" s="2" t="s">
        <v>306</v>
      </c>
    </row>
    <row r="204" spans="2:12" x14ac:dyDescent="0.6">
      <c r="B204" s="41" t="s">
        <v>54</v>
      </c>
      <c r="C204" s="168">
        <f>+C25+D25+E25</f>
        <v>1177505.1017700566</v>
      </c>
    </row>
    <row r="205" spans="2:12" ht="15.25" x14ac:dyDescent="1.05">
      <c r="B205" s="41" t="s">
        <v>55</v>
      </c>
      <c r="C205" s="288">
        <f>+C26+D26+E26</f>
        <v>1781128.1390242914</v>
      </c>
    </row>
    <row r="206" spans="2:12" x14ac:dyDescent="0.6">
      <c r="B206" s="41" t="s">
        <v>126</v>
      </c>
      <c r="C206" s="168">
        <f>+C205+C204</f>
        <v>2958633.2407943481</v>
      </c>
      <c r="D206" s="168"/>
      <c r="G206" s="41"/>
    </row>
    <row r="207" spans="2:12" x14ac:dyDescent="0.6">
      <c r="C207" s="265"/>
      <c r="E207" s="265"/>
      <c r="G207" s="41"/>
    </row>
    <row r="208" spans="2:12" x14ac:dyDescent="0.6">
      <c r="B208" s="7" t="s">
        <v>373</v>
      </c>
      <c r="C208" s="168"/>
      <c r="E208" s="255" t="s">
        <v>383</v>
      </c>
      <c r="G208" s="255"/>
    </row>
    <row r="209" spans="2:5" x14ac:dyDescent="0.6">
      <c r="B209" s="41" t="s">
        <v>54</v>
      </c>
      <c r="C209" s="168">
        <f>+C198-C204</f>
        <v>-1.0947242912370712</v>
      </c>
      <c r="E209" s="303">
        <f>+C209/C198</f>
        <v>-9.2969899438696607E-7</v>
      </c>
    </row>
    <row r="210" spans="2:5" ht="15.25" x14ac:dyDescent="1.05">
      <c r="B210" s="41" t="s">
        <v>55</v>
      </c>
      <c r="C210" s="288">
        <f>+C199-C205</f>
        <v>-4.4294027641881257</v>
      </c>
      <c r="E210" s="308">
        <f>+C210/C199</f>
        <v>-2.4868585715078344E-6</v>
      </c>
    </row>
    <row r="211" spans="2:5" x14ac:dyDescent="0.6">
      <c r="B211" s="41" t="s">
        <v>126</v>
      </c>
      <c r="C211" s="168">
        <f>+C200-C206</f>
        <v>-5.5241270554251969</v>
      </c>
      <c r="E211" s="303">
        <f>+C211/C200</f>
        <v>-1.8671247566245939E-6</v>
      </c>
    </row>
    <row r="213" spans="2:5" x14ac:dyDescent="0.6">
      <c r="C213" s="129"/>
    </row>
  </sheetData>
  <mergeCells count="1">
    <mergeCell ref="O1:R2"/>
  </mergeCells>
  <pageMargins left="0.75" right="0.75" top="1" bottom="1" header="0.5" footer="0.5"/>
  <pageSetup scale="69" fitToHeight="0" orientation="landscape" r:id="rId1"/>
  <headerFooter alignWithMargins="0">
    <oddHeader>&amp;CPublic Service Electric and Gas Company Specific Addendum
Attachment 3</oddHeader>
    <oddFooter>&amp;CPage &amp;P of &amp;N</oddFooter>
  </headerFooter>
  <rowBreaks count="7" manualBreakCount="7">
    <brk id="41" max="11" man="1"/>
    <brk id="80" max="11" man="1"/>
    <brk id="116" max="11" man="1"/>
    <brk id="152" max="11" man="1"/>
    <brk id="188" max="11" man="1"/>
    <brk id="213" max="11" man="1"/>
    <brk id="25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A4DB4-655D-4065-9E6C-F3A07591D146}">
  <sheetPr>
    <pageSetUpPr fitToPage="1"/>
  </sheetPr>
  <dimension ref="A1:P31"/>
  <sheetViews>
    <sheetView view="pageBreakPreview" zoomScaleNormal="100" zoomScaleSheetLayoutView="100" workbookViewId="0"/>
  </sheetViews>
  <sheetFormatPr defaultColWidth="9.08984375" defaultRowHeight="13" x14ac:dyDescent="0.6"/>
  <cols>
    <col min="1" max="1" width="3.31640625" style="309" bestFit="1" customWidth="1"/>
    <col min="2" max="2" width="62.54296875" style="309" bestFit="1" customWidth="1"/>
    <col min="3" max="4" width="29.453125" style="309" customWidth="1"/>
    <col min="5" max="5" width="3.31640625" style="309" customWidth="1"/>
    <col min="6" max="6" width="5.08984375" style="309" customWidth="1"/>
    <col min="7" max="7" width="54" style="309" bestFit="1" customWidth="1"/>
    <col min="8" max="8" width="4.08984375" style="314" customWidth="1"/>
    <col min="9" max="16384" width="9.08984375" style="309"/>
  </cols>
  <sheetData>
    <row r="1" spans="1:16" ht="65.7" customHeight="1" x14ac:dyDescent="0.7">
      <c r="B1" s="310" t="s">
        <v>384</v>
      </c>
      <c r="H1" s="311"/>
      <c r="I1" s="423"/>
      <c r="J1" s="424"/>
      <c r="K1" s="424"/>
      <c r="L1" s="424"/>
      <c r="M1" s="424"/>
      <c r="N1" s="424"/>
      <c r="O1" s="424"/>
      <c r="P1" s="424"/>
    </row>
    <row r="2" spans="1:16" ht="88.2" customHeight="1" x14ac:dyDescent="0.7">
      <c r="B2" s="312" t="s">
        <v>385</v>
      </c>
      <c r="C2" s="313" t="s">
        <v>386</v>
      </c>
      <c r="D2" s="313" t="s">
        <v>387</v>
      </c>
      <c r="E2" s="313"/>
      <c r="I2" s="423"/>
      <c r="J2" s="424"/>
      <c r="K2" s="424"/>
      <c r="L2" s="424"/>
      <c r="M2" s="424"/>
      <c r="N2" s="424"/>
      <c r="O2" s="424"/>
      <c r="P2" s="424"/>
    </row>
    <row r="3" spans="1:16" ht="26" x14ac:dyDescent="0.6">
      <c r="C3" s="315" t="s">
        <v>388</v>
      </c>
      <c r="D3" s="315" t="s">
        <v>388</v>
      </c>
      <c r="E3" s="315"/>
      <c r="G3" s="275" t="s">
        <v>316</v>
      </c>
    </row>
    <row r="4" spans="1:16" x14ac:dyDescent="0.6">
      <c r="A4" s="309">
        <v>1</v>
      </c>
      <c r="B4" s="316" t="s">
        <v>389</v>
      </c>
      <c r="C4" s="317">
        <v>270.35000000000002</v>
      </c>
      <c r="D4" s="317">
        <f>C4</f>
        <v>270.35000000000002</v>
      </c>
      <c r="E4" s="317"/>
      <c r="G4" s="318" t="s">
        <v>390</v>
      </c>
    </row>
    <row r="5" spans="1:16" x14ac:dyDescent="0.6">
      <c r="A5" s="309">
        <v>2</v>
      </c>
      <c r="B5" s="316" t="s">
        <v>391</v>
      </c>
      <c r="C5" s="319">
        <v>44.63</v>
      </c>
      <c r="D5" s="319">
        <v>47.46</v>
      </c>
      <c r="E5" s="320"/>
      <c r="G5" s="321" t="s">
        <v>392</v>
      </c>
      <c r="H5" s="322"/>
    </row>
    <row r="6" spans="1:16" x14ac:dyDescent="0.6">
      <c r="C6" s="315"/>
      <c r="D6" s="315"/>
      <c r="E6" s="315"/>
      <c r="G6" s="323"/>
    </row>
    <row r="7" spans="1:16" x14ac:dyDescent="0.6">
      <c r="A7" s="309">
        <v>3</v>
      </c>
      <c r="B7" s="316" t="s">
        <v>393</v>
      </c>
      <c r="C7" s="324">
        <f>C4-C5</f>
        <v>225.72000000000003</v>
      </c>
      <c r="D7" s="324">
        <f>D4-D5</f>
        <v>222.89000000000001</v>
      </c>
      <c r="E7" s="324"/>
      <c r="G7" s="318" t="s">
        <v>394</v>
      </c>
    </row>
    <row r="8" spans="1:16" x14ac:dyDescent="0.6">
      <c r="A8" s="309">
        <v>4</v>
      </c>
      <c r="B8" s="316" t="s">
        <v>395</v>
      </c>
      <c r="C8" s="325">
        <f>SUM('Attachment 2'!C147:L147)</f>
        <v>8884.2999999999993</v>
      </c>
      <c r="D8" s="325">
        <f>SUM('Attachment 2'!C147:L147)</f>
        <v>8884.2999999999993</v>
      </c>
      <c r="E8" s="325"/>
    </row>
    <row r="9" spans="1:16" x14ac:dyDescent="0.6">
      <c r="A9" s="309">
        <v>5</v>
      </c>
      <c r="B9" s="316" t="s">
        <v>396</v>
      </c>
      <c r="C9" s="326">
        <v>365</v>
      </c>
      <c r="D9" s="326">
        <v>365</v>
      </c>
      <c r="E9" s="327"/>
    </row>
    <row r="10" spans="1:16" x14ac:dyDescent="0.6">
      <c r="A10" s="309">
        <v>6</v>
      </c>
      <c r="B10" s="316" t="s">
        <v>397</v>
      </c>
      <c r="C10" s="328">
        <f>C7*C8*C9</f>
        <v>731957931.53999996</v>
      </c>
      <c r="D10" s="328">
        <f>D7*D8*D9</f>
        <v>722780893.8549999</v>
      </c>
      <c r="E10" s="328"/>
      <c r="G10" s="318" t="s">
        <v>398</v>
      </c>
    </row>
    <row r="11" spans="1:16" x14ac:dyDescent="0.6">
      <c r="B11" s="316"/>
      <c r="C11" s="329"/>
      <c r="D11" s="329"/>
      <c r="E11" s="329"/>
      <c r="G11" s="318"/>
    </row>
    <row r="12" spans="1:16" x14ac:dyDescent="0.6">
      <c r="A12" s="309">
        <v>7</v>
      </c>
      <c r="B12" s="330" t="s">
        <v>399</v>
      </c>
      <c r="C12" s="211">
        <v>28</v>
      </c>
      <c r="D12" s="211">
        <v>29</v>
      </c>
      <c r="E12" s="331"/>
      <c r="G12" s="318" t="s">
        <v>400</v>
      </c>
    </row>
    <row r="13" spans="1:16" x14ac:dyDescent="0.6">
      <c r="A13" s="309">
        <v>8</v>
      </c>
      <c r="B13" s="316" t="s">
        <v>401</v>
      </c>
      <c r="C13" s="332">
        <f>'Attachment 3'!E15</f>
        <v>85</v>
      </c>
      <c r="D13" s="332">
        <v>85</v>
      </c>
      <c r="E13" s="331"/>
      <c r="G13" s="318" t="s">
        <v>400</v>
      </c>
    </row>
    <row r="14" spans="1:16" x14ac:dyDescent="0.6">
      <c r="A14" s="309">
        <v>9</v>
      </c>
      <c r="B14" s="316" t="s">
        <v>402</v>
      </c>
      <c r="C14" s="333">
        <f>+C12/C13</f>
        <v>0.32941176470588235</v>
      </c>
      <c r="D14" s="333">
        <f>+D12/D13</f>
        <v>0.3411764705882353</v>
      </c>
      <c r="E14" s="334"/>
      <c r="G14" s="318" t="s">
        <v>403</v>
      </c>
    </row>
    <row r="15" spans="1:16" x14ac:dyDescent="0.6">
      <c r="B15" s="316"/>
      <c r="C15" s="329"/>
      <c r="D15" s="329"/>
      <c r="E15" s="329"/>
      <c r="G15" s="318"/>
    </row>
    <row r="16" spans="1:16" x14ac:dyDescent="0.6">
      <c r="A16" s="309">
        <v>10</v>
      </c>
      <c r="B16" s="316" t="s">
        <v>404</v>
      </c>
      <c r="C16" s="329">
        <f>C10*C14</f>
        <v>241115553.9190588</v>
      </c>
      <c r="D16" s="329">
        <f>D10*D14</f>
        <v>246595834.37405878</v>
      </c>
      <c r="E16" s="329"/>
      <c r="G16" s="318" t="s">
        <v>405</v>
      </c>
    </row>
    <row r="17" spans="1:7" x14ac:dyDescent="0.6">
      <c r="B17" s="316"/>
      <c r="C17" s="329"/>
      <c r="D17" s="329"/>
      <c r="E17" s="329"/>
      <c r="G17" s="318"/>
    </row>
    <row r="18" spans="1:7" x14ac:dyDescent="0.6">
      <c r="A18" s="309">
        <v>11</v>
      </c>
      <c r="B18" s="335" t="s">
        <v>406</v>
      </c>
      <c r="C18" s="327">
        <f>'Attachment 2'!C354</f>
        <v>26295689.787887268</v>
      </c>
      <c r="D18" s="327">
        <f>'Attachment 2'!C354</f>
        <v>26295689.787887268</v>
      </c>
      <c r="E18" s="327"/>
    </row>
    <row r="19" spans="1:7" x14ac:dyDescent="0.6">
      <c r="A19" s="309">
        <v>12</v>
      </c>
      <c r="B19" s="316" t="s">
        <v>407</v>
      </c>
      <c r="C19" s="326">
        <f>+C14*C18</f>
        <v>8662109.5771863945</v>
      </c>
      <c r="D19" s="326">
        <f>+D14*D18</f>
        <v>8971470.6335144807</v>
      </c>
      <c r="E19" s="327"/>
      <c r="G19" s="318" t="s">
        <v>408</v>
      </c>
    </row>
    <row r="20" spans="1:7" x14ac:dyDescent="0.6">
      <c r="B20" s="316"/>
      <c r="C20" s="329"/>
      <c r="D20" s="329"/>
      <c r="E20" s="329"/>
      <c r="G20" s="318"/>
    </row>
    <row r="21" spans="1:7" ht="13.75" thickBot="1" x14ac:dyDescent="0.75">
      <c r="A21" s="309">
        <v>13</v>
      </c>
      <c r="B21" s="316" t="s">
        <v>409</v>
      </c>
      <c r="C21" s="336">
        <f>ROUND(+C16/C19,2)</f>
        <v>27.84</v>
      </c>
      <c r="D21" s="336">
        <f>ROUND(+D16/D19,2)</f>
        <v>27.49</v>
      </c>
      <c r="E21" s="336"/>
      <c r="G21" s="337" t="s">
        <v>410</v>
      </c>
    </row>
    <row r="22" spans="1:7" ht="13.75" thickTop="1" x14ac:dyDescent="0.6">
      <c r="B22" s="316"/>
      <c r="C22" s="329"/>
      <c r="F22" s="318"/>
    </row>
    <row r="23" spans="1:7" x14ac:dyDescent="0.6">
      <c r="B23" s="316"/>
      <c r="C23" s="329"/>
      <c r="F23" s="318"/>
    </row>
    <row r="24" spans="1:7" x14ac:dyDescent="0.6">
      <c r="B24" s="316"/>
      <c r="C24" s="329"/>
      <c r="F24" s="318"/>
    </row>
    <row r="26" spans="1:7" x14ac:dyDescent="0.6">
      <c r="C26" s="327"/>
    </row>
    <row r="28" spans="1:7" x14ac:dyDescent="0.6">
      <c r="B28" s="316"/>
      <c r="C28" s="317"/>
      <c r="F28" s="318"/>
    </row>
    <row r="31" spans="1:7" x14ac:dyDescent="0.6">
      <c r="D31" s="317"/>
      <c r="E31" s="317"/>
    </row>
  </sheetData>
  <mergeCells count="2">
    <mergeCell ref="I1:P1"/>
    <mergeCell ref="I2:P2"/>
  </mergeCells>
  <pageMargins left="0.7" right="0.7" top="1" bottom="0.75" header="0.3" footer="0.3"/>
  <pageSetup scale="66" orientation="landscape" r:id="rId1"/>
  <headerFooter>
    <oddHeader>&amp;C&amp;"Arial,Bold"Public Service Electric and Gas Company Specific Addendum
Attachment 4 P2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452A-B9A8-4298-8BFE-B1AE80E53F14}">
  <sheetPr codeName="Sheet40">
    <pageSetUpPr fitToPage="1"/>
  </sheetPr>
  <dimension ref="A1:O28"/>
  <sheetViews>
    <sheetView view="pageBreakPreview" zoomScaleNormal="100" zoomScaleSheetLayoutView="100" workbookViewId="0"/>
  </sheetViews>
  <sheetFormatPr defaultColWidth="9.08984375" defaultRowHeight="13" x14ac:dyDescent="0.6"/>
  <cols>
    <col min="1" max="1" width="3.31640625" style="309" bestFit="1" customWidth="1"/>
    <col min="2" max="2" width="62.54296875" style="309" bestFit="1" customWidth="1"/>
    <col min="3" max="4" width="29.453125" style="309" customWidth="1"/>
    <col min="5" max="5" width="3.86328125" style="309" customWidth="1"/>
    <col min="6" max="6" width="54" style="309" bestFit="1" customWidth="1"/>
    <col min="7" max="7" width="2.86328125" style="309" customWidth="1"/>
    <col min="8" max="8" width="2.31640625" style="314" customWidth="1"/>
    <col min="9" max="16384" width="9.08984375" style="309"/>
  </cols>
  <sheetData>
    <row r="1" spans="1:15" ht="42.65" customHeight="1" x14ac:dyDescent="0.7">
      <c r="B1" s="310" t="s">
        <v>411</v>
      </c>
      <c r="I1" s="425"/>
      <c r="J1" s="425"/>
      <c r="K1" s="425"/>
      <c r="L1" s="425"/>
      <c r="M1" s="425"/>
      <c r="N1" s="425"/>
      <c r="O1" s="425"/>
    </row>
    <row r="2" spans="1:15" ht="74.25" customHeight="1" x14ac:dyDescent="0.7">
      <c r="B2" s="312" t="s">
        <v>412</v>
      </c>
      <c r="C2" s="313" t="s">
        <v>387</v>
      </c>
      <c r="D2" s="313" t="s">
        <v>413</v>
      </c>
      <c r="I2" s="425"/>
      <c r="J2" s="425"/>
      <c r="K2" s="425"/>
      <c r="L2" s="425"/>
      <c r="M2" s="425"/>
      <c r="N2" s="425"/>
      <c r="O2" s="425"/>
    </row>
    <row r="3" spans="1:15" ht="26" x14ac:dyDescent="0.6">
      <c r="C3" s="315" t="s">
        <v>414</v>
      </c>
      <c r="D3" s="315" t="s">
        <v>414</v>
      </c>
      <c r="F3" s="275" t="s">
        <v>316</v>
      </c>
    </row>
    <row r="4" spans="1:15" x14ac:dyDescent="0.6">
      <c r="A4" s="309">
        <v>1</v>
      </c>
      <c r="B4" s="316" t="s">
        <v>389</v>
      </c>
      <c r="C4" s="338">
        <v>280</v>
      </c>
      <c r="D4" s="338">
        <v>280</v>
      </c>
      <c r="E4" s="339"/>
      <c r="F4" s="318" t="s">
        <v>390</v>
      </c>
    </row>
    <row r="5" spans="1:15" x14ac:dyDescent="0.6">
      <c r="A5" s="309">
        <v>2</v>
      </c>
      <c r="B5" s="316" t="s">
        <v>391</v>
      </c>
      <c r="C5" s="319">
        <v>49.05</v>
      </c>
      <c r="D5" s="340">
        <v>270.35000000000002</v>
      </c>
      <c r="F5" s="318" t="s">
        <v>415</v>
      </c>
      <c r="G5" s="318"/>
    </row>
    <row r="6" spans="1:15" x14ac:dyDescent="0.6">
      <c r="C6" s="315"/>
      <c r="D6" s="315"/>
      <c r="F6" s="323"/>
    </row>
    <row r="7" spans="1:15" x14ac:dyDescent="0.6">
      <c r="A7" s="309">
        <v>3</v>
      </c>
      <c r="B7" s="316" t="s">
        <v>393</v>
      </c>
      <c r="C7" s="324">
        <f>C4-C5</f>
        <v>230.95</v>
      </c>
      <c r="D7" s="324">
        <f>D4-D5</f>
        <v>9.6499999999999773</v>
      </c>
      <c r="F7" s="318" t="s">
        <v>394</v>
      </c>
    </row>
    <row r="8" spans="1:15" x14ac:dyDescent="0.6">
      <c r="A8" s="309">
        <v>4</v>
      </c>
      <c r="B8" s="316" t="s">
        <v>395</v>
      </c>
      <c r="C8" s="325">
        <f>'Attach 4 P1'!C8</f>
        <v>8884.2999999999993</v>
      </c>
      <c r="D8" s="325">
        <f>'Attach 4 P1'!D8</f>
        <v>8884.2999999999993</v>
      </c>
    </row>
    <row r="9" spans="1:15" x14ac:dyDescent="0.6">
      <c r="A9" s="309">
        <v>5</v>
      </c>
      <c r="B9" s="316" t="s">
        <v>396</v>
      </c>
      <c r="C9" s="326">
        <v>365</v>
      </c>
      <c r="D9" s="326">
        <v>365</v>
      </c>
    </row>
    <row r="10" spans="1:15" x14ac:dyDescent="0.6">
      <c r="A10" s="309">
        <v>6</v>
      </c>
      <c r="B10" s="316" t="s">
        <v>397</v>
      </c>
      <c r="C10" s="328">
        <f>C7*C8*C9</f>
        <v>748917616.02499986</v>
      </c>
      <c r="D10" s="328">
        <f>D7*D8*D9</f>
        <v>31292725.674999923</v>
      </c>
      <c r="F10" s="318" t="s">
        <v>398</v>
      </c>
    </row>
    <row r="11" spans="1:15" x14ac:dyDescent="0.6">
      <c r="B11" s="316"/>
      <c r="C11" s="329"/>
      <c r="D11" s="329"/>
      <c r="F11" s="318"/>
    </row>
    <row r="12" spans="1:15" x14ac:dyDescent="0.6">
      <c r="A12" s="309">
        <v>7</v>
      </c>
      <c r="B12" s="330" t="s">
        <v>399</v>
      </c>
      <c r="C12" s="211">
        <v>29</v>
      </c>
      <c r="D12" s="211">
        <v>28</v>
      </c>
      <c r="F12" s="318" t="s">
        <v>400</v>
      </c>
    </row>
    <row r="13" spans="1:15" x14ac:dyDescent="0.6">
      <c r="A13" s="309">
        <v>8</v>
      </c>
      <c r="B13" s="316" t="s">
        <v>401</v>
      </c>
      <c r="C13" s="332">
        <f>'Attachment 3'!E15</f>
        <v>85</v>
      </c>
      <c r="D13" s="332">
        <v>85</v>
      </c>
      <c r="F13" s="318" t="s">
        <v>400</v>
      </c>
    </row>
    <row r="14" spans="1:15" x14ac:dyDescent="0.6">
      <c r="A14" s="309">
        <v>9</v>
      </c>
      <c r="B14" s="316" t="s">
        <v>402</v>
      </c>
      <c r="C14" s="333">
        <f>+C12/C13</f>
        <v>0.3411764705882353</v>
      </c>
      <c r="D14" s="333">
        <f>+D12/D13</f>
        <v>0.32941176470588235</v>
      </c>
      <c r="F14" s="318" t="s">
        <v>403</v>
      </c>
    </row>
    <row r="15" spans="1:15" x14ac:dyDescent="0.6">
      <c r="B15" s="316"/>
      <c r="C15" s="329"/>
      <c r="D15" s="329"/>
      <c r="F15" s="318"/>
    </row>
    <row r="16" spans="1:15" x14ac:dyDescent="0.6">
      <c r="A16" s="309">
        <v>10</v>
      </c>
      <c r="B16" s="316" t="s">
        <v>404</v>
      </c>
      <c r="C16" s="329">
        <f>C10*C14</f>
        <v>255513068.99676466</v>
      </c>
      <c r="D16" s="329">
        <f>D10*D14</f>
        <v>10308191.987058798</v>
      </c>
      <c r="F16" s="318" t="s">
        <v>405</v>
      </c>
    </row>
    <row r="17" spans="1:6" x14ac:dyDescent="0.6">
      <c r="B17" s="316"/>
      <c r="C17" s="329"/>
      <c r="D17" s="329"/>
      <c r="F17" s="318"/>
    </row>
    <row r="18" spans="1:6" x14ac:dyDescent="0.6">
      <c r="A18" s="309">
        <v>11</v>
      </c>
      <c r="B18" s="335" t="s">
        <v>406</v>
      </c>
      <c r="C18" s="327">
        <f>'Attachment 2'!C354</f>
        <v>26295689.787887268</v>
      </c>
      <c r="D18" s="327">
        <f>'Attachment 2'!C354</f>
        <v>26295689.787887268</v>
      </c>
    </row>
    <row r="19" spans="1:6" x14ac:dyDescent="0.6">
      <c r="A19" s="309">
        <v>12</v>
      </c>
      <c r="B19" s="316" t="s">
        <v>407</v>
      </c>
      <c r="C19" s="326">
        <f>+C14*C18</f>
        <v>8971470.6335144807</v>
      </c>
      <c r="D19" s="326">
        <f>+D14*D18</f>
        <v>8662109.5771863945</v>
      </c>
      <c r="F19" s="318" t="s">
        <v>408</v>
      </c>
    </row>
    <row r="20" spans="1:6" x14ac:dyDescent="0.6">
      <c r="B20" s="316"/>
      <c r="C20" s="329"/>
      <c r="D20" s="329"/>
      <c r="F20" s="318"/>
    </row>
    <row r="21" spans="1:6" ht="13.75" thickBot="1" x14ac:dyDescent="0.75">
      <c r="A21" s="309">
        <v>13</v>
      </c>
      <c r="B21" s="316" t="s">
        <v>409</v>
      </c>
      <c r="C21" s="336">
        <f>ROUND(+C16/C19,2)</f>
        <v>28.48</v>
      </c>
      <c r="D21" s="336">
        <f>ROUND(+D16/D19,2)</f>
        <v>1.19</v>
      </c>
      <c r="F21" s="337" t="s">
        <v>410</v>
      </c>
    </row>
    <row r="22" spans="1:6" ht="13.75" thickTop="1" x14ac:dyDescent="0.6">
      <c r="B22" s="316"/>
      <c r="C22" s="329"/>
      <c r="D22" s="329"/>
      <c r="F22" s="318"/>
    </row>
    <row r="23" spans="1:6" x14ac:dyDescent="0.6">
      <c r="B23" s="316"/>
      <c r="C23" s="329"/>
      <c r="D23" s="329"/>
      <c r="F23" s="318"/>
    </row>
    <row r="24" spans="1:6" x14ac:dyDescent="0.6">
      <c r="B24" s="316"/>
      <c r="C24" s="329"/>
      <c r="D24" s="329"/>
      <c r="F24" s="318"/>
    </row>
    <row r="26" spans="1:6" x14ac:dyDescent="0.6">
      <c r="C26" s="327"/>
      <c r="D26" s="327"/>
    </row>
    <row r="28" spans="1:6" x14ac:dyDescent="0.6">
      <c r="B28" s="316"/>
      <c r="C28" s="317"/>
      <c r="D28" s="317"/>
      <c r="F28" s="318"/>
    </row>
  </sheetData>
  <mergeCells count="2">
    <mergeCell ref="I1:O1"/>
    <mergeCell ref="I2:O2"/>
  </mergeCells>
  <pageMargins left="0.7" right="0.7" top="1" bottom="0.75" header="0.3" footer="0.3"/>
  <pageSetup scale="67" orientation="landscape" r:id="rId1"/>
  <headerFooter>
    <oddHeader>&amp;C&amp;"Arial,Bold"Public Service Electric and Gas Company Specific Addendum
Attachment 4 P3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3EAA-9734-46C7-9D94-4E1FDC516C31}">
  <sheetPr>
    <pageSetUpPr fitToPage="1"/>
  </sheetPr>
  <dimension ref="A1:M28"/>
  <sheetViews>
    <sheetView view="pageBreakPreview" zoomScaleNormal="100" zoomScaleSheetLayoutView="100" workbookViewId="0"/>
  </sheetViews>
  <sheetFormatPr defaultColWidth="9.08984375" defaultRowHeight="13" x14ac:dyDescent="0.6"/>
  <cols>
    <col min="1" max="1" width="3.31640625" style="309" bestFit="1" customWidth="1"/>
    <col min="2" max="2" width="62.54296875" style="309" bestFit="1" customWidth="1"/>
    <col min="3" max="3" width="29.453125" style="309" customWidth="1"/>
    <col min="4" max="4" width="3.86328125" style="309" customWidth="1"/>
    <col min="5" max="5" width="54" style="309" bestFit="1" customWidth="1"/>
    <col min="6" max="6" width="3.54296875" style="314" customWidth="1"/>
    <col min="7" max="16384" width="9.08984375" style="309"/>
  </cols>
  <sheetData>
    <row r="1" spans="1:13" ht="63.65" customHeight="1" x14ac:dyDescent="0.7">
      <c r="B1" s="310" t="s">
        <v>411</v>
      </c>
      <c r="G1" s="426"/>
      <c r="H1" s="426"/>
      <c r="I1" s="426"/>
      <c r="J1" s="426"/>
      <c r="K1" s="426"/>
      <c r="L1" s="426"/>
      <c r="M1" s="426"/>
    </row>
    <row r="2" spans="1:13" ht="74.25" customHeight="1" x14ac:dyDescent="0.7">
      <c r="B2" s="312" t="s">
        <v>416</v>
      </c>
      <c r="C2" s="313" t="s">
        <v>413</v>
      </c>
      <c r="G2" s="426"/>
      <c r="H2" s="426"/>
      <c r="I2" s="426"/>
      <c r="J2" s="426"/>
      <c r="K2" s="426"/>
      <c r="L2" s="426"/>
      <c r="M2" s="426"/>
    </row>
    <row r="3" spans="1:13" ht="26" x14ac:dyDescent="0.6">
      <c r="C3" s="315" t="s">
        <v>417</v>
      </c>
      <c r="E3" s="275" t="s">
        <v>316</v>
      </c>
    </row>
    <row r="4" spans="1:13" x14ac:dyDescent="0.6">
      <c r="A4" s="309">
        <v>1</v>
      </c>
      <c r="B4" s="316" t="s">
        <v>389</v>
      </c>
      <c r="C4" s="338">
        <v>280</v>
      </c>
      <c r="D4" s="339"/>
      <c r="E4" s="318" t="s">
        <v>390</v>
      </c>
    </row>
    <row r="5" spans="1:13" x14ac:dyDescent="0.6">
      <c r="A5" s="309">
        <v>2</v>
      </c>
      <c r="B5" s="316" t="s">
        <v>391</v>
      </c>
      <c r="C5" s="319">
        <v>270.35000000000002</v>
      </c>
      <c r="E5" s="318" t="s">
        <v>418</v>
      </c>
    </row>
    <row r="6" spans="1:13" x14ac:dyDescent="0.6">
      <c r="C6" s="315"/>
      <c r="E6" s="323"/>
    </row>
    <row r="7" spans="1:13" x14ac:dyDescent="0.6">
      <c r="A7" s="309">
        <v>3</v>
      </c>
      <c r="B7" s="316" t="s">
        <v>393</v>
      </c>
      <c r="C7" s="324">
        <f>C4-C5</f>
        <v>9.6499999999999773</v>
      </c>
      <c r="E7" s="318" t="s">
        <v>394</v>
      </c>
    </row>
    <row r="8" spans="1:13" x14ac:dyDescent="0.6">
      <c r="A8" s="309">
        <v>4</v>
      </c>
      <c r="B8" s="316" t="s">
        <v>395</v>
      </c>
      <c r="C8" s="325">
        <f>'Attach 4 P1'!D8</f>
        <v>8884.2999999999993</v>
      </c>
    </row>
    <row r="9" spans="1:13" x14ac:dyDescent="0.6">
      <c r="A9" s="309">
        <v>5</v>
      </c>
      <c r="B9" s="316" t="s">
        <v>396</v>
      </c>
      <c r="C9" s="341">
        <v>366</v>
      </c>
    </row>
    <row r="10" spans="1:13" x14ac:dyDescent="0.6">
      <c r="A10" s="309">
        <v>6</v>
      </c>
      <c r="B10" s="316" t="s">
        <v>397</v>
      </c>
      <c r="C10" s="328">
        <f>C7*C8*C9</f>
        <v>31378459.169999924</v>
      </c>
      <c r="E10" s="318" t="s">
        <v>398</v>
      </c>
    </row>
    <row r="11" spans="1:13" x14ac:dyDescent="0.6">
      <c r="B11" s="316"/>
      <c r="C11" s="329"/>
      <c r="E11" s="318"/>
    </row>
    <row r="12" spans="1:13" x14ac:dyDescent="0.6">
      <c r="A12" s="309">
        <v>7</v>
      </c>
      <c r="B12" s="330" t="s">
        <v>399</v>
      </c>
      <c r="C12" s="211">
        <v>28</v>
      </c>
      <c r="E12" s="318" t="s">
        <v>400</v>
      </c>
    </row>
    <row r="13" spans="1:13" x14ac:dyDescent="0.6">
      <c r="A13" s="309">
        <v>8</v>
      </c>
      <c r="B13" s="316" t="s">
        <v>401</v>
      </c>
      <c r="C13" s="332">
        <v>85</v>
      </c>
      <c r="E13" s="318" t="s">
        <v>400</v>
      </c>
    </row>
    <row r="14" spans="1:13" x14ac:dyDescent="0.6">
      <c r="A14" s="309">
        <v>9</v>
      </c>
      <c r="B14" s="316" t="s">
        <v>402</v>
      </c>
      <c r="C14" s="333">
        <f>+C12/C13</f>
        <v>0.32941176470588235</v>
      </c>
      <c r="E14" s="318" t="s">
        <v>403</v>
      </c>
    </row>
    <row r="15" spans="1:13" x14ac:dyDescent="0.6">
      <c r="B15" s="316"/>
      <c r="C15" s="329"/>
      <c r="E15" s="318"/>
    </row>
    <row r="16" spans="1:13" x14ac:dyDescent="0.6">
      <c r="A16" s="309">
        <v>10</v>
      </c>
      <c r="B16" s="316" t="s">
        <v>404</v>
      </c>
      <c r="C16" s="329">
        <f>C10*C14</f>
        <v>10336433.608941151</v>
      </c>
      <c r="E16" s="318" t="s">
        <v>405</v>
      </c>
    </row>
    <row r="17" spans="1:5" x14ac:dyDescent="0.6">
      <c r="B17" s="316"/>
      <c r="C17" s="329"/>
      <c r="E17" s="318"/>
    </row>
    <row r="18" spans="1:5" x14ac:dyDescent="0.6">
      <c r="A18" s="309">
        <v>11</v>
      </c>
      <c r="B18" s="335" t="s">
        <v>406</v>
      </c>
      <c r="C18" s="327">
        <f>'Attachment 2'!C354</f>
        <v>26295689.787887268</v>
      </c>
    </row>
    <row r="19" spans="1:5" x14ac:dyDescent="0.6">
      <c r="A19" s="309">
        <v>12</v>
      </c>
      <c r="B19" s="316" t="s">
        <v>407</v>
      </c>
      <c r="C19" s="326">
        <f>+C14*C18</f>
        <v>8662109.5771863945</v>
      </c>
      <c r="E19" s="318" t="s">
        <v>408</v>
      </c>
    </row>
    <row r="20" spans="1:5" x14ac:dyDescent="0.6">
      <c r="B20" s="316"/>
      <c r="C20" s="329"/>
      <c r="E20" s="318"/>
    </row>
    <row r="21" spans="1:5" ht="13.75" thickBot="1" x14ac:dyDescent="0.75">
      <c r="A21" s="309">
        <v>13</v>
      </c>
      <c r="B21" s="316" t="s">
        <v>409</v>
      </c>
      <c r="C21" s="336">
        <f>ROUND(+C16/C19,2)</f>
        <v>1.19</v>
      </c>
      <c r="E21" s="337" t="s">
        <v>410</v>
      </c>
    </row>
    <row r="22" spans="1:5" ht="13.75" thickTop="1" x14ac:dyDescent="0.6">
      <c r="B22" s="316"/>
      <c r="C22" s="329"/>
      <c r="E22" s="318"/>
    </row>
    <row r="23" spans="1:5" x14ac:dyDescent="0.6">
      <c r="B23" s="316"/>
      <c r="C23" s="329"/>
      <c r="E23" s="318"/>
    </row>
    <row r="24" spans="1:5" x14ac:dyDescent="0.6">
      <c r="B24" s="316"/>
      <c r="C24" s="329"/>
      <c r="E24" s="318"/>
    </row>
    <row r="26" spans="1:5" x14ac:dyDescent="0.6">
      <c r="C26" s="327"/>
    </row>
    <row r="28" spans="1:5" x14ac:dyDescent="0.6">
      <c r="B28" s="316"/>
      <c r="C28" s="317"/>
      <c r="E28" s="318"/>
    </row>
  </sheetData>
  <mergeCells count="2">
    <mergeCell ref="G1:M1"/>
    <mergeCell ref="G2:M2"/>
  </mergeCells>
  <pageMargins left="0.7" right="0.7" top="1" bottom="0.75" header="0.3" footer="0.3"/>
  <pageSetup scale="81" orientation="landscape" r:id="rId1"/>
  <headerFooter>
    <oddHeader>&amp;C&amp;"Arial,Bold"Public Service Electric and Gas Company Specific Addendum
Attachment 4 P3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9033-DED0-49BD-8FA9-DDF79AC7361A}">
  <sheetPr codeName="Sheet41">
    <pageSetUpPr fitToPage="1"/>
  </sheetPr>
  <dimension ref="A1:M274"/>
  <sheetViews>
    <sheetView showGridLines="0" view="pageBreakPreview" zoomScaleNormal="100" zoomScaleSheetLayoutView="100" workbookViewId="0"/>
  </sheetViews>
  <sheetFormatPr defaultColWidth="9.08984375" defaultRowHeight="13" outlineLevelRow="1" x14ac:dyDescent="0.6"/>
  <cols>
    <col min="1" max="1" width="12.31640625" style="309" bestFit="1" customWidth="1"/>
    <col min="2" max="2" width="46" style="309" customWidth="1"/>
    <col min="3" max="5" width="16.54296875" style="309" customWidth="1"/>
    <col min="6" max="6" width="4.54296875" style="309" customWidth="1"/>
    <col min="7" max="7" width="48.2265625" style="309" bestFit="1" customWidth="1"/>
    <col min="8" max="8" width="3.54296875" style="314" customWidth="1"/>
    <col min="9" max="9" width="11" style="309" customWidth="1"/>
    <col min="10" max="10" width="23.31640625" style="309" customWidth="1"/>
    <col min="11" max="11" width="12.54296875" style="309" customWidth="1"/>
    <col min="12" max="12" width="21" style="309" customWidth="1"/>
    <col min="13" max="13" width="14.31640625" style="309" bestFit="1" customWidth="1"/>
    <col min="14" max="14" width="24.08984375" style="309" bestFit="1" customWidth="1"/>
    <col min="15" max="16" width="10.86328125" style="309" bestFit="1" customWidth="1"/>
    <col min="17" max="17" width="14.31640625" style="309" bestFit="1" customWidth="1"/>
    <col min="18" max="16384" width="9.08984375" style="309"/>
  </cols>
  <sheetData>
    <row r="1" spans="1:13" ht="20.5" x14ac:dyDescent="0.9">
      <c r="A1" s="342" t="s">
        <v>419</v>
      </c>
      <c r="H1" s="309"/>
      <c r="I1" s="410"/>
      <c r="J1" s="411"/>
      <c r="K1" s="411"/>
      <c r="L1" s="411"/>
      <c r="M1" s="412"/>
    </row>
    <row r="2" spans="1:13" ht="15" customHeight="1" x14ac:dyDescent="0.7">
      <c r="A2" s="344" t="s">
        <v>420</v>
      </c>
      <c r="H2" s="309"/>
      <c r="I2" s="426"/>
      <c r="J2" s="426"/>
      <c r="K2" s="426"/>
      <c r="L2" s="426"/>
      <c r="M2" s="427"/>
    </row>
    <row r="3" spans="1:13" ht="12.75" customHeight="1" x14ac:dyDescent="0.6">
      <c r="A3" s="345" t="s">
        <v>421</v>
      </c>
      <c r="H3" s="309"/>
      <c r="I3" s="426"/>
      <c r="J3" s="426"/>
      <c r="K3" s="426"/>
      <c r="L3" s="426"/>
      <c r="M3" s="427"/>
    </row>
    <row r="5" spans="1:13" x14ac:dyDescent="0.6">
      <c r="A5" s="346" t="s">
        <v>314</v>
      </c>
      <c r="B5" s="316" t="s">
        <v>1</v>
      </c>
    </row>
    <row r="6" spans="1:13" ht="52" x14ac:dyDescent="0.6">
      <c r="A6" s="347" t="s">
        <v>315</v>
      </c>
      <c r="B6" s="316" t="s">
        <v>98</v>
      </c>
      <c r="C6" s="323" t="s">
        <v>100</v>
      </c>
      <c r="D6" s="323" t="s">
        <v>422</v>
      </c>
      <c r="E6" s="323" t="s">
        <v>423</v>
      </c>
      <c r="G6" s="275" t="s">
        <v>316</v>
      </c>
    </row>
    <row r="8" spans="1:13" x14ac:dyDescent="0.6">
      <c r="A8" s="347">
        <v>1</v>
      </c>
      <c r="B8" s="316" t="s">
        <v>109</v>
      </c>
      <c r="C8" s="237">
        <f>'Attachment 3'!D8</f>
        <v>80.88</v>
      </c>
      <c r="D8" s="237">
        <f>'Attachment 3'!E8</f>
        <v>108.36999999999999</v>
      </c>
      <c r="E8" s="237">
        <f>D10</f>
        <v>109.55999999999999</v>
      </c>
      <c r="G8" s="278" t="s">
        <v>424</v>
      </c>
    </row>
    <row r="9" spans="1:13" x14ac:dyDescent="0.6">
      <c r="A9" s="347" t="s">
        <v>317</v>
      </c>
      <c r="B9" s="316" t="s">
        <v>425</v>
      </c>
      <c r="C9" s="237">
        <f>'Attach 4 P2'!C21</f>
        <v>28.48</v>
      </c>
      <c r="D9" s="237">
        <f>'Attach 4 P2'!D21</f>
        <v>1.19</v>
      </c>
      <c r="E9" s="348"/>
      <c r="G9" s="278" t="s">
        <v>426</v>
      </c>
    </row>
    <row r="10" spans="1:13" x14ac:dyDescent="0.6">
      <c r="A10" s="347" t="s">
        <v>320</v>
      </c>
      <c r="B10" s="316" t="s">
        <v>322</v>
      </c>
      <c r="C10" s="349">
        <f>C8+C9</f>
        <v>109.36</v>
      </c>
      <c r="D10" s="349">
        <f t="shared" ref="D10:E10" si="0">D8+D9</f>
        <v>109.55999999999999</v>
      </c>
      <c r="E10" s="349">
        <f t="shared" si="0"/>
        <v>109.55999999999999</v>
      </c>
      <c r="G10" s="350" t="s">
        <v>427</v>
      </c>
    </row>
    <row r="11" spans="1:13" x14ac:dyDescent="0.6">
      <c r="A11" s="347"/>
      <c r="B11" s="316"/>
      <c r="C11" s="349"/>
      <c r="D11" s="349"/>
      <c r="E11" s="349"/>
      <c r="G11" s="318"/>
    </row>
    <row r="12" spans="1:13" x14ac:dyDescent="0.6">
      <c r="A12" s="347">
        <v>2</v>
      </c>
      <c r="B12" s="330" t="s">
        <v>110</v>
      </c>
      <c r="C12" s="309">
        <v>29</v>
      </c>
      <c r="D12" s="309">
        <v>28</v>
      </c>
      <c r="E12" s="309">
        <v>28</v>
      </c>
      <c r="G12" s="278" t="s">
        <v>325</v>
      </c>
    </row>
    <row r="13" spans="1:13" x14ac:dyDescent="0.6">
      <c r="A13" s="347">
        <v>3</v>
      </c>
      <c r="B13" s="316" t="s">
        <v>326</v>
      </c>
      <c r="C13" s="309">
        <v>85</v>
      </c>
      <c r="D13" s="309">
        <v>85</v>
      </c>
      <c r="E13" s="309">
        <v>85</v>
      </c>
      <c r="G13" s="278" t="s">
        <v>325</v>
      </c>
    </row>
    <row r="14" spans="1:13" x14ac:dyDescent="0.6">
      <c r="A14" s="347"/>
      <c r="B14" s="316"/>
      <c r="G14" s="278"/>
    </row>
    <row r="15" spans="1:13" x14ac:dyDescent="0.6">
      <c r="A15" s="347"/>
      <c r="B15" s="316" t="s">
        <v>113</v>
      </c>
    </row>
    <row r="16" spans="1:13" x14ac:dyDescent="0.6">
      <c r="A16" s="347">
        <v>4</v>
      </c>
      <c r="B16" s="217" t="s">
        <v>114</v>
      </c>
      <c r="C16" s="351">
        <v>1</v>
      </c>
      <c r="D16" s="351">
        <v>1</v>
      </c>
      <c r="E16" s="351">
        <v>1</v>
      </c>
      <c r="G16" s="278" t="s">
        <v>428</v>
      </c>
      <c r="K16" s="352"/>
    </row>
    <row r="17" spans="1:12" x14ac:dyDescent="0.6">
      <c r="A17" s="347">
        <v>5</v>
      </c>
      <c r="B17" s="217" t="s">
        <v>115</v>
      </c>
      <c r="C17" s="351">
        <v>1</v>
      </c>
      <c r="D17" s="351">
        <v>1</v>
      </c>
      <c r="E17" s="351">
        <v>1</v>
      </c>
      <c r="G17" s="278" t="s">
        <v>428</v>
      </c>
      <c r="K17" s="352"/>
    </row>
    <row r="18" spans="1:12" x14ac:dyDescent="0.6">
      <c r="A18" s="347"/>
    </row>
    <row r="19" spans="1:12" x14ac:dyDescent="0.6">
      <c r="A19" s="347"/>
      <c r="B19" s="335" t="s">
        <v>429</v>
      </c>
    </row>
    <row r="20" spans="1:12" x14ac:dyDescent="0.6">
      <c r="A20" s="347">
        <v>6</v>
      </c>
      <c r="B20" s="309" t="s">
        <v>328</v>
      </c>
      <c r="C20" s="327">
        <f>'Attachment 3'!C21</f>
        <v>10465409.653643606</v>
      </c>
      <c r="D20" s="327"/>
      <c r="E20" s="327"/>
      <c r="G20" s="278" t="s">
        <v>430</v>
      </c>
    </row>
    <row r="21" spans="1:12" x14ac:dyDescent="0.6">
      <c r="A21" s="347">
        <v>7</v>
      </c>
      <c r="B21" s="309" t="s">
        <v>330</v>
      </c>
      <c r="C21" s="327">
        <f>'Attachment 3'!C22</f>
        <v>15830280.134243663</v>
      </c>
      <c r="D21" s="327"/>
      <c r="E21" s="327"/>
    </row>
    <row r="22" spans="1:12" x14ac:dyDescent="0.6">
      <c r="A22" s="347"/>
    </row>
    <row r="23" spans="1:12" x14ac:dyDescent="0.6">
      <c r="A23" s="347"/>
      <c r="B23" s="316" t="s">
        <v>331</v>
      </c>
    </row>
    <row r="24" spans="1:12" x14ac:dyDescent="0.6">
      <c r="A24" s="347">
        <v>8</v>
      </c>
      <c r="B24" s="217" t="s">
        <v>114</v>
      </c>
      <c r="C24" s="353">
        <f>((+C$10)*C$12/C$13*C16*$C20/1000)</f>
        <v>390475.51519942924</v>
      </c>
      <c r="D24" s="353">
        <f t="shared" ref="D24:E25" si="1">((+D$10)*D$12/D$13*D16*$C20/1000)</f>
        <v>377700.32807399315</v>
      </c>
      <c r="E24" s="353">
        <f t="shared" si="1"/>
        <v>377700.32807399315</v>
      </c>
      <c r="F24" s="354"/>
      <c r="G24" s="350" t="s">
        <v>431</v>
      </c>
      <c r="J24" s="355"/>
      <c r="L24" s="355"/>
    </row>
    <row r="25" spans="1:12" ht="15.25" x14ac:dyDescent="1.05">
      <c r="A25" s="347">
        <v>9</v>
      </c>
      <c r="B25" s="217" t="s">
        <v>115</v>
      </c>
      <c r="C25" s="356">
        <f>((+C$10)*C$12/C$13*C17*$C21/1000)</f>
        <v>590644.5132817144</v>
      </c>
      <c r="D25" s="356">
        <f t="shared" si="1"/>
        <v>571320.39720254822</v>
      </c>
      <c r="E25" s="356">
        <f t="shared" si="1"/>
        <v>571320.39720254822</v>
      </c>
      <c r="F25" s="354"/>
      <c r="G25" s="350" t="s">
        <v>432</v>
      </c>
    </row>
    <row r="26" spans="1:12" x14ac:dyDescent="0.6">
      <c r="A26" s="347">
        <v>10</v>
      </c>
      <c r="B26" s="309" t="s">
        <v>334</v>
      </c>
      <c r="C26" s="355">
        <f>+C25+C24</f>
        <v>981120.02848114364</v>
      </c>
      <c r="D26" s="355">
        <f>+D25+D24</f>
        <v>949020.72527654143</v>
      </c>
      <c r="E26" s="355">
        <f>+E25+E24</f>
        <v>949020.72527654143</v>
      </c>
      <c r="J26" s="355"/>
      <c r="L26" s="355"/>
    </row>
    <row r="27" spans="1:12" x14ac:dyDescent="0.6">
      <c r="A27" s="347"/>
    </row>
    <row r="28" spans="1:12" x14ac:dyDescent="0.6">
      <c r="A28" s="347"/>
      <c r="B28" s="316" t="s">
        <v>336</v>
      </c>
    </row>
    <row r="29" spans="1:12" x14ac:dyDescent="0.6">
      <c r="A29" s="347">
        <v>11</v>
      </c>
      <c r="B29" s="217" t="s">
        <v>114</v>
      </c>
      <c r="C29" s="357">
        <f>ROUND(+SUM(C24:E24)/C20*1000,3)</f>
        <v>109.492</v>
      </c>
      <c r="D29" s="358"/>
      <c r="G29" s="350" t="s">
        <v>433</v>
      </c>
    </row>
    <row r="30" spans="1:12" x14ac:dyDescent="0.6">
      <c r="A30" s="347">
        <v>12</v>
      </c>
      <c r="B30" s="217" t="s">
        <v>115</v>
      </c>
      <c r="C30" s="349">
        <f>ROUND(+SUM(C25:E25)/C21*1000,3)</f>
        <v>109.492</v>
      </c>
      <c r="G30" s="350" t="s">
        <v>434</v>
      </c>
    </row>
    <row r="31" spans="1:12" x14ac:dyDescent="0.6">
      <c r="A31" s="347"/>
      <c r="B31" s="217"/>
      <c r="C31" s="359"/>
      <c r="G31" s="318"/>
    </row>
    <row r="32" spans="1:12" x14ac:dyDescent="0.6">
      <c r="A32" s="347">
        <v>13</v>
      </c>
      <c r="B32" s="309" t="s">
        <v>339</v>
      </c>
      <c r="C32" s="360">
        <f>ROUND(+SUM(C26:E26)/(C20+C21)*1000,3)</f>
        <v>109.492</v>
      </c>
      <c r="D32" s="309" t="s">
        <v>340</v>
      </c>
      <c r="G32" s="350" t="s">
        <v>341</v>
      </c>
    </row>
    <row r="33" spans="1:13" x14ac:dyDescent="0.6">
      <c r="D33" s="309" t="s">
        <v>342</v>
      </c>
      <c r="G33" s="278" t="s">
        <v>435</v>
      </c>
    </row>
    <row r="34" spans="1:13" x14ac:dyDescent="0.6">
      <c r="C34" s="358"/>
    </row>
    <row r="35" spans="1:13" x14ac:dyDescent="0.6">
      <c r="B35" s="361"/>
      <c r="D35" s="358"/>
    </row>
    <row r="36" spans="1:13" x14ac:dyDescent="0.6">
      <c r="A36" s="347"/>
      <c r="B36" s="362"/>
      <c r="C36" s="355"/>
      <c r="D36" s="358"/>
      <c r="G36" s="318"/>
    </row>
    <row r="37" spans="1:13" ht="15.25" x14ac:dyDescent="1.05">
      <c r="A37" s="347"/>
      <c r="B37" s="362"/>
      <c r="C37" s="363"/>
      <c r="D37" s="358"/>
      <c r="G37" s="318"/>
    </row>
    <row r="38" spans="1:13" x14ac:dyDescent="0.6">
      <c r="A38" s="347"/>
      <c r="B38" s="362"/>
      <c r="C38" s="364"/>
      <c r="D38" s="358"/>
      <c r="G38" s="318"/>
    </row>
    <row r="39" spans="1:13" x14ac:dyDescent="0.6">
      <c r="B39" s="362"/>
      <c r="D39" s="358"/>
    </row>
    <row r="41" spans="1:13" x14ac:dyDescent="0.6">
      <c r="A41" s="365"/>
      <c r="B41" s="316"/>
      <c r="G41" s="275"/>
    </row>
    <row r="42" spans="1:13" x14ac:dyDescent="0.6">
      <c r="A42" s="365"/>
      <c r="B42" s="316"/>
      <c r="G42" s="275"/>
    </row>
    <row r="43" spans="1:13" x14ac:dyDescent="0.6">
      <c r="B43" s="316"/>
    </row>
    <row r="44" spans="1:13" x14ac:dyDescent="0.6">
      <c r="B44" s="275"/>
    </row>
    <row r="45" spans="1:13" x14ac:dyDescent="0.6">
      <c r="B45" s="316"/>
    </row>
    <row r="46" spans="1:13" x14ac:dyDescent="0.6">
      <c r="C46" s="366"/>
      <c r="D46" s="366"/>
      <c r="E46" s="366"/>
      <c r="F46" s="366"/>
      <c r="G46" s="366"/>
      <c r="H46" s="367"/>
      <c r="I46" s="366"/>
      <c r="J46" s="366"/>
    </row>
    <row r="47" spans="1:13" x14ac:dyDescent="0.6">
      <c r="C47" s="366"/>
      <c r="D47" s="366"/>
      <c r="E47" s="366"/>
      <c r="F47" s="366"/>
      <c r="G47" s="366"/>
    </row>
    <row r="48" spans="1:13" x14ac:dyDescent="0.6">
      <c r="B48" s="368"/>
      <c r="E48" s="171"/>
      <c r="F48" s="170"/>
      <c r="G48" s="170"/>
      <c r="H48" s="369"/>
      <c r="I48" s="171"/>
      <c r="J48" s="171"/>
      <c r="K48" s="265"/>
      <c r="L48" s="265"/>
      <c r="M48" s="265"/>
    </row>
    <row r="49" spans="2:13" x14ac:dyDescent="0.6">
      <c r="B49" s="370"/>
      <c r="C49" s="177"/>
      <c r="D49" s="172"/>
      <c r="E49" s="170"/>
      <c r="F49" s="171"/>
      <c r="G49" s="171"/>
      <c r="H49" s="371"/>
      <c r="J49" s="173"/>
      <c r="K49" s="265"/>
      <c r="L49" s="265"/>
      <c r="M49" s="265"/>
    </row>
    <row r="50" spans="2:13" x14ac:dyDescent="0.6">
      <c r="B50" s="370"/>
      <c r="C50" s="177"/>
      <c r="D50" s="172"/>
      <c r="E50" s="170"/>
      <c r="F50" s="171"/>
      <c r="G50" s="171"/>
      <c r="H50" s="372"/>
      <c r="J50" s="173"/>
      <c r="K50" s="373"/>
      <c r="L50" s="265"/>
      <c r="M50" s="265"/>
    </row>
    <row r="51" spans="2:13" x14ac:dyDescent="0.6">
      <c r="E51" s="177"/>
      <c r="F51" s="172"/>
      <c r="G51" s="172"/>
      <c r="L51" s="265"/>
      <c r="M51" s="265"/>
    </row>
    <row r="52" spans="2:13" x14ac:dyDescent="0.6">
      <c r="B52" s="374"/>
      <c r="C52" s="170"/>
      <c r="D52" s="170"/>
      <c r="E52" s="177"/>
      <c r="F52" s="172"/>
      <c r="G52" s="172"/>
      <c r="H52" s="375"/>
      <c r="I52" s="172"/>
      <c r="J52" s="172"/>
      <c r="K52" s="265"/>
      <c r="L52" s="265"/>
      <c r="M52" s="265"/>
    </row>
    <row r="53" spans="2:13" x14ac:dyDescent="0.6">
      <c r="B53" s="374"/>
      <c r="C53" s="376"/>
      <c r="D53" s="376"/>
      <c r="E53" s="377"/>
      <c r="F53" s="172"/>
      <c r="G53" s="172"/>
      <c r="H53" s="375"/>
      <c r="I53" s="172"/>
      <c r="J53" s="172"/>
      <c r="K53" s="265"/>
      <c r="L53" s="265"/>
      <c r="M53" s="265"/>
    </row>
    <row r="54" spans="2:13" x14ac:dyDescent="0.6">
      <c r="B54" s="374"/>
      <c r="C54" s="376"/>
      <c r="D54" s="376"/>
      <c r="E54" s="377"/>
      <c r="F54" s="172"/>
      <c r="G54" s="172"/>
      <c r="H54" s="375"/>
      <c r="I54" s="172"/>
      <c r="J54" s="172"/>
      <c r="K54" s="265"/>
      <c r="L54" s="265"/>
      <c r="M54" s="265"/>
    </row>
    <row r="55" spans="2:13" x14ac:dyDescent="0.6">
      <c r="G55" s="172"/>
      <c r="H55" s="375"/>
      <c r="I55" s="172"/>
      <c r="J55" s="172"/>
      <c r="K55" s="265"/>
      <c r="L55" s="265"/>
      <c r="M55" s="265"/>
    </row>
    <row r="56" spans="2:13" x14ac:dyDescent="0.6">
      <c r="H56" s="375"/>
      <c r="I56" s="172"/>
      <c r="J56" s="172"/>
      <c r="K56" s="265"/>
      <c r="L56" s="265"/>
      <c r="M56" s="265"/>
    </row>
    <row r="57" spans="2:13" x14ac:dyDescent="0.6">
      <c r="C57" s="172"/>
      <c r="D57" s="172"/>
      <c r="E57" s="172"/>
      <c r="F57" s="172"/>
      <c r="G57" s="172"/>
      <c r="H57" s="375"/>
      <c r="I57" s="172"/>
      <c r="J57" s="172"/>
      <c r="K57" s="265"/>
      <c r="L57" s="265"/>
      <c r="M57" s="265"/>
    </row>
    <row r="58" spans="2:13" x14ac:dyDescent="0.6">
      <c r="B58" s="368"/>
      <c r="C58" s="170"/>
      <c r="D58" s="170"/>
      <c r="E58" s="171"/>
      <c r="F58" s="170"/>
      <c r="G58" s="170"/>
      <c r="H58" s="369"/>
      <c r="I58" s="171"/>
      <c r="J58" s="171"/>
      <c r="K58" s="265"/>
      <c r="L58" s="265"/>
      <c r="M58" s="265"/>
    </row>
    <row r="59" spans="2:13" x14ac:dyDescent="0.6">
      <c r="B59" s="370"/>
      <c r="C59" s="172"/>
      <c r="D59" s="172"/>
      <c r="E59" s="170"/>
      <c r="F59" s="172"/>
      <c r="G59" s="172"/>
      <c r="H59" s="375"/>
      <c r="J59" s="173"/>
      <c r="K59" s="265"/>
      <c r="L59" s="265"/>
      <c r="M59" s="265"/>
    </row>
    <row r="60" spans="2:13" x14ac:dyDescent="0.6">
      <c r="B60" s="370"/>
      <c r="C60" s="172"/>
      <c r="D60" s="172"/>
      <c r="E60" s="170"/>
      <c r="F60" s="172"/>
      <c r="G60" s="172"/>
      <c r="J60" s="173"/>
      <c r="K60" s="373"/>
      <c r="L60" s="265"/>
      <c r="M60" s="265"/>
    </row>
    <row r="61" spans="2:13" x14ac:dyDescent="0.6">
      <c r="C61" s="265"/>
      <c r="D61" s="265"/>
      <c r="E61" s="265"/>
      <c r="F61" s="265"/>
      <c r="G61" s="265"/>
      <c r="K61" s="265"/>
      <c r="L61" s="265"/>
      <c r="M61" s="265"/>
    </row>
    <row r="62" spans="2:13" x14ac:dyDescent="0.6">
      <c r="C62" s="266"/>
      <c r="D62" s="266"/>
      <c r="E62" s="266"/>
      <c r="F62" s="266"/>
      <c r="G62" s="266"/>
      <c r="H62" s="371"/>
      <c r="I62" s="266"/>
      <c r="J62" s="266"/>
      <c r="K62" s="265"/>
      <c r="L62" s="265"/>
      <c r="M62" s="265"/>
    </row>
    <row r="65" spans="2:11" x14ac:dyDescent="0.6">
      <c r="B65" s="316"/>
    </row>
    <row r="66" spans="2:11" x14ac:dyDescent="0.6">
      <c r="B66" s="275"/>
    </row>
    <row r="68" spans="2:11" x14ac:dyDescent="0.6">
      <c r="C68" s="366"/>
      <c r="D68" s="366"/>
      <c r="E68" s="366"/>
      <c r="F68" s="366"/>
      <c r="H68" s="378"/>
      <c r="I68" s="366"/>
      <c r="J68" s="366"/>
    </row>
    <row r="69" spans="2:11" x14ac:dyDescent="0.6">
      <c r="C69" s="366"/>
      <c r="D69" s="379"/>
      <c r="E69" s="366"/>
      <c r="F69" s="379"/>
    </row>
    <row r="70" spans="2:11" x14ac:dyDescent="0.6">
      <c r="B70" s="368"/>
      <c r="C70" s="170"/>
      <c r="D70" s="373"/>
      <c r="E70" s="380"/>
      <c r="F70" s="380"/>
      <c r="H70" s="381"/>
    </row>
    <row r="71" spans="2:11" x14ac:dyDescent="0.6">
      <c r="B71" s="370"/>
      <c r="C71" s="171"/>
      <c r="D71" s="373"/>
      <c r="E71" s="170"/>
      <c r="F71" s="373"/>
      <c r="H71" s="382"/>
      <c r="I71" s="383"/>
      <c r="J71" s="383"/>
      <c r="K71" s="318"/>
    </row>
    <row r="72" spans="2:11" x14ac:dyDescent="0.6">
      <c r="B72" s="370"/>
      <c r="C72" s="171"/>
      <c r="D72" s="373"/>
      <c r="E72" s="170"/>
      <c r="F72" s="373"/>
      <c r="H72" s="382"/>
      <c r="I72" s="383"/>
      <c r="J72" s="383"/>
      <c r="K72" s="318"/>
    </row>
    <row r="73" spans="2:11" x14ac:dyDescent="0.6">
      <c r="C73" s="171"/>
      <c r="D73" s="373"/>
      <c r="E73" s="171"/>
      <c r="F73" s="373"/>
      <c r="H73" s="382"/>
      <c r="I73" s="383"/>
      <c r="J73" s="383"/>
      <c r="K73" s="318"/>
    </row>
    <row r="74" spans="2:11" x14ac:dyDescent="0.6">
      <c r="B74" s="368"/>
      <c r="C74" s="170"/>
      <c r="D74" s="373"/>
      <c r="E74" s="170"/>
      <c r="F74" s="373"/>
      <c r="H74" s="381"/>
      <c r="I74" s="358"/>
      <c r="J74" s="358"/>
    </row>
    <row r="75" spans="2:11" x14ac:dyDescent="0.6">
      <c r="B75" s="370"/>
      <c r="C75" s="171"/>
      <c r="D75" s="380"/>
      <c r="E75" s="170"/>
      <c r="F75" s="373"/>
      <c r="H75" s="382"/>
      <c r="I75" s="383"/>
      <c r="J75" s="383"/>
      <c r="K75" s="318"/>
    </row>
    <row r="76" spans="2:11" x14ac:dyDescent="0.6">
      <c r="B76" s="370"/>
      <c r="C76" s="171"/>
      <c r="D76" s="380"/>
      <c r="E76" s="170"/>
      <c r="F76" s="373"/>
    </row>
    <row r="77" spans="2:11" x14ac:dyDescent="0.6">
      <c r="C77" s="266"/>
      <c r="D77" s="380"/>
      <c r="E77" s="266"/>
      <c r="F77" s="380"/>
    </row>
    <row r="78" spans="2:11" x14ac:dyDescent="0.6">
      <c r="C78" s="266"/>
      <c r="D78" s="380"/>
      <c r="E78" s="266"/>
      <c r="F78" s="380"/>
    </row>
    <row r="79" spans="2:11" x14ac:dyDescent="0.6">
      <c r="C79" s="266"/>
      <c r="D79" s="380"/>
      <c r="E79" s="266"/>
      <c r="F79" s="380"/>
    </row>
    <row r="80" spans="2:11" x14ac:dyDescent="0.6">
      <c r="C80" s="265"/>
      <c r="E80" s="265"/>
    </row>
    <row r="81" spans="1:13" x14ac:dyDescent="0.6">
      <c r="A81" s="384"/>
      <c r="B81" s="361"/>
      <c r="C81" s="265"/>
      <c r="E81" s="265"/>
    </row>
    <row r="82" spans="1:13" x14ac:dyDescent="0.6">
      <c r="A82" s="384"/>
      <c r="B82" s="275"/>
    </row>
    <row r="84" spans="1:13" x14ac:dyDescent="0.6">
      <c r="B84" s="316"/>
    </row>
    <row r="85" spans="1:13" x14ac:dyDescent="0.6">
      <c r="B85" s="275"/>
    </row>
    <row r="86" spans="1:13" x14ac:dyDescent="0.6">
      <c r="B86" s="316"/>
    </row>
    <row r="87" spans="1:13" x14ac:dyDescent="0.6">
      <c r="C87" s="366"/>
      <c r="D87" s="366"/>
      <c r="E87" s="366"/>
      <c r="F87" s="366"/>
      <c r="G87" s="366"/>
      <c r="H87" s="367"/>
      <c r="I87" s="366"/>
      <c r="J87" s="366"/>
    </row>
    <row r="88" spans="1:13" x14ac:dyDescent="0.6">
      <c r="C88" s="384"/>
      <c r="D88" s="384"/>
      <c r="E88" s="384"/>
      <c r="F88" s="385"/>
      <c r="G88" s="385"/>
      <c r="H88" s="386"/>
      <c r="I88" s="385"/>
      <c r="J88" s="385"/>
    </row>
    <row r="89" spans="1:13" x14ac:dyDescent="0.6">
      <c r="B89" s="368"/>
      <c r="C89" s="384"/>
      <c r="D89" s="384"/>
      <c r="E89" s="384"/>
      <c r="F89" s="385"/>
      <c r="G89" s="385"/>
      <c r="H89" s="386"/>
      <c r="I89" s="385"/>
      <c r="J89" s="385"/>
      <c r="L89" s="265"/>
      <c r="M89" s="265"/>
    </row>
    <row r="90" spans="1:13" x14ac:dyDescent="0.6">
      <c r="B90" s="370"/>
      <c r="C90" s="384"/>
      <c r="D90" s="384"/>
      <c r="E90" s="385"/>
      <c r="F90" s="384"/>
      <c r="G90" s="385"/>
      <c r="H90" s="386"/>
      <c r="I90" s="385"/>
      <c r="J90" s="384"/>
      <c r="L90" s="265"/>
      <c r="M90" s="265"/>
    </row>
    <row r="91" spans="1:13" x14ac:dyDescent="0.6">
      <c r="B91" s="370"/>
      <c r="C91" s="384"/>
      <c r="D91" s="384"/>
      <c r="E91" s="385"/>
      <c r="F91" s="384"/>
      <c r="G91" s="384"/>
      <c r="H91" s="387"/>
      <c r="I91" s="384"/>
      <c r="J91" s="384"/>
      <c r="L91" s="265"/>
      <c r="M91" s="265"/>
    </row>
    <row r="92" spans="1:13" x14ac:dyDescent="0.6">
      <c r="B92" s="374"/>
      <c r="C92" s="384"/>
      <c r="D92" s="384"/>
      <c r="E92" s="384"/>
      <c r="F92" s="384"/>
      <c r="G92" s="384"/>
      <c r="H92" s="387"/>
      <c r="I92" s="384"/>
      <c r="J92" s="384"/>
      <c r="L92" s="265"/>
      <c r="M92" s="265"/>
    </row>
    <row r="93" spans="1:13" x14ac:dyDescent="0.6">
      <c r="B93" s="377"/>
      <c r="C93" s="385"/>
      <c r="D93" s="385"/>
      <c r="E93" s="384"/>
      <c r="F93" s="384"/>
      <c r="G93" s="384"/>
      <c r="H93" s="387"/>
      <c r="I93" s="384"/>
      <c r="J93" s="384"/>
      <c r="L93" s="265"/>
      <c r="M93" s="265"/>
    </row>
    <row r="94" spans="1:13" x14ac:dyDescent="0.6">
      <c r="B94" s="377"/>
      <c r="C94" s="385"/>
      <c r="D94" s="385"/>
      <c r="E94" s="384"/>
      <c r="F94" s="384"/>
      <c r="G94" s="384"/>
      <c r="H94" s="387"/>
      <c r="I94" s="384"/>
      <c r="J94" s="384"/>
      <c r="L94" s="265"/>
      <c r="M94" s="265"/>
    </row>
    <row r="95" spans="1:13" x14ac:dyDescent="0.6">
      <c r="C95" s="385"/>
      <c r="D95" s="385"/>
      <c r="E95" s="384"/>
      <c r="F95" s="384"/>
      <c r="G95" s="384"/>
      <c r="H95" s="387"/>
      <c r="I95" s="384"/>
      <c r="J95" s="384"/>
      <c r="L95" s="265"/>
      <c r="M95" s="265"/>
    </row>
    <row r="96" spans="1:13" x14ac:dyDescent="0.6">
      <c r="B96" s="368"/>
      <c r="C96" s="385"/>
      <c r="D96" s="385"/>
      <c r="E96" s="384"/>
      <c r="F96" s="385"/>
      <c r="G96" s="385"/>
      <c r="H96" s="386"/>
      <c r="I96" s="385"/>
      <c r="J96" s="385"/>
      <c r="L96" s="265"/>
      <c r="M96" s="265"/>
    </row>
    <row r="97" spans="2:13" x14ac:dyDescent="0.6">
      <c r="B97" s="370"/>
      <c r="C97" s="384"/>
      <c r="D97" s="384"/>
      <c r="E97" s="385"/>
      <c r="F97" s="384"/>
      <c r="G97" s="384"/>
      <c r="H97" s="387"/>
      <c r="I97" s="384"/>
      <c r="J97" s="384"/>
      <c r="L97" s="265"/>
      <c r="M97" s="265"/>
    </row>
    <row r="98" spans="2:13" x14ac:dyDescent="0.6">
      <c r="B98" s="370"/>
      <c r="C98" s="384"/>
      <c r="D98" s="384"/>
      <c r="E98" s="385"/>
      <c r="F98" s="384"/>
      <c r="G98" s="384"/>
      <c r="H98" s="387"/>
      <c r="I98" s="384"/>
      <c r="J98" s="384"/>
      <c r="L98" s="265"/>
      <c r="M98" s="265"/>
    </row>
    <row r="99" spans="2:13" x14ac:dyDescent="0.6">
      <c r="C99" s="384"/>
      <c r="D99" s="384"/>
      <c r="E99" s="385"/>
      <c r="F99" s="384"/>
      <c r="G99" s="384"/>
      <c r="H99" s="387"/>
      <c r="I99" s="384"/>
      <c r="J99" s="384"/>
      <c r="L99" s="265"/>
      <c r="M99" s="265"/>
    </row>
    <row r="102" spans="2:13" x14ac:dyDescent="0.6">
      <c r="B102" s="316"/>
    </row>
    <row r="103" spans="2:13" x14ac:dyDescent="0.6">
      <c r="B103" s="275"/>
    </row>
    <row r="105" spans="2:13" x14ac:dyDescent="0.6">
      <c r="C105" s="366"/>
      <c r="D105" s="366"/>
      <c r="E105" s="366"/>
      <c r="F105" s="366"/>
      <c r="H105" s="378"/>
      <c r="I105" s="366"/>
      <c r="J105" s="366"/>
    </row>
    <row r="106" spans="2:13" x14ac:dyDescent="0.6">
      <c r="F106" s="379"/>
    </row>
    <row r="107" spans="2:13" x14ac:dyDescent="0.6">
      <c r="B107" s="368"/>
      <c r="C107" s="385"/>
      <c r="D107" s="385"/>
      <c r="E107" s="385"/>
      <c r="F107" s="380"/>
      <c r="H107" s="381"/>
    </row>
    <row r="108" spans="2:13" x14ac:dyDescent="0.6">
      <c r="B108" s="370"/>
      <c r="C108" s="385"/>
      <c r="D108" s="385"/>
      <c r="E108" s="385"/>
      <c r="F108" s="373"/>
      <c r="H108" s="382"/>
      <c r="I108" s="388"/>
      <c r="J108" s="388"/>
      <c r="K108" s="318"/>
    </row>
    <row r="109" spans="2:13" x14ac:dyDescent="0.6">
      <c r="B109" s="370"/>
      <c r="C109" s="385"/>
      <c r="D109" s="385"/>
      <c r="E109" s="385"/>
      <c r="F109" s="373"/>
      <c r="H109" s="382"/>
      <c r="I109" s="388"/>
      <c r="J109" s="388"/>
      <c r="K109" s="318"/>
    </row>
    <row r="110" spans="2:13" x14ac:dyDescent="0.6">
      <c r="C110" s="385"/>
      <c r="D110" s="385"/>
      <c r="E110" s="385"/>
      <c r="F110" s="373"/>
      <c r="H110" s="382"/>
      <c r="I110" s="383"/>
      <c r="J110" s="383"/>
      <c r="K110" s="318"/>
    </row>
    <row r="111" spans="2:13" x14ac:dyDescent="0.6">
      <c r="B111" s="368"/>
      <c r="C111" s="385"/>
      <c r="D111" s="385"/>
      <c r="E111" s="385"/>
      <c r="F111" s="373"/>
      <c r="H111" s="381"/>
      <c r="I111" s="358"/>
      <c r="J111" s="358"/>
    </row>
    <row r="112" spans="2:13" x14ac:dyDescent="0.6">
      <c r="B112" s="370"/>
      <c r="C112" s="385"/>
      <c r="D112" s="385"/>
      <c r="E112" s="385"/>
      <c r="F112" s="373"/>
      <c r="H112" s="382"/>
      <c r="I112" s="388"/>
      <c r="J112" s="388"/>
      <c r="K112" s="318"/>
    </row>
    <row r="113" spans="1:12" x14ac:dyDescent="0.6">
      <c r="B113" s="370"/>
      <c r="C113" s="385"/>
      <c r="D113" s="385"/>
      <c r="E113" s="385"/>
      <c r="F113" s="373"/>
    </row>
    <row r="114" spans="1:12" x14ac:dyDescent="0.6">
      <c r="C114" s="266"/>
      <c r="D114" s="380"/>
      <c r="E114" s="266"/>
      <c r="F114" s="380"/>
    </row>
    <row r="115" spans="1:12" x14ac:dyDescent="0.6">
      <c r="C115" s="266"/>
      <c r="D115" s="380"/>
      <c r="E115" s="266"/>
      <c r="F115" s="380"/>
    </row>
    <row r="117" spans="1:12" x14ac:dyDescent="0.6">
      <c r="A117" s="384"/>
      <c r="B117" s="316"/>
      <c r="C117" s="265"/>
      <c r="E117" s="265"/>
    </row>
    <row r="118" spans="1:12" x14ac:dyDescent="0.6">
      <c r="C118" s="265"/>
      <c r="E118" s="265"/>
    </row>
    <row r="119" spans="1:12" x14ac:dyDescent="0.6">
      <c r="C119" s="366"/>
      <c r="D119" s="366"/>
      <c r="E119" s="366"/>
      <c r="F119" s="366"/>
      <c r="G119" s="366"/>
      <c r="H119" s="367"/>
      <c r="I119" s="366"/>
      <c r="J119" s="366"/>
    </row>
    <row r="121" spans="1:12" x14ac:dyDescent="0.6">
      <c r="B121" s="347"/>
      <c r="C121" s="364"/>
      <c r="D121" s="364"/>
      <c r="E121" s="389"/>
      <c r="F121" s="364"/>
      <c r="G121" s="353"/>
      <c r="H121" s="390"/>
      <c r="I121" s="364"/>
      <c r="J121" s="364"/>
    </row>
    <row r="122" spans="1:12" ht="15.25" x14ac:dyDescent="1.05">
      <c r="B122" s="347"/>
      <c r="C122" s="356"/>
      <c r="D122" s="356"/>
      <c r="E122" s="356"/>
      <c r="F122" s="356"/>
      <c r="G122" s="356"/>
      <c r="H122" s="391"/>
      <c r="I122" s="356"/>
      <c r="J122" s="356"/>
    </row>
    <row r="123" spans="1:12" x14ac:dyDescent="0.6">
      <c r="B123" s="347"/>
      <c r="C123" s="355"/>
      <c r="D123" s="355"/>
      <c r="E123" s="355"/>
      <c r="F123" s="355"/>
      <c r="G123" s="355"/>
      <c r="H123" s="392"/>
      <c r="I123" s="355"/>
      <c r="J123" s="355"/>
    </row>
    <row r="124" spans="1:12" x14ac:dyDescent="0.6">
      <c r="B124" s="347"/>
      <c r="C124" s="355"/>
      <c r="D124" s="355"/>
      <c r="E124" s="355"/>
      <c r="F124" s="355"/>
      <c r="G124" s="355"/>
      <c r="H124" s="392"/>
      <c r="I124" s="355"/>
      <c r="J124" s="355"/>
      <c r="K124" s="355"/>
      <c r="L124" s="355"/>
    </row>
    <row r="125" spans="1:12" x14ac:dyDescent="0.6">
      <c r="B125" s="347"/>
      <c r="C125" s="355"/>
      <c r="D125" s="355"/>
      <c r="E125" s="355"/>
      <c r="F125" s="355"/>
      <c r="G125" s="355"/>
      <c r="H125" s="392"/>
      <c r="I125" s="355"/>
      <c r="J125" s="355"/>
      <c r="K125" s="355"/>
      <c r="L125" s="355"/>
    </row>
    <row r="126" spans="1:12" x14ac:dyDescent="0.6">
      <c r="B126" s="347"/>
      <c r="C126" s="366"/>
      <c r="D126" s="366"/>
      <c r="F126" s="366"/>
      <c r="G126" s="366"/>
      <c r="H126" s="392"/>
      <c r="I126" s="355"/>
      <c r="J126" s="355"/>
      <c r="K126" s="355"/>
      <c r="L126" s="355"/>
    </row>
    <row r="127" spans="1:12" x14ac:dyDescent="0.6">
      <c r="B127" s="347"/>
      <c r="C127" s="366"/>
      <c r="D127" s="366"/>
      <c r="F127" s="366"/>
      <c r="G127" s="366"/>
      <c r="H127" s="392"/>
      <c r="I127" s="355"/>
      <c r="J127" s="355"/>
      <c r="K127" s="355"/>
      <c r="L127" s="355"/>
    </row>
    <row r="128" spans="1:12" x14ac:dyDescent="0.6">
      <c r="B128" s="347"/>
      <c r="G128" s="355"/>
      <c r="H128" s="392"/>
      <c r="I128" s="355"/>
      <c r="J128" s="355"/>
      <c r="K128" s="355"/>
      <c r="L128" s="355"/>
    </row>
    <row r="129" spans="2:12" x14ac:dyDescent="0.6">
      <c r="B129" s="347"/>
      <c r="C129" s="389"/>
      <c r="D129" s="389"/>
      <c r="F129" s="389"/>
      <c r="G129" s="393"/>
      <c r="H129" s="392"/>
      <c r="I129" s="355"/>
      <c r="J129" s="355"/>
      <c r="K129" s="355"/>
      <c r="L129" s="355"/>
    </row>
    <row r="130" spans="2:12" ht="15.25" x14ac:dyDescent="1.05">
      <c r="B130" s="347"/>
      <c r="C130" s="394"/>
      <c r="D130" s="394"/>
      <c r="F130" s="394"/>
      <c r="G130" s="394"/>
      <c r="H130" s="392"/>
      <c r="I130" s="355"/>
      <c r="J130" s="355"/>
      <c r="K130" s="355"/>
      <c r="L130" s="355"/>
    </row>
    <row r="131" spans="2:12" x14ac:dyDescent="0.6">
      <c r="B131" s="347"/>
      <c r="C131" s="355"/>
      <c r="D131" s="355"/>
      <c r="F131" s="355"/>
      <c r="G131" s="355"/>
      <c r="H131" s="392"/>
      <c r="I131" s="355"/>
      <c r="J131" s="355"/>
      <c r="K131" s="355"/>
      <c r="L131" s="355"/>
    </row>
    <row r="132" spans="2:12" x14ac:dyDescent="0.6">
      <c r="B132" s="347"/>
      <c r="C132" s="355"/>
      <c r="F132" s="355"/>
      <c r="G132" s="355"/>
      <c r="H132" s="392"/>
      <c r="I132" s="355"/>
      <c r="J132" s="355"/>
      <c r="K132" s="355"/>
      <c r="L132" s="355"/>
    </row>
    <row r="133" spans="2:12" x14ac:dyDescent="0.6">
      <c r="B133" s="347"/>
      <c r="C133" s="355"/>
      <c r="D133" s="355"/>
      <c r="E133" s="355"/>
      <c r="F133" s="355"/>
      <c r="G133" s="355"/>
      <c r="H133" s="392"/>
      <c r="I133" s="355"/>
      <c r="J133" s="355"/>
      <c r="K133" s="355"/>
      <c r="L133" s="355"/>
    </row>
    <row r="134" spans="2:12" x14ac:dyDescent="0.6">
      <c r="B134" s="347"/>
      <c r="C134" s="366"/>
      <c r="D134" s="366"/>
      <c r="E134" s="366"/>
      <c r="F134" s="355"/>
      <c r="G134" s="355"/>
      <c r="H134" s="392"/>
      <c r="I134" s="355"/>
      <c r="J134" s="355"/>
      <c r="K134" s="355"/>
      <c r="L134" s="355"/>
    </row>
    <row r="135" spans="2:12" x14ac:dyDescent="0.6">
      <c r="B135" s="347"/>
      <c r="C135" s="355"/>
      <c r="D135" s="355"/>
      <c r="E135" s="355"/>
      <c r="F135" s="355"/>
      <c r="G135" s="355"/>
      <c r="H135" s="392"/>
      <c r="I135" s="355"/>
      <c r="J135" s="355"/>
      <c r="K135" s="355"/>
      <c r="L135" s="355"/>
    </row>
    <row r="136" spans="2:12" ht="15.25" x14ac:dyDescent="1.05">
      <c r="B136" s="347"/>
      <c r="C136" s="363"/>
      <c r="D136" s="363"/>
      <c r="E136" s="363"/>
    </row>
    <row r="137" spans="2:12" x14ac:dyDescent="0.6">
      <c r="B137" s="347"/>
      <c r="C137" s="355"/>
      <c r="D137" s="355"/>
      <c r="E137" s="395"/>
    </row>
    <row r="138" spans="2:12" x14ac:dyDescent="0.6">
      <c r="B138" s="347"/>
      <c r="C138" s="265"/>
      <c r="E138" s="265"/>
    </row>
    <row r="139" spans="2:12" x14ac:dyDescent="0.6">
      <c r="C139" s="366"/>
      <c r="D139" s="366"/>
      <c r="E139" s="366"/>
      <c r="F139" s="366"/>
      <c r="G139" s="366"/>
      <c r="H139" s="367"/>
      <c r="I139" s="366"/>
      <c r="J139" s="366"/>
      <c r="K139" s="366"/>
      <c r="L139" s="366"/>
    </row>
    <row r="141" spans="2:12" x14ac:dyDescent="0.6">
      <c r="B141" s="347"/>
      <c r="C141" s="355"/>
    </row>
    <row r="142" spans="2:12" ht="15.25" x14ac:dyDescent="1.05">
      <c r="B142" s="347"/>
      <c r="C142" s="363"/>
    </row>
    <row r="143" spans="2:12" x14ac:dyDescent="0.6">
      <c r="B143" s="347"/>
      <c r="C143" s="355"/>
    </row>
    <row r="144" spans="2:12" x14ac:dyDescent="0.6">
      <c r="C144" s="265"/>
    </row>
    <row r="145" spans="1:10" x14ac:dyDescent="0.6">
      <c r="B145" s="377"/>
      <c r="C145" s="347"/>
    </row>
    <row r="146" spans="1:10" x14ac:dyDescent="0.6">
      <c r="B146" s="347"/>
      <c r="C146" s="355"/>
    </row>
    <row r="147" spans="1:10" ht="15.25" x14ac:dyDescent="1.05">
      <c r="B147" s="347"/>
      <c r="C147" s="363"/>
    </row>
    <row r="148" spans="1:10" x14ac:dyDescent="0.6">
      <c r="B148" s="347"/>
      <c r="C148" s="355"/>
    </row>
    <row r="153" spans="1:10" x14ac:dyDescent="0.6">
      <c r="A153" s="384"/>
      <c r="B153" s="361"/>
      <c r="C153" s="265"/>
      <c r="E153" s="265"/>
    </row>
    <row r="154" spans="1:10" x14ac:dyDescent="0.6">
      <c r="B154" s="275"/>
    </row>
    <row r="156" spans="1:10" x14ac:dyDescent="0.6">
      <c r="B156" s="316"/>
    </row>
    <row r="157" spans="1:10" x14ac:dyDescent="0.6">
      <c r="B157" s="275"/>
    </row>
    <row r="158" spans="1:10" x14ac:dyDescent="0.6">
      <c r="B158" s="316"/>
    </row>
    <row r="159" spans="1:10" x14ac:dyDescent="0.6">
      <c r="C159" s="366"/>
      <c r="D159" s="366"/>
      <c r="E159" s="366"/>
      <c r="F159" s="366"/>
      <c r="G159" s="366"/>
      <c r="H159" s="367"/>
      <c r="I159" s="366"/>
      <c r="J159" s="366"/>
    </row>
    <row r="160" spans="1:10" x14ac:dyDescent="0.6">
      <c r="C160" s="384"/>
      <c r="D160" s="384"/>
      <c r="E160" s="384"/>
      <c r="F160" s="385"/>
      <c r="G160" s="385"/>
      <c r="H160" s="386"/>
      <c r="I160" s="385"/>
      <c r="J160" s="385"/>
    </row>
    <row r="161" spans="2:10" x14ac:dyDescent="0.6">
      <c r="B161" s="368"/>
      <c r="C161" s="384"/>
      <c r="D161" s="384"/>
      <c r="E161" s="384"/>
      <c r="F161" s="385"/>
      <c r="G161" s="385"/>
      <c r="H161" s="386"/>
      <c r="I161" s="385"/>
      <c r="J161" s="385"/>
    </row>
    <row r="162" spans="2:10" x14ac:dyDescent="0.6">
      <c r="B162" s="370"/>
      <c r="C162" s="384"/>
      <c r="D162" s="384"/>
      <c r="E162" s="385"/>
      <c r="G162" s="385"/>
      <c r="H162" s="386"/>
      <c r="I162" s="385"/>
      <c r="J162" s="384"/>
    </row>
    <row r="163" spans="2:10" x14ac:dyDescent="0.6">
      <c r="B163" s="370"/>
      <c r="C163" s="384"/>
      <c r="D163" s="384"/>
      <c r="E163" s="385"/>
      <c r="F163" s="384"/>
      <c r="G163" s="384"/>
      <c r="H163" s="387"/>
      <c r="I163" s="384"/>
      <c r="J163" s="384"/>
    </row>
    <row r="164" spans="2:10" x14ac:dyDescent="0.6">
      <c r="B164" s="374"/>
      <c r="C164" s="384"/>
      <c r="D164" s="384"/>
      <c r="E164" s="384"/>
      <c r="F164" s="384"/>
      <c r="G164" s="384"/>
      <c r="H164" s="387"/>
      <c r="I164" s="384"/>
      <c r="J164" s="384"/>
    </row>
    <row r="165" spans="2:10" x14ac:dyDescent="0.6">
      <c r="B165" s="377"/>
      <c r="C165" s="385"/>
      <c r="D165" s="385"/>
      <c r="E165" s="384"/>
      <c r="F165" s="384"/>
      <c r="G165" s="384"/>
      <c r="H165" s="387"/>
      <c r="I165" s="384"/>
      <c r="J165" s="384"/>
    </row>
    <row r="166" spans="2:10" x14ac:dyDescent="0.6">
      <c r="B166" s="377"/>
      <c r="C166" s="385"/>
      <c r="D166" s="385"/>
      <c r="E166" s="384"/>
      <c r="F166" s="384"/>
      <c r="G166" s="384"/>
      <c r="H166" s="387"/>
      <c r="I166" s="384"/>
      <c r="J166" s="384"/>
    </row>
    <row r="167" spans="2:10" x14ac:dyDescent="0.6">
      <c r="C167" s="385"/>
      <c r="D167" s="385"/>
      <c r="E167" s="384"/>
      <c r="F167" s="384"/>
      <c r="G167" s="384"/>
      <c r="H167" s="387"/>
      <c r="I167" s="384"/>
      <c r="J167" s="384"/>
    </row>
    <row r="168" spans="2:10" x14ac:dyDescent="0.6">
      <c r="B168" s="368"/>
      <c r="C168" s="385"/>
      <c r="D168" s="385"/>
      <c r="E168" s="384"/>
      <c r="F168" s="385"/>
      <c r="G168" s="385"/>
      <c r="H168" s="386"/>
      <c r="I168" s="385"/>
      <c r="J168" s="385"/>
    </row>
    <row r="169" spans="2:10" x14ac:dyDescent="0.6">
      <c r="B169" s="370"/>
      <c r="C169" s="384"/>
      <c r="D169" s="384"/>
      <c r="E169" s="385"/>
      <c r="F169" s="384"/>
      <c r="G169" s="384"/>
      <c r="H169" s="387"/>
      <c r="I169" s="384"/>
      <c r="J169" s="384"/>
    </row>
    <row r="170" spans="2:10" x14ac:dyDescent="0.6">
      <c r="B170" s="370"/>
      <c r="C170" s="384"/>
      <c r="D170" s="384"/>
      <c r="E170" s="385"/>
      <c r="F170" s="384"/>
      <c r="G170" s="384"/>
      <c r="H170" s="387"/>
      <c r="I170" s="384"/>
      <c r="J170" s="384"/>
    </row>
    <row r="171" spans="2:10" x14ac:dyDescent="0.6">
      <c r="C171" s="384"/>
      <c r="D171" s="384"/>
      <c r="E171" s="385"/>
      <c r="F171" s="384"/>
      <c r="G171" s="384"/>
      <c r="H171" s="387"/>
      <c r="I171" s="384"/>
      <c r="J171" s="384"/>
    </row>
    <row r="174" spans="2:10" x14ac:dyDescent="0.6">
      <c r="B174" s="316"/>
    </row>
    <row r="175" spans="2:10" x14ac:dyDescent="0.6">
      <c r="B175" s="275"/>
    </row>
    <row r="177" spans="1:12" x14ac:dyDescent="0.6">
      <c r="C177" s="366"/>
      <c r="D177" s="366"/>
      <c r="E177" s="366"/>
      <c r="F177" s="366"/>
      <c r="H177" s="378"/>
      <c r="I177" s="366"/>
      <c r="J177" s="366"/>
    </row>
    <row r="178" spans="1:12" x14ac:dyDescent="0.6">
      <c r="F178" s="379"/>
    </row>
    <row r="179" spans="1:12" x14ac:dyDescent="0.6">
      <c r="B179" s="368"/>
      <c r="C179" s="385"/>
      <c r="D179" s="385"/>
      <c r="E179" s="385"/>
      <c r="F179" s="380"/>
      <c r="H179" s="381"/>
    </row>
    <row r="180" spans="1:12" x14ac:dyDescent="0.6">
      <c r="B180" s="370"/>
      <c r="C180" s="385"/>
      <c r="D180" s="385"/>
      <c r="E180" s="385"/>
      <c r="F180" s="373"/>
      <c r="H180" s="382"/>
      <c r="I180" s="396"/>
      <c r="J180" s="396"/>
    </row>
    <row r="181" spans="1:12" x14ac:dyDescent="0.6">
      <c r="B181" s="370"/>
      <c r="C181" s="385"/>
      <c r="D181" s="385"/>
      <c r="E181" s="385"/>
      <c r="F181" s="373"/>
      <c r="H181" s="382"/>
      <c r="I181" s="396"/>
      <c r="J181" s="396"/>
    </row>
    <row r="182" spans="1:12" x14ac:dyDescent="0.6">
      <c r="C182" s="385"/>
      <c r="D182" s="385"/>
      <c r="E182" s="385"/>
      <c r="F182" s="373"/>
      <c r="H182" s="382"/>
      <c r="I182" s="383"/>
      <c r="J182" s="383"/>
    </row>
    <row r="183" spans="1:12" x14ac:dyDescent="0.6">
      <c r="B183" s="368"/>
      <c r="C183" s="385"/>
      <c r="D183" s="385"/>
      <c r="E183" s="385"/>
      <c r="F183" s="373"/>
      <c r="H183" s="381"/>
      <c r="I183" s="358"/>
      <c r="J183" s="358"/>
    </row>
    <row r="184" spans="1:12" x14ac:dyDescent="0.6">
      <c r="B184" s="370"/>
      <c r="C184" s="385"/>
      <c r="D184" s="385"/>
      <c r="E184" s="385"/>
      <c r="F184" s="373"/>
      <c r="H184" s="382"/>
      <c r="I184" s="396"/>
      <c r="J184" s="396"/>
    </row>
    <row r="185" spans="1:12" x14ac:dyDescent="0.6">
      <c r="B185" s="370"/>
      <c r="C185" s="385"/>
      <c r="D185" s="385"/>
      <c r="E185" s="385"/>
      <c r="F185" s="373"/>
    </row>
    <row r="189" spans="1:12" x14ac:dyDescent="0.6">
      <c r="A189" s="384"/>
      <c r="B189" s="316"/>
      <c r="C189" s="265"/>
      <c r="E189" s="265"/>
    </row>
    <row r="190" spans="1:12" x14ac:dyDescent="0.6">
      <c r="C190" s="265"/>
      <c r="E190" s="265"/>
    </row>
    <row r="191" spans="1:12" x14ac:dyDescent="0.6">
      <c r="C191" s="366"/>
      <c r="D191" s="366"/>
      <c r="E191" s="366"/>
      <c r="F191" s="366"/>
      <c r="G191" s="366"/>
      <c r="H191" s="367"/>
      <c r="I191" s="366"/>
      <c r="J191" s="366"/>
      <c r="K191" s="366"/>
      <c r="L191" s="366"/>
    </row>
    <row r="193" spans="2:12" x14ac:dyDescent="0.6">
      <c r="B193" s="347"/>
      <c r="C193" s="364"/>
      <c r="D193" s="364"/>
      <c r="E193" s="389"/>
      <c r="F193" s="364"/>
      <c r="G193" s="353"/>
      <c r="H193" s="390"/>
      <c r="I193" s="364"/>
      <c r="J193" s="364"/>
      <c r="K193" s="389"/>
      <c r="L193" s="389"/>
    </row>
    <row r="194" spans="2:12" ht="15.25" x14ac:dyDescent="1.05">
      <c r="B194" s="347"/>
      <c r="C194" s="356"/>
      <c r="D194" s="356"/>
      <c r="E194" s="356"/>
      <c r="F194" s="356"/>
      <c r="G194" s="356"/>
      <c r="H194" s="391"/>
      <c r="I194" s="356"/>
      <c r="J194" s="356"/>
      <c r="K194" s="394"/>
      <c r="L194" s="394"/>
    </row>
    <row r="195" spans="2:12" x14ac:dyDescent="0.6">
      <c r="B195" s="347"/>
      <c r="C195" s="355"/>
      <c r="D195" s="355"/>
      <c r="E195" s="355"/>
      <c r="F195" s="355"/>
      <c r="G195" s="355"/>
      <c r="H195" s="392"/>
      <c r="I195" s="355"/>
      <c r="J195" s="355"/>
      <c r="K195" s="355"/>
      <c r="L195" s="355"/>
    </row>
    <row r="196" spans="2:12" x14ac:dyDescent="0.6">
      <c r="B196" s="347"/>
      <c r="C196" s="355"/>
      <c r="D196" s="355"/>
      <c r="E196" s="355"/>
      <c r="F196" s="355"/>
      <c r="G196" s="355"/>
      <c r="H196" s="392"/>
      <c r="I196" s="355"/>
      <c r="J196" s="355"/>
      <c r="K196" s="355"/>
      <c r="L196" s="355"/>
    </row>
    <row r="197" spans="2:12" x14ac:dyDescent="0.6">
      <c r="B197" s="347"/>
      <c r="C197" s="355"/>
      <c r="D197" s="355"/>
      <c r="E197" s="355"/>
      <c r="F197" s="355"/>
      <c r="G197" s="355"/>
      <c r="H197" s="392"/>
      <c r="I197" s="355"/>
      <c r="J197" s="355"/>
      <c r="K197" s="355"/>
      <c r="L197" s="355"/>
    </row>
    <row r="198" spans="2:12" ht="15.25" x14ac:dyDescent="1.05">
      <c r="B198" s="347"/>
      <c r="C198" s="363"/>
      <c r="E198" s="265"/>
    </row>
    <row r="199" spans="2:12" x14ac:dyDescent="0.6">
      <c r="B199" s="347"/>
      <c r="C199" s="355"/>
      <c r="E199" s="265"/>
    </row>
    <row r="200" spans="2:12" x14ac:dyDescent="0.6">
      <c r="B200" s="347"/>
      <c r="C200" s="265"/>
      <c r="E200" s="265"/>
    </row>
    <row r="201" spans="2:12" x14ac:dyDescent="0.6">
      <c r="C201" s="366"/>
      <c r="D201" s="366"/>
      <c r="E201" s="366"/>
      <c r="F201" s="366"/>
      <c r="G201" s="366"/>
      <c r="H201" s="367"/>
      <c r="I201" s="366"/>
      <c r="J201" s="366"/>
      <c r="K201" s="366"/>
      <c r="L201" s="366"/>
    </row>
    <row r="203" spans="2:12" x14ac:dyDescent="0.6">
      <c r="B203" s="347"/>
      <c r="C203" s="355"/>
    </row>
    <row r="204" spans="2:12" ht="15.25" x14ac:dyDescent="1.05">
      <c r="B204" s="347"/>
      <c r="C204" s="363"/>
    </row>
    <row r="205" spans="2:12" x14ac:dyDescent="0.6">
      <c r="B205" s="347"/>
      <c r="C205" s="355"/>
      <c r="D205" s="355"/>
      <c r="G205" s="347"/>
    </row>
    <row r="206" spans="2:12" x14ac:dyDescent="0.6">
      <c r="C206" s="265"/>
      <c r="E206" s="265"/>
      <c r="G206" s="347"/>
    </row>
    <row r="207" spans="2:12" x14ac:dyDescent="0.6">
      <c r="B207" s="377"/>
      <c r="C207" s="355"/>
      <c r="E207" s="397"/>
      <c r="G207" s="397"/>
    </row>
    <row r="208" spans="2:12" x14ac:dyDescent="0.6">
      <c r="B208" s="347"/>
      <c r="C208" s="355"/>
      <c r="E208" s="303"/>
    </row>
    <row r="209" spans="1:10" ht="15.25" x14ac:dyDescent="1.05">
      <c r="B209" s="347"/>
      <c r="C209" s="363"/>
      <c r="E209" s="308"/>
    </row>
    <row r="210" spans="1:10" x14ac:dyDescent="0.6">
      <c r="B210" s="347"/>
      <c r="C210" s="355"/>
      <c r="E210" s="303"/>
    </row>
    <row r="212" spans="1:10" x14ac:dyDescent="0.6">
      <c r="C212" s="398"/>
    </row>
    <row r="213" spans="1:10" outlineLevel="1" x14ac:dyDescent="0.6">
      <c r="A213" s="316"/>
    </row>
    <row r="214" spans="1:10" outlineLevel="1" x14ac:dyDescent="0.6">
      <c r="A214" s="384"/>
      <c r="B214" s="361"/>
      <c r="C214" s="265"/>
      <c r="E214" s="265"/>
    </row>
    <row r="215" spans="1:10" outlineLevel="1" x14ac:dyDescent="0.6">
      <c r="B215" s="275"/>
    </row>
    <row r="216" spans="1:10" outlineLevel="1" x14ac:dyDescent="0.6">
      <c r="A216" s="384"/>
    </row>
    <row r="217" spans="1:10" outlineLevel="1" x14ac:dyDescent="0.6">
      <c r="B217" s="316"/>
    </row>
    <row r="218" spans="1:10" outlineLevel="1" x14ac:dyDescent="0.6">
      <c r="B218" s="275"/>
    </row>
    <row r="219" spans="1:10" outlineLevel="1" x14ac:dyDescent="0.6">
      <c r="B219" s="316"/>
    </row>
    <row r="220" spans="1:10" outlineLevel="1" x14ac:dyDescent="0.6">
      <c r="C220" s="366"/>
      <c r="D220" s="366"/>
      <c r="E220" s="366"/>
      <c r="F220" s="366"/>
      <c r="G220" s="366"/>
      <c r="H220" s="367"/>
      <c r="I220" s="366"/>
      <c r="J220" s="366"/>
    </row>
    <row r="221" spans="1:10" outlineLevel="1" x14ac:dyDescent="0.6">
      <c r="C221" s="384"/>
      <c r="D221" s="384"/>
      <c r="E221" s="384"/>
      <c r="F221" s="385"/>
      <c r="G221" s="385"/>
      <c r="H221" s="386"/>
      <c r="I221" s="385"/>
      <c r="J221" s="385"/>
    </row>
    <row r="222" spans="1:10" outlineLevel="1" x14ac:dyDescent="0.6">
      <c r="B222" s="368"/>
      <c r="C222" s="384"/>
      <c r="D222" s="384"/>
      <c r="E222" s="384"/>
      <c r="F222" s="385"/>
      <c r="G222" s="385"/>
      <c r="H222" s="386"/>
      <c r="I222" s="385"/>
      <c r="J222" s="385"/>
    </row>
    <row r="223" spans="1:10" outlineLevel="1" x14ac:dyDescent="0.6">
      <c r="B223" s="370"/>
      <c r="C223" s="384"/>
      <c r="D223" s="384"/>
      <c r="E223" s="385"/>
    </row>
    <row r="224" spans="1:10" outlineLevel="1" x14ac:dyDescent="0.6">
      <c r="B224" s="370"/>
      <c r="C224" s="384"/>
      <c r="D224" s="384"/>
      <c r="E224" s="385"/>
      <c r="F224" s="384"/>
      <c r="G224" s="384"/>
      <c r="H224" s="387"/>
      <c r="I224" s="384"/>
      <c r="J224" s="384"/>
    </row>
    <row r="225" spans="2:10" outlineLevel="1" x14ac:dyDescent="0.6">
      <c r="B225" s="374"/>
      <c r="C225" s="384"/>
      <c r="D225" s="384"/>
      <c r="E225" s="384"/>
      <c r="F225" s="384"/>
      <c r="G225" s="384"/>
      <c r="H225" s="387"/>
      <c r="I225" s="384"/>
      <c r="J225" s="384"/>
    </row>
    <row r="226" spans="2:10" outlineLevel="1" x14ac:dyDescent="0.6">
      <c r="B226" s="377"/>
      <c r="C226" s="385"/>
      <c r="D226" s="385"/>
      <c r="E226" s="384"/>
      <c r="F226" s="384"/>
      <c r="G226" s="384"/>
      <c r="H226" s="387"/>
      <c r="I226" s="384"/>
      <c r="J226" s="384"/>
    </row>
    <row r="227" spans="2:10" outlineLevel="1" x14ac:dyDescent="0.6">
      <c r="B227" s="377"/>
      <c r="C227" s="385"/>
      <c r="D227" s="385"/>
      <c r="E227" s="384"/>
      <c r="F227" s="384"/>
      <c r="G227" s="384"/>
      <c r="H227" s="387"/>
      <c r="I227" s="384"/>
      <c r="J227" s="384"/>
    </row>
    <row r="228" spans="2:10" outlineLevel="1" x14ac:dyDescent="0.6">
      <c r="C228" s="385"/>
      <c r="D228" s="385"/>
      <c r="E228" s="384"/>
      <c r="F228" s="384"/>
      <c r="G228" s="384"/>
      <c r="H228" s="387"/>
      <c r="I228" s="384"/>
      <c r="J228" s="384"/>
    </row>
    <row r="229" spans="2:10" outlineLevel="1" x14ac:dyDescent="0.6">
      <c r="B229" s="368"/>
      <c r="C229" s="385"/>
      <c r="D229" s="385"/>
      <c r="E229" s="384"/>
      <c r="F229" s="385"/>
      <c r="G229" s="385"/>
      <c r="H229" s="386"/>
      <c r="I229" s="385"/>
      <c r="J229" s="385"/>
    </row>
    <row r="230" spans="2:10" outlineLevel="1" x14ac:dyDescent="0.6">
      <c r="B230" s="370"/>
      <c r="C230" s="384"/>
      <c r="D230" s="384"/>
      <c r="E230" s="385"/>
      <c r="F230" s="384"/>
      <c r="G230" s="384"/>
      <c r="H230" s="387"/>
      <c r="I230" s="384"/>
      <c r="J230" s="384"/>
    </row>
    <row r="231" spans="2:10" outlineLevel="1" x14ac:dyDescent="0.6">
      <c r="B231" s="370"/>
      <c r="C231" s="384"/>
      <c r="D231" s="384"/>
      <c r="E231" s="385"/>
      <c r="F231" s="384"/>
      <c r="G231" s="384"/>
      <c r="H231" s="387"/>
      <c r="I231" s="384"/>
      <c r="J231" s="384"/>
    </row>
    <row r="232" spans="2:10" outlineLevel="1" x14ac:dyDescent="0.6">
      <c r="C232" s="384"/>
      <c r="D232" s="384"/>
      <c r="E232" s="385"/>
      <c r="F232" s="384"/>
      <c r="G232" s="384"/>
      <c r="H232" s="387"/>
      <c r="I232" s="384"/>
      <c r="J232" s="384"/>
    </row>
    <row r="233" spans="2:10" outlineLevel="1" x14ac:dyDescent="0.6"/>
    <row r="234" spans="2:10" outlineLevel="1" x14ac:dyDescent="0.6"/>
    <row r="235" spans="2:10" outlineLevel="1" x14ac:dyDescent="0.6">
      <c r="B235" s="316"/>
    </row>
    <row r="236" spans="2:10" outlineLevel="1" x14ac:dyDescent="0.6">
      <c r="B236" s="275"/>
    </row>
    <row r="237" spans="2:10" outlineLevel="1" x14ac:dyDescent="0.6"/>
    <row r="238" spans="2:10" outlineLevel="1" x14ac:dyDescent="0.6">
      <c r="C238" s="366"/>
      <c r="D238" s="366"/>
      <c r="E238" s="366"/>
      <c r="F238" s="366"/>
      <c r="H238" s="378"/>
      <c r="I238" s="366"/>
      <c r="J238" s="366"/>
    </row>
    <row r="239" spans="2:10" outlineLevel="1" x14ac:dyDescent="0.6">
      <c r="F239" s="379"/>
    </row>
    <row r="240" spans="2:10" outlineLevel="1" x14ac:dyDescent="0.6">
      <c r="B240" s="368"/>
      <c r="C240" s="385"/>
      <c r="D240" s="385"/>
      <c r="E240" s="385"/>
      <c r="F240" s="380"/>
      <c r="H240" s="381"/>
    </row>
    <row r="241" spans="1:12" outlineLevel="1" x14ac:dyDescent="0.6">
      <c r="B241" s="370"/>
      <c r="C241" s="385"/>
      <c r="D241" s="385"/>
      <c r="E241" s="385"/>
      <c r="F241" s="373"/>
      <c r="H241" s="382"/>
      <c r="I241" s="396"/>
      <c r="J241" s="396"/>
    </row>
    <row r="242" spans="1:12" outlineLevel="1" x14ac:dyDescent="0.6">
      <c r="B242" s="370"/>
      <c r="C242" s="385"/>
      <c r="D242" s="385"/>
      <c r="E242" s="385"/>
      <c r="F242" s="373"/>
      <c r="H242" s="382"/>
      <c r="I242" s="396"/>
      <c r="J242" s="396"/>
    </row>
    <row r="243" spans="1:12" outlineLevel="1" x14ac:dyDescent="0.6">
      <c r="C243" s="385"/>
      <c r="D243" s="385"/>
      <c r="E243" s="385"/>
      <c r="F243" s="373"/>
      <c r="H243" s="382"/>
      <c r="I243" s="383"/>
      <c r="J243" s="383"/>
    </row>
    <row r="244" spans="1:12" outlineLevel="1" x14ac:dyDescent="0.6">
      <c r="B244" s="368"/>
      <c r="C244" s="385"/>
      <c r="D244" s="385"/>
      <c r="E244" s="385"/>
      <c r="F244" s="373"/>
      <c r="H244" s="381"/>
      <c r="I244" s="358"/>
      <c r="J244" s="358"/>
    </row>
    <row r="245" spans="1:12" outlineLevel="1" x14ac:dyDescent="0.6">
      <c r="B245" s="370"/>
      <c r="C245" s="385"/>
      <c r="D245" s="385"/>
      <c r="E245" s="385"/>
      <c r="F245" s="373"/>
      <c r="H245" s="382"/>
      <c r="I245" s="396"/>
      <c r="J245" s="396"/>
    </row>
    <row r="246" spans="1:12" outlineLevel="1" x14ac:dyDescent="0.6">
      <c r="B246" s="370"/>
      <c r="C246" s="385"/>
      <c r="D246" s="385"/>
      <c r="E246" s="385"/>
      <c r="F246" s="373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384"/>
      <c r="B251" s="316"/>
      <c r="C251" s="265"/>
      <c r="E251" s="265"/>
    </row>
    <row r="252" spans="1:12" outlineLevel="1" x14ac:dyDescent="0.6">
      <c r="C252" s="265"/>
      <c r="E252" s="265"/>
    </row>
    <row r="253" spans="1:12" outlineLevel="1" x14ac:dyDescent="0.6">
      <c r="C253" s="366"/>
      <c r="D253" s="366"/>
      <c r="E253" s="366"/>
      <c r="F253" s="366"/>
      <c r="G253" s="366"/>
      <c r="H253" s="367"/>
      <c r="I253" s="366"/>
      <c r="J253" s="366"/>
      <c r="K253" s="366"/>
      <c r="L253" s="366"/>
    </row>
    <row r="254" spans="1:12" outlineLevel="1" x14ac:dyDescent="0.6"/>
    <row r="255" spans="1:12" outlineLevel="1" x14ac:dyDescent="0.6">
      <c r="B255" s="347"/>
      <c r="C255" s="364"/>
      <c r="D255" s="364"/>
      <c r="E255" s="389"/>
      <c r="F255" s="364"/>
      <c r="G255" s="353"/>
      <c r="H255" s="390"/>
      <c r="I255" s="364"/>
      <c r="J255" s="364"/>
      <c r="K255" s="389"/>
      <c r="L255" s="389"/>
    </row>
    <row r="256" spans="1:12" ht="15.25" outlineLevel="1" x14ac:dyDescent="1.05">
      <c r="B256" s="347"/>
      <c r="C256" s="356"/>
      <c r="D256" s="356"/>
      <c r="E256" s="356"/>
      <c r="F256" s="399"/>
      <c r="G256" s="399"/>
      <c r="H256" s="391"/>
      <c r="I256" s="399"/>
      <c r="J256" s="399"/>
      <c r="K256" s="394"/>
      <c r="L256" s="394"/>
    </row>
    <row r="257" spans="2:12" outlineLevel="1" x14ac:dyDescent="0.6">
      <c r="B257" s="347"/>
      <c r="C257" s="355"/>
      <c r="D257" s="355"/>
      <c r="E257" s="355"/>
      <c r="F257" s="355"/>
      <c r="G257" s="355"/>
      <c r="H257" s="392"/>
      <c r="I257" s="355"/>
      <c r="J257" s="355"/>
      <c r="K257" s="355"/>
      <c r="L257" s="355"/>
    </row>
    <row r="258" spans="2:12" outlineLevel="1" x14ac:dyDescent="0.6">
      <c r="B258" s="347"/>
      <c r="C258" s="355"/>
      <c r="D258" s="355"/>
      <c r="E258" s="355"/>
      <c r="F258" s="355"/>
      <c r="G258" s="355"/>
      <c r="H258" s="392"/>
      <c r="I258" s="355"/>
      <c r="J258" s="355"/>
      <c r="K258" s="355"/>
      <c r="L258" s="355"/>
    </row>
    <row r="259" spans="2:12" outlineLevel="1" x14ac:dyDescent="0.6">
      <c r="B259" s="347"/>
      <c r="C259" s="355"/>
      <c r="D259" s="355"/>
      <c r="E259" s="355"/>
      <c r="F259" s="355"/>
      <c r="G259" s="355"/>
      <c r="H259" s="392"/>
      <c r="I259" s="355"/>
      <c r="J259" s="355"/>
      <c r="K259" s="355"/>
      <c r="L259" s="355"/>
    </row>
    <row r="260" spans="2:12" ht="15.25" outlineLevel="1" x14ac:dyDescent="1.05">
      <c r="B260" s="347"/>
      <c r="C260" s="363"/>
      <c r="E260" s="265"/>
    </row>
    <row r="261" spans="2:12" outlineLevel="1" x14ac:dyDescent="0.6">
      <c r="B261" s="347"/>
      <c r="C261" s="355"/>
      <c r="E261" s="265"/>
    </row>
    <row r="262" spans="2:12" outlineLevel="1" x14ac:dyDescent="0.6">
      <c r="B262" s="347"/>
      <c r="C262" s="265"/>
      <c r="E262" s="265"/>
    </row>
    <row r="263" spans="2:12" outlineLevel="1" x14ac:dyDescent="0.6">
      <c r="C263" s="366"/>
      <c r="D263" s="366"/>
      <c r="E263" s="366"/>
      <c r="F263" s="366"/>
      <c r="G263" s="366"/>
      <c r="H263" s="367"/>
      <c r="I263" s="366"/>
      <c r="J263" s="366"/>
      <c r="K263" s="366"/>
      <c r="L263" s="366"/>
    </row>
    <row r="264" spans="2:12" outlineLevel="1" x14ac:dyDescent="0.6"/>
    <row r="265" spans="2:12" outlineLevel="1" x14ac:dyDescent="0.6">
      <c r="C265" s="315"/>
      <c r="D265" s="315"/>
      <c r="E265" s="315"/>
    </row>
    <row r="266" spans="2:12" outlineLevel="1" x14ac:dyDescent="0.6">
      <c r="B266" s="347"/>
      <c r="C266" s="355"/>
      <c r="D266" s="398"/>
      <c r="E266" s="355"/>
    </row>
    <row r="267" spans="2:12" outlineLevel="1" x14ac:dyDescent="0.6">
      <c r="B267" s="347"/>
      <c r="C267" s="400"/>
      <c r="D267" s="401"/>
      <c r="E267" s="400"/>
    </row>
    <row r="268" spans="2:12" outlineLevel="1" x14ac:dyDescent="0.6">
      <c r="B268" s="347"/>
      <c r="C268" s="355"/>
      <c r="D268" s="355"/>
      <c r="E268" s="355"/>
      <c r="G268" s="347"/>
    </row>
    <row r="269" spans="2:12" outlineLevel="1" x14ac:dyDescent="0.6">
      <c r="C269" s="265"/>
      <c r="E269" s="265"/>
      <c r="G269" s="347"/>
    </row>
    <row r="270" spans="2:12" outlineLevel="1" x14ac:dyDescent="0.6">
      <c r="B270" s="377"/>
      <c r="C270" s="355"/>
      <c r="E270" s="397"/>
      <c r="G270" s="397"/>
    </row>
    <row r="271" spans="2:12" outlineLevel="1" x14ac:dyDescent="0.6">
      <c r="B271" s="347"/>
      <c r="C271" s="355"/>
      <c r="E271" s="303"/>
    </row>
    <row r="272" spans="2:12" outlineLevel="1" x14ac:dyDescent="0.6">
      <c r="B272" s="347"/>
      <c r="C272" s="400"/>
      <c r="E272" s="308"/>
    </row>
    <row r="273" spans="2:5" outlineLevel="1" x14ac:dyDescent="0.6">
      <c r="B273" s="347"/>
      <c r="C273" s="355"/>
      <c r="E273" s="303"/>
    </row>
    <row r="274" spans="2:5" outlineLevel="1" x14ac:dyDescent="0.6"/>
  </sheetData>
  <mergeCells count="1">
    <mergeCell ref="I2:M3"/>
  </mergeCells>
  <pageMargins left="0.75" right="0.75" top="1" bottom="1" header="0.5" footer="0.5"/>
  <pageSetup scale="76" orientation="landscape" r:id="rId1"/>
  <headerFooter alignWithMargins="0">
    <oddHeader>&amp;C&amp;"Arial,Bold"Public Service Electric and Gas Company Specific Addendum
Attachment 4 P5</oddHeader>
  </headerFooter>
  <rowBreaks count="7" manualBreakCount="7">
    <brk id="33" max="6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BB6B-A23B-4ADF-A66E-75C80C46CFD4}">
  <sheetPr>
    <pageSetUpPr fitToPage="1"/>
  </sheetPr>
  <dimension ref="A1:M274"/>
  <sheetViews>
    <sheetView showGridLines="0" view="pageBreakPreview" zoomScaleNormal="70" zoomScaleSheetLayoutView="100" workbookViewId="0"/>
  </sheetViews>
  <sheetFormatPr defaultColWidth="9.08984375" defaultRowHeight="13" outlineLevelRow="1" x14ac:dyDescent="0.6"/>
  <cols>
    <col min="1" max="1" width="12.31640625" style="309" bestFit="1" customWidth="1"/>
    <col min="2" max="2" width="46" style="309" customWidth="1"/>
    <col min="3" max="5" width="16.54296875" style="309" customWidth="1"/>
    <col min="6" max="6" width="4.54296875" style="309" customWidth="1"/>
    <col min="7" max="7" width="48.2265625" style="309" bestFit="1" customWidth="1"/>
    <col min="8" max="8" width="3.54296875" style="314" customWidth="1"/>
    <col min="9" max="9" width="11" style="309" customWidth="1"/>
    <col min="10" max="10" width="23.31640625" style="309" customWidth="1"/>
    <col min="11" max="11" width="12.54296875" style="309" customWidth="1"/>
    <col min="12" max="12" width="21" style="309" customWidth="1"/>
    <col min="13" max="13" width="14.31640625" style="309" bestFit="1" customWidth="1"/>
    <col min="14" max="14" width="24.08984375" style="309" bestFit="1" customWidth="1"/>
    <col min="15" max="16" width="10.86328125" style="309" bestFit="1" customWidth="1"/>
    <col min="17" max="17" width="14.31640625" style="309" bestFit="1" customWidth="1"/>
    <col min="18" max="16384" width="9.08984375" style="309"/>
  </cols>
  <sheetData>
    <row r="1" spans="1:11" ht="20.5" x14ac:dyDescent="0.9">
      <c r="A1" s="342" t="s">
        <v>419</v>
      </c>
      <c r="I1" s="343"/>
    </row>
    <row r="2" spans="1:11" ht="15" customHeight="1" x14ac:dyDescent="0.7">
      <c r="A2" s="344" t="s">
        <v>436</v>
      </c>
      <c r="D2" s="428"/>
      <c r="E2" s="428"/>
      <c r="F2" s="428"/>
      <c r="G2" s="428"/>
      <c r="H2" s="429"/>
    </row>
    <row r="3" spans="1:11" ht="12.75" customHeight="1" x14ac:dyDescent="0.6">
      <c r="A3" s="345" t="s">
        <v>421</v>
      </c>
      <c r="D3" s="428"/>
      <c r="E3" s="428"/>
      <c r="F3" s="428"/>
      <c r="G3" s="428"/>
      <c r="H3" s="429"/>
      <c r="I3" s="402"/>
      <c r="J3" s="402"/>
    </row>
    <row r="5" spans="1:11" x14ac:dyDescent="0.6">
      <c r="A5" s="346" t="s">
        <v>314</v>
      </c>
      <c r="B5" s="316" t="s">
        <v>1</v>
      </c>
    </row>
    <row r="6" spans="1:11" ht="52" x14ac:dyDescent="0.6">
      <c r="A6" s="347" t="s">
        <v>315</v>
      </c>
      <c r="B6" s="316" t="s">
        <v>98</v>
      </c>
      <c r="C6" s="323" t="s">
        <v>422</v>
      </c>
      <c r="D6" s="323" t="s">
        <v>437</v>
      </c>
      <c r="E6" s="323" t="s">
        <v>438</v>
      </c>
      <c r="G6" s="275" t="s">
        <v>316</v>
      </c>
    </row>
    <row r="8" spans="1:11" x14ac:dyDescent="0.6">
      <c r="A8" s="347">
        <v>1</v>
      </c>
      <c r="B8" s="316" t="s">
        <v>109</v>
      </c>
      <c r="C8" s="237">
        <f>'Attachment 3'!E8</f>
        <v>108.36999999999999</v>
      </c>
      <c r="D8" s="403">
        <f>'Attach 4 P4'!E8</f>
        <v>109.55999999999999</v>
      </c>
      <c r="E8" s="237">
        <f>D10</f>
        <v>109.55999999999999</v>
      </c>
      <c r="G8" s="278" t="s">
        <v>424</v>
      </c>
    </row>
    <row r="9" spans="1:11" x14ac:dyDescent="0.6">
      <c r="A9" s="347" t="s">
        <v>317</v>
      </c>
      <c r="B9" s="316" t="s">
        <v>439</v>
      </c>
      <c r="C9" s="237">
        <f>'Attach 4 P3 '!C21</f>
        <v>1.19</v>
      </c>
      <c r="D9" s="348"/>
      <c r="E9" s="348"/>
      <c r="G9" s="278" t="s">
        <v>440</v>
      </c>
    </row>
    <row r="10" spans="1:11" x14ac:dyDescent="0.6">
      <c r="A10" s="347" t="s">
        <v>320</v>
      </c>
      <c r="B10" s="316" t="s">
        <v>322</v>
      </c>
      <c r="C10" s="349">
        <f>C8+C9</f>
        <v>109.55999999999999</v>
      </c>
      <c r="D10" s="349">
        <f t="shared" ref="D10:E10" si="0">D8+D9</f>
        <v>109.55999999999999</v>
      </c>
      <c r="E10" s="349">
        <f t="shared" si="0"/>
        <v>109.55999999999999</v>
      </c>
      <c r="G10" s="350" t="s">
        <v>427</v>
      </c>
    </row>
    <row r="11" spans="1:11" x14ac:dyDescent="0.6">
      <c r="A11" s="347"/>
      <c r="B11" s="316"/>
      <c r="C11" s="349"/>
      <c r="D11" s="349"/>
      <c r="E11" s="349"/>
      <c r="G11" s="318"/>
    </row>
    <row r="12" spans="1:11" x14ac:dyDescent="0.6">
      <c r="A12" s="347">
        <v>2</v>
      </c>
      <c r="B12" s="330" t="s">
        <v>110</v>
      </c>
      <c r="C12" s="309">
        <v>28</v>
      </c>
      <c r="D12" s="309">
        <v>28</v>
      </c>
      <c r="E12" s="309">
        <v>29</v>
      </c>
      <c r="G12" s="278" t="s">
        <v>325</v>
      </c>
    </row>
    <row r="13" spans="1:11" x14ac:dyDescent="0.6">
      <c r="A13" s="347">
        <v>3</v>
      </c>
      <c r="B13" s="316" t="s">
        <v>326</v>
      </c>
      <c r="C13" s="309">
        <v>85</v>
      </c>
      <c r="D13" s="309">
        <v>85</v>
      </c>
      <c r="E13" s="309">
        <v>85</v>
      </c>
      <c r="G13" s="278" t="s">
        <v>325</v>
      </c>
    </row>
    <row r="14" spans="1:11" x14ac:dyDescent="0.6">
      <c r="A14" s="347"/>
      <c r="B14" s="316"/>
      <c r="G14" s="278"/>
    </row>
    <row r="15" spans="1:11" x14ac:dyDescent="0.6">
      <c r="A15" s="347"/>
      <c r="B15" s="316" t="s">
        <v>113</v>
      </c>
    </row>
    <row r="16" spans="1:11" x14ac:dyDescent="0.6">
      <c r="A16" s="347">
        <v>4</v>
      </c>
      <c r="B16" s="217" t="s">
        <v>114</v>
      </c>
      <c r="C16" s="351">
        <v>1</v>
      </c>
      <c r="D16" s="351">
        <v>1</v>
      </c>
      <c r="E16" s="351">
        <v>1</v>
      </c>
      <c r="G16" s="278" t="s">
        <v>428</v>
      </c>
      <c r="K16" s="352"/>
    </row>
    <row r="17" spans="1:12" x14ac:dyDescent="0.6">
      <c r="A17" s="347">
        <v>5</v>
      </c>
      <c r="B17" s="217" t="s">
        <v>115</v>
      </c>
      <c r="C17" s="351">
        <v>1</v>
      </c>
      <c r="D17" s="351">
        <v>1</v>
      </c>
      <c r="E17" s="351">
        <v>1</v>
      </c>
      <c r="G17" s="278" t="s">
        <v>428</v>
      </c>
      <c r="K17" s="352"/>
    </row>
    <row r="18" spans="1:12" x14ac:dyDescent="0.6">
      <c r="A18" s="347"/>
    </row>
    <row r="19" spans="1:12" x14ac:dyDescent="0.6">
      <c r="A19" s="347"/>
      <c r="B19" s="335" t="s">
        <v>429</v>
      </c>
    </row>
    <row r="20" spans="1:12" x14ac:dyDescent="0.6">
      <c r="A20" s="347">
        <v>6</v>
      </c>
      <c r="B20" s="309" t="s">
        <v>328</v>
      </c>
      <c r="C20" s="327">
        <f>'Attachment 3'!C21</f>
        <v>10465409.653643606</v>
      </c>
      <c r="D20" s="327"/>
      <c r="E20" s="327"/>
      <c r="G20" s="278" t="s">
        <v>430</v>
      </c>
    </row>
    <row r="21" spans="1:12" x14ac:dyDescent="0.6">
      <c r="A21" s="347">
        <v>7</v>
      </c>
      <c r="B21" s="309" t="s">
        <v>330</v>
      </c>
      <c r="C21" s="327">
        <f>'Attachment 3'!C22</f>
        <v>15830280.134243663</v>
      </c>
      <c r="D21" s="327"/>
      <c r="E21" s="327"/>
    </row>
    <row r="22" spans="1:12" x14ac:dyDescent="0.6">
      <c r="A22" s="347"/>
    </row>
    <row r="23" spans="1:12" x14ac:dyDescent="0.6">
      <c r="A23" s="347"/>
      <c r="B23" s="316" t="s">
        <v>331</v>
      </c>
    </row>
    <row r="24" spans="1:12" x14ac:dyDescent="0.6">
      <c r="A24" s="347">
        <v>8</v>
      </c>
      <c r="B24" s="217" t="s">
        <v>114</v>
      </c>
      <c r="C24" s="353">
        <f>((+C$10)*C$12/C$13*C16*$C20/1000)</f>
        <v>377700.32807399315</v>
      </c>
      <c r="D24" s="353">
        <f t="shared" ref="D24:E25" si="1">((+D$10)*D$12/D$13*D16*$C20/1000)</f>
        <v>377700.32807399315</v>
      </c>
      <c r="E24" s="353">
        <f t="shared" si="1"/>
        <v>391189.62550520716</v>
      </c>
      <c r="F24" s="354"/>
      <c r="G24" s="350" t="s">
        <v>431</v>
      </c>
      <c r="J24" s="355"/>
      <c r="L24" s="355"/>
    </row>
    <row r="25" spans="1:12" ht="15.25" x14ac:dyDescent="1.05">
      <c r="A25" s="347">
        <v>9</v>
      </c>
      <c r="B25" s="217" t="s">
        <v>115</v>
      </c>
      <c r="C25" s="356">
        <f>((+C$10)*C$12/C$13*C17*$C21/1000)</f>
        <v>571320.39720254822</v>
      </c>
      <c r="D25" s="356">
        <f t="shared" si="1"/>
        <v>571320.39720254822</v>
      </c>
      <c r="E25" s="356">
        <f t="shared" si="1"/>
        <v>591724.69710263924</v>
      </c>
      <c r="F25" s="354"/>
      <c r="G25" s="350" t="s">
        <v>432</v>
      </c>
    </row>
    <row r="26" spans="1:12" x14ac:dyDescent="0.6">
      <c r="A26" s="347">
        <v>10</v>
      </c>
      <c r="B26" s="309" t="s">
        <v>334</v>
      </c>
      <c r="C26" s="355">
        <f>+C25+C24</f>
        <v>949020.72527654143</v>
      </c>
      <c r="D26" s="355">
        <f>+D25+D24</f>
        <v>949020.72527654143</v>
      </c>
      <c r="E26" s="355">
        <f>+E25+E24</f>
        <v>982914.32260784646</v>
      </c>
      <c r="J26" s="355"/>
      <c r="L26" s="355"/>
    </row>
    <row r="27" spans="1:12" x14ac:dyDescent="0.6">
      <c r="A27" s="347"/>
    </row>
    <row r="28" spans="1:12" x14ac:dyDescent="0.6">
      <c r="A28" s="347"/>
      <c r="B28" s="316" t="s">
        <v>336</v>
      </c>
    </row>
    <row r="29" spans="1:12" x14ac:dyDescent="0.6">
      <c r="A29" s="347">
        <v>11</v>
      </c>
      <c r="B29" s="217" t="s">
        <v>114</v>
      </c>
      <c r="C29" s="357">
        <f>ROUND(+SUM(C24:E24)/C20*1000,3)</f>
        <v>109.56</v>
      </c>
      <c r="D29" s="358"/>
      <c r="G29" s="350" t="s">
        <v>433</v>
      </c>
    </row>
    <row r="30" spans="1:12" x14ac:dyDescent="0.6">
      <c r="A30" s="347">
        <v>12</v>
      </c>
      <c r="B30" s="217" t="s">
        <v>115</v>
      </c>
      <c r="C30" s="349">
        <f>ROUND(+SUM(C25:E25)/C21*1000,3)</f>
        <v>109.56</v>
      </c>
      <c r="G30" s="350" t="s">
        <v>434</v>
      </c>
    </row>
    <row r="31" spans="1:12" x14ac:dyDescent="0.6">
      <c r="A31" s="347"/>
      <c r="B31" s="217"/>
      <c r="C31" s="359"/>
      <c r="G31" s="318"/>
    </row>
    <row r="32" spans="1:12" x14ac:dyDescent="0.6">
      <c r="A32" s="347">
        <v>13</v>
      </c>
      <c r="B32" s="309" t="s">
        <v>339</v>
      </c>
      <c r="C32" s="360">
        <f>ROUND(+SUM(C26:E26)/(C20+C21)*1000,3)</f>
        <v>109.56</v>
      </c>
      <c r="D32" s="309" t="s">
        <v>340</v>
      </c>
      <c r="G32" s="350" t="s">
        <v>341</v>
      </c>
    </row>
    <row r="33" spans="1:13" x14ac:dyDescent="0.6">
      <c r="D33" s="309" t="s">
        <v>342</v>
      </c>
      <c r="G33" s="278" t="s">
        <v>435</v>
      </c>
    </row>
    <row r="34" spans="1:13" x14ac:dyDescent="0.6">
      <c r="C34" s="358"/>
    </row>
    <row r="35" spans="1:13" x14ac:dyDescent="0.6">
      <c r="B35" s="361"/>
      <c r="D35" s="358"/>
    </row>
    <row r="36" spans="1:13" x14ac:dyDescent="0.6">
      <c r="A36" s="347"/>
      <c r="B36" s="362"/>
      <c r="C36" s="355"/>
      <c r="D36" s="358"/>
      <c r="G36" s="318"/>
    </row>
    <row r="37" spans="1:13" ht="15.25" x14ac:dyDescent="1.05">
      <c r="A37" s="347"/>
      <c r="B37" s="362"/>
      <c r="C37" s="363"/>
      <c r="D37" s="358"/>
      <c r="G37" s="318"/>
    </row>
    <row r="38" spans="1:13" x14ac:dyDescent="0.6">
      <c r="A38" s="347"/>
      <c r="B38" s="362"/>
      <c r="C38" s="364"/>
      <c r="D38" s="358"/>
      <c r="G38" s="318"/>
    </row>
    <row r="39" spans="1:13" x14ac:dyDescent="0.6">
      <c r="B39" s="362"/>
      <c r="D39" s="358"/>
    </row>
    <row r="41" spans="1:13" x14ac:dyDescent="0.6">
      <c r="A41" s="365"/>
      <c r="B41" s="316"/>
      <c r="G41" s="275"/>
    </row>
    <row r="42" spans="1:13" x14ac:dyDescent="0.6">
      <c r="A42" s="365"/>
      <c r="B42" s="316"/>
      <c r="G42" s="275"/>
    </row>
    <row r="43" spans="1:13" x14ac:dyDescent="0.6">
      <c r="B43" s="316"/>
    </row>
    <row r="44" spans="1:13" x14ac:dyDescent="0.6">
      <c r="B44" s="275"/>
    </row>
    <row r="45" spans="1:13" x14ac:dyDescent="0.6">
      <c r="B45" s="316"/>
    </row>
    <row r="46" spans="1:13" x14ac:dyDescent="0.6">
      <c r="C46" s="366"/>
      <c r="D46" s="366"/>
      <c r="E46" s="366"/>
      <c r="F46" s="366"/>
      <c r="G46" s="366"/>
      <c r="H46" s="367"/>
      <c r="I46" s="366"/>
      <c r="J46" s="366"/>
    </row>
    <row r="47" spans="1:13" x14ac:dyDescent="0.6">
      <c r="C47" s="366"/>
      <c r="D47" s="366"/>
      <c r="E47" s="366"/>
      <c r="F47" s="366"/>
      <c r="G47" s="366"/>
    </row>
    <row r="48" spans="1:13" x14ac:dyDescent="0.6">
      <c r="B48" s="368"/>
      <c r="E48" s="171"/>
      <c r="F48" s="170"/>
      <c r="G48" s="170"/>
      <c r="H48" s="369"/>
      <c r="I48" s="171"/>
      <c r="J48" s="171"/>
      <c r="K48" s="265"/>
      <c r="L48" s="265"/>
      <c r="M48" s="265"/>
    </row>
    <row r="49" spans="2:13" x14ac:dyDescent="0.6">
      <c r="B49" s="370"/>
      <c r="C49" s="177"/>
      <c r="D49" s="172"/>
      <c r="E49" s="170"/>
      <c r="F49" s="171"/>
      <c r="G49" s="171"/>
      <c r="H49" s="371"/>
      <c r="J49" s="173"/>
      <c r="K49" s="265"/>
      <c r="L49" s="265"/>
      <c r="M49" s="265"/>
    </row>
    <row r="50" spans="2:13" x14ac:dyDescent="0.6">
      <c r="B50" s="370"/>
      <c r="C50" s="177"/>
      <c r="D50" s="172"/>
      <c r="E50" s="170"/>
      <c r="F50" s="171"/>
      <c r="G50" s="171"/>
      <c r="H50" s="372"/>
      <c r="J50" s="173"/>
      <c r="K50" s="373"/>
      <c r="L50" s="265"/>
      <c r="M50" s="265"/>
    </row>
    <row r="51" spans="2:13" x14ac:dyDescent="0.6">
      <c r="E51" s="177"/>
      <c r="F51" s="172"/>
      <c r="G51" s="172"/>
      <c r="L51" s="265"/>
      <c r="M51" s="265"/>
    </row>
    <row r="52" spans="2:13" x14ac:dyDescent="0.6">
      <c r="B52" s="374"/>
      <c r="C52" s="170"/>
      <c r="D52" s="170"/>
      <c r="E52" s="177"/>
      <c r="F52" s="172"/>
      <c r="G52" s="172"/>
      <c r="H52" s="375"/>
      <c r="I52" s="172"/>
      <c r="J52" s="172"/>
      <c r="K52" s="265"/>
      <c r="L52" s="265"/>
      <c r="M52" s="265"/>
    </row>
    <row r="53" spans="2:13" x14ac:dyDescent="0.6">
      <c r="B53" s="374"/>
      <c r="C53" s="376"/>
      <c r="D53" s="376"/>
      <c r="E53" s="377"/>
      <c r="F53" s="172"/>
      <c r="G53" s="172"/>
      <c r="H53" s="375"/>
      <c r="I53" s="172"/>
      <c r="J53" s="172"/>
      <c r="K53" s="265"/>
      <c r="L53" s="265"/>
      <c r="M53" s="265"/>
    </row>
    <row r="54" spans="2:13" x14ac:dyDescent="0.6">
      <c r="B54" s="374"/>
      <c r="C54" s="376"/>
      <c r="D54" s="376"/>
      <c r="E54" s="377"/>
      <c r="F54" s="172"/>
      <c r="G54" s="172"/>
      <c r="H54" s="375"/>
      <c r="I54" s="172"/>
      <c r="J54" s="172"/>
      <c r="K54" s="265"/>
      <c r="L54" s="265"/>
      <c r="M54" s="265"/>
    </row>
    <row r="55" spans="2:13" x14ac:dyDescent="0.6">
      <c r="G55" s="172"/>
      <c r="H55" s="375"/>
      <c r="I55" s="172"/>
      <c r="J55" s="172"/>
      <c r="K55" s="265"/>
      <c r="L55" s="265"/>
      <c r="M55" s="265"/>
    </row>
    <row r="56" spans="2:13" x14ac:dyDescent="0.6">
      <c r="H56" s="375"/>
      <c r="I56" s="172"/>
      <c r="J56" s="172"/>
      <c r="K56" s="265"/>
      <c r="L56" s="265"/>
      <c r="M56" s="265"/>
    </row>
    <row r="57" spans="2:13" x14ac:dyDescent="0.6">
      <c r="C57" s="172"/>
      <c r="D57" s="172"/>
      <c r="E57" s="172"/>
      <c r="F57" s="172"/>
      <c r="G57" s="172"/>
      <c r="H57" s="375"/>
      <c r="I57" s="172"/>
      <c r="J57" s="172"/>
      <c r="K57" s="265"/>
      <c r="L57" s="265"/>
      <c r="M57" s="265"/>
    </row>
    <row r="58" spans="2:13" x14ac:dyDescent="0.6">
      <c r="B58" s="368"/>
      <c r="C58" s="170"/>
      <c r="D58" s="170"/>
      <c r="E58" s="171"/>
      <c r="F58" s="170"/>
      <c r="G58" s="170"/>
      <c r="H58" s="369"/>
      <c r="I58" s="171"/>
      <c r="J58" s="171"/>
      <c r="K58" s="265"/>
      <c r="L58" s="265"/>
      <c r="M58" s="265"/>
    </row>
    <row r="59" spans="2:13" x14ac:dyDescent="0.6">
      <c r="B59" s="370"/>
      <c r="C59" s="172"/>
      <c r="D59" s="172"/>
      <c r="E59" s="170"/>
      <c r="F59" s="172"/>
      <c r="G59" s="172"/>
      <c r="H59" s="375"/>
      <c r="J59" s="173"/>
      <c r="K59" s="265"/>
      <c r="L59" s="265"/>
      <c r="M59" s="265"/>
    </row>
    <row r="60" spans="2:13" x14ac:dyDescent="0.6">
      <c r="B60" s="370"/>
      <c r="C60" s="172"/>
      <c r="D60" s="172"/>
      <c r="E60" s="170"/>
      <c r="F60" s="172"/>
      <c r="G60" s="172"/>
      <c r="J60" s="173"/>
      <c r="K60" s="373"/>
      <c r="L60" s="265"/>
      <c r="M60" s="265"/>
    </row>
    <row r="61" spans="2:13" x14ac:dyDescent="0.6">
      <c r="C61" s="265"/>
      <c r="D61" s="265"/>
      <c r="E61" s="265"/>
      <c r="F61" s="265"/>
      <c r="G61" s="265"/>
      <c r="K61" s="265"/>
      <c r="L61" s="265"/>
      <c r="M61" s="265"/>
    </row>
    <row r="62" spans="2:13" x14ac:dyDescent="0.6">
      <c r="C62" s="266"/>
      <c r="D62" s="266"/>
      <c r="E62" s="266"/>
      <c r="F62" s="266"/>
      <c r="G62" s="266"/>
      <c r="H62" s="371"/>
      <c r="I62" s="266"/>
      <c r="J62" s="266"/>
      <c r="K62" s="265"/>
      <c r="L62" s="265"/>
      <c r="M62" s="265"/>
    </row>
    <row r="65" spans="2:11" x14ac:dyDescent="0.6">
      <c r="B65" s="316"/>
    </row>
    <row r="66" spans="2:11" x14ac:dyDescent="0.6">
      <c r="B66" s="275"/>
    </row>
    <row r="68" spans="2:11" x14ac:dyDescent="0.6">
      <c r="C68" s="366"/>
      <c r="D68" s="366"/>
      <c r="E68" s="366"/>
      <c r="F68" s="366"/>
      <c r="H68" s="378"/>
      <c r="I68" s="366"/>
      <c r="J68" s="366"/>
    </row>
    <row r="69" spans="2:11" x14ac:dyDescent="0.6">
      <c r="C69" s="366"/>
      <c r="D69" s="379"/>
      <c r="E69" s="366"/>
      <c r="F69" s="379"/>
    </row>
    <row r="70" spans="2:11" x14ac:dyDescent="0.6">
      <c r="B70" s="368"/>
      <c r="C70" s="170"/>
      <c r="D70" s="373"/>
      <c r="E70" s="380"/>
      <c r="F70" s="380"/>
      <c r="H70" s="381"/>
    </row>
    <row r="71" spans="2:11" x14ac:dyDescent="0.6">
      <c r="B71" s="370"/>
      <c r="C71" s="171"/>
      <c r="D71" s="373"/>
      <c r="E71" s="170"/>
      <c r="F71" s="373"/>
      <c r="H71" s="382"/>
      <c r="I71" s="383"/>
      <c r="J71" s="383"/>
      <c r="K71" s="318"/>
    </row>
    <row r="72" spans="2:11" x14ac:dyDescent="0.6">
      <c r="B72" s="370"/>
      <c r="C72" s="171"/>
      <c r="D72" s="373"/>
      <c r="E72" s="170"/>
      <c r="F72" s="373"/>
      <c r="H72" s="382"/>
      <c r="I72" s="383"/>
      <c r="J72" s="383"/>
      <c r="K72" s="318"/>
    </row>
    <row r="73" spans="2:11" x14ac:dyDescent="0.6">
      <c r="C73" s="171"/>
      <c r="D73" s="373"/>
      <c r="E73" s="171"/>
      <c r="F73" s="373"/>
      <c r="H73" s="382"/>
      <c r="I73" s="383"/>
      <c r="J73" s="383"/>
      <c r="K73" s="318"/>
    </row>
    <row r="74" spans="2:11" x14ac:dyDescent="0.6">
      <c r="B74" s="368"/>
      <c r="C74" s="170"/>
      <c r="D74" s="373"/>
      <c r="E74" s="170"/>
      <c r="F74" s="373"/>
      <c r="H74" s="381"/>
      <c r="I74" s="358"/>
      <c r="J74" s="358"/>
    </row>
    <row r="75" spans="2:11" x14ac:dyDescent="0.6">
      <c r="B75" s="370"/>
      <c r="C75" s="171"/>
      <c r="D75" s="380"/>
      <c r="E75" s="170"/>
      <c r="F75" s="373"/>
      <c r="H75" s="382"/>
      <c r="I75" s="383"/>
      <c r="J75" s="383"/>
      <c r="K75" s="318"/>
    </row>
    <row r="76" spans="2:11" x14ac:dyDescent="0.6">
      <c r="B76" s="370"/>
      <c r="C76" s="171"/>
      <c r="D76" s="380"/>
      <c r="E76" s="170"/>
      <c r="F76" s="373"/>
    </row>
    <row r="77" spans="2:11" x14ac:dyDescent="0.6">
      <c r="C77" s="266"/>
      <c r="D77" s="380"/>
      <c r="E77" s="266"/>
      <c r="F77" s="380"/>
    </row>
    <row r="78" spans="2:11" x14ac:dyDescent="0.6">
      <c r="C78" s="266"/>
      <c r="D78" s="380"/>
      <c r="E78" s="266"/>
      <c r="F78" s="380"/>
    </row>
    <row r="79" spans="2:11" x14ac:dyDescent="0.6">
      <c r="C79" s="266"/>
      <c r="D79" s="380"/>
      <c r="E79" s="266"/>
      <c r="F79" s="380"/>
    </row>
    <row r="80" spans="2:11" x14ac:dyDescent="0.6">
      <c r="C80" s="265"/>
      <c r="E80" s="265"/>
    </row>
    <row r="81" spans="1:13" x14ac:dyDescent="0.6">
      <c r="A81" s="384"/>
      <c r="B81" s="361"/>
      <c r="C81" s="265"/>
      <c r="E81" s="265"/>
    </row>
    <row r="82" spans="1:13" x14ac:dyDescent="0.6">
      <c r="A82" s="384"/>
      <c r="B82" s="275"/>
    </row>
    <row r="84" spans="1:13" x14ac:dyDescent="0.6">
      <c r="B84" s="316"/>
    </row>
    <row r="85" spans="1:13" x14ac:dyDescent="0.6">
      <c r="B85" s="275"/>
    </row>
    <row r="86" spans="1:13" x14ac:dyDescent="0.6">
      <c r="B86" s="316"/>
    </row>
    <row r="87" spans="1:13" x14ac:dyDescent="0.6">
      <c r="C87" s="366"/>
      <c r="D87" s="366"/>
      <c r="E87" s="366"/>
      <c r="F87" s="366"/>
      <c r="G87" s="366"/>
      <c r="H87" s="367"/>
      <c r="I87" s="366"/>
      <c r="J87" s="366"/>
    </row>
    <row r="88" spans="1:13" x14ac:dyDescent="0.6">
      <c r="C88" s="384"/>
      <c r="D88" s="384"/>
      <c r="E88" s="384"/>
      <c r="F88" s="385"/>
      <c r="G88" s="385"/>
      <c r="H88" s="386"/>
      <c r="I88" s="385"/>
      <c r="J88" s="385"/>
    </row>
    <row r="89" spans="1:13" x14ac:dyDescent="0.6">
      <c r="B89" s="368"/>
      <c r="C89" s="384"/>
      <c r="D89" s="384"/>
      <c r="E89" s="384"/>
      <c r="F89" s="385"/>
      <c r="G89" s="385"/>
      <c r="H89" s="386"/>
      <c r="I89" s="385"/>
      <c r="J89" s="385"/>
      <c r="L89" s="265"/>
      <c r="M89" s="265"/>
    </row>
    <row r="90" spans="1:13" x14ac:dyDescent="0.6">
      <c r="B90" s="370"/>
      <c r="C90" s="384"/>
      <c r="D90" s="384"/>
      <c r="E90" s="385"/>
      <c r="F90" s="384"/>
      <c r="G90" s="385"/>
      <c r="H90" s="386"/>
      <c r="I90" s="385"/>
      <c r="J90" s="384"/>
      <c r="L90" s="265"/>
      <c r="M90" s="265"/>
    </row>
    <row r="91" spans="1:13" x14ac:dyDescent="0.6">
      <c r="B91" s="370"/>
      <c r="C91" s="384"/>
      <c r="D91" s="384"/>
      <c r="E91" s="385"/>
      <c r="F91" s="384"/>
      <c r="G91" s="384"/>
      <c r="H91" s="387"/>
      <c r="I91" s="384"/>
      <c r="J91" s="384"/>
      <c r="L91" s="265"/>
      <c r="M91" s="265"/>
    </row>
    <row r="92" spans="1:13" x14ac:dyDescent="0.6">
      <c r="B92" s="374"/>
      <c r="C92" s="384"/>
      <c r="D92" s="384"/>
      <c r="E92" s="384"/>
      <c r="F92" s="384"/>
      <c r="G92" s="384"/>
      <c r="H92" s="387"/>
      <c r="I92" s="384"/>
      <c r="J92" s="384"/>
      <c r="L92" s="265"/>
      <c r="M92" s="265"/>
    </row>
    <row r="93" spans="1:13" x14ac:dyDescent="0.6">
      <c r="B93" s="377"/>
      <c r="C93" s="385"/>
      <c r="D93" s="385"/>
      <c r="E93" s="384"/>
      <c r="F93" s="384"/>
      <c r="G93" s="384"/>
      <c r="H93" s="387"/>
      <c r="I93" s="384"/>
      <c r="J93" s="384"/>
      <c r="L93" s="265"/>
      <c r="M93" s="265"/>
    </row>
    <row r="94" spans="1:13" x14ac:dyDescent="0.6">
      <c r="B94" s="377"/>
      <c r="C94" s="385"/>
      <c r="D94" s="385"/>
      <c r="E94" s="384"/>
      <c r="F94" s="384"/>
      <c r="G94" s="384"/>
      <c r="H94" s="387"/>
      <c r="I94" s="384"/>
      <c r="J94" s="384"/>
      <c r="L94" s="265"/>
      <c r="M94" s="265"/>
    </row>
    <row r="95" spans="1:13" x14ac:dyDescent="0.6">
      <c r="C95" s="385"/>
      <c r="D95" s="385"/>
      <c r="E95" s="384"/>
      <c r="F95" s="384"/>
      <c r="G95" s="384"/>
      <c r="H95" s="387"/>
      <c r="I95" s="384"/>
      <c r="J95" s="384"/>
      <c r="L95" s="265"/>
      <c r="M95" s="265"/>
    </row>
    <row r="96" spans="1:13" x14ac:dyDescent="0.6">
      <c r="B96" s="368"/>
      <c r="C96" s="385"/>
      <c r="D96" s="385"/>
      <c r="E96" s="384"/>
      <c r="F96" s="385"/>
      <c r="G96" s="385"/>
      <c r="H96" s="386"/>
      <c r="I96" s="385"/>
      <c r="J96" s="385"/>
      <c r="L96" s="265"/>
      <c r="M96" s="265"/>
    </row>
    <row r="97" spans="2:13" x14ac:dyDescent="0.6">
      <c r="B97" s="370"/>
      <c r="C97" s="384"/>
      <c r="D97" s="384"/>
      <c r="E97" s="385"/>
      <c r="F97" s="384"/>
      <c r="G97" s="384"/>
      <c r="H97" s="387"/>
      <c r="I97" s="384"/>
      <c r="J97" s="384"/>
      <c r="L97" s="265"/>
      <c r="M97" s="265"/>
    </row>
    <row r="98" spans="2:13" x14ac:dyDescent="0.6">
      <c r="B98" s="370"/>
      <c r="C98" s="384"/>
      <c r="D98" s="384"/>
      <c r="E98" s="385"/>
      <c r="F98" s="384"/>
      <c r="G98" s="384"/>
      <c r="H98" s="387"/>
      <c r="I98" s="384"/>
      <c r="J98" s="384"/>
      <c r="L98" s="265"/>
      <c r="M98" s="265"/>
    </row>
    <row r="99" spans="2:13" x14ac:dyDescent="0.6">
      <c r="C99" s="384"/>
      <c r="D99" s="384"/>
      <c r="E99" s="385"/>
      <c r="F99" s="384"/>
      <c r="G99" s="384"/>
      <c r="H99" s="387"/>
      <c r="I99" s="384"/>
      <c r="J99" s="384"/>
      <c r="L99" s="265"/>
      <c r="M99" s="265"/>
    </row>
    <row r="102" spans="2:13" x14ac:dyDescent="0.6">
      <c r="B102" s="316"/>
    </row>
    <row r="103" spans="2:13" x14ac:dyDescent="0.6">
      <c r="B103" s="275"/>
    </row>
    <row r="105" spans="2:13" x14ac:dyDescent="0.6">
      <c r="C105" s="366"/>
      <c r="D105" s="366"/>
      <c r="E105" s="366"/>
      <c r="F105" s="366"/>
      <c r="H105" s="378"/>
      <c r="I105" s="366"/>
      <c r="J105" s="366"/>
    </row>
    <row r="106" spans="2:13" x14ac:dyDescent="0.6">
      <c r="F106" s="379"/>
    </row>
    <row r="107" spans="2:13" x14ac:dyDescent="0.6">
      <c r="B107" s="368"/>
      <c r="C107" s="385"/>
      <c r="D107" s="385"/>
      <c r="E107" s="385"/>
      <c r="F107" s="380"/>
      <c r="H107" s="381"/>
    </row>
    <row r="108" spans="2:13" x14ac:dyDescent="0.6">
      <c r="B108" s="370"/>
      <c r="C108" s="385"/>
      <c r="D108" s="385"/>
      <c r="E108" s="385"/>
      <c r="F108" s="373"/>
      <c r="H108" s="382"/>
      <c r="I108" s="388"/>
      <c r="J108" s="388"/>
      <c r="K108" s="318"/>
    </row>
    <row r="109" spans="2:13" x14ac:dyDescent="0.6">
      <c r="B109" s="370"/>
      <c r="C109" s="385"/>
      <c r="D109" s="385"/>
      <c r="E109" s="385"/>
      <c r="F109" s="373"/>
      <c r="H109" s="382"/>
      <c r="I109" s="388"/>
      <c r="J109" s="388"/>
      <c r="K109" s="318"/>
    </row>
    <row r="110" spans="2:13" x14ac:dyDescent="0.6">
      <c r="C110" s="385"/>
      <c r="D110" s="385"/>
      <c r="E110" s="385"/>
      <c r="F110" s="373"/>
      <c r="H110" s="382"/>
      <c r="I110" s="383"/>
      <c r="J110" s="383"/>
      <c r="K110" s="318"/>
    </row>
    <row r="111" spans="2:13" x14ac:dyDescent="0.6">
      <c r="B111" s="368"/>
      <c r="C111" s="385"/>
      <c r="D111" s="385"/>
      <c r="E111" s="385"/>
      <c r="F111" s="373"/>
      <c r="H111" s="381"/>
      <c r="I111" s="358"/>
      <c r="J111" s="358"/>
    </row>
    <row r="112" spans="2:13" x14ac:dyDescent="0.6">
      <c r="B112" s="370"/>
      <c r="C112" s="385"/>
      <c r="D112" s="385"/>
      <c r="E112" s="385"/>
      <c r="F112" s="373"/>
      <c r="H112" s="382"/>
      <c r="I112" s="388"/>
      <c r="J112" s="388"/>
      <c r="K112" s="318"/>
    </row>
    <row r="113" spans="1:12" x14ac:dyDescent="0.6">
      <c r="B113" s="370"/>
      <c r="C113" s="385"/>
      <c r="D113" s="385"/>
      <c r="E113" s="385"/>
      <c r="F113" s="373"/>
    </row>
    <row r="114" spans="1:12" x14ac:dyDescent="0.6">
      <c r="C114" s="266"/>
      <c r="D114" s="380"/>
      <c r="E114" s="266"/>
      <c r="F114" s="380"/>
    </row>
    <row r="115" spans="1:12" x14ac:dyDescent="0.6">
      <c r="C115" s="266"/>
      <c r="D115" s="380"/>
      <c r="E115" s="266"/>
      <c r="F115" s="380"/>
    </row>
    <row r="117" spans="1:12" x14ac:dyDescent="0.6">
      <c r="A117" s="384"/>
      <c r="B117" s="316"/>
      <c r="C117" s="265"/>
      <c r="E117" s="265"/>
    </row>
    <row r="118" spans="1:12" x14ac:dyDescent="0.6">
      <c r="C118" s="265"/>
      <c r="E118" s="265"/>
    </row>
    <row r="119" spans="1:12" x14ac:dyDescent="0.6">
      <c r="C119" s="366"/>
      <c r="D119" s="366"/>
      <c r="E119" s="366"/>
      <c r="F119" s="366"/>
      <c r="G119" s="366"/>
      <c r="H119" s="367"/>
      <c r="I119" s="366"/>
      <c r="J119" s="366"/>
    </row>
    <row r="121" spans="1:12" x14ac:dyDescent="0.6">
      <c r="B121" s="347"/>
      <c r="C121" s="364"/>
      <c r="D121" s="364"/>
      <c r="E121" s="389"/>
      <c r="F121" s="364"/>
      <c r="G121" s="353"/>
      <c r="H121" s="390"/>
      <c r="I121" s="364"/>
      <c r="J121" s="364"/>
    </row>
    <row r="122" spans="1:12" ht="15.25" x14ac:dyDescent="1.05">
      <c r="B122" s="347"/>
      <c r="C122" s="356"/>
      <c r="D122" s="356"/>
      <c r="E122" s="356"/>
      <c r="F122" s="356"/>
      <c r="G122" s="356"/>
      <c r="H122" s="391"/>
      <c r="I122" s="356"/>
      <c r="J122" s="356"/>
    </row>
    <row r="123" spans="1:12" x14ac:dyDescent="0.6">
      <c r="B123" s="347"/>
      <c r="C123" s="355"/>
      <c r="D123" s="355"/>
      <c r="E123" s="355"/>
      <c r="F123" s="355"/>
      <c r="G123" s="355"/>
      <c r="H123" s="392"/>
      <c r="I123" s="355"/>
      <c r="J123" s="355"/>
    </row>
    <row r="124" spans="1:12" x14ac:dyDescent="0.6">
      <c r="B124" s="347"/>
      <c r="C124" s="355"/>
      <c r="D124" s="355"/>
      <c r="E124" s="355"/>
      <c r="F124" s="355"/>
      <c r="G124" s="355"/>
      <c r="H124" s="392"/>
      <c r="I124" s="355"/>
      <c r="J124" s="355"/>
      <c r="K124" s="355"/>
      <c r="L124" s="355"/>
    </row>
    <row r="125" spans="1:12" x14ac:dyDescent="0.6">
      <c r="B125" s="347"/>
      <c r="C125" s="355"/>
      <c r="D125" s="355"/>
      <c r="E125" s="355"/>
      <c r="F125" s="355"/>
      <c r="G125" s="355"/>
      <c r="H125" s="392"/>
      <c r="I125" s="355"/>
      <c r="J125" s="355"/>
      <c r="K125" s="355"/>
      <c r="L125" s="355"/>
    </row>
    <row r="126" spans="1:12" x14ac:dyDescent="0.6">
      <c r="B126" s="347"/>
      <c r="C126" s="366"/>
      <c r="D126" s="366"/>
      <c r="F126" s="366"/>
      <c r="G126" s="366"/>
      <c r="H126" s="392"/>
      <c r="I126" s="355"/>
      <c r="J126" s="355"/>
      <c r="K126" s="355"/>
      <c r="L126" s="355"/>
    </row>
    <row r="127" spans="1:12" x14ac:dyDescent="0.6">
      <c r="B127" s="347"/>
      <c r="C127" s="366"/>
      <c r="D127" s="366"/>
      <c r="F127" s="366"/>
      <c r="G127" s="366"/>
      <c r="H127" s="392"/>
      <c r="I127" s="355"/>
      <c r="J127" s="355"/>
      <c r="K127" s="355"/>
      <c r="L127" s="355"/>
    </row>
    <row r="128" spans="1:12" x14ac:dyDescent="0.6">
      <c r="B128" s="347"/>
      <c r="G128" s="355"/>
      <c r="H128" s="392"/>
      <c r="I128" s="355"/>
      <c r="J128" s="355"/>
      <c r="K128" s="355"/>
      <c r="L128" s="355"/>
    </row>
    <row r="129" spans="2:12" x14ac:dyDescent="0.6">
      <c r="B129" s="347"/>
      <c r="C129" s="389"/>
      <c r="D129" s="389"/>
      <c r="F129" s="389"/>
      <c r="G129" s="393"/>
      <c r="H129" s="392"/>
      <c r="I129" s="355"/>
      <c r="J129" s="355"/>
      <c r="K129" s="355"/>
      <c r="L129" s="355"/>
    </row>
    <row r="130" spans="2:12" ht="15.25" x14ac:dyDescent="1.05">
      <c r="B130" s="347"/>
      <c r="C130" s="394"/>
      <c r="D130" s="394"/>
      <c r="F130" s="394"/>
      <c r="G130" s="394"/>
      <c r="H130" s="392"/>
      <c r="I130" s="355"/>
      <c r="J130" s="355"/>
      <c r="K130" s="355"/>
      <c r="L130" s="355"/>
    </row>
    <row r="131" spans="2:12" x14ac:dyDescent="0.6">
      <c r="B131" s="347"/>
      <c r="C131" s="355"/>
      <c r="D131" s="355"/>
      <c r="F131" s="355"/>
      <c r="G131" s="355"/>
      <c r="H131" s="392"/>
      <c r="I131" s="355"/>
      <c r="J131" s="355"/>
      <c r="K131" s="355"/>
      <c r="L131" s="355"/>
    </row>
    <row r="132" spans="2:12" x14ac:dyDescent="0.6">
      <c r="B132" s="347"/>
      <c r="C132" s="355"/>
      <c r="F132" s="355"/>
      <c r="G132" s="355"/>
      <c r="H132" s="392"/>
      <c r="I132" s="355"/>
      <c r="J132" s="355"/>
      <c r="K132" s="355"/>
      <c r="L132" s="355"/>
    </row>
    <row r="133" spans="2:12" x14ac:dyDescent="0.6">
      <c r="B133" s="347"/>
      <c r="C133" s="355"/>
      <c r="D133" s="355"/>
      <c r="E133" s="355"/>
      <c r="F133" s="355"/>
      <c r="G133" s="355"/>
      <c r="H133" s="392"/>
      <c r="I133" s="355"/>
      <c r="J133" s="355"/>
      <c r="K133" s="355"/>
      <c r="L133" s="355"/>
    </row>
    <row r="134" spans="2:12" x14ac:dyDescent="0.6">
      <c r="B134" s="347"/>
      <c r="C134" s="366"/>
      <c r="D134" s="366"/>
      <c r="E134" s="366"/>
      <c r="F134" s="355"/>
      <c r="G134" s="355"/>
      <c r="H134" s="392"/>
      <c r="I134" s="355"/>
      <c r="J134" s="355"/>
      <c r="K134" s="355"/>
      <c r="L134" s="355"/>
    </row>
    <row r="135" spans="2:12" x14ac:dyDescent="0.6">
      <c r="B135" s="347"/>
      <c r="C135" s="355"/>
      <c r="D135" s="355"/>
      <c r="E135" s="355"/>
      <c r="F135" s="355"/>
      <c r="G135" s="355"/>
      <c r="H135" s="392"/>
      <c r="I135" s="355"/>
      <c r="J135" s="355"/>
      <c r="K135" s="355"/>
      <c r="L135" s="355"/>
    </row>
    <row r="136" spans="2:12" ht="15.25" x14ac:dyDescent="1.05">
      <c r="B136" s="347"/>
      <c r="C136" s="363"/>
      <c r="D136" s="363"/>
      <c r="E136" s="363"/>
    </row>
    <row r="137" spans="2:12" x14ac:dyDescent="0.6">
      <c r="B137" s="347"/>
      <c r="C137" s="355"/>
      <c r="D137" s="355"/>
      <c r="E137" s="395"/>
    </row>
    <row r="138" spans="2:12" x14ac:dyDescent="0.6">
      <c r="B138" s="347"/>
      <c r="C138" s="265"/>
      <c r="E138" s="265"/>
    </row>
    <row r="139" spans="2:12" x14ac:dyDescent="0.6">
      <c r="C139" s="366"/>
      <c r="D139" s="366"/>
      <c r="E139" s="366"/>
      <c r="F139" s="366"/>
      <c r="G139" s="366"/>
      <c r="H139" s="367"/>
      <c r="I139" s="366"/>
      <c r="J139" s="366"/>
      <c r="K139" s="366"/>
      <c r="L139" s="366"/>
    </row>
    <row r="141" spans="2:12" x14ac:dyDescent="0.6">
      <c r="B141" s="347"/>
      <c r="C141" s="355"/>
    </row>
    <row r="142" spans="2:12" ht="15.25" x14ac:dyDescent="1.05">
      <c r="B142" s="347"/>
      <c r="C142" s="363"/>
    </row>
    <row r="143" spans="2:12" x14ac:dyDescent="0.6">
      <c r="B143" s="347"/>
      <c r="C143" s="355"/>
    </row>
    <row r="144" spans="2:12" x14ac:dyDescent="0.6">
      <c r="C144" s="265"/>
    </row>
    <row r="145" spans="1:10" x14ac:dyDescent="0.6">
      <c r="B145" s="377"/>
      <c r="C145" s="347"/>
    </row>
    <row r="146" spans="1:10" x14ac:dyDescent="0.6">
      <c r="B146" s="347"/>
      <c r="C146" s="355"/>
    </row>
    <row r="147" spans="1:10" ht="15.25" x14ac:dyDescent="1.05">
      <c r="B147" s="347"/>
      <c r="C147" s="363"/>
    </row>
    <row r="148" spans="1:10" x14ac:dyDescent="0.6">
      <c r="B148" s="347"/>
      <c r="C148" s="355"/>
    </row>
    <row r="153" spans="1:10" x14ac:dyDescent="0.6">
      <c r="A153" s="384"/>
      <c r="B153" s="361"/>
      <c r="C153" s="265"/>
      <c r="E153" s="265"/>
    </row>
    <row r="154" spans="1:10" x14ac:dyDescent="0.6">
      <c r="B154" s="275"/>
    </row>
    <row r="156" spans="1:10" x14ac:dyDescent="0.6">
      <c r="B156" s="316"/>
    </row>
    <row r="157" spans="1:10" x14ac:dyDescent="0.6">
      <c r="B157" s="275"/>
    </row>
    <row r="158" spans="1:10" x14ac:dyDescent="0.6">
      <c r="B158" s="316"/>
    </row>
    <row r="159" spans="1:10" x14ac:dyDescent="0.6">
      <c r="C159" s="366"/>
      <c r="D159" s="366"/>
      <c r="E159" s="366"/>
      <c r="F159" s="366"/>
      <c r="G159" s="366"/>
      <c r="H159" s="367"/>
      <c r="I159" s="366"/>
      <c r="J159" s="366"/>
    </row>
    <row r="160" spans="1:10" x14ac:dyDescent="0.6">
      <c r="C160" s="384"/>
      <c r="D160" s="384"/>
      <c r="E160" s="384"/>
      <c r="F160" s="385"/>
      <c r="G160" s="385"/>
      <c r="H160" s="386"/>
      <c r="I160" s="385"/>
      <c r="J160" s="385"/>
    </row>
    <row r="161" spans="2:10" x14ac:dyDescent="0.6">
      <c r="B161" s="368"/>
      <c r="C161" s="384"/>
      <c r="D161" s="384"/>
      <c r="E161" s="384"/>
      <c r="F161" s="385"/>
      <c r="G161" s="385"/>
      <c r="H161" s="386"/>
      <c r="I161" s="385"/>
      <c r="J161" s="385"/>
    </row>
    <row r="162" spans="2:10" x14ac:dyDescent="0.6">
      <c r="B162" s="370"/>
      <c r="C162" s="384"/>
      <c r="D162" s="384"/>
      <c r="E162" s="385"/>
      <c r="G162" s="385"/>
      <c r="H162" s="386"/>
      <c r="I162" s="385"/>
      <c r="J162" s="384"/>
    </row>
    <row r="163" spans="2:10" x14ac:dyDescent="0.6">
      <c r="B163" s="370"/>
      <c r="C163" s="384"/>
      <c r="D163" s="384"/>
      <c r="E163" s="385"/>
      <c r="F163" s="384"/>
      <c r="G163" s="384"/>
      <c r="H163" s="387"/>
      <c r="I163" s="384"/>
      <c r="J163" s="384"/>
    </row>
    <row r="164" spans="2:10" x14ac:dyDescent="0.6">
      <c r="B164" s="374"/>
      <c r="C164" s="384"/>
      <c r="D164" s="384"/>
      <c r="E164" s="384"/>
      <c r="F164" s="384"/>
      <c r="G164" s="384"/>
      <c r="H164" s="387"/>
      <c r="I164" s="384"/>
      <c r="J164" s="384"/>
    </row>
    <row r="165" spans="2:10" x14ac:dyDescent="0.6">
      <c r="B165" s="377"/>
      <c r="C165" s="385"/>
      <c r="D165" s="385"/>
      <c r="E165" s="384"/>
      <c r="F165" s="384"/>
      <c r="G165" s="384"/>
      <c r="H165" s="387"/>
      <c r="I165" s="384"/>
      <c r="J165" s="384"/>
    </row>
    <row r="166" spans="2:10" x14ac:dyDescent="0.6">
      <c r="B166" s="377"/>
      <c r="C166" s="385"/>
      <c r="D166" s="385"/>
      <c r="E166" s="384"/>
      <c r="F166" s="384"/>
      <c r="G166" s="384"/>
      <c r="H166" s="387"/>
      <c r="I166" s="384"/>
      <c r="J166" s="384"/>
    </row>
    <row r="167" spans="2:10" x14ac:dyDescent="0.6">
      <c r="C167" s="385"/>
      <c r="D167" s="385"/>
      <c r="E167" s="384"/>
      <c r="F167" s="384"/>
      <c r="G167" s="384"/>
      <c r="H167" s="387"/>
      <c r="I167" s="384"/>
      <c r="J167" s="384"/>
    </row>
    <row r="168" spans="2:10" x14ac:dyDescent="0.6">
      <c r="B168" s="368"/>
      <c r="C168" s="385"/>
      <c r="D168" s="385"/>
      <c r="E168" s="384"/>
      <c r="F168" s="385"/>
      <c r="G168" s="385"/>
      <c r="H168" s="386"/>
      <c r="I168" s="385"/>
      <c r="J168" s="385"/>
    </row>
    <row r="169" spans="2:10" x14ac:dyDescent="0.6">
      <c r="B169" s="370"/>
      <c r="C169" s="384"/>
      <c r="D169" s="384"/>
      <c r="E169" s="385"/>
      <c r="F169" s="384"/>
      <c r="G169" s="384"/>
      <c r="H169" s="387"/>
      <c r="I169" s="384"/>
      <c r="J169" s="384"/>
    </row>
    <row r="170" spans="2:10" x14ac:dyDescent="0.6">
      <c r="B170" s="370"/>
      <c r="C170" s="384"/>
      <c r="D170" s="384"/>
      <c r="E170" s="385"/>
      <c r="F170" s="384"/>
      <c r="G170" s="384"/>
      <c r="H170" s="387"/>
      <c r="I170" s="384"/>
      <c r="J170" s="384"/>
    </row>
    <row r="171" spans="2:10" x14ac:dyDescent="0.6">
      <c r="C171" s="384"/>
      <c r="D171" s="384"/>
      <c r="E171" s="385"/>
      <c r="F171" s="384"/>
      <c r="G171" s="384"/>
      <c r="H171" s="387"/>
      <c r="I171" s="384"/>
      <c r="J171" s="384"/>
    </row>
    <row r="174" spans="2:10" x14ac:dyDescent="0.6">
      <c r="B174" s="316"/>
    </row>
    <row r="175" spans="2:10" x14ac:dyDescent="0.6">
      <c r="B175" s="275"/>
    </row>
    <row r="177" spans="1:12" x14ac:dyDescent="0.6">
      <c r="C177" s="366"/>
      <c r="D177" s="366"/>
      <c r="E177" s="366"/>
      <c r="F177" s="366"/>
      <c r="H177" s="378"/>
      <c r="I177" s="366"/>
      <c r="J177" s="366"/>
    </row>
    <row r="178" spans="1:12" x14ac:dyDescent="0.6">
      <c r="F178" s="379"/>
    </row>
    <row r="179" spans="1:12" x14ac:dyDescent="0.6">
      <c r="B179" s="368"/>
      <c r="C179" s="385"/>
      <c r="D179" s="385"/>
      <c r="E179" s="385"/>
      <c r="F179" s="380"/>
      <c r="H179" s="381"/>
    </row>
    <row r="180" spans="1:12" x14ac:dyDescent="0.6">
      <c r="B180" s="370"/>
      <c r="C180" s="385"/>
      <c r="D180" s="385"/>
      <c r="E180" s="385"/>
      <c r="F180" s="373"/>
      <c r="H180" s="382"/>
      <c r="I180" s="396"/>
      <c r="J180" s="396"/>
    </row>
    <row r="181" spans="1:12" x14ac:dyDescent="0.6">
      <c r="B181" s="370"/>
      <c r="C181" s="385"/>
      <c r="D181" s="385"/>
      <c r="E181" s="385"/>
      <c r="F181" s="373"/>
      <c r="H181" s="382"/>
      <c r="I181" s="396"/>
      <c r="J181" s="396"/>
    </row>
    <row r="182" spans="1:12" x14ac:dyDescent="0.6">
      <c r="C182" s="385"/>
      <c r="D182" s="385"/>
      <c r="E182" s="385"/>
      <c r="F182" s="373"/>
      <c r="H182" s="382"/>
      <c r="I182" s="383"/>
      <c r="J182" s="383"/>
    </row>
    <row r="183" spans="1:12" x14ac:dyDescent="0.6">
      <c r="B183" s="368"/>
      <c r="C183" s="385"/>
      <c r="D183" s="385"/>
      <c r="E183" s="385"/>
      <c r="F183" s="373"/>
      <c r="H183" s="381"/>
      <c r="I183" s="358"/>
      <c r="J183" s="358"/>
    </row>
    <row r="184" spans="1:12" x14ac:dyDescent="0.6">
      <c r="B184" s="370"/>
      <c r="C184" s="385"/>
      <c r="D184" s="385"/>
      <c r="E184" s="385"/>
      <c r="F184" s="373"/>
      <c r="H184" s="382"/>
      <c r="I184" s="396"/>
      <c r="J184" s="396"/>
    </row>
    <row r="185" spans="1:12" x14ac:dyDescent="0.6">
      <c r="B185" s="370"/>
      <c r="C185" s="385"/>
      <c r="D185" s="385"/>
      <c r="E185" s="385"/>
      <c r="F185" s="373"/>
    </row>
    <row r="189" spans="1:12" x14ac:dyDescent="0.6">
      <c r="A189" s="384"/>
      <c r="B189" s="316"/>
      <c r="C189" s="265"/>
      <c r="E189" s="265"/>
    </row>
    <row r="190" spans="1:12" x14ac:dyDescent="0.6">
      <c r="C190" s="265"/>
      <c r="E190" s="265"/>
    </row>
    <row r="191" spans="1:12" x14ac:dyDescent="0.6">
      <c r="C191" s="366"/>
      <c r="D191" s="366"/>
      <c r="E191" s="366"/>
      <c r="F191" s="366"/>
      <c r="G191" s="366"/>
      <c r="H191" s="367"/>
      <c r="I191" s="366"/>
      <c r="J191" s="366"/>
      <c r="K191" s="366"/>
      <c r="L191" s="366"/>
    </row>
    <row r="193" spans="2:12" x14ac:dyDescent="0.6">
      <c r="B193" s="347"/>
      <c r="C193" s="364"/>
      <c r="D193" s="364"/>
      <c r="E193" s="389"/>
      <c r="F193" s="364"/>
      <c r="G193" s="353"/>
      <c r="H193" s="390"/>
      <c r="I193" s="364"/>
      <c r="J193" s="364"/>
      <c r="K193" s="389"/>
      <c r="L193" s="389"/>
    </row>
    <row r="194" spans="2:12" ht="15.25" x14ac:dyDescent="1.05">
      <c r="B194" s="347"/>
      <c r="C194" s="356"/>
      <c r="D194" s="356"/>
      <c r="E194" s="356"/>
      <c r="F194" s="356"/>
      <c r="G194" s="356"/>
      <c r="H194" s="391"/>
      <c r="I194" s="356"/>
      <c r="J194" s="356"/>
      <c r="K194" s="394"/>
      <c r="L194" s="394"/>
    </row>
    <row r="195" spans="2:12" x14ac:dyDescent="0.6">
      <c r="B195" s="347"/>
      <c r="C195" s="355"/>
      <c r="D195" s="355"/>
      <c r="E195" s="355"/>
      <c r="F195" s="355"/>
      <c r="G195" s="355"/>
      <c r="H195" s="392"/>
      <c r="I195" s="355"/>
      <c r="J195" s="355"/>
      <c r="K195" s="355"/>
      <c r="L195" s="355"/>
    </row>
    <row r="196" spans="2:12" x14ac:dyDescent="0.6">
      <c r="B196" s="347"/>
      <c r="C196" s="355"/>
      <c r="D196" s="355"/>
      <c r="E196" s="355"/>
      <c r="F196" s="355"/>
      <c r="G196" s="355"/>
      <c r="H196" s="392"/>
      <c r="I196" s="355"/>
      <c r="J196" s="355"/>
      <c r="K196" s="355"/>
      <c r="L196" s="355"/>
    </row>
    <row r="197" spans="2:12" x14ac:dyDescent="0.6">
      <c r="B197" s="347"/>
      <c r="C197" s="355"/>
      <c r="D197" s="355"/>
      <c r="E197" s="355"/>
      <c r="F197" s="355"/>
      <c r="G197" s="355"/>
      <c r="H197" s="392"/>
      <c r="I197" s="355"/>
      <c r="J197" s="355"/>
      <c r="K197" s="355"/>
      <c r="L197" s="355"/>
    </row>
    <row r="198" spans="2:12" ht="15.25" x14ac:dyDescent="1.05">
      <c r="B198" s="347"/>
      <c r="C198" s="363"/>
      <c r="E198" s="265"/>
    </row>
    <row r="199" spans="2:12" x14ac:dyDescent="0.6">
      <c r="B199" s="347"/>
      <c r="C199" s="355"/>
      <c r="E199" s="265"/>
    </row>
    <row r="200" spans="2:12" x14ac:dyDescent="0.6">
      <c r="B200" s="347"/>
      <c r="C200" s="265"/>
      <c r="E200" s="265"/>
    </row>
    <row r="201" spans="2:12" x14ac:dyDescent="0.6">
      <c r="C201" s="366"/>
      <c r="D201" s="366"/>
      <c r="E201" s="366"/>
      <c r="F201" s="366"/>
      <c r="G201" s="366"/>
      <c r="H201" s="367"/>
      <c r="I201" s="366"/>
      <c r="J201" s="366"/>
      <c r="K201" s="366"/>
      <c r="L201" s="366"/>
    </row>
    <row r="203" spans="2:12" x14ac:dyDescent="0.6">
      <c r="B203" s="347"/>
      <c r="C203" s="355"/>
    </row>
    <row r="204" spans="2:12" ht="15.25" x14ac:dyDescent="1.05">
      <c r="B204" s="347"/>
      <c r="C204" s="363"/>
    </row>
    <row r="205" spans="2:12" x14ac:dyDescent="0.6">
      <c r="B205" s="347"/>
      <c r="C205" s="355"/>
      <c r="D205" s="355"/>
      <c r="G205" s="347"/>
    </row>
    <row r="206" spans="2:12" x14ac:dyDescent="0.6">
      <c r="C206" s="265"/>
      <c r="E206" s="265"/>
      <c r="G206" s="347"/>
    </row>
    <row r="207" spans="2:12" x14ac:dyDescent="0.6">
      <c r="B207" s="377"/>
      <c r="C207" s="355"/>
      <c r="E207" s="397"/>
      <c r="G207" s="397"/>
    </row>
    <row r="208" spans="2:12" x14ac:dyDescent="0.6">
      <c r="B208" s="347"/>
      <c r="C208" s="355"/>
      <c r="E208" s="303"/>
    </row>
    <row r="209" spans="1:10" ht="15.25" x14ac:dyDescent="1.05">
      <c r="B209" s="347"/>
      <c r="C209" s="363"/>
      <c r="E209" s="308"/>
    </row>
    <row r="210" spans="1:10" x14ac:dyDescent="0.6">
      <c r="B210" s="347"/>
      <c r="C210" s="355"/>
      <c r="E210" s="303"/>
    </row>
    <row r="212" spans="1:10" x14ac:dyDescent="0.6">
      <c r="C212" s="398"/>
    </row>
    <row r="213" spans="1:10" outlineLevel="1" x14ac:dyDescent="0.6">
      <c r="A213" s="316"/>
    </row>
    <row r="214" spans="1:10" outlineLevel="1" x14ac:dyDescent="0.6">
      <c r="A214" s="384"/>
      <c r="B214" s="361"/>
      <c r="C214" s="265"/>
      <c r="E214" s="265"/>
    </row>
    <row r="215" spans="1:10" outlineLevel="1" x14ac:dyDescent="0.6">
      <c r="B215" s="275"/>
    </row>
    <row r="216" spans="1:10" outlineLevel="1" x14ac:dyDescent="0.6">
      <c r="A216" s="384"/>
    </row>
    <row r="217" spans="1:10" outlineLevel="1" x14ac:dyDescent="0.6">
      <c r="B217" s="316"/>
    </row>
    <row r="218" spans="1:10" outlineLevel="1" x14ac:dyDescent="0.6">
      <c r="B218" s="275"/>
    </row>
    <row r="219" spans="1:10" outlineLevel="1" x14ac:dyDescent="0.6">
      <c r="B219" s="316"/>
    </row>
    <row r="220" spans="1:10" outlineLevel="1" x14ac:dyDescent="0.6">
      <c r="C220" s="366"/>
      <c r="D220" s="366"/>
      <c r="E220" s="366"/>
      <c r="F220" s="366"/>
      <c r="G220" s="366"/>
      <c r="H220" s="367"/>
      <c r="I220" s="366"/>
      <c r="J220" s="366"/>
    </row>
    <row r="221" spans="1:10" outlineLevel="1" x14ac:dyDescent="0.6">
      <c r="C221" s="384"/>
      <c r="D221" s="384"/>
      <c r="E221" s="384"/>
      <c r="F221" s="385"/>
      <c r="G221" s="385"/>
      <c r="H221" s="386"/>
      <c r="I221" s="385"/>
      <c r="J221" s="385"/>
    </row>
    <row r="222" spans="1:10" outlineLevel="1" x14ac:dyDescent="0.6">
      <c r="B222" s="368"/>
      <c r="C222" s="384"/>
      <c r="D222" s="384"/>
      <c r="E222" s="384"/>
      <c r="F222" s="385"/>
      <c r="G222" s="385"/>
      <c r="H222" s="386"/>
      <c r="I222" s="385"/>
      <c r="J222" s="385"/>
    </row>
    <row r="223" spans="1:10" outlineLevel="1" x14ac:dyDescent="0.6">
      <c r="B223" s="370"/>
      <c r="C223" s="384"/>
      <c r="D223" s="384"/>
      <c r="E223" s="385"/>
    </row>
    <row r="224" spans="1:10" outlineLevel="1" x14ac:dyDescent="0.6">
      <c r="B224" s="370"/>
      <c r="C224" s="384"/>
      <c r="D224" s="384"/>
      <c r="E224" s="385"/>
      <c r="F224" s="384"/>
      <c r="G224" s="384"/>
      <c r="H224" s="387"/>
      <c r="I224" s="384"/>
      <c r="J224" s="384"/>
    </row>
    <row r="225" spans="2:10" outlineLevel="1" x14ac:dyDescent="0.6">
      <c r="B225" s="374"/>
      <c r="C225" s="384"/>
      <c r="D225" s="384"/>
      <c r="E225" s="384"/>
      <c r="F225" s="384"/>
      <c r="G225" s="384"/>
      <c r="H225" s="387"/>
      <c r="I225" s="384"/>
      <c r="J225" s="384"/>
    </row>
    <row r="226" spans="2:10" outlineLevel="1" x14ac:dyDescent="0.6">
      <c r="B226" s="377"/>
      <c r="C226" s="385"/>
      <c r="D226" s="385"/>
      <c r="E226" s="384"/>
      <c r="F226" s="384"/>
      <c r="G226" s="384"/>
      <c r="H226" s="387"/>
      <c r="I226" s="384"/>
      <c r="J226" s="384"/>
    </row>
    <row r="227" spans="2:10" outlineLevel="1" x14ac:dyDescent="0.6">
      <c r="B227" s="377"/>
      <c r="C227" s="385"/>
      <c r="D227" s="385"/>
      <c r="E227" s="384"/>
      <c r="F227" s="384"/>
      <c r="G227" s="384"/>
      <c r="H227" s="387"/>
      <c r="I227" s="384"/>
      <c r="J227" s="384"/>
    </row>
    <row r="228" spans="2:10" outlineLevel="1" x14ac:dyDescent="0.6">
      <c r="C228" s="385"/>
      <c r="D228" s="385"/>
      <c r="E228" s="384"/>
      <c r="F228" s="384"/>
      <c r="G228" s="384"/>
      <c r="H228" s="387"/>
      <c r="I228" s="384"/>
      <c r="J228" s="384"/>
    </row>
    <row r="229" spans="2:10" outlineLevel="1" x14ac:dyDescent="0.6">
      <c r="B229" s="368"/>
      <c r="C229" s="385"/>
      <c r="D229" s="385"/>
      <c r="E229" s="384"/>
      <c r="F229" s="385"/>
      <c r="G229" s="385"/>
      <c r="H229" s="386"/>
      <c r="I229" s="385"/>
      <c r="J229" s="385"/>
    </row>
    <row r="230" spans="2:10" outlineLevel="1" x14ac:dyDescent="0.6">
      <c r="B230" s="370"/>
      <c r="C230" s="384"/>
      <c r="D230" s="384"/>
      <c r="E230" s="385"/>
      <c r="F230" s="384"/>
      <c r="G230" s="384"/>
      <c r="H230" s="387"/>
      <c r="I230" s="384"/>
      <c r="J230" s="384"/>
    </row>
    <row r="231" spans="2:10" outlineLevel="1" x14ac:dyDescent="0.6">
      <c r="B231" s="370"/>
      <c r="C231" s="384"/>
      <c r="D231" s="384"/>
      <c r="E231" s="385"/>
      <c r="F231" s="384"/>
      <c r="G231" s="384"/>
      <c r="H231" s="387"/>
      <c r="I231" s="384"/>
      <c r="J231" s="384"/>
    </row>
    <row r="232" spans="2:10" outlineLevel="1" x14ac:dyDescent="0.6">
      <c r="C232" s="384"/>
      <c r="D232" s="384"/>
      <c r="E232" s="385"/>
      <c r="F232" s="384"/>
      <c r="G232" s="384"/>
      <c r="H232" s="387"/>
      <c r="I232" s="384"/>
      <c r="J232" s="384"/>
    </row>
    <row r="233" spans="2:10" outlineLevel="1" x14ac:dyDescent="0.6"/>
    <row r="234" spans="2:10" outlineLevel="1" x14ac:dyDescent="0.6"/>
    <row r="235" spans="2:10" outlineLevel="1" x14ac:dyDescent="0.6">
      <c r="B235" s="316"/>
    </row>
    <row r="236" spans="2:10" outlineLevel="1" x14ac:dyDescent="0.6">
      <c r="B236" s="275"/>
    </row>
    <row r="237" spans="2:10" outlineLevel="1" x14ac:dyDescent="0.6"/>
    <row r="238" spans="2:10" outlineLevel="1" x14ac:dyDescent="0.6">
      <c r="C238" s="366"/>
      <c r="D238" s="366"/>
      <c r="E238" s="366"/>
      <c r="F238" s="366"/>
      <c r="H238" s="378"/>
      <c r="I238" s="366"/>
      <c r="J238" s="366"/>
    </row>
    <row r="239" spans="2:10" outlineLevel="1" x14ac:dyDescent="0.6">
      <c r="F239" s="379"/>
    </row>
    <row r="240" spans="2:10" outlineLevel="1" x14ac:dyDescent="0.6">
      <c r="B240" s="368"/>
      <c r="C240" s="385"/>
      <c r="D240" s="385"/>
      <c r="E240" s="385"/>
      <c r="F240" s="380"/>
      <c r="H240" s="381"/>
    </row>
    <row r="241" spans="1:12" outlineLevel="1" x14ac:dyDescent="0.6">
      <c r="B241" s="370"/>
      <c r="C241" s="385"/>
      <c r="D241" s="385"/>
      <c r="E241" s="385"/>
      <c r="F241" s="373"/>
      <c r="H241" s="382"/>
      <c r="I241" s="396"/>
      <c r="J241" s="396"/>
    </row>
    <row r="242" spans="1:12" outlineLevel="1" x14ac:dyDescent="0.6">
      <c r="B242" s="370"/>
      <c r="C242" s="385"/>
      <c r="D242" s="385"/>
      <c r="E242" s="385"/>
      <c r="F242" s="373"/>
      <c r="H242" s="382"/>
      <c r="I242" s="396"/>
      <c r="J242" s="396"/>
    </row>
    <row r="243" spans="1:12" outlineLevel="1" x14ac:dyDescent="0.6">
      <c r="C243" s="385"/>
      <c r="D243" s="385"/>
      <c r="E243" s="385"/>
      <c r="F243" s="373"/>
      <c r="H243" s="382"/>
      <c r="I243" s="383"/>
      <c r="J243" s="383"/>
    </row>
    <row r="244" spans="1:12" outlineLevel="1" x14ac:dyDescent="0.6">
      <c r="B244" s="368"/>
      <c r="C244" s="385"/>
      <c r="D244" s="385"/>
      <c r="E244" s="385"/>
      <c r="F244" s="373"/>
      <c r="H244" s="381"/>
      <c r="I244" s="358"/>
      <c r="J244" s="358"/>
    </row>
    <row r="245" spans="1:12" outlineLevel="1" x14ac:dyDescent="0.6">
      <c r="B245" s="370"/>
      <c r="C245" s="385"/>
      <c r="D245" s="385"/>
      <c r="E245" s="385"/>
      <c r="F245" s="373"/>
      <c r="H245" s="382"/>
      <c r="I245" s="396"/>
      <c r="J245" s="396"/>
    </row>
    <row r="246" spans="1:12" outlineLevel="1" x14ac:dyDescent="0.6">
      <c r="B246" s="370"/>
      <c r="C246" s="385"/>
      <c r="D246" s="385"/>
      <c r="E246" s="385"/>
      <c r="F246" s="373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384"/>
      <c r="B251" s="316"/>
      <c r="C251" s="265"/>
      <c r="E251" s="265"/>
    </row>
    <row r="252" spans="1:12" outlineLevel="1" x14ac:dyDescent="0.6">
      <c r="C252" s="265"/>
      <c r="E252" s="265"/>
    </row>
    <row r="253" spans="1:12" outlineLevel="1" x14ac:dyDescent="0.6">
      <c r="C253" s="366"/>
      <c r="D253" s="366"/>
      <c r="E253" s="366"/>
      <c r="F253" s="366"/>
      <c r="G253" s="366"/>
      <c r="H253" s="367"/>
      <c r="I253" s="366"/>
      <c r="J253" s="366"/>
      <c r="K253" s="366"/>
      <c r="L253" s="366"/>
    </row>
    <row r="254" spans="1:12" outlineLevel="1" x14ac:dyDescent="0.6"/>
    <row r="255" spans="1:12" outlineLevel="1" x14ac:dyDescent="0.6">
      <c r="B255" s="347"/>
      <c r="C255" s="364"/>
      <c r="D255" s="364"/>
      <c r="E255" s="389"/>
      <c r="F255" s="364"/>
      <c r="G255" s="353"/>
      <c r="H255" s="390"/>
      <c r="I255" s="364"/>
      <c r="J255" s="364"/>
      <c r="K255" s="389"/>
      <c r="L255" s="389"/>
    </row>
    <row r="256" spans="1:12" ht="15.25" outlineLevel="1" x14ac:dyDescent="1.05">
      <c r="B256" s="347"/>
      <c r="C256" s="356"/>
      <c r="D256" s="356"/>
      <c r="E256" s="356"/>
      <c r="F256" s="399"/>
      <c r="G256" s="399"/>
      <c r="H256" s="391"/>
      <c r="I256" s="399"/>
      <c r="J256" s="399"/>
      <c r="K256" s="394"/>
      <c r="L256" s="394"/>
    </row>
    <row r="257" spans="2:12" outlineLevel="1" x14ac:dyDescent="0.6">
      <c r="B257" s="347"/>
      <c r="C257" s="355"/>
      <c r="D257" s="355"/>
      <c r="E257" s="355"/>
      <c r="F257" s="355"/>
      <c r="G257" s="355"/>
      <c r="H257" s="392"/>
      <c r="I257" s="355"/>
      <c r="J257" s="355"/>
      <c r="K257" s="355"/>
      <c r="L257" s="355"/>
    </row>
    <row r="258" spans="2:12" outlineLevel="1" x14ac:dyDescent="0.6">
      <c r="B258" s="347"/>
      <c r="C258" s="355"/>
      <c r="D258" s="355"/>
      <c r="E258" s="355"/>
      <c r="F258" s="355"/>
      <c r="G258" s="355"/>
      <c r="H258" s="392"/>
      <c r="I258" s="355"/>
      <c r="J258" s="355"/>
      <c r="K258" s="355"/>
      <c r="L258" s="355"/>
    </row>
    <row r="259" spans="2:12" outlineLevel="1" x14ac:dyDescent="0.6">
      <c r="B259" s="347"/>
      <c r="C259" s="355"/>
      <c r="D259" s="355"/>
      <c r="E259" s="355"/>
      <c r="F259" s="355"/>
      <c r="G259" s="355"/>
      <c r="H259" s="392"/>
      <c r="I259" s="355"/>
      <c r="J259" s="355"/>
      <c r="K259" s="355"/>
      <c r="L259" s="355"/>
    </row>
    <row r="260" spans="2:12" ht="15.25" outlineLevel="1" x14ac:dyDescent="1.05">
      <c r="B260" s="347"/>
      <c r="C260" s="363"/>
      <c r="E260" s="265"/>
    </row>
    <row r="261" spans="2:12" outlineLevel="1" x14ac:dyDescent="0.6">
      <c r="B261" s="347"/>
      <c r="C261" s="355"/>
      <c r="E261" s="265"/>
    </row>
    <row r="262" spans="2:12" outlineLevel="1" x14ac:dyDescent="0.6">
      <c r="B262" s="347"/>
      <c r="C262" s="265"/>
      <c r="E262" s="265"/>
    </row>
    <row r="263" spans="2:12" outlineLevel="1" x14ac:dyDescent="0.6">
      <c r="C263" s="366"/>
      <c r="D263" s="366"/>
      <c r="E263" s="366"/>
      <c r="F263" s="366"/>
      <c r="G263" s="366"/>
      <c r="H263" s="367"/>
      <c r="I263" s="366"/>
      <c r="J263" s="366"/>
      <c r="K263" s="366"/>
      <c r="L263" s="366"/>
    </row>
    <row r="264" spans="2:12" outlineLevel="1" x14ac:dyDescent="0.6"/>
    <row r="265" spans="2:12" outlineLevel="1" x14ac:dyDescent="0.6">
      <c r="C265" s="315"/>
      <c r="D265" s="315"/>
      <c r="E265" s="315"/>
    </row>
    <row r="266" spans="2:12" outlineLevel="1" x14ac:dyDescent="0.6">
      <c r="B266" s="347"/>
      <c r="C266" s="355"/>
      <c r="D266" s="398"/>
      <c r="E266" s="355"/>
    </row>
    <row r="267" spans="2:12" outlineLevel="1" x14ac:dyDescent="0.6">
      <c r="B267" s="347"/>
      <c r="C267" s="400"/>
      <c r="D267" s="401"/>
      <c r="E267" s="400"/>
    </row>
    <row r="268" spans="2:12" outlineLevel="1" x14ac:dyDescent="0.6">
      <c r="B268" s="347"/>
      <c r="C268" s="355"/>
      <c r="D268" s="355"/>
      <c r="E268" s="355"/>
      <c r="G268" s="347"/>
    </row>
    <row r="269" spans="2:12" outlineLevel="1" x14ac:dyDescent="0.6">
      <c r="C269" s="265"/>
      <c r="E269" s="265"/>
      <c r="G269" s="347"/>
    </row>
    <row r="270" spans="2:12" outlineLevel="1" x14ac:dyDescent="0.6">
      <c r="B270" s="377"/>
      <c r="C270" s="355"/>
      <c r="E270" s="397"/>
      <c r="G270" s="397"/>
    </row>
    <row r="271" spans="2:12" outlineLevel="1" x14ac:dyDescent="0.6">
      <c r="B271" s="347"/>
      <c r="C271" s="355"/>
      <c r="E271" s="303"/>
    </row>
    <row r="272" spans="2:12" outlineLevel="1" x14ac:dyDescent="0.6">
      <c r="B272" s="347"/>
      <c r="C272" s="400"/>
      <c r="E272" s="308"/>
    </row>
    <row r="273" spans="2:5" outlineLevel="1" x14ac:dyDescent="0.6">
      <c r="B273" s="347"/>
      <c r="C273" s="355"/>
      <c r="E273" s="303"/>
    </row>
    <row r="274" spans="2:5" outlineLevel="1" x14ac:dyDescent="0.6"/>
  </sheetData>
  <mergeCells count="1">
    <mergeCell ref="D2:H3"/>
  </mergeCells>
  <pageMargins left="0.75" right="0.75" top="1" bottom="1" header="0.5" footer="0.5"/>
  <pageSetup scale="75" orientation="landscape" r:id="rId1"/>
  <headerFooter alignWithMargins="0">
    <oddHeader>&amp;C&amp;"Arial,Bold"Public Service Electric and Gas Company Specific Addendum
Attachment 4 P5</oddHeader>
  </headerFooter>
  <rowBreaks count="7" manualBreakCount="7">
    <brk id="33" max="6" man="1"/>
    <brk id="79" max="9" man="1"/>
    <brk id="115" max="9" man="1"/>
    <brk id="151" max="9" man="1"/>
    <brk id="187" max="9" man="1"/>
    <brk id="212" max="11" man="1"/>
    <brk id="250" max="11" man="1"/>
  </rowBreaks>
</worksheet>
</file>

<file path=docMetadata/LabelInfo.xml><?xml version="1.0" encoding="utf-8"?>
<clbl:labelList xmlns:clbl="http://schemas.microsoft.com/office/2020/mipLabelMetadata">
  <clbl:label id="{91735711-3074-40fb-abee-245951e65a67}" enabled="1" method="Standard" siteId="{490bf92a-5045-4d52-9812-6b2f8bf300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Input</vt:lpstr>
      <vt:lpstr>Attachment 2</vt:lpstr>
      <vt:lpstr>Attachment 3</vt:lpstr>
      <vt:lpstr>Attach 4 P1</vt:lpstr>
      <vt:lpstr>Attach 4 P2</vt:lpstr>
      <vt:lpstr>Attach 4 P3 </vt:lpstr>
      <vt:lpstr>Attach 4 P4</vt:lpstr>
      <vt:lpstr>Attach 4 P5 </vt:lpstr>
      <vt:lpstr>'Attach 4 P1'!Print_Area</vt:lpstr>
      <vt:lpstr>'Attach 4 P2'!Print_Area</vt:lpstr>
      <vt:lpstr>'Attach 4 P3 '!Print_Area</vt:lpstr>
      <vt:lpstr>'Attach 4 P4'!Print_Area</vt:lpstr>
      <vt:lpstr>'Attach 4 P5 '!Print_Area</vt:lpstr>
      <vt:lpstr>'Attachment 2'!Print_Area</vt:lpstr>
      <vt:lpstr>'Attachment 3'!Print_Area</vt:lpstr>
      <vt:lpstr>'Attach 4 P4'!Print_Titles</vt:lpstr>
      <vt:lpstr>'Attach 4 P5 '!Print_Titles</vt:lpstr>
      <vt:lpstr>'Attachment 3'!Print_Titles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Carruthers, Jennifer L.</dc:creator>
  <cp:lastModifiedBy>Morrison, Kate</cp:lastModifiedBy>
  <dcterms:created xsi:type="dcterms:W3CDTF">2024-11-22T21:07:35Z</dcterms:created>
  <dcterms:modified xsi:type="dcterms:W3CDTF">2024-12-04T19:50:20Z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e171fbe9-70eb-4e49-b806-3437e0a1b6cc</vt:lpwstr>
  </property>
  <property fmtid="{D5CDD505-2E9C-101B-9397-08002B2CF9AE}" pid="3" name="MSIP_Label_38f1469a-2c2a-4aee-b92b-090d4c5468ff_Enabled">
    <vt:lpwstr>true</vt:lpwstr>
  </property>
  <property fmtid="{D5CDD505-2E9C-101B-9397-08002B2CF9AE}" pid="4" name="MSIP_Label_38f1469a-2c2a-4aee-b92b-090d4c5468ff_SetDate">
    <vt:lpwstr>2024-12-04T17:07:21Z</vt:lpwstr>
  </property>
  <property fmtid="{D5CDD505-2E9C-101B-9397-08002B2CF9AE}" pid="5" name="MSIP_Label_38f1469a-2c2a-4aee-b92b-090d4c5468ff_Method">
    <vt:lpwstr>Standard</vt:lpwstr>
  </property>
  <property fmtid="{D5CDD505-2E9C-101B-9397-08002B2CF9AE}" pid="6" name="MSIP_Label_38f1469a-2c2a-4aee-b92b-090d4c5468ff_Name">
    <vt:lpwstr>Confidential - Unmarked</vt:lpwstr>
  </property>
  <property fmtid="{D5CDD505-2E9C-101B-9397-08002B2CF9AE}" pid="7" name="MSIP_Label_38f1469a-2c2a-4aee-b92b-090d4c5468ff_SiteId">
    <vt:lpwstr>2a6e6092-73e4-4752-b1a5-477a17f5056d</vt:lpwstr>
  </property>
  <property fmtid="{D5CDD505-2E9C-101B-9397-08002B2CF9AE}" pid="8" name="MSIP_Label_38f1469a-2c2a-4aee-b92b-090d4c5468ff_ActionId">
    <vt:lpwstr>efabfd63-8270-4295-8e3a-b1a12b2ecefc</vt:lpwstr>
  </property>
  <property fmtid="{D5CDD505-2E9C-101B-9397-08002B2CF9AE}" pid="9" name="MSIP_Label_38f1469a-2c2a-4aee-b92b-090d4c5468ff_ContentBits">
    <vt:lpwstr>0</vt:lpwstr>
  </property>
</Properties>
</file>