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\\owg.ds.corp\serverfarm\Groups\NERA Auctions Group\BGS\2025 BGS\3 RSCP Rates\3 January 2025\2 Received from EDCs\to post\"/>
    </mc:Choice>
  </mc:AlternateContent>
  <xr:revisionPtr revIDLastSave="0" documentId="13_ncr:1_{8E798C9F-CFEE-4CCD-A715-057F60378333}" xr6:coauthVersionLast="47" xr6:coauthVersionMax="47" xr10:uidLastSave="{00000000-0000-0000-0000-000000000000}"/>
  <bookViews>
    <workbookView xWindow="-420" yWindow="-16470" windowWidth="29040" windowHeight="15720" tabRatio="874" xr2:uid="{00000000-000D-0000-FFFF-FFFF00000000}"/>
  </bookViews>
  <sheets>
    <sheet name="Attachment 2" sheetId="1" r:id="rId1"/>
    <sheet name="Attachment 3" sheetId="3" r:id="rId2"/>
    <sheet name="Attachment 4 Pg1" sheetId="11" r:id="rId3"/>
    <sheet name="Attachment 4 Pg2" sheetId="13" r:id="rId4"/>
    <sheet name="Attachment 4 Pg3" sheetId="18" r:id="rId5"/>
    <sheet name="Attachment 4 Pg4" sheetId="15" r:id="rId6"/>
    <sheet name="Attachment 4 Pg5" sheetId="19" r:id="rId7"/>
  </sheets>
  <definedNames>
    <definedName name="\a" localSheetId="2">#REF!</definedName>
    <definedName name="\a" localSheetId="3">#REF!</definedName>
    <definedName name="\a" localSheetId="4">#REF!</definedName>
    <definedName name="\a" localSheetId="5">#REF!</definedName>
    <definedName name="\a">#REF!</definedName>
    <definedName name="Auction" localSheetId="0">'Attachment 2'!#REF!</definedName>
    <definedName name="Co_letter" localSheetId="2">#REF!</definedName>
    <definedName name="Co_letter" localSheetId="3">#REF!</definedName>
    <definedName name="Co_letter" localSheetId="4">#REF!</definedName>
    <definedName name="Co_letter" localSheetId="5">#REF!</definedName>
    <definedName name="Co_letter">#REF!</definedName>
    <definedName name="Co_List" localSheetId="2">#REF!</definedName>
    <definedName name="Co_List" localSheetId="3">#REF!</definedName>
    <definedName name="Co_List" localSheetId="4">#REF!</definedName>
    <definedName name="Co_List" localSheetId="5">#REF!</definedName>
    <definedName name="Co_List">#REF!</definedName>
    <definedName name="Co_Listc" localSheetId="2">#REF!</definedName>
    <definedName name="Co_Listc" localSheetId="3">#REF!</definedName>
    <definedName name="Co_Listc" localSheetId="4">#REF!</definedName>
    <definedName name="Co_Listc">#REF!</definedName>
    <definedName name="Co_Name" localSheetId="2">#REF!</definedName>
    <definedName name="Co_Name" localSheetId="3">#REF!</definedName>
    <definedName name="Co_Name" localSheetId="4">#REF!</definedName>
    <definedName name="Co_Name" localSheetId="5">#REF!</definedName>
    <definedName name="Co_Name">#REF!</definedName>
    <definedName name="Co_Picked" localSheetId="2">#REF!</definedName>
    <definedName name="Co_Picked" localSheetId="3">#REF!</definedName>
    <definedName name="Co_Picked" localSheetId="4">#REF!</definedName>
    <definedName name="Co_Picked" localSheetId="5">#REF!</definedName>
    <definedName name="Co_Picked">#REF!</definedName>
    <definedName name="Get_Co" localSheetId="2">#REF!</definedName>
    <definedName name="Get_Co" localSheetId="3">#REF!</definedName>
    <definedName name="Get_Co" localSheetId="4">#REF!</definedName>
    <definedName name="Get_Co" localSheetId="5">#REF!</definedName>
    <definedName name="Get_Co">#REF!</definedName>
    <definedName name="Get_Mo" localSheetId="2">#REF!</definedName>
    <definedName name="Get_Mo" localSheetId="3">#REF!</definedName>
    <definedName name="Get_Mo" localSheetId="4">#REF!</definedName>
    <definedName name="Get_Mo" localSheetId="5">#REF!</definedName>
    <definedName name="Get_Mo">#REF!</definedName>
    <definedName name="Get_moc" localSheetId="2">#REF!</definedName>
    <definedName name="Get_moc" localSheetId="3">#REF!</definedName>
    <definedName name="Get_moc" localSheetId="4">#REF!</definedName>
    <definedName name="Get_moc">#REF!</definedName>
    <definedName name="Mo_List" localSheetId="2">#REF!</definedName>
    <definedName name="Mo_List" localSheetId="3">#REF!</definedName>
    <definedName name="Mo_List" localSheetId="4">#REF!</definedName>
    <definedName name="Mo_List" localSheetId="5">#REF!</definedName>
    <definedName name="Mo_List">#REF!</definedName>
    <definedName name="Mo_Picked" localSheetId="2">#REF!</definedName>
    <definedName name="Mo_Picked" localSheetId="3">#REF!</definedName>
    <definedName name="Mo_Picked" localSheetId="4">#REF!</definedName>
    <definedName name="Mo_Picked" localSheetId="5">#REF!</definedName>
    <definedName name="Mo_Picked">#REF!</definedName>
    <definedName name="_xlnm.Print_Area" localSheetId="0">'Attachment 2'!$A$1:$M$288</definedName>
    <definedName name="_xlnm.Print_Area" localSheetId="1">'Attachment 3'!$A$5:$K$154</definedName>
    <definedName name="_xlnm.Print_Area" localSheetId="2">'Attachment 4 Pg1'!$A$1:$J$23</definedName>
    <definedName name="_xlnm.Print_Area" localSheetId="3">'Attachment 4 Pg2'!$A$1:$J$25</definedName>
    <definedName name="_xlnm.Print_Area" localSheetId="4">'Attachment 4 Pg3'!$A$1:$I$24</definedName>
    <definedName name="_xlnm.Print_Area" localSheetId="5">'Attachment 4 Pg4'!$A$1:$M$36</definedName>
    <definedName name="_xlnm.Print_Area" localSheetId="6">'Attachment 4 Pg5'!$A$1:$K$40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>#REF!</definedName>
    <definedName name="_xlnm.Print_Titles" localSheetId="1">'Attachment 3'!$1:$4</definedName>
    <definedName name="_xlnm.Print_Titles" localSheetId="5">'Attachment 4 Pg4'!$2:$4</definedName>
    <definedName name="Rpt_Mo" localSheetId="2">#REF!</definedName>
    <definedName name="Rpt_Mo" localSheetId="3">#REF!</definedName>
    <definedName name="Rpt_Mo" localSheetId="4">#REF!</definedName>
    <definedName name="Rpt_Mo" localSheetId="5">#REF!</definedName>
    <definedName name="Rpt_Mo">#REF!</definedName>
    <definedName name="Year1" localSheetId="2">#REF!</definedName>
    <definedName name="Year1" localSheetId="3">#REF!</definedName>
    <definedName name="Year1" localSheetId="4">#REF!</definedName>
    <definedName name="Year1" localSheetId="5">#REF!</definedName>
    <definedName name="Year1">#REF!</definedName>
    <definedName name="Z_689761CC_C80B_4574_9251_22E069AE5A7E_.wvu.PrintArea" localSheetId="0" hidden="1">'Attachment 2'!$A$1:$M$256</definedName>
    <definedName name="Z_689761CC_C80B_4574_9251_22E069AE5A7E_.wvu.PrintArea" localSheetId="1" hidden="1">'Attachment 3'!$A$6:$M$108</definedName>
    <definedName name="Z_689761CC_C80B_4574_9251_22E069AE5A7E_.wvu.PrintTitles" localSheetId="1" hidden="1">'Attachment 3'!$1:$4</definedName>
    <definedName name="Z_E387223A_F425_4996_A843_D576BB2C4D04_.wvu.PrintArea" localSheetId="0" hidden="1">'Attachment 2'!$A$1:$M$252</definedName>
    <definedName name="Z_E387223A_F425_4996_A843_D576BB2C4D04_.wvu.PrintArea" localSheetId="1" hidden="1">'Attachment 3'!$A$6:$M$108</definedName>
    <definedName name="Z_E387223A_F425_4996_A843_D576BB2C4D04_.wvu.PrintTitles" localSheetId="1" hidden="1">'Attachment 3'!$1:$4</definedName>
    <definedName name="Z_E387223A_F425_4996_A843_D576BB2C4D04_.wvu.Rows" localSheetId="0" hidden="1">'Attachment 2'!$253:$255</definedName>
  </definedNames>
  <calcPr calcId="191029"/>
  <customWorkbookViews>
    <customWorkbookView name="Retail Rate Development Detail" guid="{689761CC-C80B-4574-9251-22E069AE5A7E}" maximized="1" windowWidth="994" windowHeight="507" activeSheetId="1"/>
    <customWorkbookView name="BGS Filing" guid="{E387223A-F425-4996-A843-D576BB2C4D04}" maximized="1" windowWidth="994" windowHeight="50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9" i="1" l="1"/>
  <c r="D13" i="11" l="1"/>
  <c r="C13" i="13" s="1"/>
  <c r="C13" i="11"/>
  <c r="D12" i="11"/>
  <c r="C12" i="13" s="1"/>
  <c r="C12" i="11"/>
  <c r="E12" i="15"/>
  <c r="C12" i="15"/>
  <c r="D12" i="15"/>
  <c r="C12" i="19" s="1"/>
  <c r="D13" i="15"/>
  <c r="C13" i="15"/>
  <c r="C17" i="15"/>
  <c r="C16" i="15"/>
  <c r="C8" i="15"/>
  <c r="C13" i="19"/>
  <c r="D13" i="19"/>
  <c r="D12" i="19"/>
  <c r="E13" i="15"/>
  <c r="C7" i="18"/>
  <c r="C12" i="18"/>
  <c r="D7" i="13"/>
  <c r="C13" i="18" l="1"/>
  <c r="C14" i="18"/>
  <c r="D14" i="13"/>
  <c r="E12" i="19"/>
  <c r="F161" i="1" l="1"/>
  <c r="F160" i="1"/>
  <c r="C276" i="1" l="1"/>
  <c r="H66" i="1" l="1"/>
  <c r="O9" i="1" l="1"/>
  <c r="P129" i="1" l="1"/>
  <c r="O48" i="1" l="1"/>
  <c r="C7" i="13"/>
  <c r="D14" i="11"/>
  <c r="D7" i="11"/>
  <c r="C7" i="11" l="1"/>
  <c r="C79" i="1" l="1"/>
  <c r="C243" i="1" l="1"/>
  <c r="O45" i="1" l="1"/>
  <c r="J79" i="1" l="1"/>
  <c r="I79" i="1"/>
  <c r="H79" i="1"/>
  <c r="F79" i="1"/>
  <c r="G79" i="1"/>
  <c r="D79" i="1"/>
  <c r="E79" i="1"/>
  <c r="F148" i="1" l="1"/>
  <c r="C246" i="1" l="1"/>
  <c r="E168" i="1"/>
  <c r="P18" i="1" l="1"/>
  <c r="B28" i="1"/>
  <c r="B29" i="1"/>
  <c r="B30" i="1"/>
  <c r="B31" i="1"/>
  <c r="B32" i="1"/>
  <c r="B33" i="1"/>
  <c r="B34" i="1"/>
  <c r="B35" i="1"/>
  <c r="B36" i="1"/>
  <c r="B37" i="1"/>
  <c r="B38" i="1"/>
  <c r="B27" i="1"/>
  <c r="P27" i="1" l="1"/>
  <c r="U9" i="1"/>
  <c r="D154" i="1" l="1"/>
  <c r="C244" i="1" l="1"/>
  <c r="E14" i="3" l="1"/>
  <c r="C14" i="13" l="1"/>
  <c r="C14" i="11"/>
  <c r="J163" i="1"/>
  <c r="C57" i="1" l="1"/>
  <c r="C162" i="1" l="1"/>
  <c r="O52" i="1" l="1"/>
  <c r="C80" i="1" l="1"/>
  <c r="D57" i="1" l="1"/>
  <c r="D65" i="1" l="1"/>
  <c r="D66" i="1" l="1"/>
  <c r="D64" i="1"/>
  <c r="I64" i="1" l="1"/>
  <c r="H64" i="1"/>
  <c r="E63" i="1" l="1"/>
  <c r="D82" i="1" l="1"/>
  <c r="P9" i="1" l="1"/>
  <c r="Q9" i="1"/>
  <c r="R9" i="1"/>
  <c r="S9" i="1"/>
  <c r="O10" i="1"/>
  <c r="P10" i="1"/>
  <c r="Q10" i="1"/>
  <c r="R10" i="1"/>
  <c r="S10" i="1"/>
  <c r="O11" i="1"/>
  <c r="P11" i="1"/>
  <c r="Q11" i="1"/>
  <c r="R11" i="1"/>
  <c r="S11" i="1"/>
  <c r="O12" i="1"/>
  <c r="P12" i="1"/>
  <c r="Q12" i="1"/>
  <c r="R12" i="1"/>
  <c r="S12" i="1"/>
  <c r="O13" i="1"/>
  <c r="P13" i="1"/>
  <c r="Q13" i="1"/>
  <c r="R13" i="1"/>
  <c r="S13" i="1"/>
  <c r="O14" i="1"/>
  <c r="P14" i="1"/>
  <c r="Q14" i="1"/>
  <c r="R14" i="1"/>
  <c r="S14" i="1"/>
  <c r="O15" i="1"/>
  <c r="P15" i="1"/>
  <c r="Q15" i="1"/>
  <c r="R15" i="1"/>
  <c r="S15" i="1"/>
  <c r="O16" i="1"/>
  <c r="P16" i="1"/>
  <c r="Q16" i="1"/>
  <c r="R16" i="1"/>
  <c r="S16" i="1"/>
  <c r="O17" i="1"/>
  <c r="P17" i="1"/>
  <c r="Q17" i="1"/>
  <c r="R17" i="1"/>
  <c r="S17" i="1"/>
  <c r="O18" i="1"/>
  <c r="Q18" i="1"/>
  <c r="R18" i="1"/>
  <c r="S18" i="1"/>
  <c r="O19" i="1"/>
  <c r="P19" i="1"/>
  <c r="Q19" i="1"/>
  <c r="R19" i="1"/>
  <c r="S19" i="1"/>
  <c r="O20" i="1"/>
  <c r="P20" i="1"/>
  <c r="Q20" i="1"/>
  <c r="R20" i="1"/>
  <c r="S20" i="1"/>
  <c r="P28" i="1"/>
  <c r="P29" i="1"/>
  <c r="P30" i="1"/>
  <c r="P31" i="1"/>
  <c r="P32" i="1"/>
  <c r="P130" i="1" s="1"/>
  <c r="P33" i="1"/>
  <c r="P34" i="1"/>
  <c r="P35" i="1"/>
  <c r="P36" i="1"/>
  <c r="P37" i="1"/>
  <c r="P38" i="1"/>
  <c r="P45" i="1"/>
  <c r="P46" i="1"/>
  <c r="P48" i="1"/>
  <c r="P49" i="1"/>
  <c r="P126" i="1"/>
  <c r="Q126" i="1" s="1"/>
  <c r="R126" i="1"/>
  <c r="S126" i="1"/>
  <c r="Q129" i="1"/>
  <c r="P133" i="1"/>
  <c r="Q133" i="1"/>
  <c r="P131" i="1" l="1"/>
  <c r="O53" i="1"/>
  <c r="P47" i="1"/>
  <c r="P134" i="1"/>
  <c r="P135" i="1" s="1"/>
  <c r="Q130" i="1"/>
  <c r="Q134" i="1"/>
  <c r="P50" i="1"/>
  <c r="R129" i="1"/>
  <c r="R133" i="1"/>
  <c r="I70" i="1"/>
  <c r="H70" i="1"/>
  <c r="H73" i="1"/>
  <c r="D25" i="1"/>
  <c r="D43" i="1"/>
  <c r="D80" i="1"/>
  <c r="I74" i="1"/>
  <c r="I73" i="1"/>
  <c r="I72" i="1"/>
  <c r="H71" i="1"/>
  <c r="H69" i="1"/>
  <c r="I67" i="1"/>
  <c r="I66" i="1"/>
  <c r="I65" i="1"/>
  <c r="H65" i="1"/>
  <c r="E80" i="1"/>
  <c r="E82" i="1"/>
  <c r="F80" i="1"/>
  <c r="F82" i="1"/>
  <c r="G80" i="1"/>
  <c r="G82" i="1"/>
  <c r="H80" i="1"/>
  <c r="H82" i="1"/>
  <c r="I80" i="1"/>
  <c r="I82" i="1"/>
  <c r="J80" i="1"/>
  <c r="J82" i="1"/>
  <c r="C83" i="1"/>
  <c r="C84" i="1" s="1"/>
  <c r="D71" i="3"/>
  <c r="D87" i="3" s="1"/>
  <c r="E71" i="3"/>
  <c r="E87" i="3" s="1"/>
  <c r="F71" i="3"/>
  <c r="F87" i="3" s="1"/>
  <c r="G71" i="3"/>
  <c r="G87" i="3" s="1"/>
  <c r="H71" i="3"/>
  <c r="H87" i="3" s="1"/>
  <c r="I71" i="3"/>
  <c r="I87" i="3" s="1"/>
  <c r="J71" i="3"/>
  <c r="J87" i="3" s="1"/>
  <c r="C71" i="3"/>
  <c r="C87" i="3" s="1"/>
  <c r="U10" i="1"/>
  <c r="U11" i="1"/>
  <c r="U12" i="1"/>
  <c r="U13" i="1"/>
  <c r="T9" i="1"/>
  <c r="T10" i="1"/>
  <c r="T11" i="1"/>
  <c r="T12" i="1"/>
  <c r="T13" i="1"/>
  <c r="T126" i="1"/>
  <c r="T20" i="1"/>
  <c r="T18" i="1"/>
  <c r="T19" i="1"/>
  <c r="U20" i="1"/>
  <c r="U18" i="1"/>
  <c r="U19" i="1"/>
  <c r="V13" i="1"/>
  <c r="V9" i="1"/>
  <c r="V10" i="1"/>
  <c r="V11" i="1"/>
  <c r="V12" i="1"/>
  <c r="V20" i="1"/>
  <c r="V18" i="1"/>
  <c r="V19" i="1"/>
  <c r="V17" i="1"/>
  <c r="V14" i="1"/>
  <c r="V15" i="1"/>
  <c r="V16" i="1"/>
  <c r="T17" i="1"/>
  <c r="T14" i="1"/>
  <c r="T15" i="1"/>
  <c r="T16" i="1"/>
  <c r="U17" i="1"/>
  <c r="U14" i="1"/>
  <c r="U15" i="1"/>
  <c r="U16" i="1"/>
  <c r="I150" i="1"/>
  <c r="B74" i="1"/>
  <c r="B73" i="1"/>
  <c r="B72" i="1"/>
  <c r="B71" i="1"/>
  <c r="B70" i="1"/>
  <c r="B69" i="1"/>
  <c r="B68" i="1"/>
  <c r="B67" i="1"/>
  <c r="B66" i="1"/>
  <c r="B65" i="1"/>
  <c r="B64" i="1"/>
  <c r="B63" i="1"/>
  <c r="C158" i="1"/>
  <c r="C245" i="1"/>
  <c r="H67" i="1"/>
  <c r="H74" i="1"/>
  <c r="H72" i="1"/>
  <c r="I71" i="1"/>
  <c r="I69" i="1"/>
  <c r="D93" i="1" l="1"/>
  <c r="D111" i="1" s="1"/>
  <c r="C93" i="1"/>
  <c r="C111" i="1" s="1"/>
  <c r="R130" i="1"/>
  <c r="Q131" i="1"/>
  <c r="R134" i="1"/>
  <c r="Q135" i="1"/>
  <c r="C97" i="1"/>
  <c r="C115" i="1" s="1"/>
  <c r="J83" i="1"/>
  <c r="J84" i="1" s="1"/>
  <c r="I83" i="1"/>
  <c r="I84" i="1" s="1"/>
  <c r="H83" i="1"/>
  <c r="H84" i="1" s="1"/>
  <c r="G83" i="1"/>
  <c r="G84" i="1" s="1"/>
  <c r="F83" i="1"/>
  <c r="F84" i="1" s="1"/>
  <c r="D97" i="1"/>
  <c r="D115" i="1" s="1"/>
  <c r="D83" i="1"/>
  <c r="D84" i="1" s="1"/>
  <c r="E83" i="1"/>
  <c r="E84" i="1" s="1"/>
  <c r="O54" i="1" l="1"/>
  <c r="E68" i="1" l="1"/>
  <c r="D70" i="1"/>
  <c r="E70" i="1" s="1"/>
  <c r="D69" i="1"/>
  <c r="E69" i="1" s="1"/>
  <c r="D71" i="1"/>
  <c r="E71" i="1" s="1"/>
  <c r="C94" i="1" l="1"/>
  <c r="C112" i="1" s="1"/>
  <c r="D92" i="1"/>
  <c r="C92" i="1"/>
  <c r="C110" i="1" s="1"/>
  <c r="D94" i="1"/>
  <c r="D129" i="1" s="1"/>
  <c r="D112" i="1" l="1"/>
  <c r="D130" i="1" s="1"/>
  <c r="C128" i="1"/>
  <c r="D110" i="1"/>
  <c r="D128" i="1" s="1"/>
  <c r="S129" i="1" l="1"/>
  <c r="S130" i="1"/>
  <c r="D186" i="1"/>
  <c r="T131" i="1"/>
  <c r="S131" i="1" l="1"/>
  <c r="D74" i="1" l="1"/>
  <c r="E74" i="1" s="1"/>
  <c r="E65" i="1"/>
  <c r="D67" i="1"/>
  <c r="E67" i="1" s="1"/>
  <c r="D72" i="1"/>
  <c r="E72" i="1" s="1"/>
  <c r="E64" i="1"/>
  <c r="D73" i="1"/>
  <c r="E73" i="1" s="1"/>
  <c r="E66" i="1"/>
  <c r="C96" i="1" l="1"/>
  <c r="C100" i="1" s="1"/>
  <c r="D98" i="1"/>
  <c r="D133" i="1" s="1"/>
  <c r="D96" i="1"/>
  <c r="C98" i="1"/>
  <c r="C116" i="1" s="1"/>
  <c r="D100" i="1" l="1"/>
  <c r="D114" i="1"/>
  <c r="C114" i="1"/>
  <c r="D116" i="1"/>
  <c r="D134" i="1" l="1"/>
  <c r="S133" i="1"/>
  <c r="C132" i="1"/>
  <c r="C118" i="1"/>
  <c r="D118" i="1"/>
  <c r="D132" i="1"/>
  <c r="T135" i="1"/>
  <c r="S134" i="1" l="1"/>
  <c r="S135" i="1" s="1"/>
  <c r="D192" i="1"/>
  <c r="C136" i="1"/>
  <c r="D136" i="1"/>
  <c r="K144" i="1" l="1"/>
  <c r="C8" i="18" l="1"/>
  <c r="C10" i="18" s="1"/>
  <c r="C16" i="18" s="1"/>
  <c r="D8" i="13"/>
  <c r="D10" i="13" s="1"/>
  <c r="D16" i="13" s="1"/>
  <c r="C8" i="13"/>
  <c r="C10" i="13" s="1"/>
  <c r="C16" i="13" s="1"/>
  <c r="C8" i="11"/>
  <c r="C10" i="11" s="1"/>
  <c r="C16" i="11" s="1"/>
  <c r="J154" i="1"/>
  <c r="J153" i="1"/>
  <c r="C175" i="1" s="1"/>
  <c r="D8" i="11" l="1"/>
  <c r="D175" i="1"/>
  <c r="D184" i="1" s="1"/>
  <c r="J155" i="1"/>
  <c r="D176" i="1"/>
  <c r="C176" i="1"/>
  <c r="D10" i="11" l="1"/>
  <c r="D16" i="11" s="1"/>
  <c r="C190" i="1"/>
  <c r="C225" i="1" s="1"/>
  <c r="D174" i="1"/>
  <c r="C174" i="1"/>
  <c r="D191" i="1"/>
  <c r="D190" i="1"/>
  <c r="D225" i="1" s="1"/>
  <c r="C184" i="1"/>
  <c r="C187" i="1" s="1"/>
  <c r="D224" i="1"/>
  <c r="D185" i="1"/>
  <c r="D193" i="1" l="1"/>
  <c r="D226" i="1"/>
  <c r="D229" i="1" s="1"/>
  <c r="C193" i="1"/>
  <c r="C211" i="1"/>
  <c r="C54" i="3" s="1"/>
  <c r="C188" i="1"/>
  <c r="C212" i="1" s="1"/>
  <c r="C55" i="3" s="1"/>
  <c r="C224" i="1" l="1"/>
  <c r="C226" i="1" s="1"/>
  <c r="C229" i="1" s="1"/>
  <c r="D230" i="1"/>
  <c r="U48" i="1"/>
  <c r="I93" i="1"/>
  <c r="I111" i="1" s="1"/>
  <c r="I175" i="1"/>
  <c r="I94" i="1"/>
  <c r="I112" i="1" s="1"/>
  <c r="I92" i="1"/>
  <c r="I110" i="1" s="1"/>
  <c r="I128" i="1" s="1"/>
  <c r="I57" i="1"/>
  <c r="U45" i="1"/>
  <c r="I97" i="1"/>
  <c r="I115" i="1" s="1"/>
  <c r="I176" i="1"/>
  <c r="I98" i="1"/>
  <c r="I116" i="1" s="1"/>
  <c r="I96" i="1"/>
  <c r="C230" i="1" l="1"/>
  <c r="I100" i="1"/>
  <c r="I184" i="1"/>
  <c r="I224" i="1" s="1"/>
  <c r="I114" i="1"/>
  <c r="I118" i="1" s="1"/>
  <c r="I174" i="1"/>
  <c r="I132" i="1" l="1"/>
  <c r="I190" i="1" s="1"/>
  <c r="I225" i="1" s="1"/>
  <c r="K54" i="1"/>
  <c r="K46" i="1"/>
  <c r="K50" i="1"/>
  <c r="G175" i="1"/>
  <c r="G97" i="1"/>
  <c r="G115" i="1" s="1"/>
  <c r="R48" i="1"/>
  <c r="K49" i="1" l="1"/>
  <c r="I136" i="1"/>
  <c r="I193" i="1" s="1"/>
  <c r="G96" i="1"/>
  <c r="G114" i="1" s="1"/>
  <c r="K53" i="1"/>
  <c r="T48" i="1"/>
  <c r="V48" i="1"/>
  <c r="G176" i="1"/>
  <c r="F57" i="1"/>
  <c r="F174" i="1" s="1"/>
  <c r="H93" i="1"/>
  <c r="H111" i="1" s="1"/>
  <c r="J175" i="1"/>
  <c r="J93" i="1"/>
  <c r="J111" i="1" s="1"/>
  <c r="S45" i="1"/>
  <c r="G98" i="1"/>
  <c r="G116" i="1" s="1"/>
  <c r="J92" i="1"/>
  <c r="J110" i="1" s="1"/>
  <c r="J128" i="1" s="1"/>
  <c r="K51" i="1"/>
  <c r="F176" i="1"/>
  <c r="H92" i="1"/>
  <c r="H110" i="1" s="1"/>
  <c r="H128" i="1" s="1"/>
  <c r="G93" i="1"/>
  <c r="G111" i="1" s="1"/>
  <c r="E94" i="1"/>
  <c r="E112" i="1" s="1"/>
  <c r="Q48" i="1"/>
  <c r="F94" i="1"/>
  <c r="F112" i="1" s="1"/>
  <c r="F97" i="1"/>
  <c r="F115" i="1" s="1"/>
  <c r="G57" i="1"/>
  <c r="G174" i="1" s="1"/>
  <c r="H94" i="1"/>
  <c r="H112" i="1" s="1"/>
  <c r="G94" i="1"/>
  <c r="G112" i="1" s="1"/>
  <c r="S48" i="1"/>
  <c r="E175" i="1"/>
  <c r="F175" i="1"/>
  <c r="F98" i="1"/>
  <c r="F116" i="1" s="1"/>
  <c r="R45" i="1"/>
  <c r="H175" i="1"/>
  <c r="G92" i="1"/>
  <c r="G110" i="1" s="1"/>
  <c r="G128" i="1" s="1"/>
  <c r="G184" i="1" s="1"/>
  <c r="G224" i="1" s="1"/>
  <c r="E93" i="1"/>
  <c r="E111" i="1" s="1"/>
  <c r="F93" i="1"/>
  <c r="F111" i="1" s="1"/>
  <c r="K55" i="1"/>
  <c r="K56" i="1"/>
  <c r="K52" i="1"/>
  <c r="K48" i="1"/>
  <c r="K47" i="1"/>
  <c r="F96" i="1"/>
  <c r="J94" i="1"/>
  <c r="J112" i="1" s="1"/>
  <c r="E92" i="1"/>
  <c r="E110" i="1" s="1"/>
  <c r="E128" i="1" s="1"/>
  <c r="F92" i="1"/>
  <c r="F110" i="1" s="1"/>
  <c r="F128" i="1" s="1"/>
  <c r="K45" i="1"/>
  <c r="E57" i="1"/>
  <c r="Q45" i="1"/>
  <c r="E97" i="1"/>
  <c r="E115" i="1" s="1"/>
  <c r="E176" i="1"/>
  <c r="E96" i="1"/>
  <c r="E98" i="1"/>
  <c r="E116" i="1" s="1"/>
  <c r="H57" i="1"/>
  <c r="T45" i="1"/>
  <c r="H97" i="1"/>
  <c r="H115" i="1" s="1"/>
  <c r="H176" i="1"/>
  <c r="H96" i="1"/>
  <c r="H114" i="1" s="1"/>
  <c r="H98" i="1"/>
  <c r="H116" i="1" s="1"/>
  <c r="J57" i="1"/>
  <c r="V45" i="1"/>
  <c r="J97" i="1"/>
  <c r="J115" i="1" s="1"/>
  <c r="J176" i="1"/>
  <c r="J98" i="1"/>
  <c r="J116" i="1" s="1"/>
  <c r="J96" i="1"/>
  <c r="J114" i="1" s="1"/>
  <c r="Q56" i="1" l="1"/>
  <c r="Q57" i="1"/>
  <c r="J184" i="1"/>
  <c r="J224" i="1" s="1"/>
  <c r="J100" i="1"/>
  <c r="F100" i="1"/>
  <c r="E100" i="1"/>
  <c r="F184" i="1"/>
  <c r="F224" i="1" s="1"/>
  <c r="H184" i="1"/>
  <c r="H224" i="1" s="1"/>
  <c r="G100" i="1"/>
  <c r="W48" i="1"/>
  <c r="C21" i="3"/>
  <c r="E184" i="1"/>
  <c r="E224" i="1" s="1"/>
  <c r="H100" i="1"/>
  <c r="K57" i="1"/>
  <c r="F114" i="1"/>
  <c r="F132" i="1" s="1"/>
  <c r="F136" i="1" s="1"/>
  <c r="E174" i="1"/>
  <c r="H132" i="1"/>
  <c r="H118" i="1"/>
  <c r="I226" i="1"/>
  <c r="I229" i="1" s="1"/>
  <c r="E114" i="1"/>
  <c r="J118" i="1"/>
  <c r="J132" i="1"/>
  <c r="G132" i="1"/>
  <c r="G118" i="1"/>
  <c r="J174" i="1"/>
  <c r="H174" i="1"/>
  <c r="W45" i="1"/>
  <c r="C22" i="3"/>
  <c r="C20" i="15" l="1"/>
  <c r="C18" i="18"/>
  <c r="C19" i="18" s="1"/>
  <c r="C21" i="18" s="1"/>
  <c r="C9" i="19" s="1"/>
  <c r="C20" i="19"/>
  <c r="D18" i="13"/>
  <c r="D19" i="13" s="1"/>
  <c r="D21" i="13" s="1"/>
  <c r="D9" i="15" s="1"/>
  <c r="C21" i="15"/>
  <c r="C21" i="19"/>
  <c r="C18" i="13"/>
  <c r="C19" i="13" s="1"/>
  <c r="C21" i="13" s="1"/>
  <c r="C9" i="15" s="1"/>
  <c r="C18" i="11"/>
  <c r="W50" i="1"/>
  <c r="F118" i="1"/>
  <c r="F190" i="1"/>
  <c r="F225" i="1" s="1"/>
  <c r="Q58" i="1"/>
  <c r="G102" i="1"/>
  <c r="E118" i="1"/>
  <c r="E132" i="1"/>
  <c r="G190" i="1"/>
  <c r="G225" i="1" s="1"/>
  <c r="G136" i="1"/>
  <c r="H190" i="1"/>
  <c r="H225" i="1" s="1"/>
  <c r="H136" i="1"/>
  <c r="F193" i="1"/>
  <c r="J136" i="1"/>
  <c r="J190" i="1"/>
  <c r="J225" i="1" s="1"/>
  <c r="I230" i="1"/>
  <c r="C24" i="15" l="1"/>
  <c r="C25" i="15"/>
  <c r="C10" i="15"/>
  <c r="C19" i="11"/>
  <c r="C21" i="11" s="1"/>
  <c r="D18" i="11"/>
  <c r="C120" i="1"/>
  <c r="C137" i="1" s="1"/>
  <c r="F226" i="1"/>
  <c r="F229" i="1" s="1"/>
  <c r="J193" i="1"/>
  <c r="G193" i="1"/>
  <c r="E190" i="1"/>
  <c r="E225" i="1" s="1"/>
  <c r="E136" i="1"/>
  <c r="H193" i="1"/>
  <c r="C233" i="1"/>
  <c r="E238" i="1" s="1"/>
  <c r="D19" i="11" l="1"/>
  <c r="D21" i="11" s="1"/>
  <c r="D9" i="3" s="1"/>
  <c r="D11" i="3" s="1"/>
  <c r="E8" i="3" s="1"/>
  <c r="C9" i="3"/>
  <c r="C11" i="3" s="1"/>
  <c r="C26" i="15"/>
  <c r="F230" i="1"/>
  <c r="H226" i="1"/>
  <c r="H229" i="1" s="1"/>
  <c r="G226" i="1"/>
  <c r="G229" i="1" s="1"/>
  <c r="J226" i="1"/>
  <c r="J229" i="1" s="1"/>
  <c r="E193" i="1"/>
  <c r="D8" i="15" l="1"/>
  <c r="C8" i="19"/>
  <c r="C10" i="19" s="1"/>
  <c r="E11" i="3"/>
  <c r="D26" i="3"/>
  <c r="D25" i="3"/>
  <c r="C25" i="3"/>
  <c r="C26" i="3"/>
  <c r="J230" i="1"/>
  <c r="H230" i="1"/>
  <c r="G230" i="1"/>
  <c r="C234" i="1"/>
  <c r="E226" i="1"/>
  <c r="E229" i="1" s="1"/>
  <c r="C196" i="1"/>
  <c r="C24" i="19" l="1"/>
  <c r="C25" i="19"/>
  <c r="D10" i="15"/>
  <c r="E8" i="15" s="1"/>
  <c r="D8" i="19" s="1"/>
  <c r="D10" i="19" s="1"/>
  <c r="D24" i="19" s="1"/>
  <c r="D27" i="3"/>
  <c r="C27" i="3"/>
  <c r="C235" i="1"/>
  <c r="C238" i="1" s="1"/>
  <c r="E239" i="1"/>
  <c r="G199" i="1"/>
  <c r="C210" i="1" s="1"/>
  <c r="G198" i="1"/>
  <c r="E230" i="1"/>
  <c r="D25" i="19" l="1"/>
  <c r="D26" i="19" s="1"/>
  <c r="E8" i="19"/>
  <c r="E10" i="19" s="1"/>
  <c r="E25" i="19" s="1"/>
  <c r="E10" i="15"/>
  <c r="C26" i="19"/>
  <c r="M239" i="1"/>
  <c r="E18" i="3" s="1"/>
  <c r="M238" i="1"/>
  <c r="E17" i="3" s="1"/>
  <c r="C239" i="1"/>
  <c r="D217" i="1"/>
  <c r="D63" i="3" s="1"/>
  <c r="J207" i="1"/>
  <c r="J49" i="3" s="1"/>
  <c r="G207" i="1"/>
  <c r="G49" i="3" s="1"/>
  <c r="D215" i="1"/>
  <c r="D60" i="3" s="1"/>
  <c r="D214" i="1"/>
  <c r="D59" i="3" s="1"/>
  <c r="C214" i="1"/>
  <c r="D208" i="1"/>
  <c r="D50" i="3" s="1"/>
  <c r="H207" i="1"/>
  <c r="H49" i="3" s="1"/>
  <c r="D207" i="1"/>
  <c r="D49" i="3" s="1"/>
  <c r="C217" i="1"/>
  <c r="C63" i="3" s="1"/>
  <c r="I207" i="1"/>
  <c r="I49" i="3" s="1"/>
  <c r="D209" i="1"/>
  <c r="D51" i="3" s="1"/>
  <c r="D216" i="1"/>
  <c r="D61" i="3" s="1"/>
  <c r="F207" i="1"/>
  <c r="F49" i="3" s="1"/>
  <c r="E207" i="1"/>
  <c r="E49" i="3" s="1"/>
  <c r="C53" i="3"/>
  <c r="I214" i="1"/>
  <c r="I59" i="3" s="1"/>
  <c r="I217" i="1"/>
  <c r="I63" i="3" s="1"/>
  <c r="F214" i="1"/>
  <c r="F59" i="3" s="1"/>
  <c r="F217" i="1"/>
  <c r="F63" i="3" s="1"/>
  <c r="J214" i="1"/>
  <c r="J59" i="3" s="1"/>
  <c r="G214" i="1"/>
  <c r="G59" i="3" s="1"/>
  <c r="H214" i="1"/>
  <c r="H59" i="3" s="1"/>
  <c r="H217" i="1"/>
  <c r="G217" i="1"/>
  <c r="G63" i="3" s="1"/>
  <c r="J217" i="1"/>
  <c r="J63" i="3" s="1"/>
  <c r="E214" i="1"/>
  <c r="E59" i="3" s="1"/>
  <c r="E217" i="1"/>
  <c r="E63" i="3" s="1"/>
  <c r="E24" i="19" l="1"/>
  <c r="C29" i="19" s="1"/>
  <c r="C30" i="19"/>
  <c r="E16" i="15"/>
  <c r="E24" i="15" s="1"/>
  <c r="D16" i="15"/>
  <c r="D24" i="15" s="1"/>
  <c r="E17" i="15"/>
  <c r="E25" i="15" s="1"/>
  <c r="D17" i="15"/>
  <c r="D25" i="15" s="1"/>
  <c r="E25" i="3"/>
  <c r="E26" i="3"/>
  <c r="H63" i="3"/>
  <c r="C59" i="3"/>
  <c r="E26" i="19" l="1"/>
  <c r="C32" i="19" s="1"/>
  <c r="E26" i="15"/>
  <c r="C30" i="15"/>
  <c r="D26" i="15"/>
  <c r="C29" i="15"/>
  <c r="C100" i="3"/>
  <c r="C32" i="15" l="1"/>
  <c r="C31" i="3"/>
  <c r="C99" i="3"/>
  <c r="C146" i="3" s="1"/>
  <c r="C30" i="3"/>
  <c r="C147" i="3"/>
  <c r="C101" i="3" l="1"/>
  <c r="E27" i="3"/>
  <c r="C38" i="3" s="1"/>
  <c r="C148" i="3"/>
  <c r="C33" i="3" l="1"/>
  <c r="D73" i="3" s="1"/>
  <c r="D82" i="3" l="1"/>
  <c r="C77" i="3"/>
  <c r="I80" i="3"/>
  <c r="I90" i="3" s="1"/>
  <c r="C78" i="3"/>
  <c r="G73" i="3"/>
  <c r="G89" i="3" s="1"/>
  <c r="F80" i="3"/>
  <c r="F90" i="3" s="1"/>
  <c r="J80" i="3"/>
  <c r="J90" i="3" s="1"/>
  <c r="H80" i="3"/>
  <c r="H90" i="3" s="1"/>
  <c r="J73" i="3"/>
  <c r="J89" i="3" s="1"/>
  <c r="I73" i="3"/>
  <c r="I89" i="3" s="1"/>
  <c r="C80" i="3"/>
  <c r="C90" i="3" s="1"/>
  <c r="E80" i="3"/>
  <c r="E90" i="3" s="1"/>
  <c r="H73" i="3"/>
  <c r="H89" i="3" s="1"/>
  <c r="G80" i="3"/>
  <c r="G90" i="3" s="1"/>
  <c r="C37" i="3"/>
  <c r="C39" i="3" s="1"/>
  <c r="D74" i="3"/>
  <c r="E73" i="3"/>
  <c r="E89" i="3" s="1"/>
  <c r="D81" i="3"/>
  <c r="C259" i="1"/>
  <c r="F73" i="3"/>
  <c r="F89" i="3" s="1"/>
  <c r="D80" i="3"/>
  <c r="D75" i="3"/>
  <c r="H270" i="1" l="1"/>
  <c r="H288" i="1" s="1"/>
  <c r="H91" i="3"/>
  <c r="C89" i="3"/>
  <c r="C91" i="3" s="1"/>
  <c r="J91" i="3"/>
  <c r="D90" i="3"/>
  <c r="C94" i="3" s="1"/>
  <c r="G91" i="3"/>
  <c r="F91" i="3"/>
  <c r="I91" i="3"/>
  <c r="E91" i="3"/>
  <c r="D89" i="3"/>
  <c r="J270" i="1"/>
  <c r="J288" i="1" s="1"/>
  <c r="E270" i="1"/>
  <c r="E288" i="1" s="1"/>
  <c r="F270" i="1"/>
  <c r="F288" i="1" s="1"/>
  <c r="D270" i="1"/>
  <c r="D288" i="1" s="1"/>
  <c r="G270" i="1"/>
  <c r="G288" i="1" s="1"/>
  <c r="I270" i="1"/>
  <c r="I288" i="1" s="1"/>
  <c r="C270" i="1"/>
  <c r="C288" i="1" s="1"/>
  <c r="C93" i="3" l="1"/>
  <c r="C104" i="3" s="1"/>
  <c r="D91" i="3"/>
  <c r="C105" i="3"/>
  <c r="J103" i="3" s="1"/>
  <c r="J102" i="3" l="1"/>
  <c r="E104" i="3"/>
  <c r="C265" i="1" s="1"/>
  <c r="C283" i="1" s="1"/>
  <c r="C95" i="3"/>
  <c r="C106" i="3" s="1"/>
  <c r="J104" i="3" s="1"/>
  <c r="E105" i="3"/>
  <c r="E262" i="1" l="1"/>
  <c r="E280" i="1" s="1"/>
  <c r="C126" i="3"/>
  <c r="C137" i="3" s="1"/>
  <c r="C267" i="1"/>
  <c r="C285" i="1" s="1"/>
  <c r="H119" i="3"/>
  <c r="H136" i="3" s="1"/>
  <c r="G262" i="1"/>
  <c r="G280" i="1" s="1"/>
  <c r="D119" i="3"/>
  <c r="J262" i="1"/>
  <c r="J280" i="1" s="1"/>
  <c r="D120" i="3"/>
  <c r="F119" i="3"/>
  <c r="F136" i="3" s="1"/>
  <c r="C123" i="3"/>
  <c r="D121" i="3"/>
  <c r="D263" i="1"/>
  <c r="D281" i="1" s="1"/>
  <c r="G119" i="3"/>
  <c r="G136" i="3" s="1"/>
  <c r="C266" i="1"/>
  <c r="C284" i="1" s="1"/>
  <c r="I119" i="3"/>
  <c r="I136" i="3" s="1"/>
  <c r="F262" i="1"/>
  <c r="F280" i="1" s="1"/>
  <c r="H262" i="1"/>
  <c r="H280" i="1" s="1"/>
  <c r="E119" i="3"/>
  <c r="E136" i="3" s="1"/>
  <c r="I262" i="1"/>
  <c r="I280" i="1" s="1"/>
  <c r="D264" i="1"/>
  <c r="D282" i="1" s="1"/>
  <c r="C124" i="3"/>
  <c r="J119" i="3"/>
  <c r="J136" i="3" s="1"/>
  <c r="D262" i="1"/>
  <c r="D269" i="1"/>
  <c r="D287" i="1" s="1"/>
  <c r="I267" i="1"/>
  <c r="I285" i="1" s="1"/>
  <c r="D267" i="1"/>
  <c r="F126" i="3"/>
  <c r="F137" i="3" s="1"/>
  <c r="H267" i="1"/>
  <c r="H285" i="1" s="1"/>
  <c r="J126" i="3"/>
  <c r="J137" i="3" s="1"/>
  <c r="F267" i="1"/>
  <c r="F285" i="1" s="1"/>
  <c r="D268" i="1"/>
  <c r="D286" i="1" s="1"/>
  <c r="E267" i="1"/>
  <c r="E285" i="1" s="1"/>
  <c r="G267" i="1"/>
  <c r="G285" i="1" s="1"/>
  <c r="J267" i="1"/>
  <c r="J285" i="1" s="1"/>
  <c r="D128" i="3"/>
  <c r="G126" i="3"/>
  <c r="G137" i="3" s="1"/>
  <c r="D126" i="3"/>
  <c r="D127" i="3"/>
  <c r="E126" i="3"/>
  <c r="E137" i="3" s="1"/>
  <c r="H126" i="3"/>
  <c r="H137" i="3" s="1"/>
  <c r="I126" i="3"/>
  <c r="I137" i="3" s="1"/>
  <c r="H138" i="3" l="1"/>
  <c r="I138" i="3"/>
  <c r="J138" i="3"/>
  <c r="D136" i="3"/>
  <c r="G138" i="3"/>
  <c r="C136" i="3"/>
  <c r="F138" i="3"/>
  <c r="E138" i="3"/>
  <c r="D137" i="3"/>
  <c r="D138" i="3" l="1"/>
  <c r="C140" i="3"/>
  <c r="C151" i="3" s="1"/>
  <c r="C138" i="3"/>
  <c r="C141" i="3"/>
  <c r="C152" i="3" s="1"/>
  <c r="C153" i="3" l="1"/>
  <c r="C142" i="3"/>
</calcChain>
</file>

<file path=xl/sharedStrings.xml><?xml version="1.0" encoding="utf-8"?>
<sst xmlns="http://schemas.openxmlformats.org/spreadsheetml/2006/main" count="720" uniqueCount="321">
  <si>
    <t>Table #1</t>
  </si>
  <si>
    <t>% usage during PJM On-Peak period</t>
  </si>
  <si>
    <t>On-Peak periods defined as the 16 hr PJM Trading period, adj for NERC holidays</t>
  </si>
  <si>
    <t xml:space="preserve">% usage during Off-Peak period </t>
  </si>
  <si>
    <t>(data rounded to nearest %)</t>
  </si>
  <si>
    <t>RS</t>
  </si>
  <si>
    <t>MGS - SEC</t>
  </si>
  <si>
    <t>MGS - PRI</t>
  </si>
  <si>
    <t>AGS - SEC</t>
  </si>
  <si>
    <t>AGS - PRI</t>
  </si>
  <si>
    <t>SPL/CSL</t>
  </si>
  <si>
    <t>DDC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</si>
  <si>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</si>
  <si>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</si>
  <si>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</si>
  <si>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</si>
  <si>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</si>
  <si>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</si>
  <si>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</si>
  <si>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</si>
  <si>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</si>
  <si>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</si>
  <si>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</si>
  <si>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</si>
  <si>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Table #2</t>
  </si>
  <si>
    <t>Class Usage @ customer</t>
  </si>
  <si>
    <t>Usage by season</t>
  </si>
  <si>
    <t>calendar month sales forecasted for period</t>
  </si>
  <si>
    <t>in MWh</t>
  </si>
  <si>
    <t>Total</t>
  </si>
  <si>
    <t>winter MWh =</t>
  </si>
  <si>
    <t>summer MWh =</t>
  </si>
  <si>
    <t>Table #3</t>
  </si>
  <si>
    <t>Forwards Prices - Energy Only @ bulk system</t>
  </si>
  <si>
    <t>Table #4</t>
  </si>
  <si>
    <t>in $/MWh</t>
  </si>
  <si>
    <t>On-Peak</t>
  </si>
  <si>
    <t>Off-Peak</t>
  </si>
  <si>
    <t>Table #5</t>
  </si>
  <si>
    <t>Losses</t>
  </si>
  <si>
    <t>Expansion Factor =</t>
  </si>
  <si>
    <t>Table #6</t>
  </si>
  <si>
    <t>based on Forwards @ PJM West - corrected for congestion &amp; losses</t>
  </si>
  <si>
    <t>Summer - all hrs</t>
  </si>
  <si>
    <t>Winter - all hrs</t>
  </si>
  <si>
    <t>Annual</t>
  </si>
  <si>
    <t>System Average Cost @ customer - (limited to classes shown above) =</t>
  </si>
  <si>
    <t>Table #7</t>
  </si>
  <si>
    <t>in MW</t>
  </si>
  <si>
    <t>Gen Load - MW</t>
  </si>
  <si>
    <t>Gen Obl - MW</t>
  </si>
  <si>
    <t># of Months and Days used in this analysis</t>
  </si>
  <si>
    <t># of summer days =</t>
  </si>
  <si>
    <t># of summer months =</t>
  </si>
  <si>
    <t># of winter days =</t>
  </si>
  <si>
    <t># of winter months =</t>
  </si>
  <si>
    <t>total # months =</t>
  </si>
  <si>
    <t>Generation Capacity Cost</t>
  </si>
  <si>
    <t>Summer</t>
  </si>
  <si>
    <t>$/MW/day</t>
  </si>
  <si>
    <t>Summer Total</t>
  </si>
  <si>
    <t>Winter</t>
  </si>
  <si>
    <t>Winter Total</t>
  </si>
  <si>
    <t>Annual Total</t>
  </si>
  <si>
    <t>Residential Inversion Determination</t>
  </si>
  <si>
    <t>Charges</t>
  </si>
  <si>
    <t>% usage</t>
  </si>
  <si>
    <t>SUM 'First 750 KWh</t>
  </si>
  <si>
    <t>Block 1 (0-750 kWh/m)</t>
  </si>
  <si>
    <t>Block 2 (&gt;750 kWh/m)</t>
  </si>
  <si>
    <t>Calculated inversion =</t>
  </si>
  <si>
    <t>SUM '&gt; 750 KWh</t>
  </si>
  <si>
    <t>Table #8</t>
  </si>
  <si>
    <t>Table #9</t>
  </si>
  <si>
    <t xml:space="preserve">Summary of Obligation Costs expressed as $/MWh @ customer </t>
  </si>
  <si>
    <t xml:space="preserve">Generation Obl -                </t>
  </si>
  <si>
    <t>per annual MWh</t>
  </si>
  <si>
    <t>recovery per summer MWh</t>
  </si>
  <si>
    <t>recovery per winter MWh</t>
  </si>
  <si>
    <t>Table #10</t>
  </si>
  <si>
    <t>Grand Total Cost in $1000 =</t>
  </si>
  <si>
    <t>Table #11</t>
  </si>
  <si>
    <t>All usage Multiplier</t>
  </si>
  <si>
    <t>Constant</t>
  </si>
  <si>
    <t>for Block 1 (0-750 kWh/m) usage</t>
  </si>
  <si>
    <t>for Block 2 (&gt;750 kWh/m) usage</t>
  </si>
  <si>
    <t>Table #12</t>
  </si>
  <si>
    <t>Table #13</t>
  </si>
  <si>
    <t>Table #14</t>
  </si>
  <si>
    <t>Summary of Total BGS Costs by Season</t>
  </si>
  <si>
    <t>Total Costs by Rate - in $1000</t>
  </si>
  <si>
    <t>% of Annual Total $ by Rate</t>
  </si>
  <si>
    <t>Total Costs - in $1000</t>
  </si>
  <si>
    <t>% of Annual Total $</t>
  </si>
  <si>
    <t xml:space="preserve">         If total $ were split on a per MWh basis (on bulk system MWhs):</t>
  </si>
  <si>
    <t>&gt;&gt;&gt;</t>
  </si>
  <si>
    <t>Table #17</t>
  </si>
  <si>
    <t>Assumptions:</t>
  </si>
  <si>
    <t>Gen Cost =</t>
  </si>
  <si>
    <t>per MW-day</t>
  </si>
  <si>
    <t>summer</t>
  </si>
  <si>
    <t>=</t>
  </si>
  <si>
    <t>winter</t>
  </si>
  <si>
    <t>Ancillary Services =</t>
  </si>
  <si>
    <t>Energy Prices =</t>
  </si>
  <si>
    <t>Usage patterns =</t>
  </si>
  <si>
    <t>Obligations =</t>
  </si>
  <si>
    <t>Losses =</t>
  </si>
  <si>
    <t>PJM Time Periods =</t>
  </si>
  <si>
    <t>Off/On Pk</t>
  </si>
  <si>
    <t>LMP ratio</t>
  </si>
  <si>
    <t>per MWH</t>
  </si>
  <si>
    <t>(rounded to 4 decimal places)</t>
  </si>
  <si>
    <t>Zone-Hub Basis Differential</t>
  </si>
  <si>
    <t xml:space="preserve">On-Peak </t>
  </si>
  <si>
    <t>On Peak</t>
  </si>
  <si>
    <t>Off Peak</t>
  </si>
  <si>
    <t>on peak</t>
  </si>
  <si>
    <t>off peak</t>
  </si>
  <si>
    <t>RS TOU - BGS</t>
  </si>
  <si>
    <t>% Usage During ACECO On-Peak Billing Period</t>
  </si>
  <si>
    <t xml:space="preserve"> 'Based on 3 Year Average</t>
  </si>
  <si>
    <t>($/MWH)</t>
  </si>
  <si>
    <t>based on Forwards prices corrected for congestion &amp; losses</t>
  </si>
  <si>
    <t>in $1000</t>
  </si>
  <si>
    <t>PJM on pk</t>
  </si>
  <si>
    <t>PJM off pk</t>
  </si>
  <si>
    <t>System Total</t>
  </si>
  <si>
    <t>based on Forwards prices corrected for congestion &amp; losses - ACECO billing time periods</t>
  </si>
  <si>
    <t>Annual Average</t>
  </si>
  <si>
    <t>System Average</t>
  </si>
  <si>
    <t>ACECO On pk</t>
  </si>
  <si>
    <t>ACECO Off pk</t>
  </si>
  <si>
    <t>MWhs in PJM time periods</t>
  </si>
  <si>
    <t>Difference in MWhs</t>
  </si>
  <si>
    <t>Check on total $ recovered</t>
  </si>
  <si>
    <t>PJM time periods (Table #8)</t>
  </si>
  <si>
    <t>MWhs in ACECO time periods</t>
  </si>
  <si>
    <t>(PJM - ACECO)</t>
  </si>
  <si>
    <t>ACECO time periods</t>
  </si>
  <si>
    <t>Total Rate Revenue - in $1000</t>
  </si>
  <si>
    <t>Total Supplier Payment - in $1000</t>
  </si>
  <si>
    <t>line #</t>
  </si>
  <si>
    <t>Payment Identifier &gt;&gt;</t>
  </si>
  <si>
    <t>Notes:</t>
  </si>
  <si>
    <t>Winning Bid - in $/MWh</t>
  </si>
  <si>
    <t>winning Bids</t>
  </si>
  <si>
    <t>from then current Bid</t>
  </si>
  <si>
    <t>Payment Factors</t>
  </si>
  <si>
    <t xml:space="preserve">                           Summer</t>
  </si>
  <si>
    <t>from then current Bid Factor Spreadsheet</t>
  </si>
  <si>
    <t xml:space="preserve">                           Winter</t>
  </si>
  <si>
    <t>Applicable Customer Usage @ bulk system - in MWh</t>
  </si>
  <si>
    <t xml:space="preserve">                           Summer MWh</t>
  </si>
  <si>
    <t>from current Bid Factor Spreadsheet</t>
  </si>
  <si>
    <t xml:space="preserve">                           Winter MWh</t>
  </si>
  <si>
    <t>Total Payment to Suppliers - in $1000</t>
  </si>
  <si>
    <t xml:space="preserve">                           Total</t>
  </si>
  <si>
    <t>Average Payment to Suppliers - in $/MWh</t>
  </si>
  <si>
    <t xml:space="preserve">                Total weighted average</t>
  </si>
  <si>
    <t xml:space="preserve">   &lt;&lt;&lt; used in calculation of</t>
  </si>
  <si>
    <t xml:space="preserve">           Customer Rates</t>
  </si>
  <si>
    <t xml:space="preserve">   rounded to 2 decimal places</t>
  </si>
  <si>
    <t>Reconciliation of amounts - in $1000</t>
  </si>
  <si>
    <t>Weighted avg * Total MWh =</t>
  </si>
  <si>
    <t>Total Payment to Suppliers =</t>
  </si>
  <si>
    <t>Difference =</t>
  </si>
  <si>
    <t>from Table #14 of the bid factor spreadsheet ---</t>
  </si>
  <si>
    <t>Annual - all hrs</t>
  </si>
  <si>
    <t xml:space="preserve">   rounded to 4 decimal places</t>
  </si>
  <si>
    <t>Total Summer</t>
  </si>
  <si>
    <t>Total Winter</t>
  </si>
  <si>
    <t>Grand Total</t>
  </si>
  <si>
    <t>Differences - in $1000</t>
  </si>
  <si>
    <t>% difference</t>
  </si>
  <si>
    <t xml:space="preserve">Note: These differences are due to rounding and seasonal differences in Bidder Payments (which are based on prior </t>
  </si>
  <si>
    <t xml:space="preserve">          wining bids and Seasonal Payment Factors) and current Rates (based on current seasonal market differentials)</t>
  </si>
  <si>
    <t>Block 1</t>
  </si>
  <si>
    <t>Block 2</t>
  </si>
  <si>
    <t>PJM trading time periods - 7 AM to 11 PM weekdays, local time, x NERC holidays</t>
  </si>
  <si>
    <t xml:space="preserve">     - New Year's, Memorial, 4th of July, Labor Day, Thanksgiving &amp; Christmas</t>
  </si>
  <si>
    <t>kWh Rate</t>
  </si>
  <si>
    <t>Adjustment</t>
  </si>
  <si>
    <t xml:space="preserve">   rounded to 5 decimal places</t>
  </si>
  <si>
    <t>Factors</t>
  </si>
  <si>
    <t>round to 3 decimal places</t>
  </si>
  <si>
    <t>Table D</t>
  </si>
  <si>
    <r>
      <t xml:space="preserve">Revenue Recovery Calculations - </t>
    </r>
    <r>
      <rPr>
        <i/>
        <sz val="10"/>
        <rFont val="Arial"/>
        <family val="2"/>
      </rPr>
      <t>Reconciliation of seasonal Customer Revenue and Supplier Payments, based on actual anticipated revenues and payments</t>
    </r>
  </si>
  <si>
    <t>Table C</t>
  </si>
  <si>
    <r>
      <t xml:space="preserve">Preliminary Resulting BGS Rates (in cents per kWh) - </t>
    </r>
    <r>
      <rPr>
        <i/>
        <sz val="10"/>
        <rFont val="Arial"/>
        <family val="2"/>
      </rPr>
      <t>equal to bid factors times weighted average bid price</t>
    </r>
  </si>
  <si>
    <t>Table E</t>
  </si>
  <si>
    <r>
      <t xml:space="preserve">Final Resulting BGS Rates (in cents per kWh) - </t>
    </r>
    <r>
      <rPr>
        <i/>
        <sz val="10"/>
        <rFont val="Arial"/>
        <family val="2"/>
      </rPr>
      <t>with preliminary kWh rates adjusted by the kWh Rate Adjustment Factor</t>
    </r>
  </si>
  <si>
    <t>Table F</t>
  </si>
  <si>
    <r>
      <t>Spreadsheet Error Checking</t>
    </r>
    <r>
      <rPr>
        <i/>
        <sz val="10"/>
        <rFont val="Arial"/>
        <family val="2"/>
      </rPr>
      <t xml:space="preserve"> - Checking of seasonal Customer Revenue and Supplier Payments, based on final actual anticipated revenues and payments</t>
    </r>
  </si>
  <si>
    <t>Table A</t>
  </si>
  <si>
    <t>Auction Results</t>
  </si>
  <si>
    <t>Table B</t>
  </si>
  <si>
    <t>BGS Avg. Price &gt;&gt;&gt;&gt;&gt;&gt;&gt;&gt;&gt;&gt;&gt;</t>
  </si>
  <si>
    <t>in $/kWh</t>
  </si>
  <si>
    <t>Revenue Assessment Factor</t>
  </si>
  <si>
    <t>Marginal Loss Factor (w/ EHV Losses) =</t>
  </si>
  <si>
    <t>Loss Factors + EHV Losses =</t>
  </si>
  <si>
    <t>Delivery Loss Factor</t>
  </si>
  <si>
    <t>Loss Factor w/o Marginal Loss =</t>
  </si>
  <si>
    <t>Expansion Factor w/o Marginal Loss =</t>
  </si>
  <si>
    <t>Atlantic City Electric Company</t>
  </si>
  <si>
    <t xml:space="preserve"> forecasted energy use by class, on/off % from class load profiles</t>
  </si>
  <si>
    <t>Base
Capacity</t>
  </si>
  <si>
    <t>total supplier energy</t>
  </si>
  <si>
    <t>Retail Rates Charged to BGS RSCP (Previously "FP") Customers</t>
  </si>
  <si>
    <t>Retail Rates Charged to BGS RSCP Customers including Revenue Assessment and SUT</t>
  </si>
  <si>
    <t xml:space="preserve"> existing approved loss factors</t>
  </si>
  <si>
    <t xml:space="preserve">WIN </t>
  </si>
  <si>
    <t>Ancillary Services &amp; Renewable Power Cost (forecasted overall annual average)</t>
  </si>
  <si>
    <t xml:space="preserve">Ancillary Services </t>
  </si>
  <si>
    <t>Renewable Power Cost</t>
  </si>
  <si>
    <t>Total Ancillary Services &amp; Renewable Power Costs</t>
  </si>
  <si>
    <t>Renewable Power Cost =</t>
  </si>
  <si>
    <t xml:space="preserve">Includes energy, Generation capacity obligations, Ancillary Services, and Renewable Power Costs - unadjusted for billing vs. PJM time period differences.  </t>
  </si>
  <si>
    <t>= sum(line 8) / (6) - rounded to 2 decimal places</t>
  </si>
  <si>
    <t>= sum(line 9) / (7) - rounded to 2 decimal places</t>
  </si>
  <si>
    <t>= sum(line 10) / [ (6) + (7)]</t>
  </si>
  <si>
    <t>= (13) * [(6)+(7)] / 1000</t>
  </si>
  <si>
    <t>= sum (line 10)</t>
  </si>
  <si>
    <t>= line (14) - line (15)</t>
  </si>
  <si>
    <t>Total - in $/Mwh</t>
  </si>
  <si>
    <t>1B</t>
  </si>
  <si>
    <t>Development of  Capacity Proxy Price True-Up - $/MWh</t>
  </si>
  <si>
    <t>Capacity Proxy Price ($/MW-day)</t>
  </si>
  <si>
    <t>Capacity Proxy Price True-Up - $/MW-day</t>
  </si>
  <si>
    <t xml:space="preserve">= line 1 - line 2 </t>
  </si>
  <si>
    <t>BGS-RSCP Gen Obl - MW</t>
  </si>
  <si>
    <t>Days in Year</t>
  </si>
  <si>
    <t>= line 3 * line 4 * line 5</t>
  </si>
  <si>
    <t>Eligible Tranches</t>
  </si>
  <si>
    <t>from Table A</t>
  </si>
  <si>
    <t>Total Tranches</t>
  </si>
  <si>
    <t>= line 7 / line 8</t>
  </si>
  <si>
    <t>= line 6 * line 9</t>
  </si>
  <si>
    <t>= line 9 * line 11</t>
  </si>
  <si>
    <t>Capacity Proxy Price True-Up - $/MWh</t>
  </si>
  <si>
    <t>= line 10/ line 12 - rounded to 2 decimal places</t>
  </si>
  <si>
    <t xml:space="preserve">Capacity Proxy Price True-Up Annual Cost </t>
  </si>
  <si>
    <t xml:space="preserve">Capacity Proxy Price True-Up Cost </t>
  </si>
  <si>
    <t>Table A With Additional Line Item</t>
  </si>
  <si>
    <t>Specific BGS-RSCP Auction &gt;&gt;</t>
  </si>
  <si>
    <t>Total - in $/MWh</t>
  </si>
  <si>
    <t># of Tranches for Bid</t>
  </si>
  <si>
    <t>Total # of Tranches</t>
  </si>
  <si>
    <r>
      <t xml:space="preserve">Total Payment to Suppliers </t>
    </r>
    <r>
      <rPr>
        <i/>
        <sz val="10"/>
        <rFont val="Arial"/>
        <family val="2"/>
      </rPr>
      <t xml:space="preserve">- in $1000 </t>
    </r>
  </si>
  <si>
    <r>
      <t xml:space="preserve">Average Payment to Suppliers </t>
    </r>
    <r>
      <rPr>
        <i/>
        <sz val="10"/>
        <rFont val="Arial"/>
        <family val="2"/>
      </rPr>
      <t>- in $/MWh</t>
    </r>
  </si>
  <si>
    <t>Total Applicable Customer Usage @ bulk system - in MWh</t>
  </si>
  <si>
    <r>
      <t xml:space="preserve">Eligible Customer Usage @ bulk system </t>
    </r>
    <r>
      <rPr>
        <b/>
        <i/>
        <sz val="10"/>
        <rFont val="Arial"/>
        <family val="2"/>
      </rPr>
      <t>- in MWh</t>
    </r>
  </si>
  <si>
    <t>% of tranches eligible for payment</t>
  </si>
  <si>
    <t>Illustrative Purposes Only for ACE</t>
  </si>
  <si>
    <t>Summary of BGS Unit Costs @ customer</t>
  </si>
  <si>
    <t>includes energy, G obligations, Ancillary Services, and Renewable Power Cost - adjusted to billing time periods</t>
  </si>
  <si>
    <t>Table #15</t>
  </si>
  <si>
    <t>Table #16</t>
  </si>
  <si>
    <t>Ratio to BGS Cost</t>
  </si>
  <si>
    <t>Summary of Average BGS Energy Unit Costs @ customer - PJM Time Periods</t>
  </si>
  <si>
    <t>Summary of Average BGS Energy Costs @ customer - PJM Time Periods</t>
  </si>
  <si>
    <t>Summary of Average BGS Energy Unit Costs @ customer - ACECO Time Periods</t>
  </si>
  <si>
    <t>Generation Obligations and Costs and Other Adjustments</t>
  </si>
  <si>
    <t>Average cost for rates shown (@ customer) =</t>
  </si>
  <si>
    <t>Includes energy, Generation Obligations, Ancillary Services, and Renewable Power Costs</t>
  </si>
  <si>
    <t>1A</t>
  </si>
  <si>
    <t xml:space="preserve">= line 1 + line 1A </t>
  </si>
  <si>
    <t>Capacity Proxy Price True-Up - in $/MWh</t>
  </si>
  <si>
    <t>Average costs for rates shown (@ transmission nodes) =</t>
  </si>
  <si>
    <t>per MWh @ trans nodes</t>
  </si>
  <si>
    <t>(BPU, RC Assessments)</t>
  </si>
  <si>
    <t>Ratio of BGS Unit Costs @ customer to Average Cost @ transmission nodes (rounded to 3 decimal places)</t>
  </si>
  <si>
    <t>Ratio of BGS Unit Costs @ customer to Average Cost @ transmission nodes</t>
  </si>
  <si>
    <t>as may be determined by the RPM, or its successor, or otherwise</t>
  </si>
  <si>
    <t xml:space="preserve">Zonal Capacity Price ($/MW-day) </t>
  </si>
  <si>
    <t>= (1 + 1A) * (2)/(3) * (4) * (6) / 1000</t>
  </si>
  <si>
    <t>= (1 + 1A) * (2)/(3) * (5) * (7) / 1000</t>
  </si>
  <si>
    <t>*</t>
  </si>
  <si>
    <t>2025/26
Delivery Year</t>
  </si>
  <si>
    <t>Calculation of June 2025 to May 2026 BGS-RSCP Rates</t>
  </si>
  <si>
    <t>remaining portion of 36 month bid - 2023/24 filing</t>
  </si>
  <si>
    <t>2026/27
Delivery Year</t>
  </si>
  <si>
    <t>Calculation of June 2026 to May 2027 BGS-RSCP Rates</t>
  </si>
  <si>
    <t xml:space="preserve">entered after 2026 BGS Auction </t>
  </si>
  <si>
    <t>remaining portion of 36 month bid - 2024 auction</t>
  </si>
  <si>
    <t>36 month bid - 2026 auction</t>
  </si>
  <si>
    <t>26/27 Capacity Proxy Price True-up - in $/MWh</t>
  </si>
  <si>
    <t xml:space="preserve">Quotes for the period June 1, 2025 to May 31, 2026 - corrected for hub-zone basis differential. </t>
  </si>
  <si>
    <t>obligations - values effective January 2024; costs are market estimates</t>
  </si>
  <si>
    <t>remaining portion of 36 month bid - 2024/25 filing</t>
  </si>
  <si>
    <t>36 month bid - 2025/26 filing</t>
  </si>
  <si>
    <t>Capacity Proxy Price True-Up Development for Winning Suppliers from 2024 BGS-RSCP Auction</t>
  </si>
  <si>
    <t>2027/28
Delivery Year</t>
  </si>
  <si>
    <t>Calculation of June 2027 to May 2028 BGS-RSCP Rates</t>
  </si>
  <si>
    <t>36 month bid - 2027 auction</t>
  </si>
  <si>
    <t>based on results of February 2025 BGS RSCP Auction</t>
  </si>
  <si>
    <t>Winners in the 2025 BGS-RSCP Auction will only receive a true-up if results of 2026/2027 BRA are not known at least 5 business days prior to the 2025 BGS-RSCP Auction.</t>
  </si>
  <si>
    <t>1C</t>
  </si>
  <si>
    <t>entered after 2025 BGS Auction</t>
  </si>
  <si>
    <t>= line 1 + line 1A - line 1B</t>
  </si>
  <si>
    <t>Capacity Proxy Price True-Up Development for Winning Suppliers from 2023 BGS-RSCP Auction</t>
  </si>
  <si>
    <t>Capacity Proxy Price True-Up Development for Winning Suppliers from 2025 BGS-RSCP Auction 
(if needed)</t>
  </si>
  <si>
    <t>2025/2026 Delivery Year - Illustrative Data</t>
  </si>
  <si>
    <t>2026/2027 Delivery Year - Illustrative Data</t>
  </si>
  <si>
    <t>2027/2028 Delivery Year - Illustrative Data</t>
  </si>
  <si>
    <t>remaining portion of 36 month bid - 2025 auction</t>
  </si>
  <si>
    <t>remaining portion of 36 month bid - 2026 auction</t>
  </si>
  <si>
    <t>27/28 Capacity Proxy Price True-up - in $/MWh</t>
  </si>
  <si>
    <t>entered after 2027 BGS Auction</t>
  </si>
  <si>
    <t>= line 1 + line 1A</t>
  </si>
  <si>
    <t xml:space="preserve">Total Payment to Suppliers - in $1000 </t>
  </si>
  <si>
    <t>= (1B * (2)/(3) * (4) * (6)) / 1000</t>
  </si>
  <si>
    <t>= (1B * (2)/(3) * (5) * (7)) / 1000</t>
  </si>
  <si>
    <t>Winners in the 2025 BGS-RSCP Auction will only receive a true-up if results of 2027/2028 BRA are not known at least 5 business days prior to the 2025 BGS-RSCP Auction.</t>
  </si>
  <si>
    <t>per Board Orders dated 11/09/2022 and 11/17/2023</t>
  </si>
  <si>
    <t>per Board Orders dated 11/17/2023 and 11/21/2024</t>
  </si>
  <si>
    <t>per Board Order dated 11/21/2024</t>
  </si>
  <si>
    <t xml:space="preserve"> class totals as of January 2025</t>
  </si>
  <si>
    <t>Winners in the 2025 BGS-RSCP Auction will only receive true-up if results of 2027/2028 BRA are not known at least 5 days prior to the 2025 BGS-RSCP Auction.</t>
  </si>
  <si>
    <t>Winners in the 2025 BGS-RSCP Auction will only receive true-up if results of 2026/2027 BRA are not known at least 5 days prior to the 2025 BGS-RSCP Auction.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</si>
</sst>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0000"/>
    <numFmt numFmtId="166" formatCode="0.0000"/>
    <numFmt numFmtId="167" formatCode="0.0000%"/>
    <numFmt numFmtId="168" formatCode="#,##0.0"/>
    <numFmt numFmtId="169" formatCode="_(&quot;$&quot;* #,##0_);_(&quot;$&quot;* \(#,##0\);_(&quot;$&quot;* &quot;-&quot;??_);_(@_)"/>
    <numFmt numFmtId="170" formatCode="0.000000"/>
    <numFmt numFmtId="171" formatCode="_(&quot;$&quot;* #,##0.000_);_(&quot;$&quot;* \(#,##0.000\);_(&quot;$&quot;* &quot;-&quot;??_);_(@_)"/>
    <numFmt numFmtId="172" formatCode="_(&quot;$&quot;* #,##0.0000_);_(&quot;$&quot;* \(#,##0.0000\);_(&quot;$&quot;* &quot;-&quot;??_);_(@_)"/>
    <numFmt numFmtId="173" formatCode="0.0%"/>
    <numFmt numFmtId="174" formatCode="_(* #,##0_);_(* \(#,##0\);_(* &quot;-&quot;??_);_(@_)"/>
    <numFmt numFmtId="175" formatCode="_(* #,##0.000_);_(* \(#,##0.000\);_(* &quot;-&quot;??_);_(@_)"/>
    <numFmt numFmtId="176" formatCode="_(* #,##0.0000_);_(* \(#,##0.0000\);_(* &quot;-&quot;??_);_(@_)"/>
    <numFmt numFmtId="177" formatCode="_(* #,##0.00000_);_(* \(#,##0.00000\);_(* &quot;-&quot;??_);_(@_)"/>
    <numFmt numFmtId="178" formatCode="_(&quot;$&quot;* #,##0.000000_);_(&quot;$&quot;* \(#,##0.000000\);_(&quot;$&quot;* &quot;-&quot;??_);_(@_)"/>
    <numFmt numFmtId="179" formatCode="#,##0.0000_);\(#,##0.0000\)"/>
    <numFmt numFmtId="180" formatCode="_(* #,##0.000000_);_(* \(#,##0.000000\);_(* &quot;-&quot;??_);_(@_)"/>
    <numFmt numFmtId="181" formatCode="&quot;$&quot;#,##0.00"/>
    <numFmt numFmtId="182" formatCode="&quot;$&quot;#,##0"/>
    <numFmt numFmtId="183" formatCode="&quot;$&quot;#,##0.0000"/>
    <numFmt numFmtId="184" formatCode="0.0"/>
    <numFmt numFmtId="185" formatCode="&quot;$&quot;#,##0\ ;\(&quot;$&quot;#,##0\)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u val="singleAccounting"/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10"/>
      <name val="Arial"/>
      <family val="2"/>
    </font>
    <font>
      <sz val="10"/>
      <color rgb="FF0000FF"/>
      <name val="Arial"/>
      <family val="2"/>
    </font>
    <font>
      <sz val="10"/>
      <color theme="1"/>
      <name val="Arial"/>
      <family val="2"/>
    </font>
    <font>
      <sz val="10"/>
      <color rgb="FFC00000"/>
      <name val="Arial"/>
      <family val="2"/>
    </font>
    <font>
      <b/>
      <sz val="12"/>
      <color rgb="FFFF0000"/>
      <name val="Arial"/>
      <family val="2"/>
    </font>
    <font>
      <b/>
      <sz val="16"/>
      <name val="Arial"/>
      <family val="2"/>
    </font>
    <font>
      <b/>
      <i/>
      <sz val="10"/>
      <color rgb="FFFF0000"/>
      <name val="Arial"/>
      <family val="2"/>
    </font>
    <font>
      <sz val="10"/>
      <color rgb="FFFF0000"/>
      <name val="Arial"/>
      <family val="2"/>
    </font>
    <font>
      <u val="singleAccounting"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22"/>
      <name val="Arial"/>
      <family val="2"/>
    </font>
    <font>
      <b/>
      <sz val="18"/>
      <color indexed="22"/>
      <name val="Arial"/>
      <family val="2"/>
    </font>
    <font>
      <b/>
      <sz val="12"/>
      <color indexed="22"/>
      <name val="Arial"/>
      <family val="2"/>
    </font>
    <font>
      <b/>
      <sz val="18"/>
      <color indexed="56"/>
      <name val="Cambri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b/>
      <sz val="16"/>
      <color indexed="23"/>
      <name val="Arial"/>
      <family val="2"/>
    </font>
    <font>
      <b/>
      <sz val="10"/>
      <color rgb="FFFF0000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161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6" borderId="0" applyNumberFormat="0" applyBorder="0" applyAlignment="0" applyProtection="0"/>
    <xf numFmtId="0" fontId="31" fillId="9" borderId="0" applyNumberFormat="0" applyBorder="0" applyAlignment="0" applyProtection="0"/>
    <xf numFmtId="0" fontId="31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20" borderId="0" applyNumberFormat="0" applyBorder="0" applyAlignment="0" applyProtection="0"/>
    <xf numFmtId="0" fontId="33" fillId="4" borderId="0" applyNumberFormat="0" applyBorder="0" applyAlignment="0" applyProtection="0"/>
    <xf numFmtId="0" fontId="34" fillId="21" borderId="15" applyNumberFormat="0" applyAlignment="0" applyProtection="0"/>
    <xf numFmtId="0" fontId="35" fillId="22" borderId="16" applyNumberFormat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5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6" fillId="0" borderId="0" applyNumberFormat="0" applyFill="0" applyBorder="0" applyAlignment="0" applyProtection="0"/>
    <xf numFmtId="2" fontId="27" fillId="0" borderId="0" applyFont="0" applyFill="0" applyBorder="0" applyAlignment="0" applyProtection="0"/>
    <xf numFmtId="0" fontId="37" fillId="5" borderId="0" applyNumberFormat="0" applyBorder="0" applyAlignment="0" applyProtection="0"/>
    <xf numFmtId="0" fontId="28" fillId="0" borderId="0" applyNumberFormat="0" applyFill="0" applyBorder="0" applyAlignment="0" applyProtection="0"/>
    <xf numFmtId="0" fontId="38" fillId="0" borderId="17" applyNumberFormat="0" applyFill="0" applyAlignment="0" applyProtection="0"/>
    <xf numFmtId="0" fontId="29" fillId="0" borderId="0" applyNumberFormat="0" applyFill="0" applyBorder="0" applyAlignment="0" applyProtection="0"/>
    <xf numFmtId="0" fontId="39" fillId="0" borderId="18" applyNumberFormat="0" applyFill="0" applyAlignment="0" applyProtection="0"/>
    <xf numFmtId="0" fontId="40" fillId="0" borderId="19" applyNumberFormat="0" applyFill="0" applyAlignment="0" applyProtection="0"/>
    <xf numFmtId="0" fontId="40" fillId="0" borderId="0" applyNumberFormat="0" applyFill="0" applyBorder="0" applyAlignment="0" applyProtection="0"/>
    <xf numFmtId="0" fontId="41" fillId="8" borderId="15" applyNumberFormat="0" applyAlignment="0" applyProtection="0"/>
    <xf numFmtId="0" fontId="42" fillId="0" borderId="20" applyNumberFormat="0" applyFill="0" applyAlignment="0" applyProtection="0"/>
    <xf numFmtId="0" fontId="43" fillId="23" borderId="0" applyNumberFormat="0" applyBorder="0" applyAlignment="0" applyProtection="0"/>
    <xf numFmtId="0" fontId="1" fillId="0" borderId="0"/>
    <xf numFmtId="0" fontId="11" fillId="0" borderId="0"/>
    <xf numFmtId="0" fontId="2" fillId="24" borderId="21" applyNumberFormat="0" applyFont="0" applyAlignment="0" applyProtection="0"/>
    <xf numFmtId="0" fontId="44" fillId="21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27" fillId="0" borderId="23" applyNumberFormat="0" applyFont="0" applyFill="0" applyAlignment="0" applyProtection="0"/>
    <xf numFmtId="0" fontId="45" fillId="0" borderId="24" applyNumberFormat="0" applyFill="0" applyAlignment="0" applyProtection="0"/>
    <xf numFmtId="0" fontId="17" fillId="0" borderId="0" applyNumberForma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24" borderId="21" applyNumberFormat="0" applyFont="0" applyAlignment="0" applyProtection="0"/>
    <xf numFmtId="9" fontId="2" fillId="0" borderId="0" applyFont="0" applyFill="0" applyBorder="0" applyAlignment="0" applyProtection="0"/>
    <xf numFmtId="0" fontId="46" fillId="0" borderId="0"/>
    <xf numFmtId="43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" fillId="0" borderId="0"/>
    <xf numFmtId="0" fontId="2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4" fontId="31" fillId="27" borderId="22" applyNumberFormat="0" applyProtection="0">
      <alignment vertical="center"/>
    </xf>
    <xf numFmtId="0" fontId="27" fillId="0" borderId="23" applyNumberFormat="0" applyFont="0" applyFill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6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6" fillId="0" borderId="0"/>
    <xf numFmtId="0" fontId="46" fillId="0" borderId="0"/>
    <xf numFmtId="0" fontId="1" fillId="0" borderId="0"/>
    <xf numFmtId="0" fontId="1" fillId="0" borderId="0"/>
    <xf numFmtId="4" fontId="49" fillId="27" borderId="22" applyNumberFormat="0" applyProtection="0">
      <alignment vertical="center"/>
    </xf>
    <xf numFmtId="4" fontId="31" fillId="27" borderId="22" applyNumberFormat="0" applyProtection="0">
      <alignment horizontal="left" vertical="center" indent="1"/>
    </xf>
    <xf numFmtId="4" fontId="31" fillId="27" borderId="22" applyNumberFormat="0" applyProtection="0">
      <alignment horizontal="left" vertical="center" indent="1"/>
    </xf>
    <xf numFmtId="0" fontId="2" fillId="28" borderId="22" applyNumberFormat="0" applyProtection="0">
      <alignment horizontal="left" vertical="center" indent="1"/>
    </xf>
    <xf numFmtId="4" fontId="31" fillId="29" borderId="22" applyNumberFormat="0" applyProtection="0">
      <alignment horizontal="right" vertical="center"/>
    </xf>
    <xf numFmtId="4" fontId="31" fillId="30" borderId="22" applyNumberFormat="0" applyProtection="0">
      <alignment horizontal="right" vertical="center"/>
    </xf>
    <xf numFmtId="4" fontId="31" fillId="31" borderId="22" applyNumberFormat="0" applyProtection="0">
      <alignment horizontal="right" vertical="center"/>
    </xf>
    <xf numFmtId="4" fontId="31" fillId="32" borderId="22" applyNumberFormat="0" applyProtection="0">
      <alignment horizontal="right" vertical="center"/>
    </xf>
    <xf numFmtId="4" fontId="31" fillId="33" borderId="22" applyNumberFormat="0" applyProtection="0">
      <alignment horizontal="right" vertical="center"/>
    </xf>
    <xf numFmtId="4" fontId="31" fillId="34" borderId="22" applyNumberFormat="0" applyProtection="0">
      <alignment horizontal="right" vertical="center"/>
    </xf>
    <xf numFmtId="4" fontId="31" fillId="35" borderId="22" applyNumberFormat="0" applyProtection="0">
      <alignment horizontal="right" vertical="center"/>
    </xf>
    <xf numFmtId="4" fontId="31" fillId="36" borderId="22" applyNumberFormat="0" applyProtection="0">
      <alignment horizontal="right" vertical="center"/>
    </xf>
    <xf numFmtId="4" fontId="31" fillId="37" borderId="22" applyNumberFormat="0" applyProtection="0">
      <alignment horizontal="right" vertical="center"/>
    </xf>
    <xf numFmtId="4" fontId="45" fillId="38" borderId="22" applyNumberFormat="0" applyProtection="0">
      <alignment horizontal="left" vertical="center" indent="1"/>
    </xf>
    <xf numFmtId="4" fontId="31" fillId="39" borderId="25" applyNumberFormat="0" applyProtection="0">
      <alignment horizontal="left" vertical="center" indent="1"/>
    </xf>
    <xf numFmtId="4" fontId="48" fillId="40" borderId="0" applyNumberFormat="0" applyProtection="0">
      <alignment horizontal="left" vertical="center" indent="1"/>
    </xf>
    <xf numFmtId="0" fontId="2" fillId="28" borderId="22" applyNumberFormat="0" applyProtection="0">
      <alignment horizontal="left" vertical="center" indent="1"/>
    </xf>
    <xf numFmtId="4" fontId="31" fillId="39" borderId="22" applyNumberFormat="0" applyProtection="0">
      <alignment horizontal="left" vertical="center" indent="1"/>
    </xf>
    <xf numFmtId="4" fontId="31" fillId="26" borderId="22" applyNumberFormat="0" applyProtection="0">
      <alignment horizontal="left" vertical="center" indent="1"/>
    </xf>
    <xf numFmtId="0" fontId="2" fillId="26" borderId="22" applyNumberFormat="0" applyProtection="0">
      <alignment horizontal="left" vertical="center" indent="1"/>
    </xf>
    <xf numFmtId="0" fontId="2" fillId="26" borderId="22" applyNumberFormat="0" applyProtection="0">
      <alignment horizontal="left" vertical="center" indent="1"/>
    </xf>
    <xf numFmtId="0" fontId="2" fillId="41" borderId="22" applyNumberFormat="0" applyProtection="0">
      <alignment horizontal="left" vertical="center" indent="1"/>
    </xf>
    <xf numFmtId="0" fontId="2" fillId="41" borderId="22" applyNumberFormat="0" applyProtection="0">
      <alignment horizontal="left" vertical="center" indent="1"/>
    </xf>
    <xf numFmtId="0" fontId="2" fillId="25" borderId="22" applyNumberFormat="0" applyProtection="0">
      <alignment horizontal="left" vertical="center" indent="1"/>
    </xf>
    <xf numFmtId="0" fontId="2" fillId="25" borderId="22" applyNumberFormat="0" applyProtection="0">
      <alignment horizontal="left" vertical="center" indent="1"/>
    </xf>
    <xf numFmtId="0" fontId="2" fillId="28" borderId="22" applyNumberFormat="0" applyProtection="0">
      <alignment horizontal="left" vertical="center" indent="1"/>
    </xf>
    <xf numFmtId="0" fontId="2" fillId="28" borderId="22" applyNumberFormat="0" applyProtection="0">
      <alignment horizontal="left" vertical="center" indent="1"/>
    </xf>
    <xf numFmtId="4" fontId="31" fillId="42" borderId="22" applyNumberFormat="0" applyProtection="0">
      <alignment vertical="center"/>
    </xf>
    <xf numFmtId="4" fontId="49" fillId="42" borderId="22" applyNumberFormat="0" applyProtection="0">
      <alignment vertical="center"/>
    </xf>
    <xf numFmtId="4" fontId="31" fillId="42" borderId="22" applyNumberFormat="0" applyProtection="0">
      <alignment horizontal="left" vertical="center" indent="1"/>
    </xf>
    <xf numFmtId="4" fontId="31" fillId="42" borderId="22" applyNumberFormat="0" applyProtection="0">
      <alignment horizontal="left" vertical="center" indent="1"/>
    </xf>
    <xf numFmtId="4" fontId="31" fillId="39" borderId="22" applyNumberFormat="0" applyProtection="0">
      <alignment horizontal="right" vertical="center"/>
    </xf>
    <xf numFmtId="4" fontId="49" fillId="39" borderId="22" applyNumberFormat="0" applyProtection="0">
      <alignment horizontal="right" vertical="center"/>
    </xf>
    <xf numFmtId="0" fontId="2" fillId="28" borderId="22" applyNumberFormat="0" applyProtection="0">
      <alignment horizontal="left" vertical="center" indent="1"/>
    </xf>
    <xf numFmtId="0" fontId="2" fillId="28" borderId="22" applyNumberFormat="0" applyProtection="0">
      <alignment horizontal="left" vertical="center" indent="1"/>
    </xf>
    <xf numFmtId="0" fontId="50" fillId="0" borderId="0"/>
    <xf numFmtId="4" fontId="17" fillId="39" borderId="22" applyNumberFormat="0" applyProtection="0">
      <alignment horizontal="right" vertical="center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31" fillId="39" borderId="22" applyNumberFormat="0" applyProtection="0">
      <alignment horizontal="left" vertical="center" indent="1"/>
    </xf>
    <xf numFmtId="4" fontId="31" fillId="26" borderId="22" applyNumberFormat="0" applyProtection="0">
      <alignment horizontal="left" vertical="center" indent="1"/>
    </xf>
    <xf numFmtId="0" fontId="2" fillId="0" borderId="0"/>
  </cellStyleXfs>
  <cellXfs count="281">
    <xf numFmtId="0" fontId="0" fillId="0" borderId="0" xfId="0"/>
    <xf numFmtId="9" fontId="9" fillId="0" borderId="0" xfId="3" applyFont="1" applyFill="1"/>
    <xf numFmtId="9" fontId="9" fillId="0" borderId="0" xfId="3" applyFont="1" applyFill="1" applyBorder="1"/>
    <xf numFmtId="0" fontId="7" fillId="0" borderId="0" xfId="0" applyFont="1"/>
    <xf numFmtId="0" fontId="5" fillId="0" borderId="0" xfId="0" applyFont="1"/>
    <xf numFmtId="44" fontId="9" fillId="0" borderId="0" xfId="2" applyFont="1" applyFill="1"/>
    <xf numFmtId="0" fontId="0" fillId="0" borderId="0" xfId="0" applyAlignment="1">
      <alignment horizontal="right"/>
    </xf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0" fillId="0" borderId="0" xfId="0" applyFont="1" applyAlignment="1">
      <alignment horizontal="center"/>
    </xf>
    <xf numFmtId="170" fontId="8" fillId="0" borderId="0" xfId="0" applyNumberFormat="1" applyFont="1"/>
    <xf numFmtId="0" fontId="8" fillId="0" borderId="0" xfId="0" applyFont="1"/>
    <xf numFmtId="170" fontId="10" fillId="0" borderId="0" xfId="0" applyNumberFormat="1" applyFont="1"/>
    <xf numFmtId="0" fontId="8" fillId="0" borderId="0" xfId="0" applyFont="1" applyAlignment="1">
      <alignment horizontal="right"/>
    </xf>
    <xf numFmtId="44" fontId="8" fillId="0" borderId="0" xfId="2" quotePrefix="1" applyFont="1" applyFill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17" fontId="0" fillId="0" borderId="0" xfId="0" applyNumberFormat="1"/>
    <xf numFmtId="43" fontId="7" fillId="0" borderId="0" xfId="1" quotePrefix="1" applyFont="1" applyFill="1" applyBorder="1"/>
    <xf numFmtId="44" fontId="7" fillId="0" borderId="0" xfId="2" quotePrefix="1" applyFont="1" applyFill="1" applyBorder="1"/>
    <xf numFmtId="0" fontId="0" fillId="0" borderId="0" xfId="0" applyAlignment="1">
      <alignment horizontal="left"/>
    </xf>
    <xf numFmtId="164" fontId="8" fillId="0" borderId="0" xfId="0" applyNumberFormat="1" applyFont="1"/>
    <xf numFmtId="175" fontId="7" fillId="0" borderId="0" xfId="1" quotePrefix="1" applyNumberFormat="1" applyFont="1" applyFill="1" applyBorder="1"/>
    <xf numFmtId="0" fontId="6" fillId="0" borderId="0" xfId="0" applyFont="1" applyAlignment="1">
      <alignment horizontal="left"/>
    </xf>
    <xf numFmtId="17" fontId="0" fillId="0" borderId="0" xfId="0" applyNumberFormat="1" applyAlignment="1">
      <alignment horizontal="right"/>
    </xf>
    <xf numFmtId="44" fontId="8" fillId="0" borderId="0" xfId="2" applyFont="1" applyFill="1"/>
    <xf numFmtId="173" fontId="7" fillId="0" borderId="0" xfId="0" applyNumberFormat="1" applyFont="1" applyAlignment="1">
      <alignment horizontal="center"/>
    </xf>
    <xf numFmtId="3" fontId="0" fillId="0" borderId="0" xfId="0" applyNumberFormat="1"/>
    <xf numFmtId="169" fontId="0" fillId="0" borderId="0" xfId="2" applyNumberFormat="1" applyFont="1" applyFill="1"/>
    <xf numFmtId="169" fontId="12" fillId="0" borderId="0" xfId="2" applyNumberFormat="1" applyFont="1" applyFill="1"/>
    <xf numFmtId="169" fontId="0" fillId="0" borderId="0" xfId="0" applyNumberFormat="1"/>
    <xf numFmtId="0" fontId="8" fillId="0" borderId="0" xfId="0" applyFont="1" applyAlignment="1">
      <alignment horizontal="left"/>
    </xf>
    <xf numFmtId="0" fontId="9" fillId="0" borderId="0" xfId="0" applyFont="1"/>
    <xf numFmtId="3" fontId="8" fillId="0" borderId="0" xfId="0" applyNumberFormat="1" applyFont="1"/>
    <xf numFmtId="3" fontId="9" fillId="0" borderId="0" xfId="0" applyNumberFormat="1" applyFont="1"/>
    <xf numFmtId="43" fontId="8" fillId="0" borderId="0" xfId="1" quotePrefix="1" applyFont="1" applyFill="1"/>
    <xf numFmtId="43" fontId="8" fillId="0" borderId="0" xfId="1" quotePrefix="1" applyFont="1" applyFill="1" applyBorder="1"/>
    <xf numFmtId="175" fontId="0" fillId="0" borderId="0" xfId="0" applyNumberFormat="1"/>
    <xf numFmtId="175" fontId="7" fillId="0" borderId="0" xfId="0" applyNumberFormat="1" applyFont="1"/>
    <xf numFmtId="175" fontId="8" fillId="0" borderId="0" xfId="1" quotePrefix="1" applyNumberFormat="1" applyFont="1" applyFill="1"/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169" fontId="2" fillId="0" borderId="0" xfId="2" applyNumberFormat="1" applyFill="1"/>
    <xf numFmtId="169" fontId="2" fillId="0" borderId="0" xfId="2" quotePrefix="1" applyNumberFormat="1" applyFont="1" applyFill="1"/>
    <xf numFmtId="169" fontId="12" fillId="0" borderId="0" xfId="0" applyNumberFormat="1" applyFont="1"/>
    <xf numFmtId="167" fontId="2" fillId="0" borderId="0" xfId="3" applyNumberFormat="1" applyFill="1"/>
    <xf numFmtId="175" fontId="7" fillId="0" borderId="0" xfId="1" quotePrefix="1" applyNumberFormat="1" applyFont="1" applyFill="1"/>
    <xf numFmtId="169" fontId="2" fillId="0" borderId="0" xfId="2" quotePrefix="1" applyNumberFormat="1" applyFont="1" applyFill="1" applyBorder="1"/>
    <xf numFmtId="169" fontId="12" fillId="0" borderId="0" xfId="2" quotePrefix="1" applyNumberFormat="1" applyFont="1" applyFill="1" applyBorder="1"/>
    <xf numFmtId="174" fontId="2" fillId="0" borderId="0" xfId="1" applyNumberFormat="1" applyFill="1"/>
    <xf numFmtId="174" fontId="2" fillId="0" borderId="0" xfId="1" quotePrefix="1" applyNumberFormat="1" applyFont="1" applyFill="1"/>
    <xf numFmtId="174" fontId="12" fillId="0" borderId="0" xfId="1" applyNumberFormat="1" applyFont="1" applyFill="1"/>
    <xf numFmtId="174" fontId="0" fillId="0" borderId="0" xfId="1" applyNumberFormat="1" applyFont="1" applyFill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65" fontId="0" fillId="0" borderId="6" xfId="0" applyNumberFormat="1" applyBorder="1"/>
    <xf numFmtId="169" fontId="0" fillId="0" borderId="0" xfId="2" quotePrefix="1" applyNumberFormat="1" applyFont="1" applyFill="1"/>
    <xf numFmtId="0" fontId="15" fillId="0" borderId="0" xfId="0" applyFont="1" applyAlignment="1">
      <alignment horizontal="center"/>
    </xf>
    <xf numFmtId="10" fontId="9" fillId="0" borderId="0" xfId="3" quotePrefix="1" applyNumberFormat="1" applyFont="1" applyFill="1"/>
    <xf numFmtId="169" fontId="9" fillId="0" borderId="0" xfId="2" applyNumberFormat="1" applyFont="1" applyFill="1"/>
    <xf numFmtId="167" fontId="9" fillId="0" borderId="0" xfId="0" applyNumberFormat="1" applyFont="1"/>
    <xf numFmtId="4" fontId="9" fillId="0" borderId="0" xfId="0" applyNumberFormat="1" applyFont="1"/>
    <xf numFmtId="166" fontId="9" fillId="0" borderId="0" xfId="0" applyNumberFormat="1" applyFont="1"/>
    <xf numFmtId="44" fontId="7" fillId="0" borderId="0" xfId="2" applyFont="1" applyFill="1" applyBorder="1"/>
    <xf numFmtId="0" fontId="3" fillId="0" borderId="0" xfId="0" applyFont="1"/>
    <xf numFmtId="0" fontId="4" fillId="0" borderId="0" xfId="0" applyFont="1" applyAlignment="1">
      <alignment horizontal="left"/>
    </xf>
    <xf numFmtId="0" fontId="7" fillId="0" borderId="0" xfId="0" quotePrefix="1" applyFont="1"/>
    <xf numFmtId="39" fontId="8" fillId="0" borderId="0" xfId="0" quotePrefix="1" applyNumberFormat="1" applyFont="1"/>
    <xf numFmtId="0" fontId="5" fillId="0" borderId="0" xfId="0" quotePrefix="1" applyFont="1"/>
    <xf numFmtId="0" fontId="5" fillId="0" borderId="0" xfId="0" applyFont="1" applyAlignment="1">
      <alignment horizontal="center"/>
    </xf>
    <xf numFmtId="9" fontId="9" fillId="0" borderId="0" xfId="3" quotePrefix="1" applyFont="1" applyFill="1"/>
    <xf numFmtId="9" fontId="8" fillId="0" borderId="0" xfId="3" quotePrefix="1" applyFont="1" applyFill="1"/>
    <xf numFmtId="9" fontId="0" fillId="0" borderId="0" xfId="0" applyNumberFormat="1"/>
    <xf numFmtId="17" fontId="7" fillId="0" borderId="0" xfId="0" applyNumberFormat="1" applyFont="1"/>
    <xf numFmtId="165" fontId="0" fillId="0" borderId="0" xfId="0" applyNumberFormat="1"/>
    <xf numFmtId="177" fontId="0" fillId="0" borderId="0" xfId="1" applyNumberFormat="1" applyFont="1" applyFill="1"/>
    <xf numFmtId="39" fontId="8" fillId="0" borderId="0" xfId="0" applyNumberFormat="1" applyFont="1"/>
    <xf numFmtId="39" fontId="0" fillId="0" borderId="0" xfId="0" applyNumberFormat="1"/>
    <xf numFmtId="2" fontId="0" fillId="0" borderId="0" xfId="0" applyNumberFormat="1"/>
    <xf numFmtId="2" fontId="7" fillId="0" borderId="0" xfId="0" applyNumberFormat="1" applyFont="1"/>
    <xf numFmtId="2" fontId="17" fillId="0" borderId="0" xfId="0" applyNumberFormat="1" applyFont="1"/>
    <xf numFmtId="0" fontId="0" fillId="0" borderId="0" xfId="0" quotePrefix="1"/>
    <xf numFmtId="44" fontId="2" fillId="0" borderId="0" xfId="2" applyFill="1"/>
    <xf numFmtId="44" fontId="2" fillId="0" borderId="0" xfId="2" quotePrefix="1" applyFont="1" applyFill="1"/>
    <xf numFmtId="44" fontId="0" fillId="0" borderId="0" xfId="0" applyNumberFormat="1"/>
    <xf numFmtId="172" fontId="0" fillId="0" borderId="0" xfId="0" applyNumberFormat="1"/>
    <xf numFmtId="171" fontId="0" fillId="0" borderId="0" xfId="0" applyNumberFormat="1"/>
    <xf numFmtId="9" fontId="2" fillId="0" borderId="0" xfId="3" applyFill="1"/>
    <xf numFmtId="169" fontId="2" fillId="0" borderId="0" xfId="3" applyNumberFormat="1" applyFill="1"/>
    <xf numFmtId="180" fontId="0" fillId="0" borderId="0" xfId="0" applyNumberFormat="1"/>
    <xf numFmtId="178" fontId="0" fillId="0" borderId="0" xfId="0" applyNumberFormat="1"/>
    <xf numFmtId="17" fontId="5" fillId="0" borderId="0" xfId="0" applyNumberFormat="1" applyFont="1"/>
    <xf numFmtId="10" fontId="14" fillId="0" borderId="0" xfId="0" applyNumberFormat="1" applyFont="1"/>
    <xf numFmtId="3" fontId="5" fillId="0" borderId="0" xfId="0" applyNumberFormat="1" applyFont="1" applyAlignment="1">
      <alignment horizontal="left"/>
    </xf>
    <xf numFmtId="3" fontId="0" fillId="0" borderId="0" xfId="0" quotePrefix="1" applyNumberFormat="1"/>
    <xf numFmtId="17" fontId="0" fillId="0" borderId="0" xfId="0" applyNumberFormat="1" applyAlignment="1">
      <alignment horizontal="center"/>
    </xf>
    <xf numFmtId="168" fontId="9" fillId="0" borderId="0" xfId="0" applyNumberFormat="1" applyFont="1"/>
    <xf numFmtId="168" fontId="0" fillId="0" borderId="0" xfId="0" applyNumberFormat="1"/>
    <xf numFmtId="176" fontId="7" fillId="0" borderId="0" xfId="0" applyNumberFormat="1" applyFont="1" applyAlignment="1">
      <alignment horizontal="center"/>
    </xf>
    <xf numFmtId="168" fontId="8" fillId="0" borderId="0" xfId="0" applyNumberFormat="1" applyFont="1"/>
    <xf numFmtId="0" fontId="0" fillId="0" borderId="0" xfId="0" quotePrefix="1" applyAlignment="1">
      <alignment horizontal="right"/>
    </xf>
    <xf numFmtId="168" fontId="8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174" fontId="0" fillId="0" borderId="0" xfId="0" applyNumberFormat="1"/>
    <xf numFmtId="179" fontId="16" fillId="0" borderId="0" xfId="1" applyNumberFormat="1" applyFont="1" applyFill="1" applyBorder="1" applyAlignment="1">
      <alignment horizontal="center"/>
    </xf>
    <xf numFmtId="176" fontId="0" fillId="0" borderId="0" xfId="0" applyNumberFormat="1"/>
    <xf numFmtId="43" fontId="0" fillId="0" borderId="0" xfId="0" applyNumberFormat="1"/>
    <xf numFmtId="0" fontId="6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 wrapText="1"/>
    </xf>
    <xf numFmtId="10" fontId="2" fillId="0" borderId="0" xfId="3" applyNumberFormat="1" applyFill="1"/>
    <xf numFmtId="9" fontId="2" fillId="0" borderId="0" xfId="3" applyFont="1" applyFill="1"/>
    <xf numFmtId="166" fontId="8" fillId="0" borderId="0" xfId="0" applyNumberFormat="1" applyFont="1"/>
    <xf numFmtId="172" fontId="8" fillId="0" borderId="0" xfId="2" applyNumberFormat="1" applyFont="1" applyFill="1"/>
    <xf numFmtId="44" fontId="7" fillId="0" borderId="0" xfId="2" quotePrefix="1" applyFont="1" applyFill="1"/>
    <xf numFmtId="0" fontId="6" fillId="0" borderId="0" xfId="0" applyFont="1"/>
    <xf numFmtId="166" fontId="6" fillId="0" borderId="0" xfId="0" applyNumberFormat="1" applyFont="1"/>
    <xf numFmtId="0" fontId="0" fillId="0" borderId="1" xfId="0" applyBorder="1"/>
    <xf numFmtId="0" fontId="10" fillId="0" borderId="6" xfId="0" applyFont="1" applyBorder="1" applyAlignment="1">
      <alignment horizontal="center"/>
    </xf>
    <xf numFmtId="0" fontId="0" fillId="0" borderId="7" xfId="0" applyBorder="1"/>
    <xf numFmtId="0" fontId="0" fillId="0" borderId="2" xfId="0" applyBorder="1"/>
    <xf numFmtId="0" fontId="0" fillId="0" borderId="8" xfId="0" applyBorder="1"/>
    <xf numFmtId="169" fontId="8" fillId="0" borderId="0" xfId="2" quotePrefix="1" applyNumberFormat="1" applyFont="1" applyFill="1"/>
    <xf numFmtId="169" fontId="8" fillId="0" borderId="0" xfId="2" applyNumberFormat="1" applyFont="1" applyFill="1"/>
    <xf numFmtId="169" fontId="0" fillId="0" borderId="2" xfId="0" applyNumberFormat="1" applyBorder="1"/>
    <xf numFmtId="10" fontId="8" fillId="0" borderId="0" xfId="0" applyNumberFormat="1" applyFont="1"/>
    <xf numFmtId="176" fontId="7" fillId="0" borderId="0" xfId="1" applyNumberFormat="1" applyFont="1" applyFill="1"/>
    <xf numFmtId="170" fontId="0" fillId="0" borderId="0" xfId="0" applyNumberFormat="1"/>
    <xf numFmtId="178" fontId="2" fillId="0" borderId="0" xfId="2" applyNumberFormat="1" applyFill="1" applyBorder="1"/>
    <xf numFmtId="167" fontId="0" fillId="0" borderId="0" xfId="3" applyNumberFormat="1" applyFont="1" applyFill="1"/>
    <xf numFmtId="174" fontId="2" fillId="0" borderId="0" xfId="1" quotePrefix="1" applyNumberFormat="1" applyFill="1" applyBorder="1" applyAlignment="1">
      <alignment horizontal="left"/>
    </xf>
    <xf numFmtId="174" fontId="0" fillId="0" borderId="2" xfId="1" applyNumberFormat="1" applyFont="1" applyFill="1" applyBorder="1"/>
    <xf numFmtId="167" fontId="0" fillId="0" borderId="0" xfId="0" applyNumberFormat="1"/>
    <xf numFmtId="165" fontId="2" fillId="0" borderId="0" xfId="0" applyNumberFormat="1" applyFont="1"/>
    <xf numFmtId="164" fontId="0" fillId="0" borderId="10" xfId="0" applyNumberFormat="1" applyBorder="1"/>
    <xf numFmtId="164" fontId="0" fillId="0" borderId="11" xfId="0" applyNumberFormat="1" applyBorder="1"/>
    <xf numFmtId="181" fontId="2" fillId="0" borderId="0" xfId="2" applyNumberFormat="1" applyFont="1" applyFill="1" applyAlignment="1">
      <alignment horizontal="center" wrapText="1"/>
    </xf>
    <xf numFmtId="7" fontId="9" fillId="0" borderId="0" xfId="2" applyNumberFormat="1" applyFont="1" applyFill="1"/>
    <xf numFmtId="0" fontId="2" fillId="0" borderId="0" xfId="0" quotePrefix="1" applyFont="1"/>
    <xf numFmtId="164" fontId="7" fillId="0" borderId="0" xfId="0" applyNumberFormat="1" applyFont="1"/>
    <xf numFmtId="169" fontId="2" fillId="0" borderId="2" xfId="2" applyNumberFormat="1" applyFill="1" applyBorder="1"/>
    <xf numFmtId="44" fontId="2" fillId="0" borderId="0" xfId="2" applyFont="1" applyFill="1"/>
    <xf numFmtId="0" fontId="2" fillId="0" borderId="0" xfId="0" applyFont="1" applyAlignment="1">
      <alignment horizontal="right"/>
    </xf>
    <xf numFmtId="167" fontId="2" fillId="0" borderId="0" xfId="0" applyNumberFormat="1" applyFont="1"/>
    <xf numFmtId="44" fontId="7" fillId="0" borderId="0" xfId="0" applyNumberFormat="1" applyFont="1" applyAlignment="1">
      <alignment horizontal="center"/>
    </xf>
    <xf numFmtId="174" fontId="18" fillId="0" borderId="0" xfId="1" quotePrefix="1" applyNumberFormat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7" fontId="0" fillId="0" borderId="0" xfId="0" applyNumberFormat="1"/>
    <xf numFmtId="4" fontId="2" fillId="0" borderId="0" xfId="0" applyNumberFormat="1" applyFont="1"/>
    <xf numFmtId="44" fontId="20" fillId="0" borderId="0" xfId="2" applyFont="1" applyFill="1"/>
    <xf numFmtId="0" fontId="2" fillId="0" borderId="0" xfId="4"/>
    <xf numFmtId="0" fontId="3" fillId="0" borderId="0" xfId="4" applyFont="1" applyAlignment="1">
      <alignment horizontal="center"/>
    </xf>
    <xf numFmtId="0" fontId="5" fillId="0" borderId="0" xfId="4" applyFont="1" applyAlignment="1">
      <alignment horizontal="center" wrapText="1"/>
    </xf>
    <xf numFmtId="0" fontId="7" fillId="0" borderId="0" xfId="4" applyFont="1"/>
    <xf numFmtId="0" fontId="2" fillId="0" borderId="0" xfId="4" quotePrefix="1"/>
    <xf numFmtId="174" fontId="2" fillId="0" borderId="0" xfId="1" applyNumberFormat="1" applyFont="1"/>
    <xf numFmtId="174" fontId="2" fillId="0" borderId="2" xfId="1" applyNumberFormat="1" applyFont="1" applyBorder="1"/>
    <xf numFmtId="10" fontId="2" fillId="0" borderId="0" xfId="3" applyNumberFormat="1" applyFont="1"/>
    <xf numFmtId="0" fontId="7" fillId="0" borderId="0" xfId="4" quotePrefix="1" applyFont="1"/>
    <xf numFmtId="0" fontId="22" fillId="0" borderId="0" xfId="4" applyFont="1"/>
    <xf numFmtId="0" fontId="23" fillId="0" borderId="0" xfId="4" applyFont="1"/>
    <xf numFmtId="0" fontId="5" fillId="0" borderId="0" xfId="4" applyFont="1"/>
    <xf numFmtId="0" fontId="6" fillId="0" borderId="0" xfId="4" applyFont="1" applyAlignment="1">
      <alignment horizontal="center"/>
    </xf>
    <xf numFmtId="0" fontId="2" fillId="0" borderId="0" xfId="4" applyAlignment="1">
      <alignment horizontal="center"/>
    </xf>
    <xf numFmtId="166" fontId="24" fillId="2" borderId="0" xfId="4" applyNumberFormat="1" applyFont="1" applyFill="1"/>
    <xf numFmtId="44" fontId="19" fillId="0" borderId="0" xfId="5" applyFont="1" applyFill="1"/>
    <xf numFmtId="0" fontId="9" fillId="0" borderId="0" xfId="4" applyFont="1"/>
    <xf numFmtId="9" fontId="0" fillId="0" borderId="0" xfId="3" applyFont="1" applyFill="1"/>
    <xf numFmtId="166" fontId="9" fillId="0" borderId="0" xfId="4" applyNumberFormat="1" applyFont="1"/>
    <xf numFmtId="3" fontId="2" fillId="0" borderId="0" xfId="4" applyNumberFormat="1"/>
    <xf numFmtId="3" fontId="9" fillId="0" borderId="0" xfId="4" applyNumberFormat="1" applyFont="1"/>
    <xf numFmtId="0" fontId="19" fillId="0" borderId="0" xfId="4" applyFont="1"/>
    <xf numFmtId="169" fontId="2" fillId="0" borderId="0" xfId="4" applyNumberFormat="1"/>
    <xf numFmtId="169" fontId="25" fillId="0" borderId="0" xfId="5" applyNumberFormat="1" applyFont="1" applyFill="1"/>
    <xf numFmtId="172" fontId="2" fillId="0" borderId="0" xfId="4" applyNumberFormat="1"/>
    <xf numFmtId="172" fontId="2" fillId="0" borderId="0" xfId="5" applyNumberFormat="1" applyFont="1" applyFill="1"/>
    <xf numFmtId="0" fontId="7" fillId="0" borderId="0" xfId="4" applyFont="1" applyAlignment="1">
      <alignment horizontal="left"/>
    </xf>
    <xf numFmtId="0" fontId="2" fillId="0" borderId="0" xfId="4" applyAlignment="1">
      <alignment horizontal="right"/>
    </xf>
    <xf numFmtId="169" fontId="12" fillId="0" borderId="0" xfId="4" applyNumberFormat="1" applyFont="1"/>
    <xf numFmtId="169" fontId="0" fillId="0" borderId="0" xfId="5" applyNumberFormat="1" applyFont="1" applyFill="1"/>
    <xf numFmtId="0" fontId="6" fillId="0" borderId="0" xfId="4" applyFont="1" applyAlignment="1">
      <alignment horizontal="left"/>
    </xf>
    <xf numFmtId="0" fontId="7" fillId="0" borderId="0" xfId="4" applyFont="1" applyAlignment="1">
      <alignment horizontal="center"/>
    </xf>
    <xf numFmtId="17" fontId="2" fillId="0" borderId="0" xfId="4" applyNumberFormat="1"/>
    <xf numFmtId="175" fontId="2" fillId="0" borderId="0" xfId="1" quotePrefix="1" applyNumberFormat="1" applyFont="1" applyFill="1" applyBorder="1"/>
    <xf numFmtId="43" fontId="2" fillId="0" borderId="0" xfId="1" quotePrefix="1" applyFont="1" applyFill="1"/>
    <xf numFmtId="17" fontId="2" fillId="0" borderId="0" xfId="4" applyNumberFormat="1" applyAlignment="1">
      <alignment horizontal="right"/>
    </xf>
    <xf numFmtId="43" fontId="2" fillId="0" borderId="0" xfId="1" quotePrefix="1" applyFont="1" applyFill="1" applyBorder="1"/>
    <xf numFmtId="43" fontId="2" fillId="0" borderId="0" xfId="1" applyFont="1" applyFill="1" applyBorder="1" applyAlignment="1">
      <alignment horizontal="right"/>
    </xf>
    <xf numFmtId="175" fontId="2" fillId="0" borderId="0" xfId="4" applyNumberFormat="1"/>
    <xf numFmtId="175" fontId="7" fillId="0" borderId="0" xfId="4" applyNumberFormat="1" applyFont="1"/>
    <xf numFmtId="0" fontId="7" fillId="0" borderId="0" xfId="4" applyFont="1" applyAlignment="1">
      <alignment horizontal="right"/>
    </xf>
    <xf numFmtId="171" fontId="7" fillId="0" borderId="0" xfId="5" quotePrefix="1" applyNumberFormat="1" applyFont="1" applyFill="1" applyBorder="1"/>
    <xf numFmtId="0" fontId="2" fillId="0" borderId="0" xfId="4" applyAlignment="1">
      <alignment horizontal="left"/>
    </xf>
    <xf numFmtId="175" fontId="2" fillId="0" borderId="0" xfId="1" quotePrefix="1" applyNumberFormat="1" applyFont="1" applyFill="1"/>
    <xf numFmtId="0" fontId="7" fillId="0" borderId="0" xfId="4" applyFont="1" applyAlignment="1">
      <alignment horizontal="center" wrapText="1"/>
    </xf>
    <xf numFmtId="0" fontId="10" fillId="0" borderId="0" xfId="4" applyFont="1" applyAlignment="1">
      <alignment horizontal="left"/>
    </xf>
    <xf numFmtId="172" fontId="2" fillId="0" borderId="0" xfId="5" quotePrefix="1" applyNumberFormat="1" applyFont="1" applyFill="1"/>
    <xf numFmtId="0" fontId="6" fillId="0" borderId="0" xfId="4" applyFont="1"/>
    <xf numFmtId="166" fontId="6" fillId="0" borderId="0" xfId="4" applyNumberFormat="1" applyFont="1"/>
    <xf numFmtId="172" fontId="7" fillId="0" borderId="0" xfId="5" quotePrefix="1" applyNumberFormat="1" applyFont="1" applyFill="1"/>
    <xf numFmtId="169" fontId="0" fillId="0" borderId="0" xfId="5" quotePrefix="1" applyNumberFormat="1" applyFont="1" applyFill="1"/>
    <xf numFmtId="169" fontId="12" fillId="0" borderId="0" xfId="5" applyNumberFormat="1" applyFont="1" applyFill="1"/>
    <xf numFmtId="169" fontId="12" fillId="0" borderId="0" xfId="5" quotePrefix="1" applyNumberFormat="1" applyFont="1" applyFill="1"/>
    <xf numFmtId="169" fontId="7" fillId="0" borderId="0" xfId="4" applyNumberFormat="1" applyFont="1"/>
    <xf numFmtId="183" fontId="7" fillId="0" borderId="0" xfId="5" quotePrefix="1" applyNumberFormat="1" applyFont="1" applyFill="1"/>
    <xf numFmtId="0" fontId="10" fillId="0" borderId="0" xfId="4" applyFont="1" applyAlignment="1">
      <alignment horizontal="center"/>
    </xf>
    <xf numFmtId="167" fontId="10" fillId="0" borderId="0" xfId="3" applyNumberFormat="1" applyFont="1" applyFill="1"/>
    <xf numFmtId="44" fontId="2" fillId="0" borderId="0" xfId="4" applyNumberFormat="1"/>
    <xf numFmtId="169" fontId="12" fillId="0" borderId="0" xfId="5" applyNumberFormat="1" applyFont="1" applyFill="1" applyBorder="1"/>
    <xf numFmtId="0" fontId="2" fillId="0" borderId="0" xfId="4" applyAlignment="1">
      <alignment horizontal="center" wrapText="1"/>
    </xf>
    <xf numFmtId="169" fontId="2" fillId="0" borderId="2" xfId="4" applyNumberFormat="1" applyBorder="1"/>
    <xf numFmtId="44" fontId="2" fillId="0" borderId="2" xfId="4" applyNumberFormat="1" applyBorder="1"/>
    <xf numFmtId="44" fontId="0" fillId="0" borderId="0" xfId="5" applyFont="1" applyFill="1"/>
    <xf numFmtId="44" fontId="2" fillId="0" borderId="0" xfId="5" applyFont="1" applyFill="1"/>
    <xf numFmtId="44" fontId="7" fillId="0" borderId="0" xfId="5" quotePrefix="1" applyFont="1" applyFill="1"/>
    <xf numFmtId="17" fontId="0" fillId="0" borderId="0" xfId="0" applyNumberFormat="1" applyAlignment="1">
      <alignment wrapText="1"/>
    </xf>
    <xf numFmtId="0" fontId="7" fillId="0" borderId="0" xfId="4" applyFont="1" applyAlignment="1">
      <alignment wrapText="1"/>
    </xf>
    <xf numFmtId="0" fontId="13" fillId="0" borderId="13" xfId="0" applyFont="1" applyBorder="1"/>
    <xf numFmtId="171" fontId="7" fillId="0" borderId="14" xfId="2" applyNumberFormat="1" applyFont="1" applyFill="1" applyBorder="1"/>
    <xf numFmtId="0" fontId="2" fillId="0" borderId="0" xfId="0" applyFont="1" applyAlignment="1">
      <alignment wrapText="1"/>
    </xf>
    <xf numFmtId="169" fontId="19" fillId="0" borderId="0" xfId="5" applyNumberFormat="1" applyFont="1"/>
    <xf numFmtId="0" fontId="26" fillId="0" borderId="0" xfId="0" applyFont="1" applyAlignment="1">
      <alignment horizontal="center"/>
    </xf>
    <xf numFmtId="10" fontId="0" fillId="0" borderId="0" xfId="3" applyNumberFormat="1" applyFont="1" applyFill="1" applyBorder="1"/>
    <xf numFmtId="184" fontId="0" fillId="0" borderId="0" xfId="0" applyNumberFormat="1"/>
    <xf numFmtId="44" fontId="0" fillId="0" borderId="0" xfId="2" applyFont="1" applyFill="1" applyBorder="1"/>
    <xf numFmtId="169" fontId="0" fillId="0" borderId="0" xfId="2" applyNumberFormat="1" applyFont="1" applyFill="1" applyBorder="1"/>
    <xf numFmtId="0" fontId="26" fillId="0" borderId="0" xfId="0" applyFont="1" applyAlignment="1">
      <alignment horizontal="center" wrapText="1"/>
    </xf>
    <xf numFmtId="174" fontId="12" fillId="0" borderId="0" xfId="0" applyNumberFormat="1" applyFont="1"/>
    <xf numFmtId="0" fontId="2" fillId="0" borderId="0" xfId="85" quotePrefix="1"/>
    <xf numFmtId="0" fontId="7" fillId="0" borderId="0" xfId="85" applyFont="1"/>
    <xf numFmtId="0" fontId="2" fillId="0" borderId="0" xfId="85"/>
    <xf numFmtId="0" fontId="2" fillId="0" borderId="0" xfId="85" applyAlignment="1">
      <alignment horizontal="center" wrapText="1"/>
    </xf>
    <xf numFmtId="181" fontId="2" fillId="0" borderId="0" xfId="85" applyNumberFormat="1"/>
    <xf numFmtId="181" fontId="2" fillId="0" borderId="0" xfId="85" quotePrefix="1" applyNumberFormat="1" applyAlignment="1">
      <alignment horizontal="right"/>
    </xf>
    <xf numFmtId="168" fontId="2" fillId="0" borderId="0" xfId="85" applyNumberFormat="1"/>
    <xf numFmtId="3" fontId="2" fillId="0" borderId="2" xfId="85" applyNumberFormat="1" applyBorder="1"/>
    <xf numFmtId="182" fontId="2" fillId="0" borderId="0" xfId="85" quotePrefix="1" applyNumberFormat="1" applyAlignment="1">
      <alignment horizontal="right"/>
    </xf>
    <xf numFmtId="182" fontId="2" fillId="0" borderId="0" xfId="85" applyNumberFormat="1"/>
    <xf numFmtId="3" fontId="2" fillId="0" borderId="0" xfId="85" applyNumberFormat="1"/>
    <xf numFmtId="181" fontId="7" fillId="0" borderId="12" xfId="85" applyNumberFormat="1" applyFont="1" applyBorder="1"/>
    <xf numFmtId="169" fontId="2" fillId="0" borderId="0" xfId="2" applyNumberFormat="1" applyFill="1" applyBorder="1"/>
    <xf numFmtId="174" fontId="18" fillId="0" borderId="2" xfId="1" quotePrefix="1" applyNumberFormat="1" applyFont="1" applyFill="1" applyBorder="1" applyAlignment="1">
      <alignment horizontal="left"/>
    </xf>
    <xf numFmtId="164" fontId="9" fillId="0" borderId="0" xfId="0" applyNumberFormat="1" applyFont="1"/>
    <xf numFmtId="164" fontId="9" fillId="0" borderId="9" xfId="0" applyNumberFormat="1" applyFont="1" applyBorder="1"/>
    <xf numFmtId="0" fontId="24" fillId="0" borderId="0" xfId="4" applyFont="1" applyAlignment="1">
      <alignment horizontal="center"/>
    </xf>
    <xf numFmtId="168" fontId="14" fillId="0" borderId="0" xfId="0" applyNumberFormat="1" applyFont="1"/>
    <xf numFmtId="181" fontId="2" fillId="0" borderId="2" xfId="85" quotePrefix="1" applyNumberFormat="1" applyBorder="1" applyAlignment="1">
      <alignment horizontal="right"/>
    </xf>
    <xf numFmtId="0" fontId="18" fillId="0" borderId="0" xfId="0" applyFont="1"/>
    <xf numFmtId="8" fontId="9" fillId="0" borderId="2" xfId="2" applyNumberFormat="1" applyFont="1" applyFill="1" applyBorder="1"/>
    <xf numFmtId="0" fontId="0" fillId="43" borderId="0" xfId="0" applyFill="1"/>
    <xf numFmtId="44" fontId="9" fillId="43" borderId="0" xfId="2" applyFont="1" applyFill="1"/>
    <xf numFmtId="0" fontId="21" fillId="0" borderId="0" xfId="4" applyFont="1" applyAlignment="1">
      <alignment horizontal="center" vertical="center"/>
    </xf>
    <xf numFmtId="0" fontId="24" fillId="0" borderId="0" xfId="85" applyFont="1" applyAlignment="1">
      <alignment vertical="center" wrapText="1"/>
    </xf>
    <xf numFmtId="0" fontId="51" fillId="0" borderId="0" xfId="4" applyFont="1"/>
    <xf numFmtId="0" fontId="3" fillId="0" borderId="0" xfId="4" applyFont="1"/>
    <xf numFmtId="166" fontId="2" fillId="44" borderId="0" xfId="85" applyNumberFormat="1" applyFill="1"/>
    <xf numFmtId="0" fontId="51" fillId="0" borderId="0" xfId="85" applyFont="1"/>
    <xf numFmtId="0" fontId="51" fillId="0" borderId="0" xfId="85" applyFont="1" applyAlignment="1">
      <alignment vertical="center" wrapText="1"/>
    </xf>
    <xf numFmtId="0" fontId="6" fillId="0" borderId="0" xfId="85" applyFont="1" applyAlignment="1">
      <alignment horizontal="center"/>
    </xf>
    <xf numFmtId="0" fontId="2" fillId="0" borderId="0" xfId="85" applyAlignment="1">
      <alignment horizontal="center"/>
    </xf>
    <xf numFmtId="0" fontId="5" fillId="0" borderId="0" xfId="85" applyFont="1" applyAlignment="1">
      <alignment horizontal="center" wrapText="1"/>
    </xf>
    <xf numFmtId="0" fontId="5" fillId="0" borderId="0" xfId="85" applyFont="1"/>
    <xf numFmtId="0" fontId="2" fillId="0" borderId="0" xfId="160"/>
    <xf numFmtId="44" fontId="2" fillId="0" borderId="0" xfId="100" applyFont="1" applyFill="1"/>
    <xf numFmtId="0" fontId="2" fillId="0" borderId="0" xfId="160" quotePrefix="1"/>
    <xf numFmtId="0" fontId="7" fillId="0" borderId="0" xfId="85" applyFont="1" applyAlignment="1">
      <alignment wrapText="1"/>
    </xf>
    <xf numFmtId="166" fontId="2" fillId="0" borderId="0" xfId="160" applyNumberFormat="1"/>
    <xf numFmtId="0" fontId="7" fillId="0" borderId="0" xfId="160" applyFont="1"/>
    <xf numFmtId="169" fontId="2" fillId="0" borderId="0" xfId="100" applyNumberFormat="1" applyFont="1" applyFill="1"/>
    <xf numFmtId="0" fontId="19" fillId="0" borderId="0" xfId="85" applyFont="1"/>
    <xf numFmtId="169" fontId="12" fillId="0" borderId="0" xfId="100" applyNumberFormat="1" applyFont="1" applyFill="1"/>
    <xf numFmtId="169" fontId="2" fillId="0" borderId="0" xfId="85" applyNumberFormat="1"/>
    <xf numFmtId="44" fontId="0" fillId="0" borderId="0" xfId="100" applyFont="1" applyFill="1"/>
    <xf numFmtId="172" fontId="2" fillId="0" borderId="0" xfId="85" applyNumberFormat="1"/>
    <xf numFmtId="172" fontId="2" fillId="0" borderId="0" xfId="100" applyNumberFormat="1" applyFont="1" applyFill="1"/>
    <xf numFmtId="44" fontId="7" fillId="0" borderId="0" xfId="100" quotePrefix="1" applyFont="1" applyFill="1"/>
    <xf numFmtId="0" fontId="18" fillId="0" borderId="0" xfId="85" applyFont="1"/>
    <xf numFmtId="44" fontId="9" fillId="45" borderId="0" xfId="2" applyFont="1" applyFill="1"/>
  </cellXfs>
  <cellStyles count="161">
    <cellStyle name="20% - Accent1 2" xfId="6" xr:uid="{367E53F7-FF4F-49B1-8C85-7B99617E20E7}"/>
    <cellStyle name="20% - Accent2 2" xfId="7" xr:uid="{E5ABCEFB-D318-41C3-A18B-C754133E0EAF}"/>
    <cellStyle name="20% - Accent3 2" xfId="8" xr:uid="{383D1B9F-05D8-4BEF-8FA9-FB1DCF248361}"/>
    <cellStyle name="20% - Accent4 2" xfId="9" xr:uid="{4B6A06F1-EAAC-4A73-8DAC-9C0AD5DA8987}"/>
    <cellStyle name="20% - Accent5 2" xfId="10" xr:uid="{22CB1129-7A72-4A52-BFEF-758B357E28F5}"/>
    <cellStyle name="20% - Accent6 2" xfId="11" xr:uid="{1CE9348D-277B-4CEA-9699-E9878DBFEA4C}"/>
    <cellStyle name="40% - Accent1 2" xfId="12" xr:uid="{2D6FD399-ADBA-4810-A7F8-3DA07FB2308C}"/>
    <cellStyle name="40% - Accent2 2" xfId="13" xr:uid="{CC19C381-E359-403D-B94B-179554FC32C9}"/>
    <cellStyle name="40% - Accent3 2" xfId="14" xr:uid="{E130D2A8-292B-405D-808B-67736149B628}"/>
    <cellStyle name="40% - Accent4 2" xfId="15" xr:uid="{0C34D213-F23B-49DF-9260-E284738F3F77}"/>
    <cellStyle name="40% - Accent5 2" xfId="16" xr:uid="{C4640DFF-B17D-4148-9093-38751FC2F8A7}"/>
    <cellStyle name="40% - Accent6 2" xfId="17" xr:uid="{7AF2976A-9176-45C5-B5FA-F3DC6150D5C6}"/>
    <cellStyle name="60% - Accent1 2" xfId="18" xr:uid="{86EEDE17-277F-44B0-9758-A02B8A3284A5}"/>
    <cellStyle name="60% - Accent2 2" xfId="19" xr:uid="{D76B12C1-95E1-4D22-9B80-30E9AE5E2346}"/>
    <cellStyle name="60% - Accent3 2" xfId="20" xr:uid="{4B16F014-F5CF-461F-9901-A4BCE0A20954}"/>
    <cellStyle name="60% - Accent4 2" xfId="21" xr:uid="{86E7D686-B0C3-4DD2-90FE-74496E406F50}"/>
    <cellStyle name="60% - Accent5 2" xfId="22" xr:uid="{642B1DEB-D773-4657-B42C-C7A524DC60AC}"/>
    <cellStyle name="60% - Accent6 2" xfId="23" xr:uid="{D28D4312-33CF-4629-9B03-7986B4A7DA5C}"/>
    <cellStyle name="Accent1 2" xfId="24" xr:uid="{CAF5356F-02EF-4118-A938-86251A26E126}"/>
    <cellStyle name="Accent2 2" xfId="25" xr:uid="{1B09A269-2C0C-4B8E-AB71-723967F337C0}"/>
    <cellStyle name="Accent3 2" xfId="26" xr:uid="{347FD2DF-F89B-4F2E-A2D4-5C11228DC45C}"/>
    <cellStyle name="Accent4 2" xfId="27" xr:uid="{69851C6C-9071-49C6-AC05-1754F6B35DE4}"/>
    <cellStyle name="Accent5 2" xfId="28" xr:uid="{8A549AF1-9F2E-4E62-81F8-BC82C1BEFB35}"/>
    <cellStyle name="Accent6 2" xfId="29" xr:uid="{67A8A66D-0578-4DF9-9423-B7D871C4C764}"/>
    <cellStyle name="Bad 2" xfId="30" xr:uid="{460C7B58-07BE-432F-A114-27F327E9DC7D}"/>
    <cellStyle name="Calculation 2" xfId="31" xr:uid="{BBAE614C-317D-4885-B65B-6C16A1732DFD}"/>
    <cellStyle name="Check Cell 2" xfId="32" xr:uid="{D9F11D42-D4ED-4EAC-B722-37300CB002C0}"/>
    <cellStyle name="Comma" xfId="1" builtinId="3"/>
    <cellStyle name="Comma 2" xfId="33" xr:uid="{9044CDAD-A6D0-4127-BE88-4586EEA19849}"/>
    <cellStyle name="Comma 2 2" xfId="157" xr:uid="{EF4C2E08-C9FD-4764-8209-5697E503E6F6}"/>
    <cellStyle name="Comma 3" xfId="34" xr:uid="{997AE07A-C8D0-457C-998E-ADB6D1576485}"/>
    <cellStyle name="Comma 3 2" xfId="75" xr:uid="{EA50381F-35EE-4CE6-93AC-F9918F501041}"/>
    <cellStyle name="Comma 4" xfId="35" xr:uid="{C338EE94-710A-477C-AB7B-191DD44D5C46}"/>
    <cellStyle name="Comma 4 2" xfId="99" xr:uid="{FC11D06B-CAB0-458E-8D57-712263C3815E}"/>
    <cellStyle name="Comma 5" xfId="71" xr:uid="{02A370E4-77CD-4BA5-9A90-8C68CA6A788F}"/>
    <cellStyle name="Comma 5 2" xfId="74" xr:uid="{BE245CBB-BAB2-4167-8CDE-E7CC1864BED6}"/>
    <cellStyle name="Comma 5 3" xfId="146" xr:uid="{6B563910-BF37-47EE-84B9-59B08B084C61}"/>
    <cellStyle name="Comma 6" xfId="83" xr:uid="{17932DB4-9533-43E3-B5A2-92F3A45B0EE9}"/>
    <cellStyle name="Comma0" xfId="36" xr:uid="{7BE7B47C-58F5-46A2-A45D-D402002B047B}"/>
    <cellStyle name="Currency" xfId="2" builtinId="4"/>
    <cellStyle name="Currency 2" xfId="5" xr:uid="{73F370F8-4ABA-4BEC-8B39-3366B7BE9F64}"/>
    <cellStyle name="Currency 2 2" xfId="37" xr:uid="{0703E6E8-3D53-49B4-A27B-EC8C295A7C60}"/>
    <cellStyle name="Currency 2 2 2" xfId="100" xr:uid="{83E94CE2-EF78-4AD4-BF59-45BD3F488586}"/>
    <cellStyle name="Currency 2 3" xfId="76" xr:uid="{48733798-4292-4012-975C-EAB983C11AA9}"/>
    <cellStyle name="Currency 3" xfId="38" xr:uid="{31A2E52F-123D-45FE-BA4A-398505F878E0}"/>
    <cellStyle name="Currency 3 2" xfId="67" xr:uid="{364B80D0-7DE7-40A1-9D34-591718769D28}"/>
    <cellStyle name="Currency 4" xfId="39" xr:uid="{56DE45CA-6182-4B16-A229-829A1C74A71E}"/>
    <cellStyle name="Currency 4 2" xfId="101" xr:uid="{CC61356B-E9CC-4750-B62B-FB3500264A8A}"/>
    <cellStyle name="Currency 5" xfId="69" xr:uid="{B4F27E6B-51DC-4206-A92C-CBADC5FE016B}"/>
    <cellStyle name="Currency 5 2" xfId="72" xr:uid="{35C1EBD9-A295-4C4C-A331-CEE5F112F90B}"/>
    <cellStyle name="Currency 5 3" xfId="147" xr:uid="{F5362541-8027-41FF-BDD6-815FB9CE58AE}"/>
    <cellStyle name="Currency0" xfId="40" xr:uid="{10A528DF-C6BE-46E5-B415-252AB4B04877}"/>
    <cellStyle name="Date" xfId="41" xr:uid="{FFBB497F-DBA7-473E-8399-7E6C821BDBC8}"/>
    <cellStyle name="Explanatory Text 2" xfId="42" xr:uid="{23B7563F-5869-4EF5-BDC1-6D57AC33D22A}"/>
    <cellStyle name="Fixed" xfId="43" xr:uid="{7631B765-FB39-4456-B51D-97637DBC50C8}"/>
    <cellStyle name="Good 2" xfId="44" xr:uid="{7382CBD7-CADE-44D1-9C82-C6EE9368EE87}"/>
    <cellStyle name="Heading 1 2" xfId="46" xr:uid="{A6C3E194-8AF3-470A-B536-1BA80A983102}"/>
    <cellStyle name="Heading 1 3" xfId="87" xr:uid="{16B45191-B45F-48E0-98B8-FF11920333A4}"/>
    <cellStyle name="Heading 1 4" xfId="45" xr:uid="{CB35D30E-3AE1-4B6C-A9F4-69903202F3A9}"/>
    <cellStyle name="Heading 2 2" xfId="48" xr:uid="{E72C3ECA-F41A-417B-B488-B4AEB2A44270}"/>
    <cellStyle name="Heading 2 3" xfId="88" xr:uid="{52510261-ECA6-4201-9F16-6DD6B4B5C83D}"/>
    <cellStyle name="Heading 2 4" xfId="47" xr:uid="{051B7ED7-59CE-45DD-841B-CD27AAB2D865}"/>
    <cellStyle name="Heading 3 2" xfId="49" xr:uid="{3BEAAAB7-FD75-4F41-B938-853900BBAE1B}"/>
    <cellStyle name="Heading 4 2" xfId="50" xr:uid="{0BBFA10C-DB4A-4275-99D5-89558D71D07B}"/>
    <cellStyle name="Hyperlink 2" xfId="97" xr:uid="{BF29BB7C-D50E-4840-B971-32885FA70F2D}"/>
    <cellStyle name="Input 2" xfId="51" xr:uid="{F5EF6632-7C10-4F43-ADAF-C595092B73F1}"/>
    <cellStyle name="Linked Cell 2" xfId="52" xr:uid="{FD0CF373-59B1-4739-99B0-A949AB0E5CFD}"/>
    <cellStyle name="Neutral 2" xfId="53" xr:uid="{B350D8F7-C946-486F-B58E-FE2E400926D1}"/>
    <cellStyle name="Normal" xfId="0" builtinId="0"/>
    <cellStyle name="Normal 10" xfId="160" xr:uid="{60DD4EA7-CC02-414C-9E63-16C69D943FA3}"/>
    <cellStyle name="Normal 2" xfId="4" xr:uid="{00000000-0005-0000-0000-000003000000}"/>
    <cellStyle name="Normal 2 2" xfId="77" xr:uid="{963FF26E-B212-4240-8304-3F1147C3CF1B}"/>
    <cellStyle name="Normal 2 2 2" xfId="89" xr:uid="{92591BF4-FC13-46FB-B59B-99921EC5409A}"/>
    <cellStyle name="Normal 2 2 2 2" xfId="149" xr:uid="{4D4D737B-05FE-49A6-9426-A7215BF90B1F}"/>
    <cellStyle name="Normal 2 2 3" xfId="90" xr:uid="{DE2B9482-709A-4F55-8EB2-FCF58793E069}"/>
    <cellStyle name="Normal 2 2 3 2" xfId="150" xr:uid="{9F51DCF4-2EC4-4755-AB4C-7635CC48EF63}"/>
    <cellStyle name="Normal 2 2 4" xfId="91" xr:uid="{2150C516-F883-4A64-BE0C-42F349E1D363}"/>
    <cellStyle name="Normal 2 2 4 2" xfId="151" xr:uid="{4C3C2FE5-6F38-464C-B871-81349586191C}"/>
    <cellStyle name="Normal 2 2 5" xfId="148" xr:uid="{B188A332-4240-42C5-803B-D1683ECAB0D9}"/>
    <cellStyle name="Normal 2 3" xfId="78" xr:uid="{40D37A67-AFA6-4A75-A748-159F91DEDE95}"/>
    <cellStyle name="Normal 2 3 2" xfId="92" xr:uid="{2319C8CC-F94E-4D7E-9593-02FD6B5A575F}"/>
    <cellStyle name="Normal 2 3 2 2" xfId="152" xr:uid="{79047EF6-23EF-4DB0-9FA9-C86D0EF970B2}"/>
    <cellStyle name="Normal 2 3 3" xfId="105" xr:uid="{6A59C924-1C9A-4F13-89D0-C18317BE283F}"/>
    <cellStyle name="Normal 2 4" xfId="85" xr:uid="{7328B294-784A-4ECC-8354-3E401B0FB141}"/>
    <cellStyle name="Normal 2 4 2" xfId="107" xr:uid="{5EB761D9-C8FD-4412-9A44-47F7553ADC5A}"/>
    <cellStyle name="Normal 2 4 3" xfId="153" xr:uid="{7BA9E23E-31BF-4A90-8202-736EB8318C82}"/>
    <cellStyle name="Normal 2 5" xfId="98" xr:uid="{A427C0EB-B862-4C99-B765-B4A2B1BE096D}"/>
    <cellStyle name="Normal 2 6" xfId="108" xr:uid="{0320E4F2-B7F4-47EB-AD6C-8432EDAE4385}"/>
    <cellStyle name="Normal 2 7" xfId="54" xr:uid="{F6B388EA-DE51-427C-B20E-1028965B0874}"/>
    <cellStyle name="Normal 3" xfId="55" xr:uid="{E161BBA7-E984-4E2F-A040-F072E17E5875}"/>
    <cellStyle name="Normal 3 2" xfId="86" xr:uid="{7F8242FD-7A67-4CAA-A94A-F148859CDB8F}"/>
    <cellStyle name="Normal 3 2 2" xfId="102" xr:uid="{A9257FBB-76D4-4F21-9F62-0A01BDAAC50E}"/>
    <cellStyle name="Normal 3 3" xfId="93" xr:uid="{B996C2A4-7ECA-46F3-BC6E-59173067821B}"/>
    <cellStyle name="Normal 3 4" xfId="154" xr:uid="{B6CF04D8-B6D1-48F9-9736-14831275B97E}"/>
    <cellStyle name="Normal 4" xfId="79" xr:uid="{23BE8FF4-29DB-495B-AF9F-A4D0482A6B14}"/>
    <cellStyle name="Normal 4 2" xfId="94" xr:uid="{928BBAE0-51E7-403D-A699-B1E4D0A5E112}"/>
    <cellStyle name="Normal 4 3" xfId="106" xr:uid="{D430E3C2-FC09-46BF-82C3-EDE8A9750D63}"/>
    <cellStyle name="Normal 5" xfId="82" xr:uid="{C043620D-1A36-4B18-873B-1AD89B8FB518}"/>
    <cellStyle name="Note 2" xfId="56" xr:uid="{F39A468E-A607-4E8E-B288-B660F3980937}"/>
    <cellStyle name="Note 2 2" xfId="80" xr:uid="{E2573843-33D9-4A4B-98F8-5E6536696191}"/>
    <cellStyle name="Output 2" xfId="57" xr:uid="{81B9FCAC-BF28-4AB6-80A2-A8519FC999D8}"/>
    <cellStyle name="Percent" xfId="3" builtinId="5"/>
    <cellStyle name="Percent 2" xfId="58" xr:uid="{6A86FDCB-73AD-4501-BF5D-9DAA9294B037}"/>
    <cellStyle name="Percent 2 2" xfId="59" xr:uid="{5F736578-4A6A-450B-B081-33E2E0656EBF}"/>
    <cellStyle name="Percent 2 2 2" xfId="103" xr:uid="{41560FC8-2596-4755-B5A9-F46E35FC19B8}"/>
    <cellStyle name="Percent 2 3" xfId="81" xr:uid="{60DD4054-4FC0-4EB4-A068-2F4651B58EB1}"/>
    <cellStyle name="Percent 3" xfId="60" xr:uid="{C96569E1-3671-412E-B1D4-73390E252C2B}"/>
    <cellStyle name="Percent 3 2" xfId="61" xr:uid="{0CF7D8A3-DE84-413E-816A-AEEEA1A9A597}"/>
    <cellStyle name="Percent 3 2 2" xfId="68" xr:uid="{78874194-1F83-4C71-BDA5-9F141F4825B5}"/>
    <cellStyle name="Percent 4" xfId="62" xr:uid="{70C9C536-4933-471F-B9E8-534188857C18}"/>
    <cellStyle name="Percent 4 2" xfId="104" xr:uid="{3FF299B9-8E10-4052-BB7A-6B480C336D73}"/>
    <cellStyle name="Percent 5" xfId="70" xr:uid="{075E5C1D-2023-42E1-A3BE-8818D1C80ABD}"/>
    <cellStyle name="Percent 5 2" xfId="73" xr:uid="{D2D28FE5-7E14-422D-A5F3-6388E4768D3F}"/>
    <cellStyle name="Percent 5 3" xfId="155" xr:uid="{AE0DF695-E75E-48A4-A5B5-85E2B72FE9C0}"/>
    <cellStyle name="Percent 6" xfId="84" xr:uid="{52124B4C-BA62-4C83-B7EB-5F9B38AE1DDB}"/>
    <cellStyle name="Percent 7" xfId="156" xr:uid="{929659BF-C788-4F42-AC14-9C9583A1B943}"/>
    <cellStyle name="SAPBEXaggData" xfId="95" xr:uid="{6321C75C-99BF-466D-9A2C-6DDF3515E326}"/>
    <cellStyle name="SAPBEXaggDataEmph" xfId="109" xr:uid="{61EAABC2-1A56-4744-B172-C3211E60C01A}"/>
    <cellStyle name="SAPBEXaggItem" xfId="110" xr:uid="{3A725F50-14D3-449E-8007-D069813AE090}"/>
    <cellStyle name="SAPBEXaggItemX" xfId="111" xr:uid="{0C7C25CF-480E-429C-A94E-2A8497D37E88}"/>
    <cellStyle name="SAPBEXchaText" xfId="112" xr:uid="{1840FDED-1DD8-4797-999E-60293C60C742}"/>
    <cellStyle name="SAPBEXexcBad7" xfId="113" xr:uid="{98EDB3E1-C5E1-45FA-A194-B636931064E9}"/>
    <cellStyle name="SAPBEXexcBad8" xfId="114" xr:uid="{C1652B1E-F99D-4A69-BBAA-F9B2996B1550}"/>
    <cellStyle name="SAPBEXexcBad9" xfId="115" xr:uid="{06B2FAC8-C453-4A0D-8F38-F9CBE11B8191}"/>
    <cellStyle name="SAPBEXexcCritical4" xfId="116" xr:uid="{5118B6C9-CD45-4996-BD04-E345215851EB}"/>
    <cellStyle name="SAPBEXexcCritical5" xfId="117" xr:uid="{450F581F-CC32-4DD8-BF57-B3F0435ECF95}"/>
    <cellStyle name="SAPBEXexcCritical6" xfId="118" xr:uid="{C2524F7C-C743-4675-ACF0-92395D468528}"/>
    <cellStyle name="SAPBEXexcGood1" xfId="119" xr:uid="{28143273-5087-413E-9CFC-4A7A5AF9739C}"/>
    <cellStyle name="SAPBEXexcGood2" xfId="120" xr:uid="{0EF26311-A100-40EF-8E53-8A0A6E02AB80}"/>
    <cellStyle name="SAPBEXexcGood3" xfId="121" xr:uid="{010EB260-24CE-4BB3-B947-2758D29C7C96}"/>
    <cellStyle name="SAPBEXfilterDrill" xfId="122" xr:uid="{9F13C717-26A4-4833-BBF6-29382C83D395}"/>
    <cellStyle name="SAPBEXfilterItem" xfId="123" xr:uid="{851E434C-0D2B-4DF8-8A76-632BDEFA974D}"/>
    <cellStyle name="SAPBEXfilterText" xfId="124" xr:uid="{C86C92BB-C87D-4F6D-A31E-D49854983557}"/>
    <cellStyle name="SAPBEXformats" xfId="125" xr:uid="{E5492B4F-4D9C-4427-9701-75F6CEBA553C}"/>
    <cellStyle name="SAPBEXheaderItem" xfId="126" xr:uid="{87BA1B66-AADD-462B-9092-18F496695135}"/>
    <cellStyle name="SAPBEXheaderItem 2" xfId="158" xr:uid="{F63AA90E-6C09-4893-BEAB-21CFDE8F1994}"/>
    <cellStyle name="SAPBEXheaderText" xfId="127" xr:uid="{0BF4E643-8CD3-4903-B2D2-7A98A0287EB3}"/>
    <cellStyle name="SAPBEXheaderText 2" xfId="159" xr:uid="{E5566F74-2FA3-48B1-BC8C-52460E26DBF5}"/>
    <cellStyle name="SAPBEXHLevel0" xfId="128" xr:uid="{F8C0FCD1-7E20-43DE-ADB0-813EAF3D3E95}"/>
    <cellStyle name="SAPBEXHLevel0X" xfId="129" xr:uid="{66E09759-B33C-4E41-87CC-56D950DC8B6A}"/>
    <cellStyle name="SAPBEXHLevel1" xfId="130" xr:uid="{5C8E4973-94B2-42C9-9DCF-10450AADD011}"/>
    <cellStyle name="SAPBEXHLevel1X" xfId="131" xr:uid="{DA04F94A-2FC6-4C02-B10E-0B2A15CDF999}"/>
    <cellStyle name="SAPBEXHLevel2" xfId="132" xr:uid="{B82ED15B-B77C-4C47-8A49-55046F134438}"/>
    <cellStyle name="SAPBEXHLevel2X" xfId="133" xr:uid="{45DD58F7-9A3A-4CD7-A0E4-A33DEEF3276A}"/>
    <cellStyle name="SAPBEXHLevel3" xfId="134" xr:uid="{D202585F-D82F-4B87-B177-D1D7C1D53FA7}"/>
    <cellStyle name="SAPBEXHLevel3X" xfId="135" xr:uid="{AF32B8D1-3C53-4605-B2B9-0602895EB08C}"/>
    <cellStyle name="SAPBEXresData" xfId="136" xr:uid="{EE207E98-0FF1-4CD9-A0FC-232C266F922D}"/>
    <cellStyle name="SAPBEXresDataEmph" xfId="137" xr:uid="{E365EBFC-3458-4DEE-A6B1-C5432D24843C}"/>
    <cellStyle name="SAPBEXresItem" xfId="138" xr:uid="{637CA86B-F8A3-4C6A-B6EE-37229F34381F}"/>
    <cellStyle name="SAPBEXresItemX" xfId="139" xr:uid="{ECA9F9B3-4298-4A32-AD4D-8F27C8B77207}"/>
    <cellStyle name="SAPBEXstdData" xfId="140" xr:uid="{6B54E01D-44D5-483B-B62F-3A619600EEC9}"/>
    <cellStyle name="SAPBEXstdDataEmph" xfId="141" xr:uid="{34414970-2DB8-405F-8AD4-B7A3F4154487}"/>
    <cellStyle name="SAPBEXstdItem" xfId="142" xr:uid="{9B2785BC-43FF-4547-8A41-5105E6397313}"/>
    <cellStyle name="SAPBEXstdItemX" xfId="143" xr:uid="{63829B87-14C0-4AB8-A283-BBD8ED7FA097}"/>
    <cellStyle name="SAPBEXtitle" xfId="144" xr:uid="{0172EDF6-068F-42C6-9174-F883661E9C82}"/>
    <cellStyle name="SAPBEXundefined" xfId="145" xr:uid="{6C9BEE8F-F14A-4665-A18C-4FE03F46C6E1}"/>
    <cellStyle name="Title 2" xfId="63" xr:uid="{84AB0F79-D9DA-47AF-90B6-23511B2AF7E3}"/>
    <cellStyle name="Total 2" xfId="65" xr:uid="{6A354CDF-6DF1-4E0B-99A6-68ED56A7FAE4}"/>
    <cellStyle name="Total 3" xfId="96" xr:uid="{0F88AB6C-C374-4410-ACFD-B4B1158D2FDC}"/>
    <cellStyle name="Total 4" xfId="64" xr:uid="{4A92A492-182B-4219-B460-CF580BD02879}"/>
    <cellStyle name="Warning Text 2" xfId="66" xr:uid="{0096672C-3158-4724-95CF-1AF6B0EF9CA7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84243CE-1AE8-456E-9785-51E0F800EF0D}">
      <tableStyleElement type="wholeTable" dxfId="1"/>
      <tableStyleElement type="headerRow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C308"/>
  <sheetViews>
    <sheetView tabSelected="1" zoomScaleNormal="100" workbookViewId="0"/>
  </sheetViews>
  <sheetFormatPr defaultColWidth="9.08984375" defaultRowHeight="13" x14ac:dyDescent="0.6"/>
  <cols>
    <col min="1" max="1" width="16.453125" style="21" bestFit="1" customWidth="1"/>
    <col min="2" max="2" width="42.31640625" customWidth="1"/>
    <col min="3" max="3" width="14.31640625" customWidth="1"/>
    <col min="4" max="4" width="16.453125" customWidth="1"/>
    <col min="5" max="5" width="14.86328125" customWidth="1"/>
    <col min="6" max="6" width="12.54296875" customWidth="1"/>
    <col min="7" max="7" width="12.86328125" customWidth="1"/>
    <col min="8" max="8" width="13.6796875" customWidth="1"/>
    <col min="9" max="9" width="17.453125" customWidth="1"/>
    <col min="10" max="10" width="15.86328125" customWidth="1"/>
    <col min="11" max="11" width="10.6796875" customWidth="1"/>
    <col min="12" max="12" width="10.6796875" bestFit="1" customWidth="1"/>
    <col min="13" max="13" width="14.6796875" customWidth="1"/>
    <col min="14" max="14" width="14.453125" bestFit="1" customWidth="1"/>
    <col min="15" max="15" width="12.54296875" bestFit="1" customWidth="1"/>
    <col min="16" max="16" width="27.54296875" customWidth="1"/>
    <col min="17" max="17" width="23.86328125" bestFit="1" customWidth="1"/>
    <col min="18" max="18" width="18.453125" bestFit="1" customWidth="1"/>
    <col min="19" max="19" width="25" bestFit="1" customWidth="1"/>
    <col min="20" max="20" width="25.31640625" bestFit="1" customWidth="1"/>
    <col min="21" max="21" width="10.08984375" bestFit="1" customWidth="1"/>
    <col min="23" max="23" width="10.08984375" bestFit="1" customWidth="1"/>
    <col min="24" max="24" width="10.31640625" customWidth="1"/>
    <col min="25" max="25" width="11.86328125" customWidth="1"/>
    <col min="28" max="28" width="14.08984375" customWidth="1"/>
  </cols>
  <sheetData>
    <row r="2" spans="1:22" ht="15.5" x14ac:dyDescent="0.7">
      <c r="B2" s="67"/>
    </row>
    <row r="3" spans="1:22" x14ac:dyDescent="0.6">
      <c r="A3" s="68"/>
    </row>
    <row r="4" spans="1:22" x14ac:dyDescent="0.6">
      <c r="F4" s="15"/>
    </row>
    <row r="5" spans="1:22" x14ac:dyDescent="0.6">
      <c r="A5" s="24" t="s">
        <v>0</v>
      </c>
      <c r="B5" s="69" t="s">
        <v>1</v>
      </c>
      <c r="C5" s="70"/>
      <c r="D5" s="70"/>
      <c r="F5" s="4" t="s">
        <v>2</v>
      </c>
      <c r="N5" s="69"/>
      <c r="O5" s="69" t="s">
        <v>3</v>
      </c>
      <c r="P5" s="69"/>
      <c r="Q5" s="11"/>
      <c r="R5" s="11"/>
      <c r="S5" s="11"/>
      <c r="T5" s="11"/>
      <c r="U5" s="11"/>
      <c r="V5" s="11"/>
    </row>
    <row r="6" spans="1:22" x14ac:dyDescent="0.6">
      <c r="A6" s="24"/>
      <c r="B6" s="71" t="s">
        <v>4</v>
      </c>
      <c r="C6" s="70"/>
      <c r="D6" s="70"/>
      <c r="F6" s="4"/>
      <c r="N6" s="69"/>
      <c r="O6" s="69"/>
      <c r="P6" s="69"/>
      <c r="Q6" s="11"/>
      <c r="R6" s="11"/>
      <c r="S6" s="11"/>
      <c r="T6" s="11"/>
      <c r="U6" s="11"/>
      <c r="V6" s="11"/>
    </row>
    <row r="7" spans="1:22" x14ac:dyDescent="0.6">
      <c r="A7" s="15"/>
      <c r="C7" s="16" t="s">
        <v>5</v>
      </c>
      <c r="D7" s="16" t="s">
        <v>119</v>
      </c>
      <c r="E7" s="16" t="s">
        <v>6</v>
      </c>
      <c r="F7" s="16" t="s">
        <v>7</v>
      </c>
      <c r="G7" s="16" t="s">
        <v>8</v>
      </c>
      <c r="H7" s="16" t="s">
        <v>9</v>
      </c>
      <c r="I7" s="16" t="s">
        <v>10</v>
      </c>
      <c r="J7" s="16" t="s">
        <v>11</v>
      </c>
      <c r="L7" s="17"/>
      <c r="N7" s="72"/>
      <c r="O7" s="17" t="s">
        <v>5</v>
      </c>
      <c r="P7" s="17" t="s">
        <v>119</v>
      </c>
      <c r="Q7" s="17" t="s">
        <v>6</v>
      </c>
      <c r="R7" s="17" t="s">
        <v>7</v>
      </c>
      <c r="S7" s="17" t="s">
        <v>8</v>
      </c>
      <c r="T7" s="17" t="s">
        <v>9</v>
      </c>
      <c r="U7" s="17" t="s">
        <v>10</v>
      </c>
      <c r="V7" s="17" t="s">
        <v>11</v>
      </c>
    </row>
    <row r="8" spans="1:22" x14ac:dyDescent="0.6">
      <c r="A8" s="15"/>
      <c r="O8" s="11"/>
      <c r="P8" s="11"/>
      <c r="Q8" s="11"/>
      <c r="R8" s="11"/>
      <c r="S8" s="11"/>
      <c r="T8" s="11"/>
      <c r="U8" s="11"/>
      <c r="V8" s="11"/>
    </row>
    <row r="9" spans="1:22" x14ac:dyDescent="0.6">
      <c r="A9" s="15"/>
      <c r="B9" s="18" t="s">
        <v>12</v>
      </c>
      <c r="C9" s="61">
        <v>0.48899892611958623</v>
      </c>
      <c r="D9" s="61">
        <v>0.49023807708776246</v>
      </c>
      <c r="E9" s="61">
        <v>0.51245034197457429</v>
      </c>
      <c r="F9" s="61">
        <v>0.52265852537850588</v>
      </c>
      <c r="G9" s="61">
        <v>0.54372163588430356</v>
      </c>
      <c r="H9" s="61">
        <v>0.51536044462916331</v>
      </c>
      <c r="I9" s="61">
        <v>0.34824576979554911</v>
      </c>
      <c r="J9" s="61">
        <v>0.48356901771775163</v>
      </c>
      <c r="L9" s="73"/>
      <c r="N9" s="73"/>
      <c r="O9" s="74">
        <f>1-C9</f>
        <v>0.51100107388041383</v>
      </c>
      <c r="P9" s="74">
        <f t="shared" ref="P9:P20" si="0">1-D9</f>
        <v>0.50976192291223754</v>
      </c>
      <c r="Q9" s="74">
        <f t="shared" ref="Q9:Q20" si="1">1-E9</f>
        <v>0.48754965802542571</v>
      </c>
      <c r="R9" s="74">
        <f t="shared" ref="R9:R20" si="2">1-F9</f>
        <v>0.47734147462149412</v>
      </c>
      <c r="S9" s="74">
        <f t="shared" ref="S9:S20" si="3">1-G9</f>
        <v>0.45627836411569644</v>
      </c>
      <c r="T9" s="74">
        <f t="shared" ref="T9:T20" si="4">1-H9</f>
        <v>0.48463955537083669</v>
      </c>
      <c r="U9" s="74">
        <f>1-I9</f>
        <v>0.65175423020445089</v>
      </c>
      <c r="V9" s="74">
        <f t="shared" ref="V9:V20" si="5">1-J9</f>
        <v>0.51643098228224837</v>
      </c>
    </row>
    <row r="10" spans="1:22" x14ac:dyDescent="0.6">
      <c r="A10" s="15"/>
      <c r="B10" s="18" t="s">
        <v>13</v>
      </c>
      <c r="C10" s="61">
        <v>0.49336610439816503</v>
      </c>
      <c r="D10" s="61">
        <v>0.49430440259760222</v>
      </c>
      <c r="E10" s="61">
        <v>0.52685113959215446</v>
      </c>
      <c r="F10" s="61">
        <v>0.54137721041211062</v>
      </c>
      <c r="G10" s="61">
        <v>0.56148672164384561</v>
      </c>
      <c r="H10" s="61">
        <v>0.53256248540010331</v>
      </c>
      <c r="I10" s="61">
        <v>0.34298134992849627</v>
      </c>
      <c r="J10" s="61">
        <v>0.50613938069175834</v>
      </c>
      <c r="L10" s="73"/>
      <c r="N10" s="73"/>
      <c r="O10" s="74">
        <f t="shared" ref="O10:O20" si="6">1-C10</f>
        <v>0.50663389560183503</v>
      </c>
      <c r="P10" s="74">
        <f t="shared" si="0"/>
        <v>0.50569559740239778</v>
      </c>
      <c r="Q10" s="74">
        <f t="shared" si="1"/>
        <v>0.47314886040784554</v>
      </c>
      <c r="R10" s="74">
        <f t="shared" si="2"/>
        <v>0.45862278958788938</v>
      </c>
      <c r="S10" s="74">
        <f t="shared" si="3"/>
        <v>0.43851327835615439</v>
      </c>
      <c r="T10" s="74">
        <f t="shared" si="4"/>
        <v>0.46743751459989669</v>
      </c>
      <c r="U10" s="74">
        <f t="shared" ref="U10:U20" si="7">1-I10</f>
        <v>0.65701865007150373</v>
      </c>
      <c r="V10" s="74">
        <f t="shared" si="5"/>
        <v>0.49386061930824166</v>
      </c>
    </row>
    <row r="11" spans="1:22" x14ac:dyDescent="0.6">
      <c r="A11" s="15"/>
      <c r="B11" s="18" t="s">
        <v>14</v>
      </c>
      <c r="C11" s="61">
        <v>0.51823980029852945</v>
      </c>
      <c r="D11" s="61">
        <v>0.51798748627955404</v>
      </c>
      <c r="E11" s="61">
        <v>0.56618042539521407</v>
      </c>
      <c r="F11" s="61">
        <v>0.56400774711211998</v>
      </c>
      <c r="G11" s="61">
        <v>0.56915438110219752</v>
      </c>
      <c r="H11" s="61">
        <v>0.54510437195468742</v>
      </c>
      <c r="I11" s="61">
        <v>0.3164845700059859</v>
      </c>
      <c r="J11" s="61">
        <v>0.52251408757191109</v>
      </c>
      <c r="L11" s="73"/>
      <c r="N11" s="73"/>
      <c r="O11" s="74">
        <f t="shared" si="6"/>
        <v>0.48176019970147055</v>
      </c>
      <c r="P11" s="74">
        <f t="shared" si="0"/>
        <v>0.48201251372044596</v>
      </c>
      <c r="Q11" s="74">
        <f t="shared" si="1"/>
        <v>0.43381957460478593</v>
      </c>
      <c r="R11" s="74">
        <f t="shared" si="2"/>
        <v>0.43599225288788002</v>
      </c>
      <c r="S11" s="74">
        <f t="shared" si="3"/>
        <v>0.43084561889780248</v>
      </c>
      <c r="T11" s="74">
        <f t="shared" si="4"/>
        <v>0.45489562804531258</v>
      </c>
      <c r="U11" s="74">
        <f t="shared" si="7"/>
        <v>0.68351542999401405</v>
      </c>
      <c r="V11" s="74">
        <f t="shared" si="5"/>
        <v>0.47748591242808891</v>
      </c>
    </row>
    <row r="12" spans="1:22" x14ac:dyDescent="0.6">
      <c r="A12" s="15"/>
      <c r="B12" s="218" t="s">
        <v>15</v>
      </c>
      <c r="C12" s="61">
        <v>0.46525131995986685</v>
      </c>
      <c r="D12" s="61">
        <v>0.47343477806798467</v>
      </c>
      <c r="E12" s="61">
        <v>0.49482065629645455</v>
      </c>
      <c r="F12" s="61">
        <v>0.50500104864255257</v>
      </c>
      <c r="G12" s="61">
        <v>0.50744706411686147</v>
      </c>
      <c r="H12" s="61">
        <v>0.49865812011850835</v>
      </c>
      <c r="I12" s="61">
        <v>0.2384823568745171</v>
      </c>
      <c r="J12" s="61">
        <v>0.47039535446486452</v>
      </c>
      <c r="L12" s="73"/>
      <c r="N12" s="73"/>
      <c r="O12" s="74">
        <f t="shared" si="6"/>
        <v>0.5347486800401331</v>
      </c>
      <c r="P12" s="74">
        <f t="shared" si="0"/>
        <v>0.52656522193201538</v>
      </c>
      <c r="Q12" s="74">
        <f t="shared" si="1"/>
        <v>0.50517934370354545</v>
      </c>
      <c r="R12" s="74">
        <f t="shared" si="2"/>
        <v>0.49499895135744743</v>
      </c>
      <c r="S12" s="74">
        <f t="shared" si="3"/>
        <v>0.49255293588313853</v>
      </c>
      <c r="T12" s="74">
        <f t="shared" si="4"/>
        <v>0.5013418798814917</v>
      </c>
      <c r="U12" s="74">
        <f t="shared" si="7"/>
        <v>0.76151764312548287</v>
      </c>
      <c r="V12" s="74">
        <f t="shared" si="5"/>
        <v>0.52960464553513553</v>
      </c>
    </row>
    <row r="13" spans="1:22" x14ac:dyDescent="0.6">
      <c r="A13" s="15"/>
      <c r="B13" s="18" t="s">
        <v>16</v>
      </c>
      <c r="C13" s="61">
        <v>0.51244337697781472</v>
      </c>
      <c r="D13" s="61">
        <v>0.52563737921507059</v>
      </c>
      <c r="E13" s="61">
        <v>0.51285818071858447</v>
      </c>
      <c r="F13" s="61">
        <v>0.5396203636102922</v>
      </c>
      <c r="G13" s="61">
        <v>0.53997144335921432</v>
      </c>
      <c r="H13" s="61">
        <v>0.52314893688972086</v>
      </c>
      <c r="I13" s="61">
        <v>0.21566960176583488</v>
      </c>
      <c r="J13" s="61">
        <v>0.49933846292744477</v>
      </c>
      <c r="L13" s="73"/>
      <c r="N13" s="73"/>
      <c r="O13" s="74">
        <f t="shared" si="6"/>
        <v>0.48755662302218528</v>
      </c>
      <c r="P13" s="74">
        <f t="shared" si="0"/>
        <v>0.47436262078492941</v>
      </c>
      <c r="Q13" s="74">
        <f t="shared" si="1"/>
        <v>0.48714181928141553</v>
      </c>
      <c r="R13" s="74">
        <f t="shared" si="2"/>
        <v>0.4603796363897078</v>
      </c>
      <c r="S13" s="74">
        <f t="shared" si="3"/>
        <v>0.46002855664078568</v>
      </c>
      <c r="T13" s="74">
        <f t="shared" si="4"/>
        <v>0.47685106311027914</v>
      </c>
      <c r="U13" s="74">
        <f t="shared" si="7"/>
        <v>0.78433039823416517</v>
      </c>
      <c r="V13" s="74">
        <f t="shared" si="5"/>
        <v>0.50066153707255523</v>
      </c>
    </row>
    <row r="14" spans="1:22" x14ac:dyDescent="0.6">
      <c r="A14" s="15"/>
      <c r="B14" s="18" t="s">
        <v>17</v>
      </c>
      <c r="C14" s="61">
        <v>0.56517406126192193</v>
      </c>
      <c r="D14" s="61">
        <v>0.56812615934345034</v>
      </c>
      <c r="E14" s="61">
        <v>0.55500421136738853</v>
      </c>
      <c r="F14" s="61">
        <v>0.56806545818432497</v>
      </c>
      <c r="G14" s="61">
        <v>0.56645706226969827</v>
      </c>
      <c r="H14" s="61">
        <v>0.54931514705578022</v>
      </c>
      <c r="I14" s="61">
        <v>0.20442441916071191</v>
      </c>
      <c r="J14" s="61">
        <v>0.52044621954912418</v>
      </c>
      <c r="L14" s="73"/>
      <c r="N14" s="73"/>
      <c r="O14" s="74">
        <f t="shared" si="6"/>
        <v>0.43482593873807807</v>
      </c>
      <c r="P14" s="74">
        <f t="shared" si="0"/>
        <v>0.43187384065654966</v>
      </c>
      <c r="Q14" s="74">
        <f t="shared" si="1"/>
        <v>0.44499578863261147</v>
      </c>
      <c r="R14" s="74">
        <f t="shared" si="2"/>
        <v>0.43193454181567503</v>
      </c>
      <c r="S14" s="74">
        <f t="shared" si="3"/>
        <v>0.43354293773030173</v>
      </c>
      <c r="T14" s="74">
        <f t="shared" si="4"/>
        <v>0.45068485294421978</v>
      </c>
      <c r="U14" s="74">
        <f t="shared" si="7"/>
        <v>0.79557558083928814</v>
      </c>
      <c r="V14" s="74">
        <f t="shared" si="5"/>
        <v>0.47955378045087582</v>
      </c>
    </row>
    <row r="15" spans="1:22" x14ac:dyDescent="0.6">
      <c r="A15" s="15"/>
      <c r="B15" s="18" t="s">
        <v>18</v>
      </c>
      <c r="C15" s="61">
        <v>0.51560166656851791</v>
      </c>
      <c r="D15" s="61">
        <v>0.52058469780334671</v>
      </c>
      <c r="E15" s="61">
        <v>0.51963705382586922</v>
      </c>
      <c r="F15" s="61">
        <v>0.50005768932945305</v>
      </c>
      <c r="G15" s="61">
        <v>0.50937634605923121</v>
      </c>
      <c r="H15" s="61">
        <v>0.4836480218375751</v>
      </c>
      <c r="I15" s="61">
        <v>0.17420222548274203</v>
      </c>
      <c r="J15" s="61">
        <v>0.45297941202506242</v>
      </c>
      <c r="L15" s="73"/>
      <c r="N15" s="73"/>
      <c r="O15" s="74">
        <f t="shared" si="6"/>
        <v>0.48439833343148209</v>
      </c>
      <c r="P15" s="74">
        <f t="shared" si="0"/>
        <v>0.47941530219665329</v>
      </c>
      <c r="Q15" s="74">
        <f t="shared" si="1"/>
        <v>0.48036294617413078</v>
      </c>
      <c r="R15" s="74">
        <f t="shared" si="2"/>
        <v>0.49994231067054695</v>
      </c>
      <c r="S15" s="74">
        <f t="shared" si="3"/>
        <v>0.49062365394076879</v>
      </c>
      <c r="T15" s="74">
        <f t="shared" si="4"/>
        <v>0.51635197816242484</v>
      </c>
      <c r="U15" s="74">
        <f t="shared" si="7"/>
        <v>0.825797774517258</v>
      </c>
      <c r="V15" s="74">
        <f t="shared" si="5"/>
        <v>0.54702058797493758</v>
      </c>
    </row>
    <row r="16" spans="1:22" x14ac:dyDescent="0.6">
      <c r="A16" s="15"/>
      <c r="B16" s="18" t="s">
        <v>19</v>
      </c>
      <c r="C16" s="61">
        <v>0.56904323754426289</v>
      </c>
      <c r="D16" s="61">
        <v>0.57205480981500056</v>
      </c>
      <c r="E16" s="61">
        <v>0.58362134492533657</v>
      </c>
      <c r="F16" s="61">
        <v>0.58822733518882742</v>
      </c>
      <c r="G16" s="61">
        <v>0.57662930645892019</v>
      </c>
      <c r="H16" s="61">
        <v>0.55391937583238837</v>
      </c>
      <c r="I16" s="61">
        <v>0.2422109088723893</v>
      </c>
      <c r="J16" s="61">
        <v>0.52692564129945452</v>
      </c>
      <c r="L16" s="73"/>
      <c r="N16" s="73"/>
      <c r="O16" s="74">
        <f t="shared" si="6"/>
        <v>0.43095676245573711</v>
      </c>
      <c r="P16" s="74">
        <f t="shared" si="0"/>
        <v>0.42794519018499944</v>
      </c>
      <c r="Q16" s="74">
        <f t="shared" si="1"/>
        <v>0.41637865507466343</v>
      </c>
      <c r="R16" s="74">
        <f t="shared" si="2"/>
        <v>0.41177266481117258</v>
      </c>
      <c r="S16" s="74">
        <f t="shared" si="3"/>
        <v>0.42337069354107981</v>
      </c>
      <c r="T16" s="74">
        <f t="shared" si="4"/>
        <v>0.44608062416761163</v>
      </c>
      <c r="U16" s="74">
        <f t="shared" si="7"/>
        <v>0.75778909112761073</v>
      </c>
      <c r="V16" s="74">
        <f t="shared" si="5"/>
        <v>0.47307435870054548</v>
      </c>
    </row>
    <row r="17" spans="1:22" x14ac:dyDescent="0.6">
      <c r="A17" s="15"/>
      <c r="B17" s="18" t="s">
        <v>20</v>
      </c>
      <c r="C17" s="61">
        <v>0.5136420398284014</v>
      </c>
      <c r="D17" s="61">
        <v>0.52978113604522925</v>
      </c>
      <c r="E17" s="61">
        <v>0.50961963673079802</v>
      </c>
      <c r="F17" s="61">
        <v>0.5156743647366292</v>
      </c>
      <c r="G17" s="61">
        <v>0.51155144921843876</v>
      </c>
      <c r="H17" s="61">
        <v>0.49583746940513584</v>
      </c>
      <c r="I17" s="61">
        <v>0.26324410842097434</v>
      </c>
      <c r="J17" s="61">
        <v>0.46632499018943291</v>
      </c>
      <c r="L17" s="73"/>
      <c r="N17" s="73"/>
      <c r="O17" s="74">
        <f t="shared" si="6"/>
        <v>0.4863579601715986</v>
      </c>
      <c r="P17" s="74">
        <f t="shared" si="0"/>
        <v>0.47021886395477075</v>
      </c>
      <c r="Q17" s="74">
        <f t="shared" si="1"/>
        <v>0.49038036326920198</v>
      </c>
      <c r="R17" s="74">
        <f t="shared" si="2"/>
        <v>0.4843256352633708</v>
      </c>
      <c r="S17" s="74">
        <f t="shared" si="3"/>
        <v>0.48844855078156124</v>
      </c>
      <c r="T17" s="74">
        <f t="shared" si="4"/>
        <v>0.50416253059486416</v>
      </c>
      <c r="U17" s="74">
        <f t="shared" si="7"/>
        <v>0.73675589157902566</v>
      </c>
      <c r="V17" s="74">
        <f t="shared" si="5"/>
        <v>0.53367500981056715</v>
      </c>
    </row>
    <row r="18" spans="1:22" x14ac:dyDescent="0.6">
      <c r="A18" s="15"/>
      <c r="B18" s="18" t="s">
        <v>21</v>
      </c>
      <c r="C18" s="61">
        <v>0.52599197421103705</v>
      </c>
      <c r="D18" s="61">
        <v>0.53559192919038401</v>
      </c>
      <c r="E18" s="61">
        <v>0.54271146250610247</v>
      </c>
      <c r="F18" s="61">
        <v>0.55505013310760021</v>
      </c>
      <c r="G18" s="61">
        <v>0.54879958639379212</v>
      </c>
      <c r="H18" s="61">
        <v>0.53106807969216652</v>
      </c>
      <c r="I18" s="61">
        <v>0.32542250615816953</v>
      </c>
      <c r="J18" s="61">
        <v>0.50007304757664017</v>
      </c>
      <c r="L18" s="73"/>
      <c r="N18" s="73"/>
      <c r="O18" s="74">
        <f t="shared" si="6"/>
        <v>0.47400802578896295</v>
      </c>
      <c r="P18" s="74">
        <f>1-D18</f>
        <v>0.46440807080961599</v>
      </c>
      <c r="Q18" s="74">
        <f t="shared" si="1"/>
        <v>0.45728853749389753</v>
      </c>
      <c r="R18" s="74">
        <f t="shared" si="2"/>
        <v>0.44494986689239979</v>
      </c>
      <c r="S18" s="74">
        <f t="shared" si="3"/>
        <v>0.45120041360620788</v>
      </c>
      <c r="T18" s="74">
        <f t="shared" si="4"/>
        <v>0.46893192030783348</v>
      </c>
      <c r="U18" s="74">
        <f t="shared" si="7"/>
        <v>0.67457749384183052</v>
      </c>
      <c r="V18" s="74">
        <f t="shared" si="5"/>
        <v>0.49992695242335983</v>
      </c>
    </row>
    <row r="19" spans="1:22" x14ac:dyDescent="0.6">
      <c r="A19" s="15"/>
      <c r="B19" s="18" t="s">
        <v>22</v>
      </c>
      <c r="C19" s="61">
        <v>0.50385627522171483</v>
      </c>
      <c r="D19" s="61">
        <v>0.49468934723039854</v>
      </c>
      <c r="E19" s="61">
        <v>0.54299024849408284</v>
      </c>
      <c r="F19" s="61">
        <v>0.55874876071009694</v>
      </c>
      <c r="G19" s="61">
        <v>0.54691830224720073</v>
      </c>
      <c r="H19" s="61">
        <v>0.53478794563242749</v>
      </c>
      <c r="I19" s="61">
        <v>0.35626094233571831</v>
      </c>
      <c r="J19" s="61">
        <v>0.49844935774158561</v>
      </c>
      <c r="L19" s="73"/>
      <c r="N19" s="73"/>
      <c r="O19" s="74">
        <f t="shared" si="6"/>
        <v>0.49614372477828517</v>
      </c>
      <c r="P19" s="74">
        <f t="shared" si="0"/>
        <v>0.50531065276960141</v>
      </c>
      <c r="Q19" s="74">
        <f t="shared" si="1"/>
        <v>0.45700975150591716</v>
      </c>
      <c r="R19" s="74">
        <f t="shared" si="2"/>
        <v>0.44125123928990306</v>
      </c>
      <c r="S19" s="74">
        <f t="shared" si="3"/>
        <v>0.45308169775279927</v>
      </c>
      <c r="T19" s="74">
        <f t="shared" si="4"/>
        <v>0.46521205436757251</v>
      </c>
      <c r="U19" s="74">
        <f t="shared" si="7"/>
        <v>0.64373905766428163</v>
      </c>
      <c r="V19" s="74">
        <f t="shared" si="5"/>
        <v>0.50155064225841439</v>
      </c>
    </row>
    <row r="20" spans="1:22" x14ac:dyDescent="0.6">
      <c r="A20" s="15"/>
      <c r="B20" s="18" t="s">
        <v>23</v>
      </c>
      <c r="C20" s="61">
        <v>0.47740671893176717</v>
      </c>
      <c r="D20" s="61">
        <v>0.47314917289986169</v>
      </c>
      <c r="E20" s="61">
        <v>0.5006502992099221</v>
      </c>
      <c r="F20" s="61">
        <v>0.51478281807327841</v>
      </c>
      <c r="G20" s="61">
        <v>0.5062842153915782</v>
      </c>
      <c r="H20" s="61">
        <v>0.49200109797105979</v>
      </c>
      <c r="I20" s="61">
        <v>0.33870031174186205</v>
      </c>
      <c r="J20" s="61">
        <v>0.45975113519657523</v>
      </c>
      <c r="L20" s="73"/>
      <c r="N20" s="73"/>
      <c r="O20" s="74">
        <f t="shared" si="6"/>
        <v>0.52259328106823277</v>
      </c>
      <c r="P20" s="74">
        <f t="shared" si="0"/>
        <v>0.52685082710013831</v>
      </c>
      <c r="Q20" s="74">
        <f t="shared" si="1"/>
        <v>0.4993497007900779</v>
      </c>
      <c r="R20" s="74">
        <f t="shared" si="2"/>
        <v>0.48521718192672159</v>
      </c>
      <c r="S20" s="74">
        <f t="shared" si="3"/>
        <v>0.4937157846084218</v>
      </c>
      <c r="T20" s="74">
        <f t="shared" si="4"/>
        <v>0.50799890202894016</v>
      </c>
      <c r="U20" s="74">
        <f t="shared" si="7"/>
        <v>0.6612996882581379</v>
      </c>
      <c r="V20" s="74">
        <f t="shared" si="5"/>
        <v>0.54024886480342471</v>
      </c>
    </row>
    <row r="21" spans="1:22" x14ac:dyDescent="0.6">
      <c r="A21" s="15"/>
      <c r="J21" s="75"/>
    </row>
    <row r="22" spans="1:22" x14ac:dyDescent="0.6">
      <c r="A22" s="15"/>
    </row>
    <row r="23" spans="1:22" x14ac:dyDescent="0.6">
      <c r="A23" s="24" t="s">
        <v>24</v>
      </c>
      <c r="B23" s="69" t="s">
        <v>120</v>
      </c>
    </row>
    <row r="24" spans="1:22" x14ac:dyDescent="0.6">
      <c r="A24" s="24"/>
      <c r="B24" s="69"/>
    </row>
    <row r="25" spans="1:22" x14ac:dyDescent="0.6">
      <c r="A25" s="15"/>
      <c r="D25" s="16" t="str">
        <f>D7</f>
        <v>RS TOU - BGS</v>
      </c>
      <c r="P25" s="17" t="s">
        <v>119</v>
      </c>
    </row>
    <row r="26" spans="1:22" x14ac:dyDescent="0.6">
      <c r="A26" s="15"/>
      <c r="D26" s="16"/>
      <c r="P26" s="11"/>
    </row>
    <row r="27" spans="1:22" x14ac:dyDescent="0.6">
      <c r="A27" s="15"/>
      <c r="B27" s="18" t="str">
        <f>B9</f>
        <v>January</v>
      </c>
      <c r="D27" s="61">
        <v>0.35932717953472315</v>
      </c>
      <c r="F27" s="61"/>
      <c r="P27" s="74">
        <f>1-D27</f>
        <v>0.64067282046527685</v>
      </c>
    </row>
    <row r="28" spans="1:22" x14ac:dyDescent="0.6">
      <c r="A28" s="15"/>
      <c r="B28" s="18" t="str">
        <f t="shared" ref="B28:B38" si="8">B10</f>
        <v>February</v>
      </c>
      <c r="D28" s="61">
        <v>0.35288923908689146</v>
      </c>
      <c r="F28" s="61"/>
      <c r="P28" s="74">
        <f t="shared" ref="P28:P38" si="9">1-D28</f>
        <v>0.6471107609131086</v>
      </c>
    </row>
    <row r="29" spans="1:22" x14ac:dyDescent="0.6">
      <c r="A29" s="15"/>
      <c r="B29" s="18" t="str">
        <f t="shared" si="8"/>
        <v>March</v>
      </c>
      <c r="D29" s="61">
        <v>0.36108388665512131</v>
      </c>
      <c r="F29" s="61"/>
      <c r="P29" s="74">
        <f t="shared" si="9"/>
        <v>0.63891611334487863</v>
      </c>
    </row>
    <row r="30" spans="1:22" x14ac:dyDescent="0.6">
      <c r="A30" s="15"/>
      <c r="B30" s="18" t="str">
        <f t="shared" si="8"/>
        <v>April</v>
      </c>
      <c r="D30" s="61">
        <v>0.32477577999736884</v>
      </c>
      <c r="F30" s="61"/>
      <c r="P30" s="74">
        <f t="shared" si="9"/>
        <v>0.67522422000263116</v>
      </c>
    </row>
    <row r="31" spans="1:22" x14ac:dyDescent="0.6">
      <c r="A31" s="15"/>
      <c r="B31" s="18" t="str">
        <f t="shared" si="8"/>
        <v>May</v>
      </c>
      <c r="D31" s="61">
        <v>0.37389213361515589</v>
      </c>
      <c r="F31" s="61"/>
      <c r="P31" s="74">
        <f t="shared" si="9"/>
        <v>0.62610786638484406</v>
      </c>
    </row>
    <row r="32" spans="1:22" x14ac:dyDescent="0.6">
      <c r="A32" s="15"/>
      <c r="B32" s="18" t="str">
        <f t="shared" si="8"/>
        <v>June</v>
      </c>
      <c r="D32" s="61">
        <v>0.42868399702305582</v>
      </c>
      <c r="F32" s="61"/>
      <c r="P32" s="74">
        <f t="shared" si="9"/>
        <v>0.57131600297694418</v>
      </c>
    </row>
    <row r="33" spans="1:25" x14ac:dyDescent="0.6">
      <c r="A33" s="15"/>
      <c r="B33" s="18" t="str">
        <f t="shared" si="8"/>
        <v>July</v>
      </c>
      <c r="D33" s="61">
        <v>0.40299260402939446</v>
      </c>
      <c r="F33" s="61"/>
      <c r="P33" s="74">
        <f t="shared" si="9"/>
        <v>0.59700739597060548</v>
      </c>
    </row>
    <row r="34" spans="1:25" x14ac:dyDescent="0.6">
      <c r="A34" s="15"/>
      <c r="B34" s="18" t="str">
        <f t="shared" si="8"/>
        <v>August</v>
      </c>
      <c r="D34" s="61">
        <v>0.44246488845043402</v>
      </c>
      <c r="F34" s="61"/>
      <c r="P34" s="74">
        <f t="shared" si="9"/>
        <v>0.55753511154956592</v>
      </c>
    </row>
    <row r="35" spans="1:25" x14ac:dyDescent="0.6">
      <c r="A35" s="15"/>
      <c r="B35" s="18" t="str">
        <f t="shared" si="8"/>
        <v>September</v>
      </c>
      <c r="D35" s="61">
        <v>0.40461920245773436</v>
      </c>
      <c r="F35" s="61"/>
      <c r="P35" s="74">
        <f t="shared" si="9"/>
        <v>0.59538079754226558</v>
      </c>
    </row>
    <row r="36" spans="1:25" x14ac:dyDescent="0.6">
      <c r="A36" s="15"/>
      <c r="B36" s="18" t="str">
        <f t="shared" si="8"/>
        <v>October</v>
      </c>
      <c r="D36" s="61">
        <v>0.39362248800598076</v>
      </c>
      <c r="F36" s="61"/>
      <c r="P36" s="74">
        <f t="shared" si="9"/>
        <v>0.60637751199401924</v>
      </c>
    </row>
    <row r="37" spans="1:25" x14ac:dyDescent="0.6">
      <c r="A37" s="15"/>
      <c r="B37" s="18" t="str">
        <f t="shared" si="8"/>
        <v>November</v>
      </c>
      <c r="D37" s="61">
        <v>0.36344307120355052</v>
      </c>
      <c r="F37" s="61"/>
      <c r="P37" s="74">
        <f t="shared" si="9"/>
        <v>0.63655692879644943</v>
      </c>
    </row>
    <row r="38" spans="1:25" x14ac:dyDescent="0.6">
      <c r="A38" s="15"/>
      <c r="B38" s="18" t="str">
        <f t="shared" si="8"/>
        <v>December</v>
      </c>
      <c r="D38" s="61">
        <v>0.3457411043587299</v>
      </c>
      <c r="F38" s="61"/>
      <c r="P38" s="74">
        <f t="shared" si="9"/>
        <v>0.65425889564127004</v>
      </c>
    </row>
    <row r="39" spans="1:25" x14ac:dyDescent="0.6">
      <c r="A39" s="15"/>
    </row>
    <row r="40" spans="1:25" x14ac:dyDescent="0.6">
      <c r="A40" s="15"/>
    </row>
    <row r="41" spans="1:25" x14ac:dyDescent="0.6">
      <c r="A41" s="24" t="s">
        <v>32</v>
      </c>
      <c r="B41" s="76" t="s">
        <v>25</v>
      </c>
      <c r="O41" s="3" t="s">
        <v>26</v>
      </c>
      <c r="P41" s="3"/>
    </row>
    <row r="42" spans="1:25" x14ac:dyDescent="0.6">
      <c r="A42" s="15"/>
      <c r="B42" s="94" t="s">
        <v>27</v>
      </c>
    </row>
    <row r="43" spans="1:25" x14ac:dyDescent="0.6">
      <c r="A43" s="15"/>
      <c r="B43" s="4" t="s">
        <v>28</v>
      </c>
      <c r="C43" s="16" t="s">
        <v>5</v>
      </c>
      <c r="D43" s="16" t="str">
        <f>D7</f>
        <v>RS TOU - BGS</v>
      </c>
      <c r="E43" s="16" t="s">
        <v>6</v>
      </c>
      <c r="F43" s="16" t="s">
        <v>7</v>
      </c>
      <c r="G43" s="16" t="s">
        <v>8</v>
      </c>
      <c r="H43" s="16" t="s">
        <v>9</v>
      </c>
      <c r="I43" s="16" t="s">
        <v>10</v>
      </c>
      <c r="J43" s="16" t="s">
        <v>11</v>
      </c>
      <c r="K43" s="16" t="s">
        <v>29</v>
      </c>
      <c r="L43" s="17"/>
      <c r="O43" s="17" t="s">
        <v>5</v>
      </c>
      <c r="P43" s="17" t="s">
        <v>119</v>
      </c>
      <c r="Q43" s="17" t="s">
        <v>6</v>
      </c>
      <c r="R43" s="17" t="s">
        <v>7</v>
      </c>
      <c r="S43" s="17" t="s">
        <v>8</v>
      </c>
      <c r="T43" s="17" t="s">
        <v>9</v>
      </c>
      <c r="U43" s="17" t="s">
        <v>10</v>
      </c>
      <c r="V43" s="17" t="s">
        <v>11</v>
      </c>
      <c r="X43" s="17"/>
      <c r="Y43" s="17"/>
    </row>
    <row r="44" spans="1:25" x14ac:dyDescent="0.6">
      <c r="A44" s="15"/>
    </row>
    <row r="45" spans="1:25" x14ac:dyDescent="0.6">
      <c r="A45" s="15"/>
      <c r="B45" s="18">
        <v>46023</v>
      </c>
      <c r="C45" s="35">
        <v>355650.19370919582</v>
      </c>
      <c r="D45" s="35">
        <v>165.68495598137653</v>
      </c>
      <c r="E45" s="35">
        <v>83318.450051530381</v>
      </c>
      <c r="F45" s="35">
        <v>3589.601298966953</v>
      </c>
      <c r="G45" s="35">
        <v>61123.018430694981</v>
      </c>
      <c r="H45" s="35">
        <v>5777.3273865254323</v>
      </c>
      <c r="I45" s="35">
        <v>6035.4882775231654</v>
      </c>
      <c r="J45" s="35">
        <v>935.90481079066512</v>
      </c>
      <c r="K45" s="35">
        <f>SUM(C45:J45)</f>
        <v>516595.66892120882</v>
      </c>
      <c r="L45" s="35"/>
      <c r="N45" s="21" t="s">
        <v>30</v>
      </c>
      <c r="O45" s="28">
        <f>SUM(C45:C49,C54:C56)</f>
        <v>2137377.0855654865</v>
      </c>
      <c r="P45" s="28">
        <f>SUM(D45:D49,D54:D56)</f>
        <v>995.72904669098148</v>
      </c>
      <c r="Q45" s="28">
        <f t="shared" ref="Q45:S45" si="10">SUM(E45:E49,E54:E56)</f>
        <v>626362.06263651606</v>
      </c>
      <c r="R45" s="28">
        <f t="shared" si="10"/>
        <v>23725.319996238319</v>
      </c>
      <c r="S45" s="28">
        <f t="shared" si="10"/>
        <v>481019.79036517971</v>
      </c>
      <c r="T45" s="28">
        <f>SUM(H45:H49,H54:H56)</f>
        <v>42475.901517348939</v>
      </c>
      <c r="U45" s="28">
        <f>SUM(I45:I49,I54:I56)</f>
        <v>39904.463039588394</v>
      </c>
      <c r="V45" s="28">
        <f>SUM(J45:J49,J54:J56)</f>
        <v>6916.7785368554805</v>
      </c>
      <c r="W45" s="28">
        <f>SUM(O45:V45)</f>
        <v>3358777.1307039042</v>
      </c>
      <c r="X45" s="95"/>
      <c r="Y45" s="95"/>
    </row>
    <row r="46" spans="1:25" x14ac:dyDescent="0.6">
      <c r="A46" s="15"/>
      <c r="B46" s="18">
        <v>46054</v>
      </c>
      <c r="C46" s="35">
        <v>318953.64748515998</v>
      </c>
      <c r="D46" s="35">
        <v>148.58932169425051</v>
      </c>
      <c r="E46" s="35">
        <v>80343.884732514794</v>
      </c>
      <c r="F46" s="35">
        <v>2030.9514336084171</v>
      </c>
      <c r="G46" s="35">
        <v>67206.978162798507</v>
      </c>
      <c r="H46" s="35">
        <v>5020.7601471021489</v>
      </c>
      <c r="I46" s="35">
        <v>5130.4443798068169</v>
      </c>
      <c r="J46" s="35">
        <v>880.8767390584793</v>
      </c>
      <c r="K46" s="35">
        <f t="shared" ref="K46:K56" si="11">SUM(C46:J46)</f>
        <v>479716.13240174344</v>
      </c>
      <c r="L46" s="35"/>
      <c r="N46" t="s">
        <v>117</v>
      </c>
      <c r="P46" s="28">
        <f>SUMPRODUCT($D$45:$D$49,$D$9:$D$13)+SUMPRODUCT($D$54:$D$56,$D$18:$D$20)</f>
        <v>497.21501277568234</v>
      </c>
      <c r="W46" s="28"/>
      <c r="X46" s="95"/>
      <c r="Y46" s="95"/>
    </row>
    <row r="47" spans="1:25" x14ac:dyDescent="0.6">
      <c r="A47" s="15"/>
      <c r="B47" s="18">
        <v>46082</v>
      </c>
      <c r="C47" s="35">
        <v>276694.72613322461</v>
      </c>
      <c r="D47" s="35">
        <v>128.90237185459739</v>
      </c>
      <c r="E47" s="35">
        <v>76110.11786130449</v>
      </c>
      <c r="F47" s="35">
        <v>3137.0360268269301</v>
      </c>
      <c r="G47" s="35">
        <v>50418.101143638472</v>
      </c>
      <c r="H47" s="35">
        <v>5942.4494987959133</v>
      </c>
      <c r="I47" s="35">
        <v>4929.6110092862982</v>
      </c>
      <c r="J47" s="35">
        <v>849.10376698702748</v>
      </c>
      <c r="K47" s="35">
        <f t="shared" si="11"/>
        <v>418210.04781191837</v>
      </c>
      <c r="L47" s="35"/>
      <c r="N47" t="s">
        <v>118</v>
      </c>
      <c r="P47" s="28">
        <f>SUMPRODUCT($D$45:$D$49,$P$9:$P$13)+SUMPRODUCT($D$54:$D$56,$P$18:$P$20)</f>
        <v>498.51403391529914</v>
      </c>
      <c r="X47" s="95"/>
      <c r="Y47" s="95"/>
    </row>
    <row r="48" spans="1:25" x14ac:dyDescent="0.6">
      <c r="A48" s="15"/>
      <c r="B48" s="18">
        <v>46113</v>
      </c>
      <c r="C48" s="35">
        <v>238752.72908714754</v>
      </c>
      <c r="D48" s="35">
        <v>111.22652569559035</v>
      </c>
      <c r="E48" s="35">
        <v>76865.529891348589</v>
      </c>
      <c r="F48" s="35">
        <v>2331.5980412663839</v>
      </c>
      <c r="G48" s="35">
        <v>62781.958159562331</v>
      </c>
      <c r="H48" s="35">
        <v>3283.6254550983263</v>
      </c>
      <c r="I48" s="35">
        <v>4470.3994519603748</v>
      </c>
      <c r="J48" s="35">
        <v>828.49082380318544</v>
      </c>
      <c r="K48" s="35">
        <f t="shared" si="11"/>
        <v>389425.55743588234</v>
      </c>
      <c r="L48" s="35"/>
      <c r="N48" s="21" t="s">
        <v>31</v>
      </c>
      <c r="O48" s="28">
        <f>+SUM(C50:C53)</f>
        <v>1656690.5081824756</v>
      </c>
      <c r="P48" s="28">
        <f>+SUM(D50:D53)</f>
        <v>771.7940233920375</v>
      </c>
      <c r="Q48" s="28">
        <f t="shared" ref="Q48:S48" si="12">+SUM(E50:E53)</f>
        <v>392055.8956450664</v>
      </c>
      <c r="R48" s="28">
        <f t="shared" si="12"/>
        <v>17160.627130582172</v>
      </c>
      <c r="S48" s="28">
        <f t="shared" si="12"/>
        <v>291556.84435058187</v>
      </c>
      <c r="T48" s="28">
        <f>+SUM(H50:H53)</f>
        <v>22200.955673480476</v>
      </c>
      <c r="U48" s="28">
        <f>+SUM(I50:I53)</f>
        <v>17067.68412629376</v>
      </c>
      <c r="V48" s="28">
        <f>+SUM(J50:J53)</f>
        <v>4144.8907695919788</v>
      </c>
      <c r="W48" s="28">
        <f>SUM(O48:V48)</f>
        <v>2401649.1999014644</v>
      </c>
      <c r="X48" s="95"/>
      <c r="Y48" s="95"/>
    </row>
    <row r="49" spans="1:25" x14ac:dyDescent="0.6">
      <c r="A49" s="15"/>
      <c r="B49" s="18">
        <v>46143</v>
      </c>
      <c r="C49" s="35">
        <v>198661.79967187255</v>
      </c>
      <c r="D49" s="35">
        <v>92.549567288381809</v>
      </c>
      <c r="E49" s="35">
        <v>74880.493643013819</v>
      </c>
      <c r="F49" s="35">
        <v>2436.4732559778204</v>
      </c>
      <c r="G49" s="35">
        <v>62671.723188525182</v>
      </c>
      <c r="H49" s="35">
        <v>8093.9687275185552</v>
      </c>
      <c r="I49" s="35">
        <v>3892.0640791467276</v>
      </c>
      <c r="J49" s="35">
        <v>798.91201463606421</v>
      </c>
      <c r="K49" s="35">
        <f t="shared" si="11"/>
        <v>351527.98414797912</v>
      </c>
      <c r="L49" s="35"/>
      <c r="N49" t="s">
        <v>117</v>
      </c>
      <c r="P49" s="28">
        <f>SUMPRODUCT($D$50:$D$53,$D$14:$D$17)</f>
        <v>421.86712785511918</v>
      </c>
      <c r="X49" s="95"/>
      <c r="Y49" s="95"/>
    </row>
    <row r="50" spans="1:25" x14ac:dyDescent="0.6">
      <c r="A50" s="96"/>
      <c r="B50" s="18">
        <v>45809</v>
      </c>
      <c r="C50" s="35">
        <v>287960.69133657654</v>
      </c>
      <c r="D50" s="35">
        <v>134.15079005265227</v>
      </c>
      <c r="E50" s="35">
        <v>87219.5354058308</v>
      </c>
      <c r="F50" s="35">
        <v>5403.0810897847423</v>
      </c>
      <c r="G50" s="35">
        <v>65036.685149481484</v>
      </c>
      <c r="H50" s="35">
        <v>5393.8849111987811</v>
      </c>
      <c r="I50" s="35">
        <v>3885.6979196905427</v>
      </c>
      <c r="J50" s="35">
        <v>920.86005968522272</v>
      </c>
      <c r="K50" s="35">
        <f t="shared" si="11"/>
        <v>455954.5866623008</v>
      </c>
      <c r="L50" s="35"/>
      <c r="N50" t="s">
        <v>118</v>
      </c>
      <c r="P50" s="28">
        <f>SUMPRODUCT($D$50:$D$53,$P$14:$P$17)</f>
        <v>349.92689553691832</v>
      </c>
      <c r="Q50" s="28"/>
      <c r="R50" s="28"/>
      <c r="S50" s="28"/>
      <c r="T50" s="28"/>
      <c r="U50" s="28"/>
      <c r="V50" s="28"/>
      <c r="W50" s="28">
        <f>W45+W48</f>
        <v>5760426.3306053691</v>
      </c>
      <c r="X50" s="95"/>
      <c r="Y50" s="95"/>
    </row>
    <row r="51" spans="1:25" x14ac:dyDescent="0.6">
      <c r="A51" s="15"/>
      <c r="B51" s="18">
        <v>45839</v>
      </c>
      <c r="C51" s="35">
        <v>438910.49195684865</v>
      </c>
      <c r="D51" s="35">
        <v>204.47300978864754</v>
      </c>
      <c r="E51" s="35">
        <v>98812.019141283687</v>
      </c>
      <c r="F51" s="35">
        <v>4040.1214302409298</v>
      </c>
      <c r="G51" s="35">
        <v>72920.111517761397</v>
      </c>
      <c r="H51" s="35">
        <v>5546.3880930706691</v>
      </c>
      <c r="I51" s="35">
        <v>4028.5006532089174</v>
      </c>
      <c r="J51" s="35">
        <v>1034.9416899509934</v>
      </c>
      <c r="K51" s="35">
        <f t="shared" si="11"/>
        <v>625497.04749215394</v>
      </c>
      <c r="L51" s="35"/>
      <c r="O51" s="28"/>
      <c r="P51" s="28"/>
      <c r="Q51" s="28"/>
      <c r="R51" s="28"/>
      <c r="S51" s="28"/>
      <c r="T51" s="28"/>
      <c r="U51" s="28"/>
      <c r="V51" s="28"/>
      <c r="X51" s="95"/>
      <c r="Y51" s="95"/>
    </row>
    <row r="52" spans="1:25" x14ac:dyDescent="0.6">
      <c r="A52" s="15"/>
      <c r="B52" s="18">
        <v>45870</v>
      </c>
      <c r="C52" s="35">
        <v>493638.12429317279</v>
      </c>
      <c r="D52" s="35">
        <v>229.96869491689205</v>
      </c>
      <c r="E52" s="35">
        <v>103267.84742246385</v>
      </c>
      <c r="F52" s="35">
        <v>4040.707058850252</v>
      </c>
      <c r="G52" s="35">
        <v>77225.419303113827</v>
      </c>
      <c r="H52" s="35">
        <v>5437.5748448944787</v>
      </c>
      <c r="I52" s="35">
        <v>4320.2990419284797</v>
      </c>
      <c r="J52" s="35">
        <v>1087.5641106801349</v>
      </c>
      <c r="K52" s="35">
        <f t="shared" si="11"/>
        <v>689247.50477002061</v>
      </c>
      <c r="L52" s="35"/>
      <c r="M52" s="28"/>
      <c r="N52" s="6" t="s">
        <v>177</v>
      </c>
      <c r="O52" s="97">
        <f>+O48*F160</f>
        <v>1080019.5905798203</v>
      </c>
      <c r="P52" s="28"/>
      <c r="Q52" s="28"/>
      <c r="R52" s="28"/>
      <c r="S52" s="28"/>
      <c r="T52" s="28"/>
      <c r="X52" s="95"/>
      <c r="Y52" s="95"/>
    </row>
    <row r="53" spans="1:25" x14ac:dyDescent="0.6">
      <c r="A53" s="15"/>
      <c r="B53" s="18">
        <v>45901</v>
      </c>
      <c r="C53" s="35">
        <v>436181.20059587754</v>
      </c>
      <c r="D53" s="35">
        <v>203.2015286338457</v>
      </c>
      <c r="E53" s="35">
        <v>102756.49367548802</v>
      </c>
      <c r="F53" s="35">
        <v>3676.7175517062469</v>
      </c>
      <c r="G53" s="35">
        <v>76374.628380225127</v>
      </c>
      <c r="H53" s="35">
        <v>5823.1078243165475</v>
      </c>
      <c r="I53" s="35">
        <v>4833.1865114658176</v>
      </c>
      <c r="J53" s="35">
        <v>1101.524909275628</v>
      </c>
      <c r="K53" s="35">
        <f t="shared" si="11"/>
        <v>630950.06097698875</v>
      </c>
      <c r="L53" s="35"/>
      <c r="M53" s="28"/>
      <c r="N53" s="6" t="s">
        <v>178</v>
      </c>
      <c r="O53" s="28">
        <f>+O48-O52</f>
        <v>576670.91760265524</v>
      </c>
      <c r="P53" s="28"/>
      <c r="Q53" s="28"/>
      <c r="R53" s="28"/>
      <c r="S53" s="28"/>
      <c r="T53" s="28"/>
      <c r="X53" s="95"/>
      <c r="Y53" s="95"/>
    </row>
    <row r="54" spans="1:25" x14ac:dyDescent="0.6">
      <c r="A54" s="15"/>
      <c r="B54" s="18">
        <v>45931</v>
      </c>
      <c r="C54" s="35">
        <v>246211.05710708554</v>
      </c>
      <c r="D54" s="35">
        <v>114.70109922749322</v>
      </c>
      <c r="E54" s="35">
        <v>81052.240588013257</v>
      </c>
      <c r="F54" s="35">
        <v>3855.7053176408599</v>
      </c>
      <c r="G54" s="35">
        <v>60547.506052581797</v>
      </c>
      <c r="H54" s="35">
        <v>4911.0990034787674</v>
      </c>
      <c r="I54" s="35">
        <v>4764.8064168637093</v>
      </c>
      <c r="J54" s="35">
        <v>896.42048838283358</v>
      </c>
      <c r="K54" s="35">
        <f t="shared" si="11"/>
        <v>402353.53607327421</v>
      </c>
      <c r="L54" s="35"/>
      <c r="O54" s="28">
        <f>SUM(O52:O53)</f>
        <v>1656690.5081824756</v>
      </c>
      <c r="X54" s="95"/>
      <c r="Y54" s="95"/>
    </row>
    <row r="55" spans="1:25" x14ac:dyDescent="0.6">
      <c r="A55" s="15"/>
      <c r="B55" s="18">
        <v>45962</v>
      </c>
      <c r="C55" s="35">
        <v>227236.63850430187</v>
      </c>
      <c r="D55" s="35">
        <v>105.86158285274608</v>
      </c>
      <c r="E55" s="35">
        <v>78191.787404690898</v>
      </c>
      <c r="F55" s="35">
        <v>3007.3081952431367</v>
      </c>
      <c r="G55" s="35">
        <v>60952.77711291171</v>
      </c>
      <c r="H55" s="35">
        <v>4555.1321967638723</v>
      </c>
      <c r="I55" s="35">
        <v>5237.0161935519045</v>
      </c>
      <c r="J55" s="35">
        <v>876.73291836603119</v>
      </c>
      <c r="K55" s="35">
        <f t="shared" si="11"/>
        <v>380163.25410868216</v>
      </c>
      <c r="L55" s="35"/>
      <c r="X55" s="95"/>
      <c r="Y55" s="95"/>
    </row>
    <row r="56" spans="1:25" x14ac:dyDescent="0.6">
      <c r="A56" s="15"/>
      <c r="B56" s="18">
        <v>45992</v>
      </c>
      <c r="C56" s="35">
        <v>275216.2938674984</v>
      </c>
      <c r="D56" s="35">
        <v>128.21362209654558</v>
      </c>
      <c r="E56" s="35">
        <v>75599.5584640999</v>
      </c>
      <c r="F56" s="35">
        <v>3336.6464267078145</v>
      </c>
      <c r="G56" s="35">
        <v>55317.728114466699</v>
      </c>
      <c r="H56" s="35">
        <v>4891.5391020659254</v>
      </c>
      <c r="I56" s="35">
        <v>5444.633231449402</v>
      </c>
      <c r="J56" s="35">
        <v>850.33697483119454</v>
      </c>
      <c r="K56" s="35">
        <f t="shared" si="11"/>
        <v>420784.9498032158</v>
      </c>
      <c r="L56" s="35"/>
      <c r="P56" t="s">
        <v>208</v>
      </c>
      <c r="Q56" s="53">
        <f>SUMPRODUCT(O45:V45,C84:J84)</f>
        <v>3556525.0406380412</v>
      </c>
      <c r="X56" s="95"/>
      <c r="Y56" s="95"/>
    </row>
    <row r="57" spans="1:25" x14ac:dyDescent="0.6">
      <c r="A57" s="15"/>
      <c r="B57" s="98" t="s">
        <v>29</v>
      </c>
      <c r="C57" s="28">
        <f>SUM(C45:C56)</f>
        <v>3794067.5937479613</v>
      </c>
      <c r="D57" s="28">
        <f t="shared" ref="D57:I57" si="13">SUM(D45:D56)</f>
        <v>1767.5230700830191</v>
      </c>
      <c r="E57" s="28">
        <f t="shared" si="13"/>
        <v>1018417.9582815825</v>
      </c>
      <c r="F57" s="28">
        <f t="shared" si="13"/>
        <v>40885.947126820487</v>
      </c>
      <c r="G57" s="28">
        <f t="shared" si="13"/>
        <v>772576.63471576152</v>
      </c>
      <c r="H57" s="28">
        <f t="shared" si="13"/>
        <v>64676.857190829418</v>
      </c>
      <c r="I57" s="28">
        <f t="shared" si="13"/>
        <v>56972.147165882154</v>
      </c>
      <c r="J57" s="28">
        <f t="shared" ref="J57" si="14">SUM(J45:J56)</f>
        <v>11061.66930644746</v>
      </c>
      <c r="K57" s="28">
        <f>SUM(K45:K56)</f>
        <v>5760426.3306053681</v>
      </c>
      <c r="L57" s="28"/>
      <c r="Q57" s="134">
        <f>SUMPRODUCT(O48:V48,C84:J84)</f>
        <v>2543217.8376228302</v>
      </c>
    </row>
    <row r="58" spans="1:25" x14ac:dyDescent="0.6">
      <c r="A58" s="15"/>
      <c r="B58" s="18"/>
      <c r="C58" s="28"/>
      <c r="D58" s="28"/>
      <c r="E58" s="28"/>
      <c r="F58" s="28"/>
      <c r="G58" s="28"/>
      <c r="H58" s="28"/>
      <c r="I58" s="28"/>
      <c r="J58" s="28"/>
      <c r="K58" s="35"/>
      <c r="L58" s="28"/>
      <c r="Q58" s="106">
        <f>SUM(Q56:Q57)</f>
        <v>6099742.8782608714</v>
      </c>
    </row>
    <row r="59" spans="1:25" x14ac:dyDescent="0.6">
      <c r="A59" s="15"/>
      <c r="D59" s="28"/>
      <c r="E59" s="28"/>
    </row>
    <row r="60" spans="1:25" x14ac:dyDescent="0.6">
      <c r="A60" s="24" t="s">
        <v>34</v>
      </c>
      <c r="B60" s="3" t="s">
        <v>33</v>
      </c>
      <c r="G60" s="110" t="s">
        <v>38</v>
      </c>
      <c r="H60" s="3" t="s">
        <v>113</v>
      </c>
      <c r="J60" s="3" t="s">
        <v>121</v>
      </c>
    </row>
    <row r="61" spans="1:25" x14ac:dyDescent="0.6">
      <c r="A61" s="15"/>
      <c r="B61" t="s">
        <v>122</v>
      </c>
      <c r="D61" s="17" t="s">
        <v>109</v>
      </c>
      <c r="G61" s="11"/>
    </row>
    <row r="62" spans="1:25" x14ac:dyDescent="0.6">
      <c r="A62" s="15"/>
      <c r="C62" s="16" t="s">
        <v>36</v>
      </c>
      <c r="D62" s="17" t="s">
        <v>110</v>
      </c>
      <c r="E62" s="16" t="s">
        <v>37</v>
      </c>
      <c r="G62" s="17"/>
      <c r="H62" s="16" t="s">
        <v>36</v>
      </c>
      <c r="I62" s="16" t="s">
        <v>37</v>
      </c>
    </row>
    <row r="63" spans="1:25" x14ac:dyDescent="0.6">
      <c r="A63" s="15"/>
      <c r="B63" s="18">
        <f t="shared" ref="B63:B74" si="15">B45</f>
        <v>46023</v>
      </c>
      <c r="C63" s="64">
        <v>76.900000000000006</v>
      </c>
      <c r="D63" s="245">
        <v>0.81660495030208535</v>
      </c>
      <c r="E63" s="151">
        <f t="shared" ref="E63:E74" si="16">ROUND(C63*D63,2)</f>
        <v>62.8</v>
      </c>
      <c r="H63" s="1">
        <v>0.77484939759036142</v>
      </c>
      <c r="I63" s="1">
        <v>0.84759963768115953</v>
      </c>
      <c r="N63" s="2"/>
      <c r="O63" s="2"/>
      <c r="P63" s="2"/>
    </row>
    <row r="64" spans="1:25" x14ac:dyDescent="0.6">
      <c r="A64" s="15"/>
      <c r="B64" s="18">
        <f t="shared" si="15"/>
        <v>46054</v>
      </c>
      <c r="C64" s="64">
        <v>67.45</v>
      </c>
      <c r="D64" s="22">
        <f>+$D$63</f>
        <v>0.81660495030208535</v>
      </c>
      <c r="E64" s="151">
        <f t="shared" si="16"/>
        <v>55.08</v>
      </c>
      <c r="H64" s="114">
        <f>H$63</f>
        <v>0.77484939759036142</v>
      </c>
      <c r="I64" s="114">
        <f>I$63</f>
        <v>0.84759963768115953</v>
      </c>
      <c r="N64" s="2"/>
      <c r="O64" s="2"/>
      <c r="P64" s="2"/>
    </row>
    <row r="65" spans="1:16" x14ac:dyDescent="0.6">
      <c r="A65" s="15"/>
      <c r="B65" s="18">
        <f t="shared" si="15"/>
        <v>46082</v>
      </c>
      <c r="C65" s="64">
        <v>52.35</v>
      </c>
      <c r="D65" s="22">
        <f>+$D$63</f>
        <v>0.81660495030208535</v>
      </c>
      <c r="E65" s="151">
        <f t="shared" si="16"/>
        <v>42.75</v>
      </c>
      <c r="H65" s="114">
        <f t="shared" ref="H65:I67" si="17">H$63</f>
        <v>0.77484939759036142</v>
      </c>
      <c r="I65" s="114">
        <f t="shared" si="17"/>
        <v>0.84759963768115953</v>
      </c>
      <c r="N65" s="2"/>
      <c r="O65" s="2"/>
      <c r="P65" s="2"/>
    </row>
    <row r="66" spans="1:16" x14ac:dyDescent="0.6">
      <c r="A66" s="15"/>
      <c r="B66" s="18">
        <f t="shared" si="15"/>
        <v>46113</v>
      </c>
      <c r="C66" s="64">
        <v>48.05</v>
      </c>
      <c r="D66" s="22">
        <f>+$D$63</f>
        <v>0.81660495030208535</v>
      </c>
      <c r="E66" s="151">
        <f t="shared" si="16"/>
        <v>39.24</v>
      </c>
      <c r="H66" s="114">
        <f>H$63</f>
        <v>0.77484939759036142</v>
      </c>
      <c r="I66" s="114">
        <f t="shared" si="17"/>
        <v>0.84759963768115953</v>
      </c>
      <c r="N66" s="2"/>
      <c r="O66" s="2"/>
      <c r="P66" s="2"/>
    </row>
    <row r="67" spans="1:16" x14ac:dyDescent="0.6">
      <c r="A67" s="15"/>
      <c r="B67" s="18">
        <f t="shared" si="15"/>
        <v>46143</v>
      </c>
      <c r="C67" s="64">
        <v>50.4</v>
      </c>
      <c r="D67" s="22">
        <f>+$D$63</f>
        <v>0.81660495030208535</v>
      </c>
      <c r="E67" s="151">
        <f t="shared" si="16"/>
        <v>41.16</v>
      </c>
      <c r="H67" s="114">
        <f t="shared" si="17"/>
        <v>0.77484939759036142</v>
      </c>
      <c r="I67" s="114">
        <f t="shared" si="17"/>
        <v>0.84759963768115953</v>
      </c>
      <c r="N67" s="2"/>
      <c r="O67" s="2"/>
      <c r="P67" s="2"/>
    </row>
    <row r="68" spans="1:16" x14ac:dyDescent="0.6">
      <c r="A68" s="15"/>
      <c r="B68" s="18">
        <f t="shared" si="15"/>
        <v>45809</v>
      </c>
      <c r="C68" s="64">
        <v>51.65</v>
      </c>
      <c r="D68" s="246">
        <v>0.60545507584597424</v>
      </c>
      <c r="E68" s="151">
        <f t="shared" si="16"/>
        <v>31.27</v>
      </c>
      <c r="H68" s="1">
        <v>0.81189732446013863</v>
      </c>
      <c r="I68" s="1">
        <v>0.87252942482789253</v>
      </c>
      <c r="N68" s="2"/>
      <c r="O68" s="2"/>
      <c r="P68" s="2"/>
    </row>
    <row r="69" spans="1:16" x14ac:dyDescent="0.6">
      <c r="A69" s="15"/>
      <c r="B69" s="18">
        <f t="shared" si="15"/>
        <v>45839</v>
      </c>
      <c r="C69" s="64">
        <v>75.25</v>
      </c>
      <c r="D69" s="137">
        <f>+$D$68</f>
        <v>0.60545507584597424</v>
      </c>
      <c r="E69" s="151">
        <f t="shared" si="16"/>
        <v>45.56</v>
      </c>
      <c r="H69" s="114">
        <f t="shared" ref="H69:I71" si="18">H$68</f>
        <v>0.81189732446013863</v>
      </c>
      <c r="I69" s="114">
        <f t="shared" si="18"/>
        <v>0.87252942482789253</v>
      </c>
      <c r="N69" s="2"/>
      <c r="O69" s="2"/>
      <c r="P69" s="2"/>
    </row>
    <row r="70" spans="1:16" x14ac:dyDescent="0.6">
      <c r="A70" s="15"/>
      <c r="B70" s="18">
        <f t="shared" si="15"/>
        <v>45870</v>
      </c>
      <c r="C70" s="64">
        <v>65.849999999999994</v>
      </c>
      <c r="D70" s="137">
        <f>+$D$68</f>
        <v>0.60545507584597424</v>
      </c>
      <c r="E70" s="151">
        <f t="shared" si="16"/>
        <v>39.869999999999997</v>
      </c>
      <c r="H70" s="114">
        <f t="shared" si="18"/>
        <v>0.81189732446013863</v>
      </c>
      <c r="I70" s="114">
        <f t="shared" si="18"/>
        <v>0.87252942482789253</v>
      </c>
      <c r="N70" s="2"/>
      <c r="O70" s="2"/>
      <c r="P70" s="2"/>
    </row>
    <row r="71" spans="1:16" x14ac:dyDescent="0.6">
      <c r="A71" s="15"/>
      <c r="B71" s="18">
        <f t="shared" si="15"/>
        <v>45901</v>
      </c>
      <c r="C71" s="64">
        <v>52.8</v>
      </c>
      <c r="D71" s="138">
        <f>+$D$68</f>
        <v>0.60545507584597424</v>
      </c>
      <c r="E71" s="151">
        <f t="shared" si="16"/>
        <v>31.97</v>
      </c>
      <c r="H71" s="114">
        <f t="shared" si="18"/>
        <v>0.81189732446013863</v>
      </c>
      <c r="I71" s="114">
        <f t="shared" si="18"/>
        <v>0.87252942482789253</v>
      </c>
      <c r="N71" s="2"/>
      <c r="O71" s="2"/>
      <c r="P71" s="2"/>
    </row>
    <row r="72" spans="1:16" x14ac:dyDescent="0.6">
      <c r="A72" s="15"/>
      <c r="B72" s="18">
        <f t="shared" si="15"/>
        <v>45931</v>
      </c>
      <c r="C72" s="64">
        <v>50</v>
      </c>
      <c r="D72" s="22">
        <f>+$D$63</f>
        <v>0.81660495030208535</v>
      </c>
      <c r="E72" s="151">
        <f t="shared" si="16"/>
        <v>40.83</v>
      </c>
      <c r="H72" s="114">
        <f t="shared" ref="H72:I74" si="19">H$63</f>
        <v>0.77484939759036142</v>
      </c>
      <c r="I72" s="114">
        <f t="shared" si="19"/>
        <v>0.84759963768115953</v>
      </c>
      <c r="N72" s="2"/>
      <c r="O72" s="2"/>
      <c r="P72" s="2"/>
    </row>
    <row r="73" spans="1:16" x14ac:dyDescent="0.6">
      <c r="A73" s="15"/>
      <c r="B73" s="18">
        <f t="shared" si="15"/>
        <v>45962</v>
      </c>
      <c r="C73" s="64">
        <v>49.55</v>
      </c>
      <c r="D73" s="22">
        <f>+$D$63</f>
        <v>0.81660495030208535</v>
      </c>
      <c r="E73" s="151">
        <f t="shared" si="16"/>
        <v>40.46</v>
      </c>
      <c r="H73" s="114">
        <f t="shared" si="19"/>
        <v>0.77484939759036142</v>
      </c>
      <c r="I73" s="114">
        <f t="shared" si="19"/>
        <v>0.84759963768115953</v>
      </c>
      <c r="N73" s="2"/>
      <c r="O73" s="2"/>
      <c r="P73" s="2"/>
    </row>
    <row r="74" spans="1:16" x14ac:dyDescent="0.6">
      <c r="A74" s="15"/>
      <c r="B74" s="18">
        <f t="shared" si="15"/>
        <v>45992</v>
      </c>
      <c r="C74" s="64">
        <v>57.75</v>
      </c>
      <c r="D74" s="22">
        <f>+$D$63</f>
        <v>0.81660495030208535</v>
      </c>
      <c r="E74" s="151">
        <f t="shared" si="16"/>
        <v>47.16</v>
      </c>
      <c r="H74" s="114">
        <f t="shared" si="19"/>
        <v>0.77484939759036142</v>
      </c>
      <c r="I74" s="114">
        <f t="shared" si="19"/>
        <v>0.84759963768115953</v>
      </c>
      <c r="N74" s="2"/>
      <c r="O74" s="2"/>
      <c r="P74" s="2"/>
    </row>
    <row r="75" spans="1:16" x14ac:dyDescent="0.6">
      <c r="A75" s="15"/>
      <c r="B75" s="18"/>
      <c r="C75" s="64"/>
      <c r="D75" s="22"/>
      <c r="E75" s="64"/>
      <c r="H75" s="1"/>
      <c r="I75" s="1"/>
      <c r="N75" s="2"/>
      <c r="O75" s="2"/>
      <c r="P75" s="2"/>
    </row>
    <row r="76" spans="1:16" x14ac:dyDescent="0.6">
      <c r="A76" s="15"/>
      <c r="B76" s="18"/>
      <c r="C76" s="64"/>
      <c r="D76" s="64"/>
      <c r="E76" s="64"/>
      <c r="H76" s="1"/>
      <c r="K76" s="1"/>
    </row>
    <row r="77" spans="1:16" x14ac:dyDescent="0.6">
      <c r="A77" s="24" t="s">
        <v>41</v>
      </c>
      <c r="B77" s="76" t="s">
        <v>39</v>
      </c>
      <c r="C77" s="16" t="s">
        <v>5</v>
      </c>
      <c r="D77" s="16" t="s">
        <v>119</v>
      </c>
      <c r="E77" s="16" t="s">
        <v>6</v>
      </c>
      <c r="F77" s="16" t="s">
        <v>7</v>
      </c>
      <c r="G77" s="16" t="s">
        <v>8</v>
      </c>
      <c r="H77" s="16" t="s">
        <v>9</v>
      </c>
      <c r="I77" s="16" t="s">
        <v>10</v>
      </c>
      <c r="J77" s="16" t="s">
        <v>11</v>
      </c>
      <c r="L77" s="17"/>
    </row>
    <row r="78" spans="1:16" x14ac:dyDescent="0.6">
      <c r="A78" s="15"/>
      <c r="B78" t="s">
        <v>202</v>
      </c>
      <c r="C78" s="63">
        <v>6.772076372315039E-2</v>
      </c>
      <c r="D78" s="63">
        <v>6.772076372315039E-2</v>
      </c>
      <c r="E78" s="63">
        <v>6.772076372315039E-2</v>
      </c>
      <c r="F78" s="63">
        <v>4.8389399057905562E-2</v>
      </c>
      <c r="G78" s="63">
        <v>6.772076372315039E-2</v>
      </c>
      <c r="H78" s="63">
        <v>4.8389399057905562E-2</v>
      </c>
      <c r="I78" s="63">
        <v>6.772076372315039E-2</v>
      </c>
      <c r="J78" s="63">
        <v>6.772076372315039E-2</v>
      </c>
      <c r="L78" s="135"/>
      <c r="M78" s="135"/>
    </row>
    <row r="79" spans="1:16" x14ac:dyDescent="0.6">
      <c r="A79" s="15"/>
      <c r="B79" s="18" t="s">
        <v>201</v>
      </c>
      <c r="C79" s="146">
        <f>1-((1-C78)*(1-0.4251%))</f>
        <v>7.1683882756563233E-2</v>
      </c>
      <c r="D79" s="146">
        <f t="shared" ref="D79:J79" si="20">1-((1-D78)*(1-0.4251%))</f>
        <v>7.1683882756563233E-2</v>
      </c>
      <c r="E79" s="146">
        <f t="shared" si="20"/>
        <v>7.1683882756563233E-2</v>
      </c>
      <c r="F79" s="146">
        <f t="shared" si="20"/>
        <v>5.243469572251036E-2</v>
      </c>
      <c r="G79" s="146">
        <f t="shared" si="20"/>
        <v>7.1683882756563233E-2</v>
      </c>
      <c r="H79" s="146">
        <f t="shared" si="20"/>
        <v>5.243469572251036E-2</v>
      </c>
      <c r="I79" s="146">
        <f t="shared" si="20"/>
        <v>7.1683882756563233E-2</v>
      </c>
      <c r="J79" s="146">
        <f t="shared" si="20"/>
        <v>7.1683882756563233E-2</v>
      </c>
      <c r="L79" s="63"/>
    </row>
    <row r="80" spans="1:16" x14ac:dyDescent="0.6">
      <c r="A80" s="15"/>
      <c r="B80" t="s">
        <v>40</v>
      </c>
      <c r="C80" s="77">
        <f>1/(1-C79)</f>
        <v>1.0772192590703078</v>
      </c>
      <c r="D80" s="77">
        <f t="shared" ref="D80:J80" si="21">1/(1-D79)</f>
        <v>1.0772192590703078</v>
      </c>
      <c r="E80" s="77">
        <f t="shared" si="21"/>
        <v>1.0772192590703078</v>
      </c>
      <c r="F80" s="77">
        <f t="shared" si="21"/>
        <v>1.055336234332146</v>
      </c>
      <c r="G80" s="77">
        <f t="shared" si="21"/>
        <v>1.0772192590703078</v>
      </c>
      <c r="H80" s="77">
        <f t="shared" si="21"/>
        <v>1.055336234332146</v>
      </c>
      <c r="I80" s="77">
        <f t="shared" si="21"/>
        <v>1.0772192590703078</v>
      </c>
      <c r="J80" s="77">
        <f t="shared" si="21"/>
        <v>1.0772192590703078</v>
      </c>
      <c r="L80" s="77"/>
      <c r="M80" s="132"/>
    </row>
    <row r="81" spans="1:20" x14ac:dyDescent="0.6">
      <c r="A81" s="15"/>
      <c r="C81" s="77"/>
      <c r="D81" s="77"/>
      <c r="E81" s="77"/>
      <c r="F81" s="77"/>
      <c r="G81" s="77"/>
      <c r="H81" s="77"/>
      <c r="I81" s="77"/>
      <c r="J81" s="77"/>
      <c r="L81" s="136"/>
      <c r="M81" s="111"/>
      <c r="T81" s="89"/>
    </row>
    <row r="82" spans="1:20" x14ac:dyDescent="0.6">
      <c r="A82" s="15"/>
      <c r="B82" s="111" t="s">
        <v>200</v>
      </c>
      <c r="C82" s="63">
        <v>1.6635563563146074E-2</v>
      </c>
      <c r="D82" s="63">
        <f>$C$82</f>
        <v>1.6635563563146074E-2</v>
      </c>
      <c r="E82" s="63">
        <f t="shared" ref="E82:J82" si="22">$C$82</f>
        <v>1.6635563563146074E-2</v>
      </c>
      <c r="F82" s="63">
        <f t="shared" si="22"/>
        <v>1.6635563563146074E-2</v>
      </c>
      <c r="G82" s="63">
        <f t="shared" si="22"/>
        <v>1.6635563563146074E-2</v>
      </c>
      <c r="H82" s="63">
        <f t="shared" si="22"/>
        <v>1.6635563563146074E-2</v>
      </c>
      <c r="I82" s="63">
        <f t="shared" si="22"/>
        <v>1.6635563563146074E-2</v>
      </c>
      <c r="J82" s="63">
        <f t="shared" si="22"/>
        <v>1.6635563563146074E-2</v>
      </c>
      <c r="L82" s="130"/>
    </row>
    <row r="83" spans="1:20" x14ac:dyDescent="0.6">
      <c r="A83" s="15"/>
      <c r="B83" t="s">
        <v>203</v>
      </c>
      <c r="C83" s="146">
        <f t="shared" ref="C83:J83" si="23">1-((1-C79)/(1-C82))</f>
        <v>5.5979570903418541E-2</v>
      </c>
      <c r="D83" s="146">
        <f t="shared" si="23"/>
        <v>5.5979570903418541E-2</v>
      </c>
      <c r="E83" s="146">
        <f t="shared" si="23"/>
        <v>5.5979570903418541E-2</v>
      </c>
      <c r="F83" s="146">
        <f t="shared" si="23"/>
        <v>3.6404745619111112E-2</v>
      </c>
      <c r="G83" s="146">
        <f t="shared" si="23"/>
        <v>5.5979570903418541E-2</v>
      </c>
      <c r="H83" s="146">
        <f t="shared" si="23"/>
        <v>3.6404745619111112E-2</v>
      </c>
      <c r="I83" s="146">
        <f t="shared" si="23"/>
        <v>5.5979570903418541E-2</v>
      </c>
      <c r="J83" s="146">
        <f t="shared" si="23"/>
        <v>5.5979570903418541E-2</v>
      </c>
      <c r="L83" s="77"/>
    </row>
    <row r="84" spans="1:20" x14ac:dyDescent="0.6">
      <c r="A84" s="15"/>
      <c r="B84" t="s">
        <v>204</v>
      </c>
      <c r="C84" s="77">
        <f t="shared" ref="C84:J84" si="24">1/(1-C83)</f>
        <v>1.0592991096145985</v>
      </c>
      <c r="D84" s="77">
        <f t="shared" si="24"/>
        <v>1.0592991096145985</v>
      </c>
      <c r="E84" s="77">
        <f t="shared" si="24"/>
        <v>1.0592991096145985</v>
      </c>
      <c r="F84" s="77">
        <f t="shared" si="24"/>
        <v>1.0377801213254223</v>
      </c>
      <c r="G84" s="77">
        <f t="shared" si="24"/>
        <v>1.0592991096145985</v>
      </c>
      <c r="H84" s="77">
        <f t="shared" si="24"/>
        <v>1.0377801213254223</v>
      </c>
      <c r="I84" s="77">
        <f t="shared" si="24"/>
        <v>1.0592991096145985</v>
      </c>
      <c r="J84" s="77">
        <f t="shared" si="24"/>
        <v>1.0592991096145985</v>
      </c>
      <c r="L84" s="77"/>
    </row>
    <row r="85" spans="1:20" x14ac:dyDescent="0.6">
      <c r="A85" s="15"/>
      <c r="C85" s="77"/>
      <c r="D85" s="77"/>
      <c r="E85" s="77"/>
      <c r="F85" s="130"/>
      <c r="G85" s="77"/>
      <c r="H85" s="77"/>
      <c r="I85" s="77"/>
      <c r="J85" s="77"/>
      <c r="L85" s="77"/>
    </row>
    <row r="86" spans="1:20" x14ac:dyDescent="0.6">
      <c r="A86" s="15"/>
      <c r="C86" s="135"/>
      <c r="D86" s="135"/>
      <c r="E86" s="135"/>
      <c r="F86" s="135"/>
      <c r="G86" s="135"/>
      <c r="H86" s="135"/>
      <c r="I86" s="135"/>
    </row>
    <row r="87" spans="1:20" x14ac:dyDescent="0.6">
      <c r="A87" s="24" t="s">
        <v>47</v>
      </c>
      <c r="B87" s="3" t="s">
        <v>260</v>
      </c>
    </row>
    <row r="88" spans="1:20" x14ac:dyDescent="0.6">
      <c r="A88" s="15"/>
      <c r="B88" s="4" t="s">
        <v>42</v>
      </c>
      <c r="L88" s="135"/>
    </row>
    <row r="89" spans="1:20" x14ac:dyDescent="0.6">
      <c r="A89" s="15"/>
      <c r="B89" s="4" t="s">
        <v>35</v>
      </c>
    </row>
    <row r="90" spans="1:20" x14ac:dyDescent="0.6">
      <c r="A90" s="15"/>
      <c r="B90" s="3"/>
      <c r="C90" s="16" t="s">
        <v>5</v>
      </c>
      <c r="D90" s="16" t="s">
        <v>119</v>
      </c>
      <c r="E90" s="16" t="s">
        <v>6</v>
      </c>
      <c r="F90" s="16" t="s">
        <v>7</v>
      </c>
      <c r="G90" s="16" t="s">
        <v>8</v>
      </c>
      <c r="H90" s="16" t="s">
        <v>9</v>
      </c>
      <c r="I90" s="16" t="s">
        <v>10</v>
      </c>
      <c r="J90" s="16" t="s">
        <v>11</v>
      </c>
      <c r="L90" s="17"/>
    </row>
    <row r="91" spans="1:20" x14ac:dyDescent="0.6">
      <c r="A91" s="15"/>
    </row>
    <row r="92" spans="1:20" x14ac:dyDescent="0.6">
      <c r="A92" s="15"/>
      <c r="B92" s="18" t="s">
        <v>43</v>
      </c>
      <c r="C92" s="14">
        <f t="shared" ref="C92:J92" si="25">(SUMPRODUCT(C14:C17,C50:C53,$C68:$C71,$H68:$H71)*C80+SUMPRODUCT(O14:O17,C50:C53,$E68:$E71,$I68:$I71)*C80)/SUM(C50:C53)</f>
        <v>45.814224366138561</v>
      </c>
      <c r="D92" s="14">
        <f t="shared" si="25"/>
        <v>45.939264579147398</v>
      </c>
      <c r="E92" s="14">
        <f t="shared" si="25"/>
        <v>45.284258095822146</v>
      </c>
      <c r="F92" s="14">
        <f t="shared" si="25"/>
        <v>43.787169371496873</v>
      </c>
      <c r="G92" s="14">
        <f t="shared" si="25"/>
        <v>45.220681285498159</v>
      </c>
      <c r="H92" s="14">
        <f t="shared" si="25"/>
        <v>43.70372194758874</v>
      </c>
      <c r="I92" s="14">
        <f t="shared" si="25"/>
        <v>38.909039461820093</v>
      </c>
      <c r="J92" s="14">
        <f t="shared" si="25"/>
        <v>44.245821752485824</v>
      </c>
      <c r="K92" s="78"/>
      <c r="L92" s="14"/>
    </row>
    <row r="93" spans="1:20" x14ac:dyDescent="0.6">
      <c r="A93" s="15"/>
      <c r="B93" s="18" t="s">
        <v>115</v>
      </c>
      <c r="C93" s="14">
        <f t="shared" ref="C93:J93" si="26">(SUMPRODUCT(C$14:C$17,C$50:C$53,$C$68:$C$71,$H$68:$H$71)*C$80)/SUMPRODUCT(C$14:C$17,C$50:C$53)</f>
        <v>54.551779237086862</v>
      </c>
      <c r="D93" s="14">
        <f t="shared" si="26"/>
        <v>54.510071236016607</v>
      </c>
      <c r="E93" s="14">
        <f t="shared" si="26"/>
        <v>53.934721950804189</v>
      </c>
      <c r="F93" s="14">
        <f t="shared" si="26"/>
        <v>51.906809364692528</v>
      </c>
      <c r="G93" s="14">
        <f t="shared" si="26"/>
        <v>53.796533275761234</v>
      </c>
      <c r="H93" s="14">
        <f t="shared" si="26"/>
        <v>52.374233244865316</v>
      </c>
      <c r="I93" s="14">
        <f t="shared" si="26"/>
        <v>52.711702998148539</v>
      </c>
      <c r="J93" s="14">
        <f t="shared" si="26"/>
        <v>53.679628927349107</v>
      </c>
      <c r="K93" s="78"/>
      <c r="L93" s="14"/>
    </row>
    <row r="94" spans="1:20" x14ac:dyDescent="0.6">
      <c r="A94" s="15"/>
      <c r="B94" s="18" t="s">
        <v>116</v>
      </c>
      <c r="C94" s="14">
        <f>(SUMPRODUCT(O$14:O$17,C$50:C$53,$E$68:$E$71,$I$68:$I$71)*C$80)/SUMPRODUCT(O$14:O$17,C$50:C$53)</f>
        <v>35.572524190391455</v>
      </c>
      <c r="D94" s="14">
        <f t="shared" ref="D94:J94" si="27">(SUMPRODUCT(P$14:P$17,D$50:D$53,$E$68:$E$71,$I$68:$I$71)*D$80)/SUMPRODUCT(P$14:P$17,D$50:D$53)</f>
        <v>35.606416107505751</v>
      </c>
      <c r="E94" s="14">
        <f t="shared" si="27"/>
        <v>35.058247913134224</v>
      </c>
      <c r="F94" s="14">
        <f t="shared" si="27"/>
        <v>34.038793721427183</v>
      </c>
      <c r="G94" s="14">
        <f t="shared" si="27"/>
        <v>35.133398712376525</v>
      </c>
      <c r="H94" s="14">
        <f t="shared" si="27"/>
        <v>34.310263799714875</v>
      </c>
      <c r="I94" s="14">
        <f t="shared" si="27"/>
        <v>34.935937936611552</v>
      </c>
      <c r="J94" s="14">
        <f t="shared" si="27"/>
        <v>35.148630085777903</v>
      </c>
      <c r="K94" s="78"/>
      <c r="L94" s="14"/>
    </row>
    <row r="95" spans="1:20" x14ac:dyDescent="0.6">
      <c r="A95" s="15"/>
      <c r="B95" s="18"/>
      <c r="C95" s="14"/>
      <c r="D95" s="14"/>
      <c r="E95" s="14"/>
      <c r="F95" s="14"/>
      <c r="G95" s="14"/>
      <c r="H95" s="14"/>
      <c r="I95" s="14"/>
      <c r="J95" s="14"/>
      <c r="K95" s="78"/>
      <c r="L95" s="14"/>
    </row>
    <row r="96" spans="1:20" x14ac:dyDescent="0.6">
      <c r="A96" s="15"/>
      <c r="B96" s="18" t="s">
        <v>44</v>
      </c>
      <c r="C96" s="14">
        <f>(SUMPRODUCT(C9:C13,C45:C49,$C63:$C67,$H63:$H67)*C80+SUMPRODUCT(O9:O13,C45:C49,$E63:$E67,$I63:$I67)*C80+SUMPRODUCT(C18:C20,C54:C56,$C72:$C74,$H72:$H74)*C80+SUMPRODUCT(O18:O20,C54:C56,$E72:$E74,$I72:$I74)*C80)/SUM(C45:C49,C54:C56)</f>
        <v>45.931417366529431</v>
      </c>
      <c r="D96" s="14">
        <f t="shared" ref="D96:J96" si="28">(SUMPRODUCT(D9:D13,D45:D49,$C63:$C67,$H63:$H67)*D80+SUMPRODUCT(P9:P13,D45:D49,$E63:$E67,$I63:$I67)*D80+SUMPRODUCT(D18:D20,D54:D56,$C72:$C74,$H72:$H74)*D80+SUMPRODUCT(P18:P20,D54:D56,$E72:$E74,$I72:$I74)*D80)/SUM(D45:D49,D54:D56)</f>
        <v>45.940733373428316</v>
      </c>
      <c r="E96" s="14">
        <f t="shared" si="28"/>
        <v>44.994886852514348</v>
      </c>
      <c r="F96" s="14">
        <f t="shared" si="28"/>
        <v>44.119457947593361</v>
      </c>
      <c r="G96" s="14">
        <f t="shared" si="28"/>
        <v>45.036970123094747</v>
      </c>
      <c r="H96" s="14">
        <f t="shared" si="28"/>
        <v>44.095876311164098</v>
      </c>
      <c r="I96" s="14">
        <f t="shared" si="28"/>
        <v>44.448095392998304</v>
      </c>
      <c r="J96" s="14">
        <f t="shared" si="28"/>
        <v>44.887654087051473</v>
      </c>
      <c r="K96" s="78"/>
      <c r="L96" s="14"/>
    </row>
    <row r="97" spans="1:12" x14ac:dyDescent="0.6">
      <c r="A97" s="15"/>
      <c r="B97" s="18" t="s">
        <v>115</v>
      </c>
      <c r="C97" s="14">
        <f t="shared" ref="C97:J97" si="29">((SUMPRODUCT(C$9:C$13,C$45:C$49,$C$63:$C$67,$H$63:$H$67)*C$80)+(SUMPRODUCT(C$18:C$20,C$54:C$56,$C$72:$C$74,$H$72:$H$74)*C$80))/(SUMPRODUCT(C$9:C$13,C$45:C$49)+SUMPRODUCT(C$18:C$20,C$54:C$56))</f>
        <v>48.449693104033109</v>
      </c>
      <c r="D97" s="14">
        <f t="shared" si="29"/>
        <v>48.426996172884827</v>
      </c>
      <c r="E97" s="14">
        <f t="shared" si="29"/>
        <v>47.327961631198697</v>
      </c>
      <c r="F97" s="14">
        <f t="shared" si="29"/>
        <v>46.301318336271947</v>
      </c>
      <c r="G97" s="14">
        <f t="shared" si="29"/>
        <v>47.428645063288464</v>
      </c>
      <c r="H97" s="14">
        <f t="shared" si="29"/>
        <v>46.423701449870855</v>
      </c>
      <c r="I97" s="14">
        <f t="shared" si="29"/>
        <v>48.538916541715636</v>
      </c>
      <c r="J97" s="14">
        <f t="shared" si="29"/>
        <v>47.425249349051249</v>
      </c>
      <c r="K97" s="78"/>
      <c r="L97" s="14"/>
    </row>
    <row r="98" spans="1:12" x14ac:dyDescent="0.6">
      <c r="A98" s="15"/>
      <c r="B98" s="18" t="s">
        <v>116</v>
      </c>
      <c r="C98" s="14">
        <f t="shared" ref="C98:J98" si="30">((SUMPRODUCT(O$9:O$13,C$45:C$49,$E$63:$E$67,$I$63:$I$67)*C$80)+(SUMPRODUCT(O$18:O$20,C$54:C$56,$E$72:$E$74,$I$72:$I$74)*C$80))/(SUMPRODUCT(O$9:O$13,C$45:C$49)+SUMPRODUCT(O$18:O$20,C$54:C$56))</f>
        <v>43.440086736852358</v>
      </c>
      <c r="D98" s="14">
        <f t="shared" si="30"/>
        <v>43.460949244009981</v>
      </c>
      <c r="E98" s="14">
        <f t="shared" si="30"/>
        <v>42.416062855187789</v>
      </c>
      <c r="F98" s="14">
        <f t="shared" si="30"/>
        <v>41.573908991024105</v>
      </c>
      <c r="G98" s="14">
        <f t="shared" si="30"/>
        <v>42.224993508735601</v>
      </c>
      <c r="H98" s="14">
        <f t="shared" si="30"/>
        <v>41.54400053327273</v>
      </c>
      <c r="I98" s="14">
        <f t="shared" si="30"/>
        <v>42.563056275851345</v>
      </c>
      <c r="J98" s="14">
        <f t="shared" si="30"/>
        <v>42.424423356835717</v>
      </c>
      <c r="K98" s="78"/>
      <c r="L98" s="14"/>
    </row>
    <row r="99" spans="1:12" x14ac:dyDescent="0.6">
      <c r="A99" s="15"/>
      <c r="B99" s="18"/>
      <c r="C99" s="14"/>
      <c r="D99" s="14"/>
      <c r="E99" s="14"/>
      <c r="F99" s="14"/>
      <c r="G99" s="14"/>
      <c r="H99" s="14"/>
      <c r="I99" s="14"/>
      <c r="J99" s="14"/>
      <c r="K99" s="78"/>
      <c r="L99" s="14"/>
    </row>
    <row r="100" spans="1:12" x14ac:dyDescent="0.6">
      <c r="A100" s="15"/>
      <c r="B100" t="s">
        <v>45</v>
      </c>
      <c r="C100" s="26">
        <f>(C92*SUM(C50:C53)+C96*SUM(C45:C49,C54:C56))/C57</f>
        <v>45.880244706428996</v>
      </c>
      <c r="D100" s="26">
        <f t="shared" ref="D100:J100" si="31">(D92*SUM(D50:D53)+D96*SUM(D45:D49,D54:D56))/D57</f>
        <v>45.940092020188409</v>
      </c>
      <c r="E100" s="26">
        <f t="shared" si="31"/>
        <v>45.106284831159968</v>
      </c>
      <c r="F100" s="26">
        <f t="shared" si="31"/>
        <v>43.97998997008861</v>
      </c>
      <c r="G100" s="26">
        <f t="shared" si="31"/>
        <v>45.106299487167504</v>
      </c>
      <c r="H100" s="26">
        <f t="shared" si="31"/>
        <v>43.961265539691219</v>
      </c>
      <c r="I100" s="26">
        <f t="shared" si="31"/>
        <v>42.788708101240438</v>
      </c>
      <c r="J100" s="26">
        <f t="shared" si="31"/>
        <v>44.647154679098982</v>
      </c>
      <c r="L100" s="26"/>
    </row>
    <row r="101" spans="1:12" x14ac:dyDescent="0.6">
      <c r="A101" s="15"/>
    </row>
    <row r="102" spans="1:12" x14ac:dyDescent="0.6">
      <c r="A102" s="15"/>
      <c r="B102" t="s">
        <v>46</v>
      </c>
      <c r="C102" s="79"/>
      <c r="D102" s="79"/>
      <c r="F102" s="80"/>
      <c r="G102" s="14">
        <f>SUMPRODUCT(C100:J100,C57:J57)/SUM(C57:J57)</f>
        <v>45.571653030374357</v>
      </c>
    </row>
    <row r="103" spans="1:12" x14ac:dyDescent="0.6">
      <c r="A103" s="15"/>
      <c r="C103" s="79"/>
      <c r="D103" s="79"/>
    </row>
    <row r="104" spans="1:12" x14ac:dyDescent="0.6">
      <c r="A104" s="15"/>
      <c r="C104" s="81"/>
      <c r="D104" s="81"/>
      <c r="E104" s="81"/>
      <c r="F104" s="82"/>
      <c r="G104" s="81"/>
      <c r="H104" s="81"/>
      <c r="J104" s="81"/>
    </row>
    <row r="105" spans="1:12" x14ac:dyDescent="0.6">
      <c r="A105" s="24" t="s">
        <v>72</v>
      </c>
      <c r="B105" s="3" t="s">
        <v>261</v>
      </c>
      <c r="C105" s="81"/>
      <c r="D105" s="81"/>
      <c r="E105" s="81"/>
      <c r="F105" s="82"/>
      <c r="G105" s="81"/>
      <c r="H105" s="81"/>
      <c r="J105" s="81"/>
    </row>
    <row r="106" spans="1:12" x14ac:dyDescent="0.6">
      <c r="A106" s="15"/>
      <c r="B106" s="4" t="s">
        <v>123</v>
      </c>
      <c r="C106" s="81"/>
      <c r="D106" s="81"/>
      <c r="E106" s="81"/>
      <c r="F106" s="82"/>
      <c r="G106" s="81"/>
      <c r="H106" s="81"/>
      <c r="J106" s="81"/>
    </row>
    <row r="107" spans="1:12" x14ac:dyDescent="0.6">
      <c r="A107" s="15"/>
      <c r="B107" s="4" t="s">
        <v>124</v>
      </c>
      <c r="C107" s="81"/>
      <c r="D107" s="81"/>
      <c r="E107" s="81"/>
      <c r="F107" s="82"/>
      <c r="G107" s="81"/>
      <c r="H107" s="81"/>
      <c r="J107" s="81"/>
    </row>
    <row r="108" spans="1:12" x14ac:dyDescent="0.6">
      <c r="A108" s="15"/>
      <c r="C108" s="16" t="s">
        <v>5</v>
      </c>
      <c r="D108" s="16" t="s">
        <v>119</v>
      </c>
      <c r="E108" s="16" t="s">
        <v>6</v>
      </c>
      <c r="F108" s="16" t="s">
        <v>7</v>
      </c>
      <c r="G108" s="16" t="s">
        <v>8</v>
      </c>
      <c r="H108" s="16" t="s">
        <v>9</v>
      </c>
      <c r="I108" s="16" t="s">
        <v>10</v>
      </c>
      <c r="J108" s="16" t="s">
        <v>11</v>
      </c>
      <c r="K108" s="16"/>
    </row>
    <row r="109" spans="1:12" x14ac:dyDescent="0.6">
      <c r="A109" s="15"/>
      <c r="C109" s="81"/>
      <c r="D109" s="81"/>
      <c r="E109" s="81"/>
      <c r="F109" s="82"/>
      <c r="G109" s="81"/>
      <c r="H109" s="81"/>
      <c r="J109" s="81"/>
    </row>
    <row r="110" spans="1:12" x14ac:dyDescent="0.6">
      <c r="B110" s="18" t="s">
        <v>43</v>
      </c>
      <c r="C110" s="125">
        <f>SUM(C50:C53)*C92/1000</f>
        <v>75899.990647124054</v>
      </c>
      <c r="D110" s="125">
        <f t="shared" ref="D110:J110" si="32">SUM(D50:D53)*D92/1000</f>
        <v>35.455649841211489</v>
      </c>
      <c r="E110" s="125">
        <f t="shared" si="32"/>
        <v>17753.960366379903</v>
      </c>
      <c r="F110" s="125">
        <f t="shared" si="32"/>
        <v>751.4152866879059</v>
      </c>
      <c r="G110" s="125">
        <f t="shared" si="32"/>
        <v>13184.399134983256</v>
      </c>
      <c r="H110" s="125">
        <f t="shared" si="32"/>
        <v>970.26439372453342</v>
      </c>
      <c r="I110" s="125">
        <f t="shared" si="32"/>
        <v>664.08719519184422</v>
      </c>
      <c r="J110" s="125">
        <f t="shared" si="32"/>
        <v>183.39409817489047</v>
      </c>
    </row>
    <row r="111" spans="1:12" x14ac:dyDescent="0.6">
      <c r="B111" s="25" t="s">
        <v>125</v>
      </c>
      <c r="C111" s="125">
        <f t="shared" ref="C111:J111" si="33">SUMPRODUCT(C50:C53,C14:C17)*C93/1000</f>
        <v>48768.926917555727</v>
      </c>
      <c r="D111" s="125">
        <f t="shared" si="33"/>
        <v>22.996007191516274</v>
      </c>
      <c r="E111" s="125">
        <f t="shared" si="33"/>
        <v>11455.176337834873</v>
      </c>
      <c r="F111" s="125">
        <f t="shared" si="33"/>
        <v>485.97443265858828</v>
      </c>
      <c r="G111" s="125">
        <f t="shared" si="33"/>
        <v>8477.4869607351829</v>
      </c>
      <c r="H111" s="125">
        <f t="shared" si="33"/>
        <v>604.64666587629188</v>
      </c>
      <c r="I111" s="125">
        <f t="shared" si="33"/>
        <v>201.08654180531883</v>
      </c>
      <c r="J111" s="125">
        <f t="shared" si="33"/>
        <v>109.22727802066663</v>
      </c>
    </row>
    <row r="112" spans="1:12" x14ac:dyDescent="0.6">
      <c r="B112" s="25" t="s">
        <v>126</v>
      </c>
      <c r="C112" s="125">
        <f t="shared" ref="C112:J112" si="34">SUMPRODUCT(C50:C53,O14:O17)*C94/1000</f>
        <v>27131.063729568326</v>
      </c>
      <c r="D112" s="125">
        <f t="shared" si="34"/>
        <v>12.459642649695212</v>
      </c>
      <c r="E112" s="125">
        <f t="shared" si="34"/>
        <v>6298.7840285450266</v>
      </c>
      <c r="F112" s="125">
        <f t="shared" si="34"/>
        <v>265.44085402931768</v>
      </c>
      <c r="G112" s="125">
        <f t="shared" si="34"/>
        <v>4706.912174248072</v>
      </c>
      <c r="H112" s="125">
        <f t="shared" si="34"/>
        <v>365.61772784824143</v>
      </c>
      <c r="I112" s="125">
        <f t="shared" si="34"/>
        <v>463.00065338652547</v>
      </c>
      <c r="J112" s="125">
        <f t="shared" si="34"/>
        <v>74.166820154223842</v>
      </c>
    </row>
    <row r="113" spans="1:29" x14ac:dyDescent="0.6">
      <c r="C113" s="81"/>
      <c r="D113" s="81"/>
      <c r="E113" s="81"/>
      <c r="F113" s="81"/>
      <c r="G113" s="81"/>
      <c r="H113" s="81"/>
      <c r="I113" s="81"/>
      <c r="J113" s="81"/>
    </row>
    <row r="114" spans="1:29" x14ac:dyDescent="0.6">
      <c r="B114" s="18" t="s">
        <v>44</v>
      </c>
      <c r="C114" s="126">
        <f t="shared" ref="C114:J114" si="35">SUM(C45:C49,C54:C56)*C96/1000</f>
        <v>98172.758986764646</v>
      </c>
      <c r="D114" s="126">
        <f t="shared" si="35"/>
        <v>45.744522646208338</v>
      </c>
      <c r="E114" s="126">
        <f t="shared" si="35"/>
        <v>28183.090137037547</v>
      </c>
      <c r="F114" s="126">
        <f t="shared" si="35"/>
        <v>1046.7482578672325</v>
      </c>
      <c r="G114" s="126">
        <f t="shared" si="35"/>
        <v>21663.673927293898</v>
      </c>
      <c r="H114" s="126">
        <f t="shared" si="35"/>
        <v>1873.0120995142063</v>
      </c>
      <c r="I114" s="126">
        <f t="shared" si="35"/>
        <v>1773.67737979</v>
      </c>
      <c r="J114" s="126">
        <f t="shared" si="35"/>
        <v>310.47796235911085</v>
      </c>
    </row>
    <row r="115" spans="1:29" x14ac:dyDescent="0.6">
      <c r="B115" s="25" t="s">
        <v>125</v>
      </c>
      <c r="C115" s="125">
        <f t="shared" ref="C115:J115" si="36">(SUMPRODUCT(C45:C49,C9:C13)+SUMPRODUCT(C54:C56,C18:C20))*C97/1000</f>
        <v>51499.136213000551</v>
      </c>
      <c r="D115" s="125">
        <f t="shared" si="36"/>
        <v>24.078629520788851</v>
      </c>
      <c r="E115" s="125">
        <f t="shared" si="36"/>
        <v>15563.796382719442</v>
      </c>
      <c r="F115" s="125">
        <f t="shared" si="36"/>
        <v>591.51216410399627</v>
      </c>
      <c r="G115" s="125">
        <f t="shared" si="36"/>
        <v>12328.412566327026</v>
      </c>
      <c r="H115" s="125">
        <f t="shared" si="36"/>
        <v>1031.2137499146361</v>
      </c>
      <c r="I115" s="125">
        <f t="shared" si="36"/>
        <v>610.98631417631134</v>
      </c>
      <c r="J115" s="125">
        <f t="shared" si="36"/>
        <v>161.57599697586602</v>
      </c>
    </row>
    <row r="116" spans="1:29" x14ac:dyDescent="0.6">
      <c r="B116" s="25" t="s">
        <v>126</v>
      </c>
      <c r="C116" s="125">
        <f t="shared" ref="C116:J116" si="37">+(SUMPRODUCT(C45:C49,O9:O13)+SUMPRODUCT(C54:C56,O18:O20))*C98/1000</f>
        <v>46673.622773764087</v>
      </c>
      <c r="D116" s="125">
        <f t="shared" si="37"/>
        <v>21.665893125419487</v>
      </c>
      <c r="E116" s="125">
        <f t="shared" si="37"/>
        <v>12619.293754318101</v>
      </c>
      <c r="F116" s="125">
        <f t="shared" si="37"/>
        <v>455.23609376323617</v>
      </c>
      <c r="G116" s="125">
        <f t="shared" si="37"/>
        <v>9335.2613609668733</v>
      </c>
      <c r="H116" s="125">
        <f t="shared" si="37"/>
        <v>841.79834959957032</v>
      </c>
      <c r="I116" s="125">
        <f t="shared" si="37"/>
        <v>1162.6910656136884</v>
      </c>
      <c r="J116" s="125">
        <f t="shared" si="37"/>
        <v>148.90196538324483</v>
      </c>
    </row>
    <row r="117" spans="1:29" x14ac:dyDescent="0.6">
      <c r="C117" s="81"/>
      <c r="D117" s="81"/>
      <c r="E117" s="81"/>
      <c r="F117" s="82"/>
      <c r="G117" s="81"/>
      <c r="H117" s="81"/>
      <c r="J117" s="81"/>
    </row>
    <row r="118" spans="1:29" x14ac:dyDescent="0.6">
      <c r="B118" t="s">
        <v>45</v>
      </c>
      <c r="C118" s="126">
        <f>+C110+C114</f>
        <v>174072.74963388871</v>
      </c>
      <c r="D118" s="126">
        <f t="shared" ref="D118:J118" si="38">+D110+D114</f>
        <v>81.20017248741982</v>
      </c>
      <c r="E118" s="126">
        <f t="shared" si="38"/>
        <v>45937.050503417449</v>
      </c>
      <c r="F118" s="126">
        <f t="shared" si="38"/>
        <v>1798.1635445551383</v>
      </c>
      <c r="G118" s="126">
        <f t="shared" si="38"/>
        <v>34848.073062277152</v>
      </c>
      <c r="H118" s="126">
        <f>+H110+H114</f>
        <v>2843.2764932387399</v>
      </c>
      <c r="I118" s="126">
        <f t="shared" si="38"/>
        <v>2437.7645749818444</v>
      </c>
      <c r="J118" s="126">
        <f t="shared" si="38"/>
        <v>493.87206053400132</v>
      </c>
    </row>
    <row r="119" spans="1:29" x14ac:dyDescent="0.6">
      <c r="C119" s="81"/>
      <c r="D119" s="81"/>
      <c r="E119" s="81"/>
      <c r="F119" s="82"/>
      <c r="G119" s="81"/>
      <c r="H119" s="81"/>
      <c r="J119" s="81"/>
    </row>
    <row r="120" spans="1:29" x14ac:dyDescent="0.6">
      <c r="B120" t="s">
        <v>127</v>
      </c>
      <c r="C120" s="125">
        <f>SUM(C118:J118)</f>
        <v>262512.15004538046</v>
      </c>
      <c r="D120" s="81"/>
      <c r="E120" s="81"/>
      <c r="F120" s="82"/>
      <c r="G120" s="81"/>
      <c r="H120" s="81"/>
      <c r="J120" s="81"/>
    </row>
    <row r="121" spans="1:29" x14ac:dyDescent="0.6">
      <c r="A121" s="15"/>
      <c r="C121" s="81"/>
      <c r="D121" s="81"/>
      <c r="E121" s="81"/>
      <c r="F121" s="82"/>
      <c r="G121" s="81"/>
      <c r="H121" s="81"/>
      <c r="J121" s="81"/>
    </row>
    <row r="122" spans="1:29" x14ac:dyDescent="0.6">
      <c r="A122" s="15"/>
      <c r="C122" s="81"/>
      <c r="D122" s="81"/>
      <c r="E122" s="81"/>
      <c r="F122" s="82"/>
      <c r="G122" s="81"/>
      <c r="H122" s="81"/>
      <c r="J122" s="81"/>
    </row>
    <row r="123" spans="1:29" x14ac:dyDescent="0.6">
      <c r="A123" s="24" t="s">
        <v>73</v>
      </c>
      <c r="B123" s="3" t="s">
        <v>262</v>
      </c>
      <c r="C123" s="81"/>
      <c r="D123" s="81"/>
      <c r="E123" s="81"/>
      <c r="F123" s="82"/>
      <c r="G123" s="81"/>
      <c r="H123" s="81"/>
      <c r="J123" s="81"/>
      <c r="P123" t="s">
        <v>137</v>
      </c>
      <c r="Q123" t="s">
        <v>133</v>
      </c>
      <c r="R123" t="s">
        <v>134</v>
      </c>
      <c r="S123" s="6" t="s">
        <v>135</v>
      </c>
    </row>
    <row r="124" spans="1:29" x14ac:dyDescent="0.6">
      <c r="A124" s="15"/>
      <c r="B124" s="4" t="s">
        <v>128</v>
      </c>
      <c r="C124" s="81"/>
      <c r="D124" s="81"/>
      <c r="E124" s="81"/>
      <c r="F124" s="82"/>
      <c r="G124" s="81"/>
      <c r="H124" s="81"/>
      <c r="J124" s="81"/>
      <c r="R124" t="s">
        <v>138</v>
      </c>
      <c r="S124" s="6" t="s">
        <v>139</v>
      </c>
      <c r="T124" t="s">
        <v>136</v>
      </c>
    </row>
    <row r="125" spans="1:29" x14ac:dyDescent="0.6">
      <c r="A125" s="15"/>
      <c r="B125" s="4" t="s">
        <v>35</v>
      </c>
      <c r="C125" s="81"/>
      <c r="D125" s="81"/>
      <c r="E125" s="81"/>
      <c r="F125" s="82"/>
      <c r="G125" s="81"/>
      <c r="H125" s="81"/>
      <c r="J125" s="81"/>
    </row>
    <row r="126" spans="1:29" x14ac:dyDescent="0.6">
      <c r="A126" s="15"/>
      <c r="B126" s="3"/>
      <c r="C126" s="16" t="s">
        <v>5</v>
      </c>
      <c r="D126" s="16" t="s">
        <v>119</v>
      </c>
      <c r="E126" s="16" t="s">
        <v>6</v>
      </c>
      <c r="F126" s="16" t="s">
        <v>7</v>
      </c>
      <c r="G126" s="16" t="s">
        <v>8</v>
      </c>
      <c r="H126" s="16" t="s">
        <v>9</v>
      </c>
      <c r="I126" s="16" t="s">
        <v>10</v>
      </c>
      <c r="J126" s="16" t="s">
        <v>11</v>
      </c>
      <c r="P126" s="17" t="str">
        <f>+D126</f>
        <v>RS TOU - BGS</v>
      </c>
      <c r="Q126" s="17" t="str">
        <f>P126</f>
        <v>RS TOU - BGS</v>
      </c>
      <c r="R126" s="17" t="str">
        <f>+D126</f>
        <v>RS TOU - BGS</v>
      </c>
      <c r="S126" s="17" t="str">
        <f>+D126</f>
        <v>RS TOU - BGS</v>
      </c>
      <c r="T126" s="27" t="str">
        <f>+D126</f>
        <v>RS TOU - BGS</v>
      </c>
      <c r="U126" s="17"/>
      <c r="W126" s="17"/>
      <c r="Z126" s="17"/>
      <c r="AC126" s="17"/>
    </row>
    <row r="127" spans="1:29" x14ac:dyDescent="0.6">
      <c r="A127" s="15"/>
      <c r="C127" s="81"/>
      <c r="D127" s="81"/>
      <c r="E127" s="81"/>
      <c r="F127" s="82"/>
      <c r="G127" s="81"/>
      <c r="H127" s="81"/>
      <c r="J127" s="81"/>
    </row>
    <row r="128" spans="1:29" x14ac:dyDescent="0.6">
      <c r="A128" s="15"/>
      <c r="B128" s="18" t="s">
        <v>43</v>
      </c>
      <c r="C128" s="14">
        <f t="shared" ref="C128:J128" si="39">+C110/SUM(C50:C53)*1000</f>
        <v>45.814224366138568</v>
      </c>
      <c r="D128" s="14">
        <f>+D110/SUM(D50:D53)*1000</f>
        <v>45.939264579147405</v>
      </c>
      <c r="E128" s="14">
        <f>+E110/SUM(E50:E53)*1000</f>
        <v>45.284258095822153</v>
      </c>
      <c r="F128" s="14">
        <f t="shared" si="39"/>
        <v>43.787169371496866</v>
      </c>
      <c r="G128" s="14">
        <f t="shared" si="39"/>
        <v>45.220681285498152</v>
      </c>
      <c r="H128" s="14">
        <f t="shared" si="39"/>
        <v>43.70372194758874</v>
      </c>
      <c r="I128" s="14">
        <f t="shared" si="39"/>
        <v>38.909039461820086</v>
      </c>
      <c r="J128" s="14">
        <f t="shared" si="39"/>
        <v>44.245821752485824</v>
      </c>
    </row>
    <row r="129" spans="1:29" x14ac:dyDescent="0.6">
      <c r="A129" s="15"/>
      <c r="B129" s="25" t="s">
        <v>131</v>
      </c>
      <c r="C129" s="81"/>
      <c r="D129" s="14">
        <f>+(D111*1000-R129*AVERAGE(D$93,D$94))/P129</f>
        <v>57.369575524093499</v>
      </c>
      <c r="E129" s="83"/>
      <c r="F129" s="82"/>
      <c r="G129" s="81"/>
      <c r="H129" s="81"/>
      <c r="J129" s="81"/>
      <c r="P129" s="28">
        <f>SUMPRODUCT(D50:D53,D32:D35)</f>
        <v>323.88172094954041</v>
      </c>
      <c r="Q129" s="28">
        <f>SUMPRODUCT(D50:D53,D14:D17)</f>
        <v>421.86712785511918</v>
      </c>
      <c r="R129" s="28">
        <f>+Q129-P129</f>
        <v>97.98540690557877</v>
      </c>
      <c r="S129" s="29">
        <f>+D129*P129/1000</f>
        <v>18.580956850888033</v>
      </c>
      <c r="W129" s="28"/>
      <c r="Z129" s="29"/>
    </row>
    <row r="130" spans="1:29" ht="15.25" x14ac:dyDescent="1.05">
      <c r="A130" s="15"/>
      <c r="B130" s="25" t="s">
        <v>132</v>
      </c>
      <c r="C130" s="81"/>
      <c r="D130" s="14">
        <f>+(D112*1000-R130*AVERAGE(D$93,D$94))/P130</f>
        <v>37.674100260931816</v>
      </c>
      <c r="E130" s="81"/>
      <c r="F130" s="82"/>
      <c r="G130" s="81"/>
      <c r="H130" s="81"/>
      <c r="J130" s="81"/>
      <c r="P130" s="28">
        <f>SUMPRODUCT(D50:D53,P32:P35)</f>
        <v>447.91230244249721</v>
      </c>
      <c r="Q130" s="28">
        <f>SUMPRODUCT(D50:D53,P14:P17)</f>
        <v>349.92689553691832</v>
      </c>
      <c r="R130" s="28">
        <f>+Q130-P130</f>
        <v>-97.985406905578884</v>
      </c>
      <c r="S130" s="30">
        <f>+D130*P130/1000</f>
        <v>16.874692990323457</v>
      </c>
      <c r="W130" s="28"/>
      <c r="Z130" s="30"/>
    </row>
    <row r="131" spans="1:29" x14ac:dyDescent="0.6">
      <c r="A131" s="15"/>
      <c r="C131" s="81"/>
      <c r="D131" s="81"/>
      <c r="E131" s="81"/>
      <c r="F131" s="82"/>
      <c r="G131" s="81"/>
      <c r="H131" s="81"/>
      <c r="J131" s="81"/>
      <c r="P131" s="28">
        <f>SUM(P129:P130)</f>
        <v>771.79402339203762</v>
      </c>
      <c r="Q131" s="28">
        <f>SUM(Q129:Q130)</f>
        <v>771.7940233920375</v>
      </c>
      <c r="R131" s="28"/>
      <c r="S131" s="29">
        <f>+S130+S129</f>
        <v>35.455649841211489</v>
      </c>
      <c r="T131" s="31">
        <f>+D110</f>
        <v>35.455649841211489</v>
      </c>
      <c r="W131" s="28"/>
      <c r="Z131" s="29"/>
      <c r="AC131" s="31"/>
    </row>
    <row r="132" spans="1:29" x14ac:dyDescent="0.6">
      <c r="A132" s="15"/>
      <c r="B132" s="18" t="s">
        <v>44</v>
      </c>
      <c r="C132" s="26">
        <f t="shared" ref="C132:J132" si="40">+C114/SUM(C45:C49,C54:C56)*1000</f>
        <v>45.931417366529431</v>
      </c>
      <c r="D132" s="26">
        <f t="shared" si="40"/>
        <v>45.940733373428323</v>
      </c>
      <c r="E132" s="26">
        <f t="shared" si="40"/>
        <v>44.994886852514348</v>
      </c>
      <c r="F132" s="26">
        <f t="shared" si="40"/>
        <v>44.119457947593368</v>
      </c>
      <c r="G132" s="26">
        <f t="shared" si="40"/>
        <v>45.036970123094747</v>
      </c>
      <c r="H132" s="26">
        <f t="shared" si="40"/>
        <v>44.095876311164098</v>
      </c>
      <c r="I132" s="26">
        <f>+I114/SUM(I45:I49,I54:I56)*1000</f>
        <v>44.448095392998304</v>
      </c>
      <c r="J132" s="26">
        <f t="shared" si="40"/>
        <v>44.887654087051473</v>
      </c>
      <c r="M132" s="31"/>
      <c r="P132" s="28"/>
      <c r="Q132" s="28"/>
      <c r="R132" s="28"/>
      <c r="S132" s="29"/>
      <c r="T132" s="31"/>
      <c r="W132" s="28"/>
      <c r="Z132" s="29"/>
    </row>
    <row r="133" spans="1:29" x14ac:dyDescent="0.6">
      <c r="A133" s="15"/>
      <c r="B133" s="25" t="s">
        <v>131</v>
      </c>
      <c r="C133" s="81"/>
      <c r="D133" s="14">
        <f>+(D115*1000-R133*AVERAGE(D$97,D$98))/P133</f>
        <v>49.400340365560908</v>
      </c>
      <c r="E133" s="81"/>
      <c r="F133" s="82"/>
      <c r="G133" s="81"/>
      <c r="H133" s="81"/>
      <c r="J133" s="81"/>
      <c r="M133" s="28"/>
      <c r="P133" s="28">
        <f>SUMPRODUCT(D45:D49,D27:D31)+SUMPRODUCT(D54:D56,D36:D38)</f>
        <v>357.19479698627163</v>
      </c>
      <c r="Q133" s="28">
        <f>SUMPRODUCT(D45:D49,D9:D13)+SUMPRODUCT(D54:D56,D18:D20)</f>
        <v>497.21501277568234</v>
      </c>
      <c r="R133" s="28">
        <f>+Q133-P133</f>
        <v>140.02021578941071</v>
      </c>
      <c r="S133" s="29">
        <f>+D133*P133/1000</f>
        <v>17.645544547929248</v>
      </c>
      <c r="T133" s="31"/>
      <c r="W133" s="28"/>
      <c r="Z133" s="29"/>
    </row>
    <row r="134" spans="1:29" ht="15.25" x14ac:dyDescent="1.05">
      <c r="A134" s="15"/>
      <c r="B134" s="25" t="s">
        <v>132</v>
      </c>
      <c r="C134" s="81"/>
      <c r="D134" s="14">
        <f>+(D116*1000-R134*AVERAGE(D$97,D$98))/P134</f>
        <v>44.005436061219051</v>
      </c>
      <c r="E134" s="81"/>
      <c r="F134" s="82"/>
      <c r="G134" s="81"/>
      <c r="H134" s="81"/>
      <c r="J134" s="81"/>
      <c r="P134" s="28">
        <f>SUMPRODUCT(D45:D49,P27:P31)+SUMPRODUCT(D54:D56,P36:P38)</f>
        <v>638.53424970470985</v>
      </c>
      <c r="Q134" s="28">
        <f>SUMPRODUCT(D45:D49,P9:P13)+SUMPRODUCT(D54:D56,P18:P20)</f>
        <v>498.51403391529914</v>
      </c>
      <c r="R134" s="28">
        <f>+Q134-P134</f>
        <v>-140.02021578941071</v>
      </c>
      <c r="S134" s="30">
        <f>+D134*P134/1000</f>
        <v>28.098978098279087</v>
      </c>
      <c r="T134" s="31"/>
      <c r="W134" s="28"/>
      <c r="Z134" s="30"/>
    </row>
    <row r="135" spans="1:29" x14ac:dyDescent="0.6">
      <c r="A135" s="15"/>
      <c r="C135" s="81"/>
      <c r="D135" s="81"/>
      <c r="E135" s="81"/>
      <c r="F135" s="82"/>
      <c r="G135" s="81"/>
      <c r="H135" s="81"/>
      <c r="J135" s="81"/>
      <c r="M135" s="87"/>
      <c r="N135" s="87"/>
      <c r="P135" s="28">
        <f>SUM(P133:P134)</f>
        <v>995.72904669098148</v>
      </c>
      <c r="Q135" s="28">
        <f>SUM(Q133:Q134)</f>
        <v>995.72904669098148</v>
      </c>
      <c r="S135" s="29">
        <f>+S134+S133</f>
        <v>45.744522646208338</v>
      </c>
      <c r="T135" s="31">
        <f>+D114</f>
        <v>45.744522646208338</v>
      </c>
      <c r="Z135" s="29"/>
      <c r="AC135" s="31"/>
    </row>
    <row r="136" spans="1:29" x14ac:dyDescent="0.6">
      <c r="A136" s="15"/>
      <c r="B136" t="s">
        <v>129</v>
      </c>
      <c r="C136" s="14">
        <f t="shared" ref="C136:J136" si="41">(C128*SUM(C50:C53)+C132*SUM(C45:C49,C54:C56))/C57</f>
        <v>45.880244706428996</v>
      </c>
      <c r="D136" s="14">
        <f t="shared" si="41"/>
        <v>45.940092020188409</v>
      </c>
      <c r="E136" s="14">
        <f t="shared" si="41"/>
        <v>45.106284831159968</v>
      </c>
      <c r="F136" s="14">
        <f t="shared" si="41"/>
        <v>43.97998997008861</v>
      </c>
      <c r="G136" s="14">
        <f t="shared" si="41"/>
        <v>45.106299487167504</v>
      </c>
      <c r="H136" s="14">
        <f t="shared" si="41"/>
        <v>43.961265539691219</v>
      </c>
      <c r="I136" s="14">
        <f t="shared" si="41"/>
        <v>42.788708101240438</v>
      </c>
      <c r="J136" s="14">
        <f t="shared" si="41"/>
        <v>44.647154679098982</v>
      </c>
      <c r="P136" s="28"/>
      <c r="Q136" s="28"/>
    </row>
    <row r="137" spans="1:29" x14ac:dyDescent="0.6">
      <c r="A137" s="15"/>
      <c r="B137" t="s">
        <v>130</v>
      </c>
      <c r="C137" s="14">
        <f>+C120/SUM(C57:J57)*1000</f>
        <v>45.571653030374364</v>
      </c>
      <c r="D137" s="81"/>
      <c r="E137" s="81"/>
      <c r="F137" s="82"/>
      <c r="G137" s="81"/>
      <c r="H137" s="81"/>
      <c r="J137" s="81"/>
      <c r="M137" s="87"/>
    </row>
    <row r="138" spans="1:29" x14ac:dyDescent="0.6">
      <c r="A138" s="15"/>
      <c r="C138" s="81"/>
      <c r="D138" s="81"/>
      <c r="E138" s="81"/>
      <c r="F138" s="82"/>
      <c r="G138" s="81"/>
      <c r="H138" s="81"/>
      <c r="J138" s="81"/>
      <c r="M138" s="87"/>
    </row>
    <row r="139" spans="1:29" x14ac:dyDescent="0.6">
      <c r="A139" s="15"/>
      <c r="C139" s="81"/>
      <c r="D139" s="81"/>
      <c r="E139" s="81"/>
      <c r="F139" s="82"/>
      <c r="G139" s="81"/>
      <c r="H139" s="81"/>
      <c r="J139" s="81"/>
      <c r="M139" s="87"/>
    </row>
    <row r="140" spans="1:29" x14ac:dyDescent="0.6">
      <c r="A140" s="24" t="s">
        <v>79</v>
      </c>
      <c r="B140" s="3" t="s">
        <v>263</v>
      </c>
      <c r="M140" s="87"/>
    </row>
    <row r="141" spans="1:29" x14ac:dyDescent="0.6">
      <c r="A141" s="15"/>
      <c r="B141" s="4" t="s">
        <v>289</v>
      </c>
    </row>
    <row r="142" spans="1:29" x14ac:dyDescent="0.6">
      <c r="A142" s="15"/>
      <c r="B142" s="4" t="s">
        <v>48</v>
      </c>
      <c r="C142" s="16" t="s">
        <v>5</v>
      </c>
      <c r="D142" s="16" t="s">
        <v>119</v>
      </c>
      <c r="E142" s="16" t="s">
        <v>6</v>
      </c>
      <c r="F142" s="16" t="s">
        <v>7</v>
      </c>
      <c r="G142" s="16" t="s">
        <v>8</v>
      </c>
      <c r="H142" s="16" t="s">
        <v>9</v>
      </c>
      <c r="I142" s="16" t="s">
        <v>10</v>
      </c>
      <c r="J142" s="16" t="s">
        <v>11</v>
      </c>
      <c r="K142" s="16" t="s">
        <v>29</v>
      </c>
      <c r="L142" s="17"/>
    </row>
    <row r="143" spans="1:29" x14ac:dyDescent="0.6">
      <c r="A143" s="15"/>
    </row>
    <row r="144" spans="1:29" x14ac:dyDescent="0.6">
      <c r="A144" s="15"/>
      <c r="B144" t="s">
        <v>49</v>
      </c>
      <c r="C144" s="99">
        <v>1342.9568328</v>
      </c>
      <c r="D144" s="99">
        <v>0.495616</v>
      </c>
      <c r="E144" s="99">
        <v>231.65577539999992</v>
      </c>
      <c r="F144" s="99">
        <v>14.047531050000003</v>
      </c>
      <c r="G144" s="99">
        <v>187.65457620000001</v>
      </c>
      <c r="H144" s="99">
        <v>51.745229550000005</v>
      </c>
      <c r="I144" s="99">
        <v>0</v>
      </c>
      <c r="J144" s="99">
        <v>1.1616381</v>
      </c>
      <c r="K144" s="99">
        <f>SUM(C144:J144)</f>
        <v>1829.7171990999998</v>
      </c>
      <c r="L144" s="99"/>
    </row>
    <row r="145" spans="1:19" x14ac:dyDescent="0.6">
      <c r="A145" s="15"/>
      <c r="B145" t="s">
        <v>50</v>
      </c>
      <c r="C145" s="248">
        <v>1690.0213898843126</v>
      </c>
      <c r="D145" s="248">
        <v>0.62369960129138668</v>
      </c>
      <c r="E145" s="248">
        <v>291.52330585337637</v>
      </c>
      <c r="F145" s="248">
        <v>17.677878670207129</v>
      </c>
      <c r="G145" s="248">
        <v>236.1507383870661</v>
      </c>
      <c r="H145" s="248">
        <v>65.117911929934237</v>
      </c>
      <c r="I145" s="248">
        <v>0</v>
      </c>
      <c r="J145" s="248">
        <v>1.461843886829489</v>
      </c>
      <c r="K145" s="248">
        <v>2302.5767682130172</v>
      </c>
      <c r="L145" s="100"/>
    </row>
    <row r="146" spans="1:19" x14ac:dyDescent="0.6">
      <c r="A146" s="15"/>
    </row>
    <row r="147" spans="1:19" x14ac:dyDescent="0.6">
      <c r="B147" t="s">
        <v>51</v>
      </c>
      <c r="L147" s="17"/>
      <c r="M147" s="101"/>
      <c r="N147" s="101"/>
    </row>
    <row r="148" spans="1:19" x14ac:dyDescent="0.6">
      <c r="E148" s="6" t="s">
        <v>52</v>
      </c>
      <c r="F148" s="33">
        <f>30+31+31+30</f>
        <v>122</v>
      </c>
      <c r="H148" s="6" t="s">
        <v>53</v>
      </c>
      <c r="I148" s="33">
        <v>4</v>
      </c>
      <c r="K148" s="102"/>
    </row>
    <row r="149" spans="1:19" x14ac:dyDescent="0.6">
      <c r="E149" s="103" t="s">
        <v>54</v>
      </c>
      <c r="F149" s="33">
        <f>365-F148</f>
        <v>243</v>
      </c>
      <c r="H149" s="103" t="s">
        <v>55</v>
      </c>
      <c r="I149" s="33">
        <v>8</v>
      </c>
      <c r="K149" s="104"/>
      <c r="L149" s="5"/>
    </row>
    <row r="150" spans="1:19" x14ac:dyDescent="0.6">
      <c r="H150" s="6" t="s">
        <v>56</v>
      </c>
      <c r="I150">
        <f>+I148+I149</f>
        <v>12</v>
      </c>
      <c r="K150" s="104"/>
      <c r="L150" s="5"/>
      <c r="M150" s="31"/>
    </row>
    <row r="151" spans="1:19" x14ac:dyDescent="0.6">
      <c r="A151" s="15"/>
      <c r="E151" s="86"/>
      <c r="F151" s="84"/>
    </row>
    <row r="152" spans="1:19" ht="26" x14ac:dyDescent="0.6">
      <c r="A152" s="15"/>
      <c r="B152" t="s">
        <v>57</v>
      </c>
      <c r="D152" s="139" t="s">
        <v>207</v>
      </c>
      <c r="E152" s="139"/>
      <c r="Q152" s="6"/>
      <c r="R152" s="6"/>
      <c r="S152" s="85"/>
    </row>
    <row r="153" spans="1:19" x14ac:dyDescent="0.6">
      <c r="A153" s="15"/>
      <c r="C153" t="s">
        <v>58</v>
      </c>
      <c r="D153" s="140">
        <v>270.35000000000002</v>
      </c>
      <c r="E153" s="84" t="s">
        <v>59</v>
      </c>
      <c r="F153" s="140"/>
      <c r="I153" s="6" t="s">
        <v>60</v>
      </c>
      <c r="J153" s="31">
        <f>$K$145*$D153*$F148</f>
        <v>75945198.772939488</v>
      </c>
      <c r="K153" s="6"/>
      <c r="L153" s="85"/>
      <c r="M153" s="81"/>
    </row>
    <row r="154" spans="1:19" x14ac:dyDescent="0.6">
      <c r="A154" s="15"/>
      <c r="C154" t="s">
        <v>61</v>
      </c>
      <c r="D154" s="140">
        <f>+D153</f>
        <v>270.35000000000002</v>
      </c>
      <c r="E154" s="84" t="s">
        <v>59</v>
      </c>
      <c r="F154" s="140"/>
      <c r="I154" s="105" t="s">
        <v>62</v>
      </c>
      <c r="J154" s="127">
        <f>$K$145*$D154*$F149</f>
        <v>151267895.91659257</v>
      </c>
      <c r="K154" s="6"/>
      <c r="L154" s="85"/>
    </row>
    <row r="155" spans="1:19" x14ac:dyDescent="0.6">
      <c r="A155" s="15"/>
      <c r="F155" s="26"/>
      <c r="G155" s="84"/>
      <c r="I155" s="6" t="s">
        <v>63</v>
      </c>
      <c r="J155" s="31">
        <f>SUM(J153:J154)</f>
        <v>227213094.68953204</v>
      </c>
      <c r="K155" s="6"/>
      <c r="L155" s="85"/>
    </row>
    <row r="156" spans="1:19" x14ac:dyDescent="0.6">
      <c r="A156" s="15"/>
      <c r="E156" s="14"/>
      <c r="F156" s="26"/>
      <c r="G156" s="84"/>
      <c r="I156" s="6"/>
      <c r="J156" s="31"/>
      <c r="K156" s="6"/>
      <c r="L156" s="85"/>
    </row>
    <row r="157" spans="1:19" x14ac:dyDescent="0.6">
      <c r="A157" s="15"/>
      <c r="B157" s="4" t="s">
        <v>64</v>
      </c>
      <c r="J157" s="6"/>
      <c r="K157" s="6"/>
      <c r="L157" s="85"/>
    </row>
    <row r="158" spans="1:19" x14ac:dyDescent="0.6">
      <c r="A158" s="15"/>
      <c r="B158" s="4"/>
      <c r="C158" s="7" t="str">
        <f>" ---------- Rate "&amp;C142&amp;" ----------"</f>
        <v xml:space="preserve"> ---------- Rate RS ----------</v>
      </c>
      <c r="D158" s="7"/>
      <c r="E158" s="8"/>
      <c r="F158" s="8"/>
      <c r="J158" s="6"/>
      <c r="K158" s="6"/>
      <c r="L158" s="85"/>
    </row>
    <row r="159" spans="1:19" x14ac:dyDescent="0.6">
      <c r="A159" s="15"/>
      <c r="C159" s="9" t="s">
        <v>65</v>
      </c>
      <c r="D159" s="9"/>
      <c r="F159" s="9" t="s">
        <v>66</v>
      </c>
      <c r="H159" t="s">
        <v>67</v>
      </c>
      <c r="J159" s="148">
        <v>1122194621.3468423</v>
      </c>
      <c r="K159" s="6"/>
      <c r="L159" s="85"/>
      <c r="M159" s="148"/>
    </row>
    <row r="160" spans="1:19" x14ac:dyDescent="0.6">
      <c r="A160" s="15"/>
      <c r="B160" s="6" t="s">
        <v>68</v>
      </c>
      <c r="C160" s="10">
        <v>5.4802</v>
      </c>
      <c r="D160" s="10"/>
      <c r="E160" s="11"/>
      <c r="F160" s="128">
        <f>J159/($J$159+$J$160)</f>
        <v>0.65191391225189654</v>
      </c>
      <c r="H160" s="111" t="s">
        <v>71</v>
      </c>
      <c r="J160" s="148">
        <v>599190058.83349323</v>
      </c>
      <c r="K160" s="6"/>
      <c r="L160" s="85"/>
      <c r="M160" s="148"/>
    </row>
    <row r="161" spans="1:13" x14ac:dyDescent="0.6">
      <c r="A161" s="15"/>
      <c r="B161" s="6" t="s">
        <v>69</v>
      </c>
      <c r="C161" s="12">
        <v>6.3453999999999997</v>
      </c>
      <c r="D161" s="12"/>
      <c r="E161" s="11"/>
      <c r="F161" s="128">
        <f>1-F160</f>
        <v>0.34808608774810346</v>
      </c>
      <c r="J161" s="133"/>
      <c r="K161" s="6"/>
      <c r="L161" s="85"/>
      <c r="M161" s="133"/>
    </row>
    <row r="162" spans="1:13" x14ac:dyDescent="0.6">
      <c r="A162" s="15"/>
      <c r="B162" s="13" t="s">
        <v>70</v>
      </c>
      <c r="C162" s="10">
        <f>C161-C160</f>
        <v>0.86519999999999975</v>
      </c>
      <c r="D162" s="10"/>
      <c r="E162" s="11"/>
      <c r="F162" s="11"/>
      <c r="G162" s="84"/>
      <c r="H162" s="111" t="s">
        <v>212</v>
      </c>
      <c r="J162" s="244">
        <v>2095980120.8196647</v>
      </c>
      <c r="M162" s="148"/>
    </row>
    <row r="163" spans="1:13" x14ac:dyDescent="0.6">
      <c r="A163" s="15"/>
      <c r="B163" s="13"/>
      <c r="C163" s="10"/>
      <c r="D163" s="10"/>
      <c r="E163" s="11"/>
      <c r="F163" s="11"/>
      <c r="G163" s="84"/>
      <c r="J163" s="133">
        <f>SUM(J159:J162)</f>
        <v>3817364801</v>
      </c>
      <c r="M163" s="133"/>
    </row>
    <row r="164" spans="1:13" x14ac:dyDescent="0.6">
      <c r="A164" s="15"/>
      <c r="B164" s="13"/>
      <c r="C164" s="10"/>
      <c r="D164" s="10"/>
      <c r="E164" s="11"/>
      <c r="F164" s="11"/>
      <c r="G164" s="84"/>
    </row>
    <row r="165" spans="1:13" x14ac:dyDescent="0.6">
      <c r="A165" s="24" t="s">
        <v>81</v>
      </c>
      <c r="B165" s="3" t="s">
        <v>213</v>
      </c>
      <c r="G165" s="84"/>
      <c r="J165" s="106"/>
    </row>
    <row r="166" spans="1:13" x14ac:dyDescent="0.6">
      <c r="A166" s="15"/>
      <c r="B166" s="3" t="s">
        <v>214</v>
      </c>
      <c r="E166" s="5">
        <v>2</v>
      </c>
      <c r="G166" s="84"/>
    </row>
    <row r="167" spans="1:13" x14ac:dyDescent="0.6">
      <c r="A167" s="15"/>
      <c r="B167" s="3" t="s">
        <v>215</v>
      </c>
      <c r="E167" s="251">
        <v>21.819999999999997</v>
      </c>
      <c r="G167" s="84"/>
    </row>
    <row r="168" spans="1:13" x14ac:dyDescent="0.6">
      <c r="A168" s="15"/>
      <c r="B168" s="4" t="s">
        <v>216</v>
      </c>
      <c r="E168" s="144">
        <f>E166+E167</f>
        <v>23.819999999999997</v>
      </c>
      <c r="G168" s="84"/>
    </row>
    <row r="169" spans="1:13" x14ac:dyDescent="0.6">
      <c r="A169" s="15"/>
      <c r="B169" s="3"/>
      <c r="E169" s="5"/>
      <c r="G169" s="84"/>
    </row>
    <row r="170" spans="1:13" x14ac:dyDescent="0.6">
      <c r="A170" s="15"/>
      <c r="B170" s="3"/>
      <c r="F170" s="62"/>
      <c r="G170" s="84"/>
    </row>
    <row r="171" spans="1:13" x14ac:dyDescent="0.6">
      <c r="A171" s="24" t="s">
        <v>86</v>
      </c>
      <c r="B171" s="3" t="s">
        <v>74</v>
      </c>
    </row>
    <row r="172" spans="1:13" x14ac:dyDescent="0.6">
      <c r="A172" s="24"/>
      <c r="B172" s="3"/>
      <c r="C172" s="16" t="s">
        <v>5</v>
      </c>
      <c r="D172" s="16" t="s">
        <v>119</v>
      </c>
      <c r="E172" s="16" t="s">
        <v>6</v>
      </c>
      <c r="F172" s="16" t="s">
        <v>7</v>
      </c>
      <c r="G172" s="16" t="s">
        <v>8</v>
      </c>
      <c r="H172" s="16" t="s">
        <v>9</v>
      </c>
      <c r="I172" s="16" t="s">
        <v>10</v>
      </c>
      <c r="J172" s="16" t="s">
        <v>11</v>
      </c>
      <c r="K172" s="16"/>
    </row>
    <row r="173" spans="1:13" x14ac:dyDescent="0.6">
      <c r="A173" s="15"/>
      <c r="B173" s="6" t="s">
        <v>75</v>
      </c>
      <c r="C173" s="86"/>
      <c r="D173" s="86"/>
      <c r="E173" s="86"/>
      <c r="F173" s="86"/>
      <c r="H173" s="86"/>
      <c r="I173" s="86"/>
      <c r="J173" s="86"/>
      <c r="K173" s="86"/>
      <c r="L173" s="86"/>
    </row>
    <row r="174" spans="1:13" x14ac:dyDescent="0.6">
      <c r="B174" s="6" t="s">
        <v>76</v>
      </c>
      <c r="C174" s="86">
        <f>($J$155*(C$145/$K$145))/C57</f>
        <v>43.954806835930874</v>
      </c>
      <c r="D174" s="86">
        <f>($J$155*(D$145/$K$145))/SUMPRODUCT(D27:D38,D45:D56)</f>
        <v>90.364697226474433</v>
      </c>
      <c r="E174" s="86">
        <f t="shared" ref="E174:J174" si="42">($J$155*(E$145/$K$145))/E57</f>
        <v>28.246618846659473</v>
      </c>
      <c r="F174" s="86">
        <f t="shared" si="42"/>
        <v>42.665351166702607</v>
      </c>
      <c r="G174" s="86">
        <f t="shared" si="42"/>
        <v>30.1624751225458</v>
      </c>
      <c r="H174" s="86">
        <f t="shared" si="42"/>
        <v>99.350669049750479</v>
      </c>
      <c r="I174" s="86">
        <f t="shared" si="42"/>
        <v>0</v>
      </c>
      <c r="J174" s="86">
        <f t="shared" si="42"/>
        <v>13.040659741971265</v>
      </c>
      <c r="K174" s="86"/>
      <c r="L174" s="86"/>
    </row>
    <row r="175" spans="1:13" x14ac:dyDescent="0.6">
      <c r="A175" s="15"/>
      <c r="B175" s="6" t="s">
        <v>77</v>
      </c>
      <c r="C175" s="86">
        <f>($J$153*(C$145/$K$145))/SUM(C50:C53)</f>
        <v>33.646277455461643</v>
      </c>
      <c r="D175" s="86">
        <f>($J$153*(D$145/$K$145))/SUMPRODUCT(D50:D53,D32:D35)</f>
        <v>63.51484356450716</v>
      </c>
      <c r="E175" s="86">
        <f t="shared" ref="E175:J175" si="43">($J$153*(E$145/$K$145))/SUM(E50:E53)</f>
        <v>24.525140029203783</v>
      </c>
      <c r="F175" s="86">
        <f t="shared" si="43"/>
        <v>33.976856695216846</v>
      </c>
      <c r="G175" s="86">
        <f t="shared" si="43"/>
        <v>26.714821174403145</v>
      </c>
      <c r="H175" s="86">
        <f t="shared" si="43"/>
        <v>96.741986489211982</v>
      </c>
      <c r="I175" s="86">
        <f t="shared" si="43"/>
        <v>0</v>
      </c>
      <c r="J175" s="86">
        <f t="shared" si="43"/>
        <v>11.632528104203168</v>
      </c>
      <c r="K175" s="86"/>
      <c r="L175" s="86"/>
    </row>
    <row r="176" spans="1:13" x14ac:dyDescent="0.6">
      <c r="A176" s="15"/>
      <c r="B176" s="6" t="s">
        <v>78</v>
      </c>
      <c r="C176" s="86">
        <f>($J$154*(C$145/$K$145))/SUM(C45:C49,C54:C56)</f>
        <v>51.944993917694788</v>
      </c>
      <c r="D176" s="86">
        <f>($J$154*(D$145/$K$145))/(SUMPRODUCT(D45:D49,D27:D31)+SUMPRODUCT(D54:D56,D36:D38))</f>
        <v>114.7104516569778</v>
      </c>
      <c r="E176" s="86">
        <f t="shared" ref="E176:J176" si="44">($J$154*(E$145/$K$145))/SUM(E45:E49,E54:E56)</f>
        <v>30.575986792030111</v>
      </c>
      <c r="F176" s="86">
        <f t="shared" si="44"/>
        <v>48.949777002684229</v>
      </c>
      <c r="G176" s="86">
        <f t="shared" si="44"/>
        <v>32.252175225674989</v>
      </c>
      <c r="H176" s="86">
        <f t="shared" si="44"/>
        <v>100.71415384521839</v>
      </c>
      <c r="I176" s="86">
        <f t="shared" si="44"/>
        <v>0</v>
      </c>
      <c r="J176" s="86">
        <f t="shared" si="44"/>
        <v>13.884484912410921</v>
      </c>
      <c r="K176" s="86"/>
      <c r="L176" s="86"/>
    </row>
    <row r="177" spans="1:12" x14ac:dyDescent="0.6">
      <c r="A177" s="15"/>
      <c r="F177" s="86"/>
      <c r="G177" s="86"/>
      <c r="H177" s="86"/>
      <c r="I177" s="86"/>
      <c r="K177" s="86"/>
      <c r="L177" s="86"/>
    </row>
    <row r="178" spans="1:12" x14ac:dyDescent="0.6">
      <c r="A178" s="15"/>
    </row>
    <row r="179" spans="1:12" x14ac:dyDescent="0.6">
      <c r="A179" s="24" t="s">
        <v>87</v>
      </c>
      <c r="B179" s="3" t="s">
        <v>255</v>
      </c>
    </row>
    <row r="180" spans="1:12" x14ac:dyDescent="0.6">
      <c r="A180" s="15"/>
      <c r="B180" s="4" t="s">
        <v>218</v>
      </c>
    </row>
    <row r="181" spans="1:12" x14ac:dyDescent="0.6">
      <c r="A181" s="15"/>
      <c r="B181" s="4" t="s">
        <v>35</v>
      </c>
    </row>
    <row r="182" spans="1:12" x14ac:dyDescent="0.6">
      <c r="A182" s="15"/>
      <c r="C182" s="16" t="s">
        <v>5</v>
      </c>
      <c r="D182" s="16" t="s">
        <v>119</v>
      </c>
      <c r="E182" s="16" t="s">
        <v>6</v>
      </c>
      <c r="F182" s="16" t="s">
        <v>7</v>
      </c>
      <c r="G182" s="16" t="s">
        <v>8</v>
      </c>
      <c r="H182" s="16" t="s">
        <v>9</v>
      </c>
      <c r="I182" s="16" t="s">
        <v>10</v>
      </c>
      <c r="J182" s="16" t="s">
        <v>11</v>
      </c>
    </row>
    <row r="183" spans="1:12" x14ac:dyDescent="0.6">
      <c r="A183" s="15"/>
      <c r="C183" s="147"/>
      <c r="D183" s="17"/>
      <c r="E183" s="17"/>
      <c r="F183" s="17"/>
      <c r="H183" s="17"/>
    </row>
    <row r="184" spans="1:12" x14ac:dyDescent="0.6">
      <c r="A184" s="15"/>
      <c r="B184" s="18" t="s">
        <v>43</v>
      </c>
      <c r="C184" s="14">
        <f t="shared" ref="C184:J184" si="45">+C128+($E$168*C$80)+C175</f>
        <v>105.11986457265493</v>
      </c>
      <c r="D184" s="14">
        <f>+D128+($E$168*D$80)+D175</f>
        <v>135.11347089470928</v>
      </c>
      <c r="E184" s="14">
        <f t="shared" si="45"/>
        <v>95.468760876080665</v>
      </c>
      <c r="F184" s="14">
        <f t="shared" si="45"/>
        <v>102.90213516850542</v>
      </c>
      <c r="G184" s="14">
        <f t="shared" si="45"/>
        <v>97.594865210956016</v>
      </c>
      <c r="H184" s="14">
        <f t="shared" si="45"/>
        <v>165.58381753859243</v>
      </c>
      <c r="I184" s="14">
        <f t="shared" si="45"/>
        <v>64.568402212874815</v>
      </c>
      <c r="J184" s="14">
        <f t="shared" si="45"/>
        <v>81.537712607743714</v>
      </c>
    </row>
    <row r="185" spans="1:12" x14ac:dyDescent="0.6">
      <c r="A185" s="15"/>
      <c r="B185" s="25" t="s">
        <v>114</v>
      </c>
      <c r="C185" s="14"/>
      <c r="D185" s="14">
        <f>D$129+(E$168*D$80)+D$175</f>
        <v>146.54378183965537</v>
      </c>
      <c r="E185" s="14"/>
      <c r="F185" s="14"/>
      <c r="G185" s="14"/>
      <c r="H185" s="14"/>
      <c r="I185" s="14"/>
      <c r="J185" s="14"/>
    </row>
    <row r="186" spans="1:12" x14ac:dyDescent="0.6">
      <c r="A186" s="15"/>
      <c r="B186" s="25" t="s">
        <v>37</v>
      </c>
      <c r="C186" s="14"/>
      <c r="D186" s="14">
        <f>D$130+(E$168*D$80)</f>
        <v>63.333463011986545</v>
      </c>
      <c r="E186" s="14"/>
      <c r="F186" s="14"/>
      <c r="G186" s="14"/>
      <c r="H186" s="14"/>
      <c r="I186" s="14"/>
      <c r="J186" s="14"/>
    </row>
    <row r="187" spans="1:12" x14ac:dyDescent="0.6">
      <c r="A187" s="15"/>
      <c r="B187" s="6" t="s">
        <v>68</v>
      </c>
      <c r="C187" s="14">
        <f>(C184*SUM(C50:C53)-$C$162*10*$F$161*SUM(C50:C53))/SUM(C50:C53)</f>
        <v>102.10822374145833</v>
      </c>
      <c r="D187" s="14"/>
      <c r="E187" s="14"/>
      <c r="F187" s="14"/>
      <c r="G187" s="14"/>
      <c r="H187" s="14"/>
      <c r="I187" s="14"/>
      <c r="J187" s="14"/>
    </row>
    <row r="188" spans="1:12" x14ac:dyDescent="0.6">
      <c r="A188" s="15"/>
      <c r="B188" s="6" t="s">
        <v>69</v>
      </c>
      <c r="C188" s="14">
        <f>+C187+$C$162*10</f>
        <v>110.76022374145833</v>
      </c>
      <c r="D188" s="14"/>
      <c r="E188" s="14"/>
      <c r="F188" s="14"/>
      <c r="G188" s="14"/>
      <c r="H188" s="14"/>
      <c r="I188" s="14"/>
      <c r="J188" s="14"/>
    </row>
    <row r="189" spans="1:12" x14ac:dyDescent="0.6">
      <c r="A189" s="15"/>
      <c r="B189" s="6"/>
      <c r="C189" s="14"/>
      <c r="D189" s="14"/>
      <c r="E189" s="14"/>
      <c r="F189" s="14"/>
      <c r="G189" s="14"/>
      <c r="H189" s="14"/>
      <c r="I189" s="14"/>
      <c r="J189" s="14"/>
    </row>
    <row r="190" spans="1:12" x14ac:dyDescent="0.6">
      <c r="A190" s="15"/>
      <c r="B190" s="18" t="s">
        <v>44</v>
      </c>
      <c r="C190" s="14">
        <f t="shared" ref="C190:J190" si="46">+C132+($E$168*C$80)+C$176</f>
        <v>123.53577403527895</v>
      </c>
      <c r="D190" s="14">
        <f t="shared" si="46"/>
        <v>186.31054778146085</v>
      </c>
      <c r="E190" s="14">
        <f t="shared" si="46"/>
        <v>101.23023639559918</v>
      </c>
      <c r="F190" s="14">
        <f t="shared" si="46"/>
        <v>118.2073440520693</v>
      </c>
      <c r="G190" s="14">
        <f t="shared" si="46"/>
        <v>102.94850809982447</v>
      </c>
      <c r="H190" s="14">
        <f t="shared" si="46"/>
        <v>169.94813925817419</v>
      </c>
      <c r="I190" s="14">
        <f t="shared" si="46"/>
        <v>70.107458144053027</v>
      </c>
      <c r="J190" s="14">
        <f t="shared" si="46"/>
        <v>84.431501750517128</v>
      </c>
    </row>
    <row r="191" spans="1:12" x14ac:dyDescent="0.6">
      <c r="A191" s="15"/>
      <c r="B191" s="25" t="s">
        <v>114</v>
      </c>
      <c r="C191" s="14"/>
      <c r="D191" s="14">
        <f>D$133+($E$168*D$80)+$D$176</f>
        <v>189.77015477359345</v>
      </c>
      <c r="E191" s="14"/>
      <c r="F191" s="14"/>
      <c r="G191" s="14"/>
      <c r="H191" s="14"/>
      <c r="I191" s="14"/>
      <c r="J191" s="14"/>
    </row>
    <row r="192" spans="1:12" x14ac:dyDescent="0.6">
      <c r="A192" s="15"/>
      <c r="B192" s="25" t="s">
        <v>37</v>
      </c>
      <c r="C192" s="14"/>
      <c r="D192" s="14">
        <f>D$134+($E$168*D$80)</f>
        <v>69.664798812273773</v>
      </c>
      <c r="E192" s="14"/>
      <c r="F192" s="14"/>
      <c r="G192" s="14"/>
      <c r="H192" s="14"/>
      <c r="I192" s="14"/>
      <c r="J192" s="14"/>
    </row>
    <row r="193" spans="1:10" x14ac:dyDescent="0.6">
      <c r="A193" s="15"/>
      <c r="B193" t="s">
        <v>45</v>
      </c>
      <c r="C193" s="14">
        <f>+C136+($E$168*C$80)+C174</f>
        <v>115.49441429341459</v>
      </c>
      <c r="D193" s="14">
        <f>((D185*SUMPRODUCT(D32:D35,D50:D53)+D186*SUMPRODUCT(D50:D53,P32:P35))+(D191*(SUMPRODUCT(D45:D49,D27:D31)+SUMPRODUCT(D54:D56,D36:D38))+D192*(SUMPRODUCT(D45:D49,P27:P31)+SUMPRODUCT(D54:D56,P36:P38))))/D57</f>
        <v>106.41952268042205</v>
      </c>
      <c r="E193" s="14">
        <f t="shared" ref="E193:J193" si="47">+E136+($E$168*E$80)+E174</f>
        <v>99.01226642887417</v>
      </c>
      <c r="F193" s="14">
        <f t="shared" si="47"/>
        <v>111.78345023858293</v>
      </c>
      <c r="G193" s="14">
        <f t="shared" si="47"/>
        <v>100.92813736076803</v>
      </c>
      <c r="H193" s="14">
        <f t="shared" si="47"/>
        <v>168.45004369123342</v>
      </c>
      <c r="I193" s="14">
        <f t="shared" si="47"/>
        <v>68.44807085229516</v>
      </c>
      <c r="J193" s="14">
        <f t="shared" si="47"/>
        <v>83.347177172124987</v>
      </c>
    </row>
    <row r="194" spans="1:10" x14ac:dyDescent="0.6">
      <c r="A194" s="15"/>
    </row>
    <row r="195" spans="1:10" x14ac:dyDescent="0.6">
      <c r="A195" s="15"/>
      <c r="C195" s="14"/>
      <c r="D195" s="14"/>
      <c r="E195" s="14"/>
    </row>
    <row r="196" spans="1:10" x14ac:dyDescent="0.6">
      <c r="A196" s="15"/>
      <c r="B196" s="6" t="s">
        <v>80</v>
      </c>
      <c r="C196" s="44">
        <f>(SUMPRODUCT(C193:J193,C57:J57)/1000)</f>
        <v>637479.08855566569</v>
      </c>
      <c r="D196" s="44"/>
      <c r="E196" s="44"/>
    </row>
    <row r="197" spans="1:10" x14ac:dyDescent="0.6">
      <c r="A197" s="15"/>
      <c r="B197" s="6"/>
      <c r="C197" s="43"/>
      <c r="D197" s="43"/>
    </row>
    <row r="198" spans="1:10" x14ac:dyDescent="0.6">
      <c r="A198" s="15"/>
      <c r="B198" s="111" t="s">
        <v>264</v>
      </c>
      <c r="G198" s="86">
        <f>+C196/SUM(C57:J57)*1000</f>
        <v>110.66526190409111</v>
      </c>
      <c r="H198" s="89"/>
    </row>
    <row r="199" spans="1:10" x14ac:dyDescent="0.6">
      <c r="A199" s="15"/>
      <c r="B199" s="111" t="s">
        <v>269</v>
      </c>
      <c r="G199" s="86">
        <f>+C196/SUMPRODUCT(C57:J57,C84:J84)*1000</f>
        <v>104.50917379281739</v>
      </c>
      <c r="H199" s="89"/>
    </row>
    <row r="200" spans="1:10" x14ac:dyDescent="0.6">
      <c r="A200" s="15"/>
    </row>
    <row r="201" spans="1:10" x14ac:dyDescent="0.6">
      <c r="A201" s="15"/>
    </row>
    <row r="202" spans="1:10" x14ac:dyDescent="0.6">
      <c r="A202" s="24" t="s">
        <v>88</v>
      </c>
      <c r="B202" s="3" t="s">
        <v>272</v>
      </c>
    </row>
    <row r="203" spans="1:10" x14ac:dyDescent="0.6">
      <c r="A203" s="15"/>
      <c r="B203" s="4" t="s">
        <v>218</v>
      </c>
    </row>
    <row r="204" spans="1:10" x14ac:dyDescent="0.6">
      <c r="A204" s="15"/>
      <c r="B204" s="4"/>
    </row>
    <row r="205" spans="1:10" x14ac:dyDescent="0.6">
      <c r="A205" s="15"/>
      <c r="C205" s="16" t="s">
        <v>5</v>
      </c>
      <c r="D205" s="16" t="s">
        <v>119</v>
      </c>
      <c r="E205" s="16" t="s">
        <v>6</v>
      </c>
      <c r="F205" s="16" t="s">
        <v>7</v>
      </c>
      <c r="G205" s="16" t="s">
        <v>8</v>
      </c>
      <c r="H205" s="16" t="s">
        <v>9</v>
      </c>
      <c r="I205" s="16" t="s">
        <v>10</v>
      </c>
      <c r="J205" s="16" t="s">
        <v>11</v>
      </c>
    </row>
    <row r="206" spans="1:10" x14ac:dyDescent="0.6">
      <c r="A206" s="15"/>
      <c r="C206" s="17"/>
      <c r="D206" s="17"/>
      <c r="E206" s="17"/>
      <c r="F206" s="17"/>
      <c r="H206" s="17"/>
    </row>
    <row r="207" spans="1:10" x14ac:dyDescent="0.6">
      <c r="A207" s="15"/>
      <c r="B207" s="18" t="s">
        <v>43</v>
      </c>
      <c r="D207" s="23">
        <f t="shared" ref="D207:J207" si="48">ROUND(D184/$G$199,3)</f>
        <v>1.2929999999999999</v>
      </c>
      <c r="E207" s="23">
        <f t="shared" si="48"/>
        <v>0.91300000000000003</v>
      </c>
      <c r="F207" s="23">
        <f t="shared" si="48"/>
        <v>0.98499999999999999</v>
      </c>
      <c r="G207" s="23">
        <f t="shared" si="48"/>
        <v>0.93400000000000005</v>
      </c>
      <c r="H207" s="23">
        <f t="shared" si="48"/>
        <v>1.5840000000000001</v>
      </c>
      <c r="I207" s="23">
        <f t="shared" si="48"/>
        <v>0.61799999999999999</v>
      </c>
      <c r="J207" s="23">
        <f t="shared" si="48"/>
        <v>0.78</v>
      </c>
    </row>
    <row r="208" spans="1:10" x14ac:dyDescent="0.6">
      <c r="A208" s="15"/>
      <c r="B208" s="25" t="s">
        <v>114</v>
      </c>
      <c r="D208" s="23">
        <f>ROUND(D185/$G$199,3)</f>
        <v>1.4019999999999999</v>
      </c>
      <c r="E208" s="23"/>
      <c r="F208" s="23"/>
      <c r="G208" s="23"/>
      <c r="H208" s="23"/>
      <c r="I208" s="23"/>
      <c r="J208" s="23"/>
    </row>
    <row r="209" spans="1:12" x14ac:dyDescent="0.6">
      <c r="A209" s="15"/>
      <c r="B209" s="25" t="s">
        <v>37</v>
      </c>
      <c r="D209" s="23">
        <f>ROUND(D186/$G$199,3)</f>
        <v>0.60599999999999998</v>
      </c>
      <c r="E209" s="23"/>
      <c r="F209" s="23"/>
      <c r="G209" s="23"/>
      <c r="H209" s="23"/>
      <c r="I209" s="23"/>
      <c r="J209" s="23"/>
    </row>
    <row r="210" spans="1:12" x14ac:dyDescent="0.6">
      <c r="A210" s="15"/>
      <c r="B210" s="13" t="s">
        <v>82</v>
      </c>
      <c r="C210" s="23">
        <f>ROUND(C184/$G$199,3)</f>
        <v>1.006</v>
      </c>
      <c r="D210" s="23"/>
      <c r="E210" s="19"/>
      <c r="F210" s="19"/>
      <c r="G210" s="19"/>
      <c r="H210" s="19"/>
      <c r="I210" s="19"/>
      <c r="J210" s="82"/>
    </row>
    <row r="211" spans="1:12" x14ac:dyDescent="0.6">
      <c r="A211" s="15"/>
      <c r="B211" s="13" t="s">
        <v>83</v>
      </c>
      <c r="C211" s="20">
        <f>(C187-C$184)</f>
        <v>-3.0116408311966012</v>
      </c>
      <c r="D211" s="20"/>
      <c r="E211" s="21" t="s">
        <v>84</v>
      </c>
      <c r="F211" s="19"/>
      <c r="G211" s="19"/>
      <c r="H211" s="19"/>
      <c r="I211" s="19"/>
      <c r="J211" s="82"/>
    </row>
    <row r="212" spans="1:12" x14ac:dyDescent="0.6">
      <c r="A212" s="15"/>
      <c r="B212" s="13" t="s">
        <v>83</v>
      </c>
      <c r="C212" s="20">
        <f>(C188-C$184)</f>
        <v>5.6403591688033998</v>
      </c>
      <c r="D212" s="20"/>
      <c r="E212" s="21" t="s">
        <v>85</v>
      </c>
      <c r="F212" s="19"/>
      <c r="G212" s="19"/>
      <c r="H212" s="19"/>
      <c r="I212" s="19"/>
      <c r="J212" s="82"/>
    </row>
    <row r="213" spans="1:12" x14ac:dyDescent="0.6">
      <c r="A213" s="15"/>
      <c r="B213" s="18"/>
      <c r="C213" s="19"/>
      <c r="D213" s="19"/>
      <c r="E213" s="19"/>
      <c r="F213" s="19"/>
      <c r="G213" s="19"/>
      <c r="H213" s="19"/>
      <c r="I213" s="19"/>
      <c r="J213" s="82"/>
    </row>
    <row r="214" spans="1:12" x14ac:dyDescent="0.6">
      <c r="A214" s="15"/>
      <c r="B214" s="18" t="s">
        <v>44</v>
      </c>
      <c r="C214" s="23">
        <f t="shared" ref="C214:J214" si="49">ROUND(+C190/$G$199,3)</f>
        <v>1.1819999999999999</v>
      </c>
      <c r="D214" s="23">
        <f t="shared" si="49"/>
        <v>1.7829999999999999</v>
      </c>
      <c r="E214" s="23">
        <f t="shared" si="49"/>
        <v>0.96899999999999997</v>
      </c>
      <c r="F214" s="23">
        <f t="shared" si="49"/>
        <v>1.131</v>
      </c>
      <c r="G214" s="23">
        <f t="shared" si="49"/>
        <v>0.98499999999999999</v>
      </c>
      <c r="H214" s="23">
        <f t="shared" si="49"/>
        <v>1.6259999999999999</v>
      </c>
      <c r="I214" s="23">
        <f t="shared" si="49"/>
        <v>0.67100000000000004</v>
      </c>
      <c r="J214" s="23">
        <f t="shared" si="49"/>
        <v>0.80800000000000005</v>
      </c>
    </row>
    <row r="215" spans="1:12" x14ac:dyDescent="0.6">
      <c r="A215" s="15"/>
      <c r="B215" s="25" t="s">
        <v>114</v>
      </c>
      <c r="C215" s="23"/>
      <c r="D215" s="23">
        <f>ROUND(+D191/$G$199,3)</f>
        <v>1.8160000000000001</v>
      </c>
      <c r="E215" s="23"/>
      <c r="F215" s="23"/>
      <c r="G215" s="23"/>
      <c r="H215" s="23"/>
      <c r="I215" s="23"/>
      <c r="J215" s="23"/>
    </row>
    <row r="216" spans="1:12" x14ac:dyDescent="0.6">
      <c r="A216" s="15"/>
      <c r="B216" s="25" t="s">
        <v>37</v>
      </c>
      <c r="C216" s="23"/>
      <c r="D216" s="23">
        <f>ROUND(+D192/$G$199,3)</f>
        <v>0.66700000000000004</v>
      </c>
      <c r="E216" s="23"/>
      <c r="F216" s="23"/>
      <c r="G216" s="23"/>
      <c r="H216" s="23"/>
      <c r="I216" s="23"/>
      <c r="J216" s="23"/>
    </row>
    <row r="217" spans="1:12" x14ac:dyDescent="0.6">
      <c r="A217" s="15"/>
      <c r="B217" t="s">
        <v>45</v>
      </c>
      <c r="C217" s="23">
        <f>ROUND(+C193/$G$199,3)</f>
        <v>1.105</v>
      </c>
      <c r="D217" s="23">
        <f>ROUND(+D193/$G$199,3)</f>
        <v>1.018</v>
      </c>
      <c r="E217" s="23">
        <f t="shared" ref="E217:J217" si="50">ROUND(+E193/$G$199,3)</f>
        <v>0.94699999999999995</v>
      </c>
      <c r="F217" s="23">
        <f t="shared" si="50"/>
        <v>1.07</v>
      </c>
      <c r="G217" s="23">
        <f t="shared" si="50"/>
        <v>0.96599999999999997</v>
      </c>
      <c r="H217" s="23">
        <f t="shared" si="50"/>
        <v>1.6120000000000001</v>
      </c>
      <c r="I217" s="23">
        <f t="shared" si="50"/>
        <v>0.65500000000000003</v>
      </c>
      <c r="J217" s="23">
        <f t="shared" si="50"/>
        <v>0.79800000000000004</v>
      </c>
    </row>
    <row r="218" spans="1:12" x14ac:dyDescent="0.6">
      <c r="A218" s="15"/>
    </row>
    <row r="219" spans="1:12" x14ac:dyDescent="0.6">
      <c r="A219" s="15"/>
    </row>
    <row r="220" spans="1:12" x14ac:dyDescent="0.6">
      <c r="A220" s="24" t="s">
        <v>257</v>
      </c>
      <c r="B220" s="3" t="s">
        <v>89</v>
      </c>
    </row>
    <row r="221" spans="1:12" x14ac:dyDescent="0.6">
      <c r="A221" s="15"/>
      <c r="B221" s="3"/>
    </row>
    <row r="222" spans="1:12" x14ac:dyDescent="0.6">
      <c r="A222" s="15"/>
      <c r="C222" s="16" t="s">
        <v>5</v>
      </c>
      <c r="D222" s="16" t="s">
        <v>119</v>
      </c>
      <c r="E222" s="16" t="s">
        <v>6</v>
      </c>
      <c r="F222" s="16" t="s">
        <v>7</v>
      </c>
      <c r="G222" s="16" t="s">
        <v>8</v>
      </c>
      <c r="H222" s="16" t="s">
        <v>9</v>
      </c>
      <c r="I222" s="16" t="s">
        <v>10</v>
      </c>
      <c r="J222" s="16" t="s">
        <v>11</v>
      </c>
      <c r="K222" s="17"/>
      <c r="L222" s="17"/>
    </row>
    <row r="223" spans="1:12" x14ac:dyDescent="0.6">
      <c r="A223" s="15"/>
      <c r="B223" t="s">
        <v>90</v>
      </c>
    </row>
    <row r="224" spans="1:12" x14ac:dyDescent="0.6">
      <c r="A224" s="15"/>
      <c r="B224" s="42" t="s">
        <v>58</v>
      </c>
      <c r="C224" s="43">
        <f>((C187*O$48*F$160)+(C188*O$48*F$161))/1000</f>
        <v>174151.0818589447</v>
      </c>
      <c r="D224" s="43">
        <f t="shared" ref="D224:J224" si="51">+D184*SUM(D50:D53)/1000</f>
        <v>104.27976931629064</v>
      </c>
      <c r="E224" s="43">
        <f t="shared" si="51"/>
        <v>37429.090551396483</v>
      </c>
      <c r="F224" s="43">
        <f t="shared" si="51"/>
        <v>1765.8651725674879</v>
      </c>
      <c r="G224" s="43">
        <f t="shared" si="51"/>
        <v>28454.45092572672</v>
      </c>
      <c r="H224" s="43">
        <f t="shared" si="51"/>
        <v>3676.1189934199692</v>
      </c>
      <c r="I224" s="43">
        <f t="shared" si="51"/>
        <v>1102.0330935088343</v>
      </c>
      <c r="J224" s="43">
        <f t="shared" si="51"/>
        <v>337.9649123614804</v>
      </c>
      <c r="K224" s="43"/>
      <c r="L224" s="43"/>
    </row>
    <row r="225" spans="1:13" x14ac:dyDescent="0.6">
      <c r="A225" s="15"/>
      <c r="B225" s="42" t="s">
        <v>61</v>
      </c>
      <c r="C225" s="43">
        <f t="shared" ref="C225:J225" si="52">+C190*SUM(C45:C49,C54:C56)/1000</f>
        <v>264042.53267060104</v>
      </c>
      <c r="D225" s="43">
        <f t="shared" si="52"/>
        <v>185.51482413090855</v>
      </c>
      <c r="E225" s="43">
        <f t="shared" si="52"/>
        <v>63406.779669929616</v>
      </c>
      <c r="F225" s="43">
        <f t="shared" si="52"/>
        <v>2804.5070635407824</v>
      </c>
      <c r="G225" s="43">
        <f t="shared" si="52"/>
        <v>49520.269784585573</v>
      </c>
      <c r="H225" s="43">
        <f t="shared" si="52"/>
        <v>7218.7004261869097</v>
      </c>
      <c r="I225" s="43">
        <f t="shared" si="52"/>
        <v>2797.6004723088545</v>
      </c>
      <c r="J225" s="43">
        <f t="shared" si="52"/>
        <v>583.99399914245282</v>
      </c>
      <c r="K225" s="43"/>
      <c r="L225" s="43"/>
    </row>
    <row r="226" spans="1:13" x14ac:dyDescent="0.6">
      <c r="A226" s="15"/>
      <c r="B226" s="42" t="s">
        <v>29</v>
      </c>
      <c r="C226" s="31">
        <f t="shared" ref="C226:J226" si="53">+C225+C224</f>
        <v>438193.61452954577</v>
      </c>
      <c r="D226" s="31">
        <f t="shared" si="53"/>
        <v>289.79459344719919</v>
      </c>
      <c r="E226" s="31">
        <f t="shared" si="53"/>
        <v>100835.8702213261</v>
      </c>
      <c r="F226" s="31">
        <f t="shared" si="53"/>
        <v>4570.37223610827</v>
      </c>
      <c r="G226" s="31">
        <f t="shared" si="53"/>
        <v>77974.720710312293</v>
      </c>
      <c r="H226" s="31">
        <f t="shared" si="53"/>
        <v>10894.81941960688</v>
      </c>
      <c r="I226" s="31">
        <f t="shared" si="53"/>
        <v>3899.6335658176886</v>
      </c>
      <c r="J226" s="43">
        <f t="shared" si="53"/>
        <v>921.95891150393322</v>
      </c>
      <c r="K226" s="43"/>
      <c r="L226" s="43"/>
    </row>
    <row r="227" spans="1:13" x14ac:dyDescent="0.6">
      <c r="A227" s="15"/>
      <c r="B227" s="42"/>
    </row>
    <row r="228" spans="1:13" x14ac:dyDescent="0.6">
      <c r="A228" s="15"/>
      <c r="B228" t="s">
        <v>91</v>
      </c>
    </row>
    <row r="229" spans="1:13" x14ac:dyDescent="0.6">
      <c r="A229" s="15"/>
      <c r="B229" s="42" t="s">
        <v>58</v>
      </c>
      <c r="C229" s="90">
        <f t="shared" ref="C229:J229" si="54">+C224/C226</f>
        <v>0.39742952905855805</v>
      </c>
      <c r="D229" s="90">
        <f>+D224/D226</f>
        <v>0.35984028575498767</v>
      </c>
      <c r="E229" s="90">
        <f t="shared" si="54"/>
        <v>0.37118825343841266</v>
      </c>
      <c r="F229" s="90">
        <f t="shared" si="54"/>
        <v>0.38637228683831332</v>
      </c>
      <c r="G229" s="90">
        <f t="shared" si="54"/>
        <v>0.3649189207286711</v>
      </c>
      <c r="H229" s="90">
        <f t="shared" si="54"/>
        <v>0.33741899262728814</v>
      </c>
      <c r="I229" s="90">
        <f>+I224/I226</f>
        <v>0.28259914038301603</v>
      </c>
      <c r="J229" s="90">
        <f t="shared" si="54"/>
        <v>0.36657264021688302</v>
      </c>
      <c r="K229" s="90"/>
      <c r="L229" s="90"/>
    </row>
    <row r="230" spans="1:13" x14ac:dyDescent="0.6">
      <c r="A230" s="15"/>
      <c r="B230" s="42" t="s">
        <v>61</v>
      </c>
      <c r="C230" s="90">
        <f t="shared" ref="C230:J230" si="55">+C225/C226</f>
        <v>0.60257047094144189</v>
      </c>
      <c r="D230" s="90">
        <f>+D225/D226</f>
        <v>0.64015971424501228</v>
      </c>
      <c r="E230" s="90">
        <f t="shared" si="55"/>
        <v>0.62881174656158734</v>
      </c>
      <c r="F230" s="90">
        <f t="shared" si="55"/>
        <v>0.61362771316168674</v>
      </c>
      <c r="G230" s="90">
        <f t="shared" si="55"/>
        <v>0.63508107927132895</v>
      </c>
      <c r="H230" s="90">
        <f t="shared" si="55"/>
        <v>0.66258100737271175</v>
      </c>
      <c r="I230" s="90">
        <f t="shared" si="55"/>
        <v>0.71740085961698408</v>
      </c>
      <c r="J230" s="90">
        <f t="shared" si="55"/>
        <v>0.63342735978311704</v>
      </c>
      <c r="K230" s="90"/>
      <c r="L230" s="90"/>
    </row>
    <row r="231" spans="1:13" x14ac:dyDescent="0.6">
      <c r="A231" s="15"/>
    </row>
    <row r="232" spans="1:13" x14ac:dyDescent="0.6">
      <c r="A232" s="15"/>
      <c r="B232" t="s">
        <v>92</v>
      </c>
    </row>
    <row r="233" spans="1:13" x14ac:dyDescent="0.6">
      <c r="A233" s="15"/>
      <c r="B233" s="42" t="s">
        <v>58</v>
      </c>
      <c r="C233" s="91">
        <f>+SUM(C224:J224)</f>
        <v>247020.88527724199</v>
      </c>
      <c r="D233" s="91"/>
    </row>
    <row r="234" spans="1:13" x14ac:dyDescent="0.6">
      <c r="A234" s="15"/>
      <c r="B234" s="42" t="s">
        <v>61</v>
      </c>
      <c r="C234" s="91">
        <f>+SUM(C225:J225)</f>
        <v>390559.89891042619</v>
      </c>
      <c r="D234" s="91"/>
    </row>
    <row r="235" spans="1:13" x14ac:dyDescent="0.6">
      <c r="A235" s="15"/>
      <c r="B235" s="42" t="s">
        <v>29</v>
      </c>
      <c r="C235" s="31">
        <f>+C234+C233</f>
        <v>637580.78418766824</v>
      </c>
      <c r="D235" s="31"/>
    </row>
    <row r="236" spans="1:13" x14ac:dyDescent="0.6">
      <c r="A236" s="15"/>
    </row>
    <row r="237" spans="1:13" x14ac:dyDescent="0.6">
      <c r="A237" s="15"/>
      <c r="B237" t="s">
        <v>93</v>
      </c>
      <c r="D237" t="s">
        <v>94</v>
      </c>
    </row>
    <row r="238" spans="1:13" x14ac:dyDescent="0.6">
      <c r="A238" s="15"/>
      <c r="B238" s="42" t="s">
        <v>58</v>
      </c>
      <c r="C238" s="90">
        <f>+C233/C235</f>
        <v>0.38743464577899328</v>
      </c>
      <c r="E238" s="85">
        <f>+C233/SUMPRODUCT(O48:V48,C84:J84)*1000</f>
        <v>97.129267349011187</v>
      </c>
      <c r="F238" t="s">
        <v>270</v>
      </c>
      <c r="I238" t="s">
        <v>259</v>
      </c>
      <c r="K238" t="s">
        <v>95</v>
      </c>
      <c r="L238" s="42" t="s">
        <v>58</v>
      </c>
      <c r="M238" s="129">
        <f>IF(ROUND(E$238/G$199,4)&lt;ROUND(E$239/G$199,4),1,ROUND(E238/G$199,4))</f>
        <v>1</v>
      </c>
    </row>
    <row r="239" spans="1:13" x14ac:dyDescent="0.6">
      <c r="A239" s="15"/>
      <c r="B239" s="42" t="s">
        <v>61</v>
      </c>
      <c r="C239" s="90">
        <f>+C234/C235</f>
        <v>0.61256535422100666</v>
      </c>
      <c r="E239" s="85">
        <f>+C234/SUMPRODUCT(O45:V45,C84:J84)*1000</f>
        <v>109.81502855955139</v>
      </c>
      <c r="F239" t="s">
        <v>270</v>
      </c>
      <c r="I239" t="s">
        <v>112</v>
      </c>
      <c r="L239" s="42" t="s">
        <v>61</v>
      </c>
      <c r="M239" s="129">
        <f>IF(ROUND(E$238/G$199,4)&lt;ROUND(E$239/G$199,4),1,ROUND(E239/G$199,4))</f>
        <v>1</v>
      </c>
    </row>
    <row r="240" spans="1:13" x14ac:dyDescent="0.6">
      <c r="A240" s="15"/>
    </row>
    <row r="241" spans="1:6" x14ac:dyDescent="0.6">
      <c r="A241" s="15"/>
    </row>
    <row r="242" spans="1:6" x14ac:dyDescent="0.6">
      <c r="A242" s="24"/>
      <c r="B242" s="3" t="s">
        <v>97</v>
      </c>
      <c r="F242" s="85"/>
    </row>
    <row r="243" spans="1:6" x14ac:dyDescent="0.6">
      <c r="A243" s="15"/>
      <c r="B243" s="6" t="s">
        <v>98</v>
      </c>
      <c r="C243" s="150">
        <f>D153</f>
        <v>270.35000000000002</v>
      </c>
      <c r="D243" s="87"/>
      <c r="E243" t="s">
        <v>99</v>
      </c>
      <c r="F243" t="s">
        <v>100</v>
      </c>
    </row>
    <row r="244" spans="1:6" x14ac:dyDescent="0.6">
      <c r="A244" s="15"/>
      <c r="B244" s="6" t="s">
        <v>101</v>
      </c>
      <c r="C244" s="150">
        <f>D154</f>
        <v>270.35000000000002</v>
      </c>
      <c r="D244" s="87"/>
      <c r="E244" t="s">
        <v>99</v>
      </c>
      <c r="F244" t="s">
        <v>102</v>
      </c>
    </row>
    <row r="245" spans="1:6" x14ac:dyDescent="0.6">
      <c r="A245" s="15"/>
      <c r="B245" s="6" t="s">
        <v>103</v>
      </c>
      <c r="C245" s="26">
        <f>+E166</f>
        <v>2</v>
      </c>
      <c r="D245" s="26"/>
      <c r="E245" t="s">
        <v>111</v>
      </c>
      <c r="F245" s="62"/>
    </row>
    <row r="246" spans="1:6" x14ac:dyDescent="0.6">
      <c r="A246" s="15"/>
      <c r="B246" s="145" t="s">
        <v>217</v>
      </c>
      <c r="C246" s="26">
        <f>E167</f>
        <v>21.819999999999997</v>
      </c>
      <c r="D246" s="26"/>
      <c r="E246" t="s">
        <v>111</v>
      </c>
      <c r="F246" s="62"/>
    </row>
    <row r="247" spans="1:6" x14ac:dyDescent="0.6">
      <c r="A247" s="15"/>
      <c r="B247" s="6" t="s">
        <v>104</v>
      </c>
      <c r="C247" s="111" t="s">
        <v>288</v>
      </c>
    </row>
    <row r="248" spans="1:6" x14ac:dyDescent="0.6">
      <c r="A248" s="15"/>
      <c r="B248" s="6" t="s">
        <v>105</v>
      </c>
      <c r="C248" s="21" t="s">
        <v>206</v>
      </c>
      <c r="D248" s="21"/>
    </row>
    <row r="249" spans="1:6" x14ac:dyDescent="0.6">
      <c r="A249" s="15"/>
      <c r="B249" s="6" t="s">
        <v>106</v>
      </c>
      <c r="C249" s="111" t="s">
        <v>318</v>
      </c>
    </row>
    <row r="250" spans="1:6" x14ac:dyDescent="0.6">
      <c r="A250" s="15"/>
      <c r="B250" s="6" t="s">
        <v>107</v>
      </c>
      <c r="C250" t="s">
        <v>211</v>
      </c>
    </row>
    <row r="251" spans="1:6" x14ac:dyDescent="0.6">
      <c r="A251" s="15"/>
      <c r="B251" s="6" t="s">
        <v>108</v>
      </c>
      <c r="C251" t="s">
        <v>179</v>
      </c>
    </row>
    <row r="252" spans="1:6" x14ac:dyDescent="0.6">
      <c r="A252" s="15"/>
      <c r="C252" t="s">
        <v>180</v>
      </c>
    </row>
    <row r="255" spans="1:6" x14ac:dyDescent="0.6">
      <c r="A255" s="24" t="s">
        <v>258</v>
      </c>
      <c r="B255" s="3" t="s">
        <v>209</v>
      </c>
    </row>
    <row r="256" spans="1:6" x14ac:dyDescent="0.6">
      <c r="A256" s="15"/>
      <c r="B256" s="4" t="s">
        <v>265</v>
      </c>
    </row>
    <row r="257" spans="1:18" x14ac:dyDescent="0.6">
      <c r="A257" s="15"/>
      <c r="B257" s="4" t="s">
        <v>35</v>
      </c>
    </row>
    <row r="258" spans="1:18" x14ac:dyDescent="0.6">
      <c r="A258" s="15"/>
      <c r="B258" s="4"/>
    </row>
    <row r="259" spans="1:18" x14ac:dyDescent="0.6">
      <c r="A259" s="15"/>
      <c r="B259" s="220" t="s">
        <v>197</v>
      </c>
      <c r="C259" s="221">
        <f>'Attachment 3'!C33</f>
        <v>116.181</v>
      </c>
      <c r="D259" s="66"/>
      <c r="E259" s="93"/>
      <c r="F259" s="87"/>
      <c r="O259" s="60"/>
      <c r="P259" s="60"/>
      <c r="Q259" s="60"/>
      <c r="R259" s="60"/>
    </row>
    <row r="260" spans="1:18" ht="13.25" x14ac:dyDescent="0.65">
      <c r="A260" s="15"/>
      <c r="B260" s="4"/>
      <c r="O260" s="107"/>
      <c r="P260" s="107"/>
      <c r="Q260" s="107"/>
      <c r="R260" s="107"/>
    </row>
    <row r="261" spans="1:18" x14ac:dyDescent="0.6">
      <c r="A261" s="15"/>
      <c r="C261" s="16" t="s">
        <v>5</v>
      </c>
      <c r="D261" s="16" t="s">
        <v>119</v>
      </c>
      <c r="E261" s="16" t="s">
        <v>6</v>
      </c>
      <c r="F261" s="16" t="s">
        <v>7</v>
      </c>
      <c r="G261" s="16" t="s">
        <v>8</v>
      </c>
      <c r="H261" s="16" t="s">
        <v>9</v>
      </c>
      <c r="I261" s="16" t="s">
        <v>10</v>
      </c>
      <c r="J261" s="16" t="s">
        <v>11</v>
      </c>
    </row>
    <row r="262" spans="1:18" x14ac:dyDescent="0.6">
      <c r="A262" s="15"/>
      <c r="B262" s="18" t="s">
        <v>43</v>
      </c>
      <c r="D262" s="89">
        <f>$C$259*D207*'Attachment 3'!E104</f>
        <v>161.64191194865998</v>
      </c>
      <c r="E262" s="89">
        <f>$C$259*E207*'Attachment 3'!$E$104</f>
        <v>114.13694169306001</v>
      </c>
      <c r="F262" s="89">
        <f>$C$259*F207*'Attachment 3'!$E$104</f>
        <v>123.1378834257</v>
      </c>
      <c r="G262" s="89">
        <f>$C$259*G207*'Attachment 3'!$E$104</f>
        <v>116.76221636507999</v>
      </c>
      <c r="H262" s="89">
        <f>$C$259*H207*'Attachment 3'!$E$104</f>
        <v>198.02071811808</v>
      </c>
      <c r="I262" s="89">
        <f>$C$259*I207*'Attachment 3'!$E$104</f>
        <v>77.258083205160005</v>
      </c>
      <c r="J262" s="89">
        <f>$C$259*J207*'Attachment 3'!$E$104</f>
        <v>97.510202103599994</v>
      </c>
      <c r="L262" s="92"/>
      <c r="M262" s="92"/>
      <c r="Q262" s="108"/>
      <c r="R262" s="108"/>
    </row>
    <row r="263" spans="1:18" x14ac:dyDescent="0.6">
      <c r="A263" s="15"/>
      <c r="B263" s="25" t="s">
        <v>114</v>
      </c>
      <c r="D263" s="89">
        <f>$C$259*D208*'Attachment 3'!E104</f>
        <v>175.26833762723999</v>
      </c>
      <c r="E263" s="89"/>
      <c r="F263" s="89"/>
      <c r="G263" s="89"/>
      <c r="H263" s="89"/>
      <c r="I263" s="89"/>
      <c r="J263" s="89"/>
    </row>
    <row r="264" spans="1:18" x14ac:dyDescent="0.6">
      <c r="A264" s="15"/>
      <c r="B264" s="25" t="s">
        <v>37</v>
      </c>
      <c r="D264" s="89">
        <f>$C$259*D209*'Attachment 3'!E104</f>
        <v>75.757926249720001</v>
      </c>
      <c r="E264" s="89"/>
      <c r="F264" s="89"/>
      <c r="G264" s="89"/>
      <c r="H264" s="89"/>
      <c r="I264" s="89"/>
      <c r="J264" s="89"/>
    </row>
    <row r="265" spans="1:18" x14ac:dyDescent="0.6">
      <c r="A265" s="15"/>
      <c r="B265" s="6" t="s">
        <v>68</v>
      </c>
      <c r="C265" s="89">
        <f>($C$259*$C$210+C211)*'Attachment 3'!E104</f>
        <v>122.52257233053582</v>
      </c>
      <c r="D265" s="89"/>
      <c r="E265" s="89"/>
      <c r="F265" s="89"/>
      <c r="G265" s="89"/>
      <c r="H265" s="89"/>
      <c r="I265" s="89"/>
      <c r="J265" s="89"/>
    </row>
    <row r="266" spans="1:18" x14ac:dyDescent="0.6">
      <c r="A266" s="15"/>
      <c r="B266" s="6" t="s">
        <v>69</v>
      </c>
      <c r="C266" s="89">
        <f>($C$259*$C$210+C212)*'Attachment 3'!E104</f>
        <v>131.83229737053583</v>
      </c>
      <c r="D266" s="89"/>
      <c r="E266" s="89"/>
      <c r="F266" s="89"/>
      <c r="G266" s="89"/>
      <c r="H266" s="89"/>
      <c r="I266" s="89"/>
      <c r="J266" s="89"/>
    </row>
    <row r="267" spans="1:18" x14ac:dyDescent="0.6">
      <c r="A267" s="15"/>
      <c r="B267" s="18" t="s">
        <v>44</v>
      </c>
      <c r="C267" s="89">
        <f>$C$259*C214*'Attachment 3'!E105</f>
        <v>130.70683159559999</v>
      </c>
      <c r="D267" s="89">
        <f>$C$259*D214*'Attachment 3'!E105</f>
        <v>197.16605815139999</v>
      </c>
      <c r="E267" s="89">
        <f>$C$259*E214*'Attachment 3'!$E$105</f>
        <v>107.1530624502</v>
      </c>
      <c r="F267" s="89">
        <f>$C$259*F214*'Attachment 3'!$E$105</f>
        <v>125.0671967298</v>
      </c>
      <c r="G267" s="89">
        <f>$C$259*G214*'Attachment 3'!$E$105</f>
        <v>108.92235966299999</v>
      </c>
      <c r="H267" s="89">
        <f>$C$259*H214*'Attachment 3'!$E$105</f>
        <v>179.8048292508</v>
      </c>
      <c r="I267" s="89">
        <f>$C$259*I214*'Attachment 3'!$E$105</f>
        <v>74.199901861800001</v>
      </c>
      <c r="J267" s="89">
        <f>$C$259*J214*'Attachment 3'!$E$105</f>
        <v>89.349509246400004</v>
      </c>
      <c r="Q267" s="108"/>
      <c r="R267" s="108"/>
    </row>
    <row r="268" spans="1:18" x14ac:dyDescent="0.6">
      <c r="A268" s="15"/>
      <c r="B268" s="25" t="s">
        <v>114</v>
      </c>
      <c r="C268" s="89"/>
      <c r="D268" s="89">
        <f>$C$259*D215*'Attachment 3'!E105</f>
        <v>200.8152336528</v>
      </c>
      <c r="E268" s="89"/>
      <c r="F268" s="89"/>
      <c r="G268" s="89"/>
      <c r="H268" s="89"/>
      <c r="I268" s="89"/>
      <c r="J268" s="89"/>
    </row>
    <row r="269" spans="1:18" x14ac:dyDescent="0.6">
      <c r="A269" s="15"/>
      <c r="B269" s="25" t="s">
        <v>37</v>
      </c>
      <c r="C269" s="89"/>
      <c r="D269" s="89">
        <f>$C$259*D216*'Attachment 3'!E105</f>
        <v>73.757577558600005</v>
      </c>
      <c r="E269" s="89"/>
      <c r="F269" s="89"/>
      <c r="G269" s="89"/>
      <c r="H269" s="89"/>
      <c r="I269" s="89"/>
      <c r="J269" s="89"/>
    </row>
    <row r="270" spans="1:18" x14ac:dyDescent="0.6">
      <c r="A270" s="15"/>
      <c r="B270" t="s">
        <v>45</v>
      </c>
      <c r="C270" s="89">
        <f t="shared" ref="C270:J270" si="56">$C$259*C217</f>
        <v>128.38000499999998</v>
      </c>
      <c r="D270" s="89">
        <f t="shared" si="56"/>
        <v>118.27225799999999</v>
      </c>
      <c r="E270" s="89">
        <f t="shared" si="56"/>
        <v>110.02340699999999</v>
      </c>
      <c r="F270" s="89">
        <f t="shared" si="56"/>
        <v>124.31367</v>
      </c>
      <c r="G270" s="89">
        <f t="shared" si="56"/>
        <v>112.230846</v>
      </c>
      <c r="H270" s="89">
        <f t="shared" si="56"/>
        <v>187.283772</v>
      </c>
      <c r="I270" s="89">
        <f t="shared" si="56"/>
        <v>76.098555000000005</v>
      </c>
      <c r="J270" s="89">
        <f t="shared" si="56"/>
        <v>92.712438000000006</v>
      </c>
      <c r="Q270" s="108"/>
      <c r="R270" s="108"/>
    </row>
    <row r="271" spans="1:18" x14ac:dyDescent="0.6">
      <c r="A271" s="15"/>
      <c r="C271" s="109"/>
      <c r="D271" s="109"/>
      <c r="E271" s="109"/>
      <c r="F271" s="109"/>
      <c r="G271" s="109"/>
      <c r="H271" s="109"/>
      <c r="I271" s="109"/>
      <c r="J271" s="109"/>
      <c r="Q271" s="109"/>
      <c r="R271" s="109"/>
    </row>
    <row r="272" spans="1:18" x14ac:dyDescent="0.6">
      <c r="A272" s="15"/>
    </row>
    <row r="273" spans="1:15" ht="12.75" customHeight="1" x14ac:dyDescent="0.6">
      <c r="A273" s="24" t="s">
        <v>96</v>
      </c>
      <c r="B273" s="3" t="s">
        <v>210</v>
      </c>
    </row>
    <row r="274" spans="1:15" x14ac:dyDescent="0.6">
      <c r="A274" s="15"/>
      <c r="B274" s="4" t="s">
        <v>265</v>
      </c>
    </row>
    <row r="275" spans="1:15" x14ac:dyDescent="0.6">
      <c r="A275" s="15"/>
      <c r="B275" s="4" t="s">
        <v>198</v>
      </c>
    </row>
    <row r="276" spans="1:15" x14ac:dyDescent="0.6">
      <c r="A276" s="15"/>
      <c r="B276" s="11" t="s">
        <v>199</v>
      </c>
      <c r="C276" s="250">
        <f>1/(1-(0.002175892+0.000455381))</f>
        <v>1.0026382148635387</v>
      </c>
      <c r="E276" s="77"/>
    </row>
    <row r="277" spans="1:15" x14ac:dyDescent="0.6">
      <c r="A277" s="15"/>
      <c r="B277" s="111" t="s">
        <v>271</v>
      </c>
      <c r="O277" s="93"/>
    </row>
    <row r="278" spans="1:15" x14ac:dyDescent="0.6">
      <c r="A278" s="15"/>
      <c r="B278" s="4"/>
    </row>
    <row r="279" spans="1:15" x14ac:dyDescent="0.6">
      <c r="A279" s="15"/>
      <c r="C279" s="16" t="s">
        <v>5</v>
      </c>
      <c r="D279" s="16" t="s">
        <v>119</v>
      </c>
      <c r="E279" s="16" t="s">
        <v>6</v>
      </c>
      <c r="F279" s="16" t="s">
        <v>7</v>
      </c>
      <c r="G279" s="16" t="s">
        <v>8</v>
      </c>
      <c r="H279" s="16" t="s">
        <v>9</v>
      </c>
      <c r="I279" s="16" t="s">
        <v>10</v>
      </c>
      <c r="J279" s="16" t="s">
        <v>11</v>
      </c>
    </row>
    <row r="280" spans="1:15" x14ac:dyDescent="0.6">
      <c r="A280" s="15"/>
      <c r="B280" s="18" t="s">
        <v>43</v>
      </c>
      <c r="C280" s="130"/>
      <c r="D280" s="130"/>
      <c r="E280" s="93">
        <f>ROUND((E262*$C$276*1.06625)/1000,6)</f>
        <v>0.12202</v>
      </c>
      <c r="F280" s="93">
        <f t="shared" ref="F280:J280" si="57">ROUND((F262*$C$276*1.06625)/1000,6)</f>
        <v>0.13164200000000001</v>
      </c>
      <c r="G280" s="93">
        <f t="shared" si="57"/>
        <v>0.12482600000000001</v>
      </c>
      <c r="H280" s="93">
        <f t="shared" si="57"/>
        <v>0.211697</v>
      </c>
      <c r="I280" s="93">
        <f t="shared" si="57"/>
        <v>8.2594000000000001E-2</v>
      </c>
      <c r="J280" s="93">
        <f t="shared" si="57"/>
        <v>0.104245</v>
      </c>
    </row>
    <row r="281" spans="1:15" x14ac:dyDescent="0.6">
      <c r="A281" s="15"/>
      <c r="B281" s="25" t="s">
        <v>114</v>
      </c>
      <c r="C281" s="130"/>
      <c r="D281" s="93">
        <f>ROUND((D263*$C$276*1.06625)/1000,6)</f>
        <v>0.18737300000000001</v>
      </c>
      <c r="E281" s="93"/>
      <c r="F281" s="93"/>
      <c r="G281" s="93"/>
      <c r="H281" s="93"/>
      <c r="I281" s="93"/>
      <c r="J281" s="131"/>
    </row>
    <row r="282" spans="1:15" x14ac:dyDescent="0.6">
      <c r="A282" s="15"/>
      <c r="B282" s="25" t="s">
        <v>37</v>
      </c>
      <c r="C282" s="130"/>
      <c r="D282" s="93">
        <f>ROUND((D264*$C$276*1.06625)/1000,6)</f>
        <v>8.0990000000000006E-2</v>
      </c>
      <c r="E282" s="93"/>
      <c r="F282" s="93"/>
      <c r="G282" s="93"/>
      <c r="H282" s="93"/>
      <c r="I282" s="93"/>
      <c r="J282" s="131"/>
    </row>
    <row r="283" spans="1:15" x14ac:dyDescent="0.6">
      <c r="A283" s="15"/>
      <c r="B283" s="6" t="s">
        <v>68</v>
      </c>
      <c r="C283" s="93">
        <f>ROUND((C265*$C$276*1.06625)/1000,6)</f>
        <v>0.13098399999999999</v>
      </c>
      <c r="D283" s="93"/>
      <c r="E283" s="93"/>
      <c r="F283" s="93"/>
      <c r="G283" s="93"/>
      <c r="H283" s="93"/>
      <c r="I283" s="93"/>
    </row>
    <row r="284" spans="1:15" x14ac:dyDescent="0.6">
      <c r="A284" s="15"/>
      <c r="B284" s="6" t="s">
        <v>69</v>
      </c>
      <c r="C284" s="93">
        <f>ROUND((C266*$C$276*1.06625)/1000,6)</f>
        <v>0.14093700000000001</v>
      </c>
      <c r="D284" s="93"/>
      <c r="E284" s="93"/>
      <c r="F284" s="93"/>
      <c r="G284" s="93"/>
      <c r="H284" s="93"/>
      <c r="I284" s="93"/>
    </row>
    <row r="285" spans="1:15" x14ac:dyDescent="0.6">
      <c r="A285" s="15"/>
      <c r="B285" s="18" t="s">
        <v>44</v>
      </c>
      <c r="C285" s="93">
        <f>ROUND((C267*$C$276*1.06625)/1000,6)</f>
        <v>0.139734</v>
      </c>
      <c r="D285" s="93"/>
      <c r="E285" s="93">
        <f t="shared" ref="E285:J285" si="58">ROUND((E267*$C$276*1.06625)/1000,6)</f>
        <v>0.114553</v>
      </c>
      <c r="F285" s="93">
        <f t="shared" si="58"/>
        <v>0.13370499999999999</v>
      </c>
      <c r="G285" s="93">
        <f t="shared" si="58"/>
        <v>0.11644500000000001</v>
      </c>
      <c r="H285" s="93">
        <f t="shared" si="58"/>
        <v>0.192223</v>
      </c>
      <c r="I285" s="93">
        <f t="shared" si="58"/>
        <v>7.9324000000000006E-2</v>
      </c>
      <c r="J285" s="93">
        <f t="shared" si="58"/>
        <v>9.5519999999999994E-2</v>
      </c>
    </row>
    <row r="286" spans="1:15" x14ac:dyDescent="0.6">
      <c r="A286" s="15"/>
      <c r="B286" s="25" t="s">
        <v>114</v>
      </c>
      <c r="C286" s="93"/>
      <c r="D286" s="93">
        <f>ROUND((D268*$C$276*1.06625)/1000,6)</f>
        <v>0.21468400000000001</v>
      </c>
      <c r="E286" s="93"/>
      <c r="F286" s="93"/>
      <c r="G286" s="93"/>
      <c r="H286" s="93"/>
      <c r="I286" s="93"/>
      <c r="J286" s="131"/>
    </row>
    <row r="287" spans="1:15" x14ac:dyDescent="0.6">
      <c r="A287" s="15"/>
      <c r="B287" s="25" t="s">
        <v>37</v>
      </c>
      <c r="C287" s="93"/>
      <c r="D287" s="93">
        <f>ROUND((D269*$C$276*1.06625)/1000,6)</f>
        <v>7.8851000000000004E-2</v>
      </c>
      <c r="E287" s="93"/>
      <c r="F287" s="93"/>
      <c r="G287" s="93"/>
      <c r="H287" s="93"/>
      <c r="I287" s="93"/>
      <c r="J287" s="131"/>
    </row>
    <row r="288" spans="1:15" x14ac:dyDescent="0.6">
      <c r="A288" s="15"/>
      <c r="B288" t="s">
        <v>45</v>
      </c>
      <c r="C288" s="93">
        <f>ROUND((C270*$C$276*1.06625)/1000,6)</f>
        <v>0.13724600000000001</v>
      </c>
      <c r="D288" s="93">
        <f>ROUND((D270*$C$276*1.06625)/1000,6)</f>
        <v>0.12644</v>
      </c>
      <c r="E288" s="93">
        <f t="shared" ref="E288:J288" si="59">ROUND((E270*$C$276*1.06625)/1000,6)</f>
        <v>0.117622</v>
      </c>
      <c r="F288" s="93">
        <f t="shared" si="59"/>
        <v>0.13289899999999999</v>
      </c>
      <c r="G288" s="93">
        <f t="shared" si="59"/>
        <v>0.11998200000000001</v>
      </c>
      <c r="H288" s="93">
        <f t="shared" si="59"/>
        <v>0.20021800000000001</v>
      </c>
      <c r="I288" s="93">
        <f t="shared" si="59"/>
        <v>8.1353999999999996E-2</v>
      </c>
      <c r="J288" s="93">
        <f t="shared" si="59"/>
        <v>9.9114999999999995E-2</v>
      </c>
    </row>
    <row r="289" spans="3:10" x14ac:dyDescent="0.6">
      <c r="C289" s="93"/>
    </row>
    <row r="290" spans="3:10" x14ac:dyDescent="0.6">
      <c r="C290" s="93"/>
    </row>
    <row r="291" spans="3:10" x14ac:dyDescent="0.6">
      <c r="D291" s="149"/>
      <c r="E291" s="93"/>
      <c r="F291" s="93"/>
      <c r="G291" s="93"/>
      <c r="H291" s="93"/>
      <c r="I291" s="93"/>
      <c r="J291" s="93"/>
    </row>
    <row r="292" spans="3:10" x14ac:dyDescent="0.6">
      <c r="C292" s="111"/>
      <c r="E292" s="93"/>
    </row>
    <row r="293" spans="3:10" x14ac:dyDescent="0.6">
      <c r="C293" s="93"/>
      <c r="E293" s="93"/>
    </row>
    <row r="294" spans="3:10" x14ac:dyDescent="0.6">
      <c r="C294" s="93"/>
      <c r="E294" s="93"/>
      <c r="F294" s="93"/>
      <c r="G294" s="93"/>
      <c r="H294" s="93"/>
      <c r="I294" s="93"/>
      <c r="J294" s="93"/>
    </row>
    <row r="295" spans="3:10" x14ac:dyDescent="0.6">
      <c r="C295" s="93"/>
      <c r="D295" s="87"/>
      <c r="E295" s="93"/>
    </row>
    <row r="296" spans="3:10" x14ac:dyDescent="0.6">
      <c r="D296" s="87"/>
      <c r="E296" s="93"/>
      <c r="F296" s="93"/>
      <c r="G296" s="93"/>
      <c r="H296" s="93"/>
      <c r="I296" s="93"/>
      <c r="J296" s="93"/>
    </row>
    <row r="301" spans="3:10" x14ac:dyDescent="0.6">
      <c r="D301" s="93"/>
    </row>
    <row r="302" spans="3:10" x14ac:dyDescent="0.6">
      <c r="D302" s="93"/>
    </row>
    <row r="303" spans="3:10" x14ac:dyDescent="0.6">
      <c r="D303" s="93"/>
    </row>
    <row r="304" spans="3:10" x14ac:dyDescent="0.6">
      <c r="D304" s="93"/>
    </row>
    <row r="305" spans="4:4" x14ac:dyDescent="0.6">
      <c r="D305" s="93"/>
    </row>
    <row r="306" spans="4:4" x14ac:dyDescent="0.6">
      <c r="D306" s="93"/>
    </row>
    <row r="307" spans="4:4" x14ac:dyDescent="0.6">
      <c r="D307" s="93"/>
    </row>
    <row r="308" spans="4:4" x14ac:dyDescent="0.6">
      <c r="D308" s="93"/>
    </row>
  </sheetData>
  <customSheetViews>
    <customSheetView guid="{689761CC-C80B-4574-9251-22E069AE5A7E}" scale="87" showPageBreaks="1" printArea="1" showRuler="0">
      <rowBreaks count="7" manualBreakCount="7">
        <brk id="58" max="12" man="1"/>
        <brk id="117" max="12" man="1"/>
        <brk id="177" max="12" man="1"/>
        <brk id="222" max="12" man="1"/>
        <brk id="262" max="12" man="1"/>
        <brk id="296" max="12" man="1"/>
        <brk id="336" max="12" man="1"/>
      </rowBreaks>
      <pageMargins left="0.75" right="0.75" top="1" bottom="1" header="0.5" footer="0.5"/>
      <pageSetup scale="60" orientation="landscape" r:id="rId1"/>
      <headerFooter alignWithMargins="0">
        <oddHeader>&amp;L&amp;12Atlantic City Electric Company
Attachment 2</oddHeader>
        <oddFooter>&amp;CPage &amp;P of &amp;N</oddFooter>
      </headerFooter>
    </customSheetView>
    <customSheetView guid="{E387223A-F425-4996-A843-D576BB2C4D04}" scale="87" showPageBreaks="1" printArea="1" hiddenRows="1" showRuler="0">
      <rowBreaks count="7" manualBreakCount="7">
        <brk id="58" max="12" man="1"/>
        <brk id="117" max="12" man="1"/>
        <brk id="177" max="12" man="1"/>
        <brk id="222" max="12" man="1"/>
        <brk id="262" max="12" man="1"/>
        <brk id="296" max="12" man="1"/>
        <brk id="336" max="12" man="1"/>
      </rowBreaks>
      <pageMargins left="0.75" right="0.75" top="1" bottom="1" header="0.5" footer="0.5"/>
      <pageSetup scale="60" orientation="landscape" r:id="rId2"/>
      <headerFooter alignWithMargins="0">
        <oddHeader>&amp;L&amp;12Atlantic City Electric Company
Attachment 2</oddHeader>
        <oddFooter>&amp;CPage &amp;P of &amp;N</oddFooter>
      </headerFooter>
    </customSheetView>
  </customSheetViews>
  <phoneticPr fontId="11" type="noConversion"/>
  <pageMargins left="0.75" right="0.5" top="1" bottom="1" header="0.5" footer="0.5"/>
  <pageSetup scale="50" orientation="landscape" r:id="rId3"/>
  <headerFooter alignWithMargins="0">
    <oddHeader>&amp;L&amp;"Arial,Bold"Atlantic City Electric Company &amp;"Arial,Regular"
Development of BGS Rates
June 2025 - May 2026
&amp;RAttachment 2
Page &amp;P of &amp;N</oddHeader>
  </headerFooter>
  <rowBreaks count="4" manualBreakCount="4">
    <brk id="58" max="12" man="1"/>
    <brk id="120" max="12" man="1"/>
    <brk id="178" max="12" man="1"/>
    <brk id="252" max="12" man="1"/>
  </rowBreaks>
  <ignoredErrors>
    <ignoredError sqref="K45:K5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53"/>
  <sheetViews>
    <sheetView zoomScaleNormal="100" workbookViewId="0"/>
  </sheetViews>
  <sheetFormatPr defaultColWidth="9.08984375" defaultRowHeight="13" x14ac:dyDescent="0.6"/>
  <cols>
    <col min="1" max="1" width="12.86328125" customWidth="1"/>
    <col min="2" max="2" width="44.08984375" customWidth="1"/>
    <col min="3" max="5" width="13.08984375" customWidth="1"/>
    <col min="6" max="6" width="11.86328125" customWidth="1"/>
    <col min="7" max="8" width="10.6796875" customWidth="1"/>
    <col min="9" max="9" width="11" customWidth="1"/>
    <col min="10" max="10" width="11.54296875" customWidth="1"/>
    <col min="11" max="11" width="10.6796875" customWidth="1"/>
    <col min="12" max="12" width="14.31640625" bestFit="1" customWidth="1"/>
    <col min="13" max="13" width="15" customWidth="1"/>
    <col min="14" max="14" width="23.31640625" customWidth="1"/>
    <col min="15" max="16" width="14.54296875" bestFit="1" customWidth="1"/>
    <col min="17" max="17" width="15.453125" customWidth="1"/>
    <col min="18" max="18" width="11.54296875" bestFit="1" customWidth="1"/>
    <col min="19" max="19" width="10" bestFit="1" customWidth="1"/>
    <col min="20" max="20" width="11.453125" bestFit="1" customWidth="1"/>
    <col min="22" max="22" width="12.31640625" bestFit="1" customWidth="1"/>
    <col min="24" max="24" width="11.31640625" bestFit="1" customWidth="1"/>
  </cols>
  <sheetData>
    <row r="1" spans="1:17" x14ac:dyDescent="0.6">
      <c r="A1" s="3" t="s">
        <v>205</v>
      </c>
    </row>
    <row r="2" spans="1:17" x14ac:dyDescent="0.6">
      <c r="A2" s="111" t="s">
        <v>280</v>
      </c>
    </row>
    <row r="3" spans="1:17" x14ac:dyDescent="0.6">
      <c r="A3" s="111" t="s">
        <v>296</v>
      </c>
    </row>
    <row r="5" spans="1:17" x14ac:dyDescent="0.6">
      <c r="A5" s="24" t="s">
        <v>194</v>
      </c>
      <c r="B5" s="3" t="s">
        <v>195</v>
      </c>
    </row>
    <row r="6" spans="1:17" ht="52.75" x14ac:dyDescent="0.75">
      <c r="A6" s="42" t="s">
        <v>142</v>
      </c>
      <c r="B6" s="3" t="s">
        <v>143</v>
      </c>
      <c r="C6" s="112" t="s">
        <v>281</v>
      </c>
      <c r="D6" s="112" t="s">
        <v>290</v>
      </c>
      <c r="E6" s="112" t="s">
        <v>291</v>
      </c>
      <c r="G6" s="112" t="s">
        <v>144</v>
      </c>
      <c r="M6" s="229"/>
      <c r="N6" s="224"/>
      <c r="O6" s="224"/>
      <c r="P6" s="224"/>
      <c r="Q6" s="224"/>
    </row>
    <row r="7" spans="1:17" x14ac:dyDescent="0.6">
      <c r="M7" s="17"/>
    </row>
    <row r="8" spans="1:17" x14ac:dyDescent="0.6">
      <c r="A8" s="42">
        <v>1</v>
      </c>
      <c r="B8" t="s">
        <v>145</v>
      </c>
      <c r="C8" s="5">
        <v>92.17</v>
      </c>
      <c r="D8" s="5">
        <v>81.42</v>
      </c>
      <c r="E8" s="5">
        <f>D11</f>
        <v>112.13</v>
      </c>
      <c r="F8" s="87"/>
      <c r="G8" t="s">
        <v>146</v>
      </c>
      <c r="M8" s="17"/>
      <c r="O8" s="225"/>
      <c r="P8" s="225"/>
      <c r="Q8" s="225"/>
    </row>
    <row r="9" spans="1:17" x14ac:dyDescent="0.6">
      <c r="A9" s="149" t="s">
        <v>266</v>
      </c>
      <c r="B9" t="s">
        <v>268</v>
      </c>
      <c r="C9" s="5">
        <f>'Attachment 4 Pg1'!C21</f>
        <v>31.1</v>
      </c>
      <c r="D9" s="5">
        <f>'Attachment 4 Pg1'!D21</f>
        <v>30.71</v>
      </c>
      <c r="E9" s="280"/>
      <c r="F9" s="87"/>
      <c r="G9" s="111" t="s">
        <v>299</v>
      </c>
      <c r="M9" s="17"/>
      <c r="O9" s="226"/>
      <c r="P9" s="226"/>
      <c r="Q9" s="226"/>
    </row>
    <row r="10" spans="1:17" x14ac:dyDescent="0.6">
      <c r="A10" s="149" t="s">
        <v>226</v>
      </c>
      <c r="B10" s="252"/>
      <c r="C10" s="253"/>
      <c r="D10" s="253"/>
      <c r="E10" s="253"/>
      <c r="F10" s="87"/>
      <c r="G10" s="111"/>
      <c r="M10" s="17"/>
      <c r="O10" s="226"/>
      <c r="P10" s="226"/>
      <c r="Q10" s="226"/>
    </row>
    <row r="11" spans="1:17" x14ac:dyDescent="0.6">
      <c r="A11" s="149" t="s">
        <v>298</v>
      </c>
      <c r="B11" t="s">
        <v>225</v>
      </c>
      <c r="C11" s="5">
        <f>C8+C9</f>
        <v>123.27000000000001</v>
      </c>
      <c r="D11" s="5">
        <f>D8+D9</f>
        <v>112.13</v>
      </c>
      <c r="E11" s="5">
        <f>E8+E9</f>
        <v>112.13</v>
      </c>
      <c r="F11" s="87"/>
      <c r="G11" s="111" t="s">
        <v>300</v>
      </c>
      <c r="M11" s="17"/>
      <c r="O11" s="227"/>
      <c r="P11" s="227"/>
      <c r="Q11" s="227"/>
    </row>
    <row r="12" spans="1:17" x14ac:dyDescent="0.6">
      <c r="A12" s="42"/>
      <c r="C12" s="5"/>
      <c r="D12" s="5"/>
      <c r="E12" s="5"/>
      <c r="F12" s="87"/>
      <c r="M12" s="17"/>
      <c r="O12" s="228"/>
      <c r="P12" s="228"/>
      <c r="Q12" s="228"/>
    </row>
    <row r="13" spans="1:17" x14ac:dyDescent="0.6">
      <c r="A13" s="42">
        <v>2</v>
      </c>
      <c r="B13" s="222" t="s">
        <v>247</v>
      </c>
      <c r="C13" s="33">
        <v>8</v>
      </c>
      <c r="D13" s="33">
        <v>7</v>
      </c>
      <c r="E13" s="33">
        <v>7</v>
      </c>
      <c r="G13" t="s">
        <v>147</v>
      </c>
      <c r="M13" s="17"/>
      <c r="O13" s="106"/>
      <c r="P13" s="106"/>
      <c r="Q13" s="106"/>
    </row>
    <row r="14" spans="1:17" x14ac:dyDescent="0.6">
      <c r="A14" s="42">
        <v>3</v>
      </c>
      <c r="B14" s="111" t="s">
        <v>248</v>
      </c>
      <c r="C14" s="33">
        <v>22</v>
      </c>
      <c r="D14" s="33">
        <v>22</v>
      </c>
      <c r="E14" s="33">
        <f>+D14</f>
        <v>22</v>
      </c>
      <c r="G14" t="s">
        <v>147</v>
      </c>
      <c r="M14" s="17"/>
      <c r="O14" s="106"/>
      <c r="P14" s="106"/>
      <c r="Q14" s="106"/>
    </row>
    <row r="15" spans="1:17" x14ac:dyDescent="0.6">
      <c r="A15" s="42"/>
      <c r="C15" s="113"/>
      <c r="D15" s="113"/>
      <c r="E15" s="113"/>
      <c r="M15" s="17"/>
      <c r="N15" s="3"/>
      <c r="O15" s="66"/>
      <c r="P15" s="66"/>
      <c r="Q15" s="66"/>
    </row>
    <row r="16" spans="1:17" x14ac:dyDescent="0.6">
      <c r="A16" s="42"/>
      <c r="B16" t="s">
        <v>148</v>
      </c>
    </row>
    <row r="17" spans="1:15" x14ac:dyDescent="0.6">
      <c r="A17" s="42">
        <v>4</v>
      </c>
      <c r="B17" s="114" t="s">
        <v>149</v>
      </c>
      <c r="C17" s="65">
        <v>1</v>
      </c>
      <c r="D17" s="65">
        <v>1</v>
      </c>
      <c r="E17" s="115">
        <f>'Attachment 2'!M238</f>
        <v>1</v>
      </c>
      <c r="G17" t="s">
        <v>150</v>
      </c>
    </row>
    <row r="18" spans="1:15" x14ac:dyDescent="0.6">
      <c r="A18" s="42">
        <v>5</v>
      </c>
      <c r="B18" s="114" t="s">
        <v>151</v>
      </c>
      <c r="C18" s="65">
        <v>1</v>
      </c>
      <c r="D18" s="65">
        <v>1</v>
      </c>
      <c r="E18" s="115">
        <f>'Attachment 2'!M239</f>
        <v>1</v>
      </c>
      <c r="G18" t="s">
        <v>150</v>
      </c>
      <c r="K18" s="65"/>
    </row>
    <row r="19" spans="1:15" x14ac:dyDescent="0.6">
      <c r="A19" s="42"/>
      <c r="K19" s="65"/>
    </row>
    <row r="20" spans="1:15" x14ac:dyDescent="0.6">
      <c r="A20" s="42"/>
      <c r="B20" t="s">
        <v>152</v>
      </c>
    </row>
    <row r="21" spans="1:15" x14ac:dyDescent="0.6">
      <c r="A21" s="42">
        <v>6</v>
      </c>
      <c r="B21" t="s">
        <v>153</v>
      </c>
      <c r="C21" s="34">
        <f>SUMPRODUCT('Attachment 2'!O$48:V$48,'Attachment 2'!C$84:J$84)</f>
        <v>2543217.8376228302</v>
      </c>
      <c r="D21" s="34"/>
      <c r="E21" s="35"/>
      <c r="G21" t="s">
        <v>154</v>
      </c>
    </row>
    <row r="22" spans="1:15" x14ac:dyDescent="0.6">
      <c r="A22" s="42">
        <v>7</v>
      </c>
      <c r="B22" t="s">
        <v>155</v>
      </c>
      <c r="C22" s="34">
        <f>SUMPRODUCT('Attachment 2'!O$45:V$45,'Attachment 2'!C$84:J$84)</f>
        <v>3556525.0406380412</v>
      </c>
      <c r="D22" s="34"/>
      <c r="E22" s="35"/>
    </row>
    <row r="23" spans="1:15" x14ac:dyDescent="0.6">
      <c r="A23" s="42"/>
      <c r="D23" s="28"/>
    </row>
    <row r="24" spans="1:15" x14ac:dyDescent="0.6">
      <c r="A24" s="42"/>
      <c r="B24" t="s">
        <v>156</v>
      </c>
    </row>
    <row r="25" spans="1:15" x14ac:dyDescent="0.6">
      <c r="A25" s="42">
        <v>8</v>
      </c>
      <c r="B25" s="114" t="s">
        <v>149</v>
      </c>
      <c r="C25" s="43">
        <f t="shared" ref="C25:E26" si="0">((+C$8+C$9)*C$13/C$14*C17*$C21/1000)</f>
        <v>114000.89557955139</v>
      </c>
      <c r="D25" s="43">
        <f t="shared" si="0"/>
        <v>90736.232405842529</v>
      </c>
      <c r="E25" s="43">
        <f t="shared" si="0"/>
        <v>90736.232405842529</v>
      </c>
      <c r="G25" s="141" t="s">
        <v>276</v>
      </c>
      <c r="M25" s="43"/>
      <c r="N25" s="43"/>
      <c r="O25" s="43"/>
    </row>
    <row r="26" spans="1:15" x14ac:dyDescent="0.6">
      <c r="A26" s="42">
        <v>9</v>
      </c>
      <c r="B26" s="114" t="s">
        <v>151</v>
      </c>
      <c r="C26" s="143">
        <f t="shared" si="0"/>
        <v>159422.8515488914</v>
      </c>
      <c r="D26" s="143">
        <f t="shared" si="0"/>
        <v>126888.73043850932</v>
      </c>
      <c r="E26" s="143">
        <f t="shared" si="0"/>
        <v>126888.73043850932</v>
      </c>
      <c r="G26" s="141" t="s">
        <v>277</v>
      </c>
      <c r="M26" s="243"/>
      <c r="N26" s="243"/>
      <c r="O26" s="243"/>
    </row>
    <row r="27" spans="1:15" x14ac:dyDescent="0.6">
      <c r="A27" s="42">
        <v>10</v>
      </c>
      <c r="B27" t="s">
        <v>157</v>
      </c>
      <c r="C27" s="31">
        <f>+C26+C25</f>
        <v>273423.7471284428</v>
      </c>
      <c r="D27" s="31">
        <f>+D26+D25</f>
        <v>217624.96284435183</v>
      </c>
      <c r="E27" s="31">
        <f>+E26+E25</f>
        <v>217624.96284435183</v>
      </c>
      <c r="M27" s="31"/>
      <c r="N27" s="31"/>
      <c r="O27" s="31"/>
    </row>
    <row r="28" spans="1:15" x14ac:dyDescent="0.6">
      <c r="A28" s="42"/>
    </row>
    <row r="29" spans="1:15" x14ac:dyDescent="0.6">
      <c r="A29" s="42"/>
      <c r="B29" t="s">
        <v>158</v>
      </c>
    </row>
    <row r="30" spans="1:15" x14ac:dyDescent="0.6">
      <c r="A30" s="42">
        <v>11</v>
      </c>
      <c r="B30" s="114" t="s">
        <v>149</v>
      </c>
      <c r="C30" s="85">
        <f>ROUND(+SUM(C25:E25)/C21*1000,3)</f>
        <v>116.181</v>
      </c>
      <c r="D30" s="88"/>
      <c r="G30" s="141" t="s">
        <v>219</v>
      </c>
    </row>
    <row r="31" spans="1:15" x14ac:dyDescent="0.6">
      <c r="A31" s="42">
        <v>12</v>
      </c>
      <c r="B31" s="114" t="s">
        <v>151</v>
      </c>
      <c r="C31" s="26">
        <f>ROUND(+SUM(C26:E26)/C22*1000,3)</f>
        <v>116.181</v>
      </c>
      <c r="G31" s="141" t="s">
        <v>220</v>
      </c>
    </row>
    <row r="32" spans="1:15" x14ac:dyDescent="0.6">
      <c r="A32" s="42"/>
      <c r="B32" s="114"/>
      <c r="C32" s="116"/>
      <c r="G32" s="84"/>
    </row>
    <row r="33" spans="1:11" x14ac:dyDescent="0.6">
      <c r="A33" s="42">
        <v>13</v>
      </c>
      <c r="B33" t="s">
        <v>159</v>
      </c>
      <c r="C33" s="117">
        <f>ROUND(+SUM(C27:E27)/(C21+C22)*1000,3)</f>
        <v>116.181</v>
      </c>
      <c r="D33" t="s">
        <v>160</v>
      </c>
      <c r="G33" s="141" t="s">
        <v>221</v>
      </c>
    </row>
    <row r="34" spans="1:11" x14ac:dyDescent="0.6">
      <c r="D34" t="s">
        <v>161</v>
      </c>
      <c r="G34" t="s">
        <v>162</v>
      </c>
    </row>
    <row r="35" spans="1:11" x14ac:dyDescent="0.6">
      <c r="C35" s="88"/>
    </row>
    <row r="36" spans="1:11" x14ac:dyDescent="0.6">
      <c r="B36" s="21" t="s">
        <v>163</v>
      </c>
      <c r="D36" s="88"/>
    </row>
    <row r="37" spans="1:11" x14ac:dyDescent="0.6">
      <c r="A37" s="42">
        <v>14</v>
      </c>
      <c r="B37" s="6" t="s">
        <v>164</v>
      </c>
      <c r="C37" s="31">
        <f>(C33*(C22+C21))/1000</f>
        <v>708674.22733922629</v>
      </c>
      <c r="D37" s="88"/>
      <c r="G37" s="141" t="s">
        <v>222</v>
      </c>
    </row>
    <row r="38" spans="1:11" ht="15.25" x14ac:dyDescent="1.05">
      <c r="A38" s="42">
        <v>15</v>
      </c>
      <c r="B38" s="6" t="s">
        <v>165</v>
      </c>
      <c r="C38" s="45">
        <f>SUM(C27:E27)</f>
        <v>708673.67281714641</v>
      </c>
      <c r="D38" s="88"/>
      <c r="G38" s="141" t="s">
        <v>223</v>
      </c>
    </row>
    <row r="39" spans="1:11" x14ac:dyDescent="0.6">
      <c r="A39" s="42">
        <v>16</v>
      </c>
      <c r="B39" s="6" t="s">
        <v>166</v>
      </c>
      <c r="C39" s="43">
        <f>+C37-C38</f>
        <v>0.55452207988128066</v>
      </c>
      <c r="D39" s="88"/>
      <c r="G39" s="141" t="s">
        <v>224</v>
      </c>
    </row>
    <row r="40" spans="1:11" x14ac:dyDescent="0.6">
      <c r="B40" s="6"/>
      <c r="D40" s="88"/>
    </row>
    <row r="42" spans="1:11" x14ac:dyDescent="0.6">
      <c r="A42" s="24" t="s">
        <v>196</v>
      </c>
      <c r="B42" s="3" t="s">
        <v>273</v>
      </c>
      <c r="G42" s="4" t="s">
        <v>167</v>
      </c>
    </row>
    <row r="43" spans="1:11" x14ac:dyDescent="0.6">
      <c r="A43" s="15"/>
      <c r="B43" s="3"/>
      <c r="G43" s="4" t="s">
        <v>185</v>
      </c>
    </row>
    <row r="44" spans="1:11" x14ac:dyDescent="0.6">
      <c r="B44" s="3"/>
    </row>
    <row r="45" spans="1:11" x14ac:dyDescent="0.6">
      <c r="B45" s="4" t="s">
        <v>256</v>
      </c>
    </row>
    <row r="46" spans="1:11" x14ac:dyDescent="0.6">
      <c r="B46" s="3"/>
    </row>
    <row r="47" spans="1:11" x14ac:dyDescent="0.6">
      <c r="C47" s="17" t="s">
        <v>5</v>
      </c>
      <c r="D47" s="17" t="s">
        <v>119</v>
      </c>
      <c r="E47" s="17" t="s">
        <v>6</v>
      </c>
      <c r="F47" s="17" t="s">
        <v>7</v>
      </c>
      <c r="G47" s="17" t="s">
        <v>8</v>
      </c>
      <c r="H47" s="17" t="s">
        <v>9</v>
      </c>
      <c r="I47" s="17" t="s">
        <v>10</v>
      </c>
      <c r="J47" s="17" t="s">
        <v>11</v>
      </c>
      <c r="K47" s="17"/>
    </row>
    <row r="48" spans="1:11" x14ac:dyDescent="0.6">
      <c r="C48" s="17"/>
      <c r="D48" s="17"/>
      <c r="E48" s="17"/>
      <c r="F48" s="17"/>
      <c r="G48" s="17"/>
    </row>
    <row r="49" spans="2:13" x14ac:dyDescent="0.6">
      <c r="B49" s="18" t="s">
        <v>43</v>
      </c>
      <c r="D49" s="142">
        <f>'Attachment 2'!D207</f>
        <v>1.2929999999999999</v>
      </c>
      <c r="E49" s="142">
        <f>'Attachment 2'!E207</f>
        <v>0.91300000000000003</v>
      </c>
      <c r="F49" s="142">
        <f>'Attachment 2'!F207</f>
        <v>0.98499999999999999</v>
      </c>
      <c r="G49" s="142">
        <f>'Attachment 2'!G207</f>
        <v>0.93400000000000005</v>
      </c>
      <c r="H49" s="142">
        <f>'Attachment 2'!H207</f>
        <v>1.5840000000000001</v>
      </c>
      <c r="I49" s="142">
        <f>'Attachment 2'!I207</f>
        <v>0.61799999999999999</v>
      </c>
      <c r="J49" s="142">
        <f>'Attachment 2'!J207</f>
        <v>0.78</v>
      </c>
      <c r="K49" s="36"/>
    </row>
    <row r="50" spans="2:13" x14ac:dyDescent="0.6">
      <c r="B50" s="25" t="s">
        <v>114</v>
      </c>
      <c r="D50" s="142">
        <f>'Attachment 2'!D208</f>
        <v>1.4019999999999999</v>
      </c>
      <c r="E50" s="3"/>
      <c r="F50" s="3"/>
      <c r="G50" s="3"/>
      <c r="H50" s="3"/>
      <c r="I50" s="3"/>
      <c r="J50" s="3"/>
      <c r="K50" s="36"/>
      <c r="L50" s="36"/>
      <c r="M50" s="36"/>
    </row>
    <row r="51" spans="2:13" x14ac:dyDescent="0.6">
      <c r="B51" s="25" t="s">
        <v>37</v>
      </c>
      <c r="D51" s="142">
        <f>'Attachment 2'!D209</f>
        <v>0.60599999999999998</v>
      </c>
      <c r="E51" s="3"/>
      <c r="F51" s="3"/>
      <c r="G51" s="3"/>
      <c r="H51" s="3"/>
      <c r="I51" s="3"/>
      <c r="J51" s="3"/>
      <c r="K51" s="39"/>
      <c r="L51" s="36"/>
      <c r="M51" s="36"/>
    </row>
    <row r="52" spans="2:13" x14ac:dyDescent="0.6">
      <c r="E52" s="19"/>
      <c r="F52" s="37"/>
      <c r="G52" s="37"/>
      <c r="L52" s="36"/>
      <c r="M52" s="36"/>
    </row>
    <row r="53" spans="2:13" x14ac:dyDescent="0.6">
      <c r="B53" s="13" t="s">
        <v>82</v>
      </c>
      <c r="C53" s="23">
        <f>'Attachment 2'!C210</f>
        <v>1.006</v>
      </c>
      <c r="D53" s="23"/>
      <c r="E53" s="19"/>
      <c r="F53" s="37"/>
      <c r="G53" s="37"/>
      <c r="H53" s="37"/>
      <c r="I53" s="37"/>
      <c r="J53" s="37"/>
      <c r="K53" s="36"/>
      <c r="L53" s="36"/>
      <c r="M53" s="36"/>
    </row>
    <row r="54" spans="2:13" x14ac:dyDescent="0.6">
      <c r="B54" s="13" t="s">
        <v>83</v>
      </c>
      <c r="C54" s="23">
        <f>'Attachment 2'!C211</f>
        <v>-3.0116408311966012</v>
      </c>
      <c r="D54" s="23"/>
      <c r="E54" s="32" t="s">
        <v>84</v>
      </c>
      <c r="F54" s="37"/>
      <c r="G54" s="37"/>
      <c r="H54" s="37"/>
      <c r="I54" s="37"/>
      <c r="J54" s="37"/>
      <c r="K54" s="36"/>
      <c r="L54" s="36"/>
      <c r="M54" s="36"/>
    </row>
    <row r="55" spans="2:13" x14ac:dyDescent="0.6">
      <c r="B55" s="13" t="s">
        <v>83</v>
      </c>
      <c r="C55" s="23">
        <f>'Attachment 2'!C212</f>
        <v>5.6403591688033998</v>
      </c>
      <c r="D55" s="23"/>
      <c r="E55" s="32" t="s">
        <v>85</v>
      </c>
      <c r="F55" s="37"/>
      <c r="G55" s="37"/>
      <c r="H55" s="37"/>
      <c r="I55" s="37"/>
      <c r="J55" s="37"/>
      <c r="K55" s="36"/>
      <c r="L55" s="36"/>
      <c r="M55" s="36"/>
    </row>
    <row r="56" spans="2:13" x14ac:dyDescent="0.6">
      <c r="G56" s="37"/>
      <c r="H56" s="37"/>
      <c r="I56" s="37"/>
      <c r="J56" s="37"/>
      <c r="K56" s="36"/>
      <c r="L56" s="36"/>
      <c r="M56" s="36"/>
    </row>
    <row r="57" spans="2:13" x14ac:dyDescent="0.6">
      <c r="H57" s="37"/>
      <c r="I57" s="37"/>
      <c r="J57" s="37"/>
      <c r="K57" s="36"/>
      <c r="L57" s="36"/>
      <c r="M57" s="36"/>
    </row>
    <row r="58" spans="2:13" x14ac:dyDescent="0.6">
      <c r="C58" s="37"/>
      <c r="D58" s="37"/>
      <c r="E58" s="37"/>
      <c r="F58" s="37"/>
      <c r="G58" s="37"/>
      <c r="H58" s="37"/>
      <c r="I58" s="37"/>
      <c r="J58" s="37"/>
      <c r="K58" s="36"/>
      <c r="L58" s="36"/>
      <c r="M58" s="36"/>
    </row>
    <row r="59" spans="2:13" x14ac:dyDescent="0.6">
      <c r="B59" s="18" t="s">
        <v>44</v>
      </c>
      <c r="C59" s="23">
        <f>'Attachment 2'!C214</f>
        <v>1.1819999999999999</v>
      </c>
      <c r="D59" s="23">
        <f>'Attachment 2'!D214</f>
        <v>1.7829999999999999</v>
      </c>
      <c r="E59" s="23">
        <f>'Attachment 2'!E214</f>
        <v>0.96899999999999997</v>
      </c>
      <c r="F59" s="23">
        <f>'Attachment 2'!F214</f>
        <v>1.131</v>
      </c>
      <c r="G59" s="23">
        <f>'Attachment 2'!G214</f>
        <v>0.98499999999999999</v>
      </c>
      <c r="H59" s="23">
        <f>'Attachment 2'!H214</f>
        <v>1.6259999999999999</v>
      </c>
      <c r="I59" s="23">
        <f>'Attachment 2'!I214</f>
        <v>0.67100000000000004</v>
      </c>
      <c r="J59" s="23">
        <f>'Attachment 2'!J214</f>
        <v>0.80800000000000005</v>
      </c>
      <c r="K59" s="36"/>
      <c r="L59" s="36"/>
      <c r="M59" s="36"/>
    </row>
    <row r="60" spans="2:13" x14ac:dyDescent="0.6">
      <c r="B60" s="25" t="s">
        <v>114</v>
      </c>
      <c r="C60" s="23"/>
      <c r="D60" s="23">
        <f>'Attachment 2'!D215</f>
        <v>1.8160000000000001</v>
      </c>
      <c r="E60" s="23"/>
      <c r="F60" s="23"/>
      <c r="G60" s="23"/>
      <c r="H60" s="23"/>
      <c r="I60" s="23"/>
      <c r="J60" s="23"/>
      <c r="K60" s="36"/>
      <c r="L60" s="36"/>
      <c r="M60" s="36"/>
    </row>
    <row r="61" spans="2:13" x14ac:dyDescent="0.6">
      <c r="B61" s="25" t="s">
        <v>37</v>
      </c>
      <c r="C61" s="23"/>
      <c r="D61" s="23">
        <f>'Attachment 2'!D216</f>
        <v>0.66700000000000004</v>
      </c>
      <c r="E61" s="23"/>
      <c r="F61" s="23"/>
      <c r="G61" s="23"/>
      <c r="H61" s="23"/>
      <c r="I61" s="23"/>
      <c r="J61" s="23"/>
      <c r="K61" s="39"/>
      <c r="L61" s="36"/>
      <c r="M61" s="36"/>
    </row>
    <row r="62" spans="2:13" x14ac:dyDescent="0.6">
      <c r="C62" s="36"/>
      <c r="D62" s="36"/>
      <c r="E62" s="36"/>
      <c r="F62" s="36"/>
      <c r="G62" s="36"/>
      <c r="K62" s="36"/>
      <c r="L62" s="36"/>
      <c r="M62" s="36"/>
    </row>
    <row r="63" spans="2:13" x14ac:dyDescent="0.6">
      <c r="B63" t="s">
        <v>168</v>
      </c>
      <c r="C63" s="47">
        <f>'Attachment 2'!C217</f>
        <v>1.105</v>
      </c>
      <c r="D63" s="47">
        <f>'Attachment 2'!D217</f>
        <v>1.018</v>
      </c>
      <c r="E63" s="47">
        <f>'Attachment 2'!E217</f>
        <v>0.94699999999999995</v>
      </c>
      <c r="F63" s="47">
        <f>'Attachment 2'!F217</f>
        <v>1.07</v>
      </c>
      <c r="G63" s="47">
        <f>'Attachment 2'!G217</f>
        <v>0.96599999999999997</v>
      </c>
      <c r="H63" s="47">
        <f>'Attachment 2'!H217</f>
        <v>1.6120000000000001</v>
      </c>
      <c r="I63" s="47">
        <f>'Attachment 2'!I217</f>
        <v>0.65500000000000003</v>
      </c>
      <c r="J63" s="47">
        <f>'Attachment 2'!J217</f>
        <v>0.79800000000000004</v>
      </c>
      <c r="K63" s="36"/>
      <c r="L63" s="36"/>
      <c r="M63" s="36"/>
    </row>
    <row r="64" spans="2:13" x14ac:dyDescent="0.6">
      <c r="L64" s="36"/>
      <c r="M64" s="36"/>
    </row>
    <row r="66" spans="1:13" x14ac:dyDescent="0.6">
      <c r="A66" s="118" t="s">
        <v>188</v>
      </c>
      <c r="B66" s="41" t="s">
        <v>189</v>
      </c>
      <c r="C66" s="36"/>
      <c r="E66" s="36"/>
    </row>
    <row r="67" spans="1:13" x14ac:dyDescent="0.6">
      <c r="B67" s="4" t="s">
        <v>169</v>
      </c>
    </row>
    <row r="69" spans="1:13" x14ac:dyDescent="0.6">
      <c r="B69" s="4" t="s">
        <v>256</v>
      </c>
    </row>
    <row r="70" spans="1:13" x14ac:dyDescent="0.6">
      <c r="B70" s="3"/>
    </row>
    <row r="71" spans="1:13" x14ac:dyDescent="0.6">
      <c r="C71" s="17" t="str">
        <f t="shared" ref="C71:I71" si="1">+C47</f>
        <v>RS</v>
      </c>
      <c r="D71" s="17" t="str">
        <f t="shared" si="1"/>
        <v>RS TOU - BGS</v>
      </c>
      <c r="E71" s="17" t="str">
        <f t="shared" si="1"/>
        <v>MGS - SEC</v>
      </c>
      <c r="F71" s="17" t="str">
        <f t="shared" si="1"/>
        <v>MGS - PRI</v>
      </c>
      <c r="G71" s="17" t="str">
        <f t="shared" si="1"/>
        <v>AGS - SEC</v>
      </c>
      <c r="H71" s="17" t="str">
        <f t="shared" si="1"/>
        <v>AGS - PRI</v>
      </c>
      <c r="I71" s="17" t="str">
        <f t="shared" si="1"/>
        <v>SPL/CSL</v>
      </c>
      <c r="J71" s="17" t="str">
        <f>+J47</f>
        <v>DDC</v>
      </c>
    </row>
    <row r="72" spans="1:13" x14ac:dyDescent="0.6">
      <c r="C72" s="118"/>
      <c r="D72" s="118"/>
      <c r="E72" s="118"/>
      <c r="F72" s="119"/>
      <c r="G72" s="119"/>
      <c r="H72" s="119"/>
      <c r="I72" s="119"/>
      <c r="J72" s="119"/>
    </row>
    <row r="73" spans="1:13" x14ac:dyDescent="0.6">
      <c r="B73" s="18" t="s">
        <v>43</v>
      </c>
      <c r="C73" s="119"/>
      <c r="D73" s="119">
        <f t="shared" ref="D73:I73" si="2">ROUND(($C$33*D49)/10,4)</f>
        <v>15.0222</v>
      </c>
      <c r="E73" s="119">
        <f t="shared" si="2"/>
        <v>10.6073</v>
      </c>
      <c r="F73" s="119">
        <f t="shared" si="2"/>
        <v>11.4438</v>
      </c>
      <c r="G73" s="119">
        <f t="shared" si="2"/>
        <v>10.8513</v>
      </c>
      <c r="H73" s="119">
        <f t="shared" si="2"/>
        <v>18.403099999999998</v>
      </c>
      <c r="I73" s="119">
        <f t="shared" si="2"/>
        <v>7.18</v>
      </c>
      <c r="J73" s="119">
        <f>ROUND(($C$33*J49)/10,4)</f>
        <v>9.0620999999999992</v>
      </c>
    </row>
    <row r="74" spans="1:13" x14ac:dyDescent="0.6">
      <c r="B74" s="25" t="s">
        <v>114</v>
      </c>
      <c r="C74" s="118"/>
      <c r="D74" s="119">
        <f>ROUND(($C$33*D50)/10,4)</f>
        <v>16.288599999999999</v>
      </c>
      <c r="E74" s="119"/>
      <c r="F74" s="118"/>
      <c r="G74" s="118"/>
      <c r="H74" s="118"/>
      <c r="I74" s="118"/>
      <c r="J74" s="118"/>
      <c r="L74" s="36"/>
      <c r="M74" s="36"/>
    </row>
    <row r="75" spans="1:13" x14ac:dyDescent="0.6">
      <c r="B75" s="25" t="s">
        <v>37</v>
      </c>
      <c r="C75" s="118"/>
      <c r="D75" s="119">
        <f>ROUND(($C$33*D51)/10,4)</f>
        <v>7.0406000000000004</v>
      </c>
      <c r="E75" s="119"/>
      <c r="F75" s="118"/>
      <c r="G75" s="118"/>
      <c r="H75" s="118"/>
      <c r="I75" s="118"/>
      <c r="J75" s="118"/>
      <c r="L75" s="36"/>
      <c r="M75" s="36"/>
    </row>
    <row r="76" spans="1:13" x14ac:dyDescent="0.6">
      <c r="B76" s="16"/>
      <c r="C76" s="118"/>
      <c r="D76" s="118"/>
      <c r="E76" s="118"/>
      <c r="F76" s="118"/>
      <c r="G76" s="118"/>
      <c r="H76" s="118"/>
      <c r="I76" s="118"/>
      <c r="J76" s="118"/>
      <c r="L76" s="36"/>
      <c r="M76" s="36"/>
    </row>
    <row r="77" spans="1:13" x14ac:dyDescent="0.6">
      <c r="B77" s="32" t="s">
        <v>84</v>
      </c>
      <c r="C77" s="119">
        <f>ROUND((+$C$33*C53+C54)/10,4)</f>
        <v>11.3866</v>
      </c>
      <c r="D77" s="119"/>
      <c r="E77" s="118"/>
      <c r="F77" s="118"/>
      <c r="G77" s="118"/>
      <c r="H77" s="118"/>
      <c r="I77" s="118"/>
      <c r="J77" s="118"/>
      <c r="L77" s="36"/>
      <c r="M77" s="36"/>
    </row>
    <row r="78" spans="1:13" x14ac:dyDescent="0.6">
      <c r="B78" s="32" t="s">
        <v>85</v>
      </c>
      <c r="C78" s="119">
        <f>ROUND((+$C$33*C53+C55)/10,4)</f>
        <v>12.251799999999999</v>
      </c>
      <c r="D78" s="119"/>
      <c r="E78" s="118"/>
      <c r="F78" s="118"/>
      <c r="G78" s="118"/>
      <c r="H78" s="118"/>
      <c r="I78" s="118"/>
      <c r="J78" s="118"/>
      <c r="L78" s="36"/>
      <c r="M78" s="36"/>
    </row>
    <row r="79" spans="1:13" x14ac:dyDescent="0.6">
      <c r="C79" s="119"/>
      <c r="D79" s="119"/>
      <c r="E79" s="118"/>
      <c r="F79" s="118"/>
      <c r="G79" s="118"/>
      <c r="H79" s="118"/>
      <c r="I79" s="118"/>
      <c r="J79" s="118"/>
      <c r="L79" s="36"/>
      <c r="M79" s="36"/>
    </row>
    <row r="80" spans="1:13" x14ac:dyDescent="0.6">
      <c r="B80" s="18" t="s">
        <v>44</v>
      </c>
      <c r="C80" s="119">
        <f t="shared" ref="C80:I80" si="3">ROUND(($C$33*C59)/10,4)</f>
        <v>13.7326</v>
      </c>
      <c r="D80" s="119">
        <f t="shared" si="3"/>
        <v>20.7151</v>
      </c>
      <c r="E80" s="119">
        <f t="shared" si="3"/>
        <v>11.257899999999999</v>
      </c>
      <c r="F80" s="119">
        <f t="shared" si="3"/>
        <v>13.1401</v>
      </c>
      <c r="G80" s="119">
        <f t="shared" si="3"/>
        <v>11.4438</v>
      </c>
      <c r="H80" s="119">
        <f t="shared" si="3"/>
        <v>18.890999999999998</v>
      </c>
      <c r="I80" s="119">
        <f t="shared" si="3"/>
        <v>7.7957000000000001</v>
      </c>
      <c r="J80" s="119">
        <f>ROUND(($C$33*J59)/10,4)</f>
        <v>9.3873999999999995</v>
      </c>
      <c r="L80" s="36"/>
      <c r="M80" s="36"/>
    </row>
    <row r="81" spans="1:24" x14ac:dyDescent="0.6">
      <c r="B81" s="25" t="s">
        <v>114</v>
      </c>
      <c r="C81" s="118"/>
      <c r="D81" s="119">
        <f>ROUND(($C$33*D60)/10,4)</f>
        <v>21.098500000000001</v>
      </c>
      <c r="E81" s="119"/>
      <c r="F81" s="118"/>
      <c r="G81" s="118"/>
      <c r="H81" s="118"/>
      <c r="I81" s="118"/>
      <c r="L81" s="36"/>
      <c r="M81" s="36"/>
    </row>
    <row r="82" spans="1:24" x14ac:dyDescent="0.6">
      <c r="B82" s="25" t="s">
        <v>37</v>
      </c>
      <c r="C82" s="118"/>
      <c r="D82" s="119">
        <f>ROUND(($C$33*D61)/10,4)</f>
        <v>7.7492999999999999</v>
      </c>
      <c r="E82" s="119"/>
      <c r="F82" s="118"/>
      <c r="G82" s="118"/>
      <c r="H82" s="118"/>
      <c r="I82" s="118"/>
      <c r="J82" s="118"/>
      <c r="L82" s="36"/>
      <c r="M82" s="36"/>
    </row>
    <row r="83" spans="1:24" x14ac:dyDescent="0.6">
      <c r="C83" s="40"/>
      <c r="D83" s="38"/>
      <c r="E83" s="40"/>
      <c r="F83" s="38"/>
      <c r="J83" s="118"/>
      <c r="L83" s="36"/>
      <c r="M83" s="36"/>
    </row>
    <row r="85" spans="1:24" x14ac:dyDescent="0.6">
      <c r="A85" s="118" t="s">
        <v>186</v>
      </c>
      <c r="B85" s="3" t="s">
        <v>187</v>
      </c>
      <c r="C85" s="36"/>
      <c r="E85" s="36"/>
    </row>
    <row r="86" spans="1:24" x14ac:dyDescent="0.6">
      <c r="C86" s="36"/>
      <c r="E86" s="36"/>
    </row>
    <row r="87" spans="1:24" x14ac:dyDescent="0.6">
      <c r="C87" s="17" t="str">
        <f>C71</f>
        <v>RS</v>
      </c>
      <c r="D87" s="17" t="str">
        <f t="shared" ref="D87:I87" si="4">D71</f>
        <v>RS TOU - BGS</v>
      </c>
      <c r="E87" s="17" t="str">
        <f t="shared" si="4"/>
        <v>MGS - SEC</v>
      </c>
      <c r="F87" s="17" t="str">
        <f t="shared" si="4"/>
        <v>MGS - PRI</v>
      </c>
      <c r="G87" s="17" t="str">
        <f t="shared" si="4"/>
        <v>AGS - SEC</v>
      </c>
      <c r="H87" s="17" t="str">
        <f t="shared" si="4"/>
        <v>AGS - PRI</v>
      </c>
      <c r="I87" s="17" t="str">
        <f t="shared" si="4"/>
        <v>SPL/CSL</v>
      </c>
      <c r="J87" s="17" t="str">
        <f>J71</f>
        <v>DDC</v>
      </c>
    </row>
    <row r="88" spans="1:24" x14ac:dyDescent="0.6">
      <c r="B88" t="s">
        <v>140</v>
      </c>
      <c r="K88" s="17"/>
      <c r="L88" s="17"/>
    </row>
    <row r="89" spans="1:24" x14ac:dyDescent="0.6">
      <c r="B89" s="42" t="s">
        <v>58</v>
      </c>
      <c r="C89" s="43">
        <f>+C77/100*'Attachment 2'!$O52+C78/100*'Attachment 2'!$O53</f>
        <v>193630.07818380394</v>
      </c>
      <c r="D89" s="43">
        <f>(D74/100*'Attachment 2'!$P49)+(D75/100*'Attachment 2'!$P50)</f>
        <v>93.35320199498122</v>
      </c>
      <c r="E89" s="44">
        <f>E73/100*'Attachment 2'!$Q48</f>
        <v>41586.545018759127</v>
      </c>
      <c r="F89" s="44">
        <f>F73/100*'Attachment 2'!R48</f>
        <v>1963.8278475695627</v>
      </c>
      <c r="G89" s="44">
        <f>G73/100*'Attachment 2'!$S48</f>
        <v>31637.707851014689</v>
      </c>
      <c r="H89" s="44">
        <f>H73/100*'Attachment 2'!$T48</f>
        <v>4085.6640735462847</v>
      </c>
      <c r="I89" s="44">
        <f>I73/100*'Attachment 2'!$U48</f>
        <v>1225.459720267892</v>
      </c>
      <c r="J89" s="44">
        <f>J73/100*'Attachment 2'!$V48</f>
        <v>375.61414643119468</v>
      </c>
      <c r="P89" s="50"/>
      <c r="Q89" s="50"/>
      <c r="R89" s="51"/>
      <c r="S89" s="51"/>
      <c r="T89" s="51"/>
      <c r="U89" s="51"/>
      <c r="V89" s="51"/>
      <c r="W89" s="51"/>
      <c r="X89" s="106"/>
    </row>
    <row r="90" spans="1:24" ht="15.25" x14ac:dyDescent="1.05">
      <c r="B90" s="42" t="s">
        <v>61</v>
      </c>
      <c r="C90" s="30">
        <f>+C80/100*'Attachment 2'!$O45</f>
        <v>293517.44565236598</v>
      </c>
      <c r="D90" s="30">
        <f>(D81/100*'Attachment 2'!$P46)+(D82/100*'Attachment 2'!$P47)</f>
        <v>143.53625750067562</v>
      </c>
      <c r="E90" s="30">
        <f>E80/100*'Attachment 2'!$Q45</f>
        <v>70515.214649556336</v>
      </c>
      <c r="F90" s="30">
        <f>F80/100*'Attachment 2'!R45</f>
        <v>3117.5307728257112</v>
      </c>
      <c r="G90" s="30">
        <f>G80/100*'Attachment 2'!$S45</f>
        <v>55046.942769810434</v>
      </c>
      <c r="H90" s="30">
        <f>H80/100*'Attachment 2'!$T45</f>
        <v>8024.1225556423879</v>
      </c>
      <c r="I90" s="30">
        <f>I80/100*'Attachment 2'!$U45</f>
        <v>3110.8322251771924</v>
      </c>
      <c r="J90" s="30">
        <f>J80/100*'Attachment 2'!$V45</f>
        <v>649.30566836877142</v>
      </c>
      <c r="K90" s="48"/>
      <c r="P90" s="52"/>
      <c r="Q90" s="52"/>
      <c r="R90" s="52"/>
      <c r="S90" s="52"/>
      <c r="T90" s="52"/>
      <c r="U90" s="52"/>
      <c r="V90" s="52"/>
      <c r="W90" s="52"/>
      <c r="X90" s="230"/>
    </row>
    <row r="91" spans="1:24" ht="15.25" x14ac:dyDescent="1.05">
      <c r="B91" s="42" t="s">
        <v>29</v>
      </c>
      <c r="C91" s="31">
        <f t="shared" ref="C91:I91" si="5">+C90+C89</f>
        <v>487147.52383616992</v>
      </c>
      <c r="D91" s="31">
        <f t="shared" si="5"/>
        <v>236.88945949565684</v>
      </c>
      <c r="E91" s="31">
        <f t="shared" si="5"/>
        <v>112101.75966831547</v>
      </c>
      <c r="F91" s="31">
        <f t="shared" si="5"/>
        <v>5081.3586203952736</v>
      </c>
      <c r="G91" s="31">
        <f t="shared" si="5"/>
        <v>86684.650620825123</v>
      </c>
      <c r="H91" s="31">
        <f t="shared" si="5"/>
        <v>12109.786629188673</v>
      </c>
      <c r="I91" s="31">
        <f t="shared" si="5"/>
        <v>4336.2919454450839</v>
      </c>
      <c r="J91" s="31">
        <f>+J90+J89</f>
        <v>1024.9198147999662</v>
      </c>
      <c r="K91" s="49"/>
      <c r="P91" s="53"/>
      <c r="Q91" s="53"/>
      <c r="R91" s="53"/>
      <c r="S91" s="53"/>
      <c r="T91" s="53"/>
      <c r="U91" s="53"/>
      <c r="V91" s="53"/>
      <c r="W91" s="53"/>
      <c r="X91" s="106"/>
    </row>
    <row r="92" spans="1:24" x14ac:dyDescent="0.6">
      <c r="B92" s="42"/>
      <c r="C92" s="31"/>
      <c r="D92" s="31"/>
      <c r="E92" s="31"/>
      <c r="F92" s="31"/>
      <c r="G92" s="31"/>
      <c r="H92" s="31"/>
      <c r="I92" s="31"/>
      <c r="J92" s="31"/>
      <c r="K92" s="31"/>
    </row>
    <row r="93" spans="1:24" x14ac:dyDescent="0.6">
      <c r="B93" s="42" t="s">
        <v>170</v>
      </c>
      <c r="C93" s="31">
        <f>SUM(C89:J89)</f>
        <v>274598.25004338776</v>
      </c>
      <c r="D93" s="31"/>
      <c r="E93" s="31"/>
      <c r="F93" s="31"/>
      <c r="G93" s="31"/>
      <c r="H93" s="31"/>
      <c r="I93" s="31"/>
      <c r="J93" s="31"/>
      <c r="K93" s="31"/>
      <c r="L93" s="31"/>
    </row>
    <row r="94" spans="1:24" ht="15.25" x14ac:dyDescent="1.05">
      <c r="B94" s="42" t="s">
        <v>171</v>
      </c>
      <c r="C94" s="45">
        <f>SUM(C90:J90)</f>
        <v>434124.9305512475</v>
      </c>
      <c r="E94" s="36"/>
      <c r="K94" s="31"/>
      <c r="L94" s="31"/>
    </row>
    <row r="95" spans="1:24" x14ac:dyDescent="0.6">
      <c r="B95" s="42" t="s">
        <v>172</v>
      </c>
      <c r="C95" s="31">
        <f>+C94+C93</f>
        <v>708723.1805946352</v>
      </c>
      <c r="E95" s="36"/>
    </row>
    <row r="96" spans="1:24" x14ac:dyDescent="0.6">
      <c r="B96" s="42"/>
      <c r="C96" s="36"/>
      <c r="E96" s="36"/>
    </row>
    <row r="97" spans="1:12" x14ac:dyDescent="0.6">
      <c r="C97" s="17"/>
      <c r="D97" s="17"/>
      <c r="E97" s="17"/>
      <c r="F97" s="17"/>
      <c r="G97" s="17"/>
      <c r="H97" s="17"/>
      <c r="I97" s="17"/>
      <c r="J97" s="17"/>
    </row>
    <row r="98" spans="1:12" x14ac:dyDescent="0.6">
      <c r="B98" t="s">
        <v>141</v>
      </c>
      <c r="K98" s="17"/>
      <c r="L98" s="17"/>
    </row>
    <row r="99" spans="1:12" x14ac:dyDescent="0.6">
      <c r="B99" s="42" t="s">
        <v>58</v>
      </c>
      <c r="C99" s="31">
        <f>+C25+D25+E25</f>
        <v>295473.36039123643</v>
      </c>
    </row>
    <row r="100" spans="1:12" ht="15.25" x14ac:dyDescent="1.05">
      <c r="B100" s="42" t="s">
        <v>61</v>
      </c>
      <c r="C100" s="45">
        <f>+C26+D26+E26</f>
        <v>413200.31242591003</v>
      </c>
      <c r="E100" s="54"/>
      <c r="F100" s="55"/>
      <c r="G100" s="55"/>
      <c r="H100" s="56"/>
    </row>
    <row r="101" spans="1:12" x14ac:dyDescent="0.6">
      <c r="B101" s="42" t="s">
        <v>29</v>
      </c>
      <c r="C101" s="31">
        <f>+C100+C99</f>
        <v>708673.67281714641</v>
      </c>
      <c r="E101" s="57" t="s">
        <v>181</v>
      </c>
      <c r="H101" s="120"/>
      <c r="J101" s="9" t="s">
        <v>174</v>
      </c>
    </row>
    <row r="102" spans="1:12" x14ac:dyDescent="0.6">
      <c r="C102" s="36"/>
      <c r="E102" s="57" t="s">
        <v>182</v>
      </c>
      <c r="F102" s="4" t="s">
        <v>183</v>
      </c>
      <c r="H102" s="120"/>
      <c r="J102" s="46">
        <f>+C104/C99</f>
        <v>7.0649720571113184E-2</v>
      </c>
    </row>
    <row r="103" spans="1:12" x14ac:dyDescent="0.6">
      <c r="B103" s="21" t="s">
        <v>173</v>
      </c>
      <c r="C103" s="31"/>
      <c r="E103" s="121" t="s">
        <v>184</v>
      </c>
      <c r="H103" s="120"/>
      <c r="J103" s="46">
        <f>+C105/C100</f>
        <v>-5.0640373436526408E-2</v>
      </c>
    </row>
    <row r="104" spans="1:12" x14ac:dyDescent="0.6">
      <c r="B104" s="42" t="s">
        <v>58</v>
      </c>
      <c r="C104" s="31">
        <f>+C99-C93</f>
        <v>20875.110347848677</v>
      </c>
      <c r="E104" s="58">
        <f>ROUND(1+(C104/C93),5)</f>
        <v>1.07602</v>
      </c>
      <c r="H104" s="120"/>
      <c r="J104" s="46">
        <f>+C106/C101</f>
        <v>-6.9859766755529752E-5</v>
      </c>
    </row>
    <row r="105" spans="1:12" ht="15.25" x14ac:dyDescent="1.05">
      <c r="B105" s="42" t="s">
        <v>61</v>
      </c>
      <c r="C105" s="45">
        <f>+C100-C94</f>
        <v>-20924.618125337467</v>
      </c>
      <c r="E105" s="58">
        <f>ROUND(1+(C105/C94),5)</f>
        <v>0.95179999999999998</v>
      </c>
      <c r="H105" s="120"/>
    </row>
    <row r="106" spans="1:12" x14ac:dyDescent="0.6">
      <c r="B106" s="42" t="s">
        <v>29</v>
      </c>
      <c r="C106" s="31">
        <f>+C101-C95</f>
        <v>-49.507777488790452</v>
      </c>
      <c r="E106" s="122"/>
      <c r="F106" s="123"/>
      <c r="G106" s="123"/>
      <c r="H106" s="124"/>
    </row>
    <row r="108" spans="1:12" x14ac:dyDescent="0.6">
      <c r="C108" t="s">
        <v>175</v>
      </c>
    </row>
    <row r="109" spans="1:12" x14ac:dyDescent="0.6">
      <c r="C109" t="s">
        <v>176</v>
      </c>
    </row>
    <row r="112" spans="1:12" x14ac:dyDescent="0.6">
      <c r="A112" s="118" t="s">
        <v>190</v>
      </c>
      <c r="B112" s="41" t="s">
        <v>191</v>
      </c>
      <c r="C112" s="36"/>
      <c r="E112" s="36"/>
    </row>
    <row r="113" spans="2:10" x14ac:dyDescent="0.6">
      <c r="B113" s="4" t="s">
        <v>169</v>
      </c>
    </row>
    <row r="115" spans="2:10" x14ac:dyDescent="0.6">
      <c r="B115" s="4" t="s">
        <v>256</v>
      </c>
    </row>
    <row r="116" spans="2:10" x14ac:dyDescent="0.6">
      <c r="B116" s="3"/>
    </row>
    <row r="117" spans="2:10" x14ac:dyDescent="0.6">
      <c r="C117" s="17" t="s">
        <v>5</v>
      </c>
      <c r="D117" s="17" t="s">
        <v>119</v>
      </c>
      <c r="E117" s="17" t="s">
        <v>6</v>
      </c>
      <c r="F117" s="17" t="s">
        <v>7</v>
      </c>
      <c r="G117" s="17" t="s">
        <v>8</v>
      </c>
      <c r="H117" s="17" t="s">
        <v>9</v>
      </c>
      <c r="I117" s="17" t="s">
        <v>10</v>
      </c>
      <c r="J117" s="17" t="s">
        <v>11</v>
      </c>
    </row>
    <row r="118" spans="2:10" x14ac:dyDescent="0.6">
      <c r="C118" s="118"/>
      <c r="D118" s="118"/>
      <c r="E118" s="118"/>
      <c r="F118" s="119"/>
      <c r="G118" s="119"/>
      <c r="H118" s="119"/>
      <c r="I118" s="119"/>
      <c r="J118" s="119"/>
    </row>
    <row r="119" spans="2:10" x14ac:dyDescent="0.6">
      <c r="B119" s="18" t="s">
        <v>43</v>
      </c>
      <c r="C119" s="119"/>
      <c r="D119" s="119">
        <f t="shared" ref="D119:I119" si="6">ROUND(D73*$E$104,4)</f>
        <v>16.164200000000001</v>
      </c>
      <c r="E119" s="119">
        <f t="shared" si="6"/>
        <v>11.4137</v>
      </c>
      <c r="F119" s="119">
        <f t="shared" si="6"/>
        <v>12.313800000000001</v>
      </c>
      <c r="G119" s="119">
        <f t="shared" si="6"/>
        <v>11.6762</v>
      </c>
      <c r="H119" s="119">
        <f t="shared" si="6"/>
        <v>19.802099999999999</v>
      </c>
      <c r="I119" s="119">
        <f t="shared" si="6"/>
        <v>7.7257999999999996</v>
      </c>
      <c r="J119" s="119">
        <f>ROUND(J73*$E$104,4)</f>
        <v>9.7509999999999994</v>
      </c>
    </row>
    <row r="120" spans="2:10" x14ac:dyDescent="0.6">
      <c r="B120" s="25" t="s">
        <v>114</v>
      </c>
      <c r="C120" s="118"/>
      <c r="D120" s="119">
        <f>ROUND(D74*$E$104,4)</f>
        <v>17.526900000000001</v>
      </c>
      <c r="E120" s="119"/>
      <c r="F120" s="118"/>
      <c r="G120" s="118"/>
      <c r="H120" s="118"/>
      <c r="I120" s="118"/>
      <c r="J120" s="118"/>
    </row>
    <row r="121" spans="2:10" x14ac:dyDescent="0.6">
      <c r="B121" s="25" t="s">
        <v>37</v>
      </c>
      <c r="C121" s="118"/>
      <c r="D121" s="119">
        <f>ROUND(D75*$E$104,4)</f>
        <v>7.5758000000000001</v>
      </c>
      <c r="E121" s="119"/>
      <c r="F121" s="118"/>
      <c r="G121" s="118"/>
      <c r="H121" s="118"/>
      <c r="I121" s="118"/>
      <c r="J121" s="118"/>
    </row>
    <row r="122" spans="2:10" x14ac:dyDescent="0.6">
      <c r="B122" s="16"/>
      <c r="C122" s="118"/>
      <c r="D122" s="118"/>
      <c r="E122" s="118"/>
      <c r="F122" s="118"/>
      <c r="G122" s="118"/>
      <c r="H122" s="118"/>
      <c r="I122" s="118"/>
      <c r="J122" s="118"/>
    </row>
    <row r="123" spans="2:10" x14ac:dyDescent="0.6">
      <c r="B123" s="32" t="s">
        <v>84</v>
      </c>
      <c r="C123" s="119">
        <f>ROUND(C77*$E$104,4)</f>
        <v>12.2522</v>
      </c>
      <c r="D123" s="119"/>
      <c r="E123" s="118"/>
      <c r="F123" s="118"/>
      <c r="G123" s="118"/>
      <c r="H123" s="118"/>
      <c r="I123" s="118"/>
      <c r="J123" s="118"/>
    </row>
    <row r="124" spans="2:10" x14ac:dyDescent="0.6">
      <c r="B124" s="32" t="s">
        <v>85</v>
      </c>
      <c r="C124" s="119">
        <f>ROUND(C78*$E$104,4)</f>
        <v>13.183199999999999</v>
      </c>
      <c r="D124" s="119"/>
      <c r="E124" s="118"/>
      <c r="F124" s="118"/>
      <c r="G124" s="118"/>
      <c r="H124" s="118"/>
      <c r="I124" s="118"/>
      <c r="J124" s="118"/>
    </row>
    <row r="125" spans="2:10" x14ac:dyDescent="0.6">
      <c r="C125" s="119"/>
      <c r="D125" s="119"/>
      <c r="E125" s="118"/>
      <c r="F125" s="118"/>
      <c r="G125" s="118"/>
      <c r="H125" s="118"/>
      <c r="I125" s="118"/>
      <c r="J125" s="118"/>
    </row>
    <row r="126" spans="2:10" x14ac:dyDescent="0.6">
      <c r="B126" s="18" t="s">
        <v>44</v>
      </c>
      <c r="C126" s="119">
        <f t="shared" ref="C126:I126" si="7">ROUND(C80*$E$105,4)</f>
        <v>13.0707</v>
      </c>
      <c r="D126" s="119">
        <f t="shared" si="7"/>
        <v>19.7166</v>
      </c>
      <c r="E126" s="119">
        <f t="shared" si="7"/>
        <v>10.715299999999999</v>
      </c>
      <c r="F126" s="119">
        <f t="shared" si="7"/>
        <v>12.5067</v>
      </c>
      <c r="G126" s="119">
        <f t="shared" si="7"/>
        <v>10.892200000000001</v>
      </c>
      <c r="H126" s="119">
        <f t="shared" si="7"/>
        <v>17.980499999999999</v>
      </c>
      <c r="I126" s="119">
        <f t="shared" si="7"/>
        <v>7.4199000000000002</v>
      </c>
      <c r="J126" s="119">
        <f>ROUND(J80*$E$105,4)</f>
        <v>8.9349000000000007</v>
      </c>
    </row>
    <row r="127" spans="2:10" x14ac:dyDescent="0.6">
      <c r="B127" s="25" t="s">
        <v>114</v>
      </c>
      <c r="C127" s="118"/>
      <c r="D127" s="119">
        <f>ROUND(D81*$E$105,4)</f>
        <v>20.081600000000002</v>
      </c>
      <c r="E127" s="119"/>
      <c r="F127" s="118"/>
      <c r="G127" s="118"/>
      <c r="H127" s="118"/>
      <c r="I127" s="118"/>
    </row>
    <row r="128" spans="2:10" x14ac:dyDescent="0.6">
      <c r="B128" s="25" t="s">
        <v>37</v>
      </c>
      <c r="C128" s="118"/>
      <c r="D128" s="119">
        <f>ROUND(D82*$E$105,4)</f>
        <v>7.3757999999999999</v>
      </c>
      <c r="E128" s="119"/>
      <c r="F128" s="118"/>
      <c r="G128" s="118"/>
      <c r="H128" s="118"/>
      <c r="I128" s="118"/>
      <c r="J128" s="118"/>
    </row>
    <row r="129" spans="1:10" x14ac:dyDescent="0.6">
      <c r="J129" s="118"/>
    </row>
    <row r="132" spans="1:10" x14ac:dyDescent="0.6">
      <c r="A132" s="118" t="s">
        <v>192</v>
      </c>
      <c r="B132" s="3" t="s">
        <v>193</v>
      </c>
      <c r="C132" s="36"/>
      <c r="E132" s="36"/>
    </row>
    <row r="134" spans="1:10" x14ac:dyDescent="0.6">
      <c r="C134" s="17" t="s">
        <v>5</v>
      </c>
      <c r="D134" s="17" t="s">
        <v>119</v>
      </c>
      <c r="E134" s="17" t="s">
        <v>6</v>
      </c>
      <c r="F134" s="17" t="s">
        <v>7</v>
      </c>
      <c r="G134" s="17" t="s">
        <v>8</v>
      </c>
      <c r="H134" s="17" t="s">
        <v>9</v>
      </c>
      <c r="I134" s="17" t="s">
        <v>10</v>
      </c>
      <c r="J134" s="17" t="s">
        <v>11</v>
      </c>
    </row>
    <row r="135" spans="1:10" x14ac:dyDescent="0.6">
      <c r="B135" t="s">
        <v>140</v>
      </c>
      <c r="C135" s="59"/>
    </row>
    <row r="136" spans="1:10" x14ac:dyDescent="0.6">
      <c r="B136" s="42" t="s">
        <v>58</v>
      </c>
      <c r="C136" s="59">
        <f>+C123/100*'Attachment 2'!O52+'Attachment 3'!C124/100*'Attachment 2'!O53</f>
        <v>208349.84068641398</v>
      </c>
      <c r="D136" s="29">
        <f>D120/100*'Attachment 2'!P49+D121/100*'Attachment 2'!P50</f>
        <v>100.44999138412476</v>
      </c>
      <c r="E136" s="59">
        <f>E119/100*'Attachment 2'!Q48</f>
        <v>44748.083761240945</v>
      </c>
      <c r="F136" s="59">
        <f>F119/100*'Attachment 2'!R48</f>
        <v>2113.1253036056278</v>
      </c>
      <c r="G136" s="59">
        <f>G119/100*'Attachment 2'!S48</f>
        <v>34042.760260062641</v>
      </c>
      <c r="H136" s="59">
        <f>H119/100*'Attachment 2'!T48</f>
        <v>4396.2554434182775</v>
      </c>
      <c r="I136" s="59">
        <f>I119/100*'Attachment 2'!U48</f>
        <v>1318.6151402292032</v>
      </c>
      <c r="J136" s="59">
        <f>J119/100*'Attachment 2'!V48</f>
        <v>404.16829894291385</v>
      </c>
    </row>
    <row r="137" spans="1:10" ht="15.25" x14ac:dyDescent="1.05">
      <c r="B137" s="42" t="s">
        <v>61</v>
      </c>
      <c r="C137" s="30">
        <f>+C126/100*'Attachment 2'!O45</f>
        <v>279370.14672300807</v>
      </c>
      <c r="D137" s="30">
        <f>D127/100*'Attachment 2'!P46+'Attachment 3'!D128/100*'Attachment 2'!P47</f>
        <v>136.61812811908607</v>
      </c>
      <c r="E137" s="30">
        <f>E126/100*'Attachment 2'!Q45</f>
        <v>67116.574097690609</v>
      </c>
      <c r="F137" s="30">
        <f>F126/100*'Attachment 2'!R45</f>
        <v>2967.2545959695381</v>
      </c>
      <c r="G137" s="30">
        <f>G126/100*'Attachment 2'!S45</f>
        <v>52393.63760615611</v>
      </c>
      <c r="H137" s="30">
        <f>H126/100*'Attachment 2'!T45</f>
        <v>7637.3794723269257</v>
      </c>
      <c r="I137" s="30">
        <f>I126/100*'Attachment 2'!U45</f>
        <v>2960.8712530744192</v>
      </c>
      <c r="J137" s="30">
        <f>J126/100*'Attachment 2'!V45</f>
        <v>618.00724548950041</v>
      </c>
    </row>
    <row r="138" spans="1:10" x14ac:dyDescent="0.6">
      <c r="B138" s="42" t="s">
        <v>29</v>
      </c>
      <c r="C138" s="31">
        <f t="shared" ref="C138:I138" si="8">+C137+C136</f>
        <v>487719.98740942206</v>
      </c>
      <c r="D138" s="31">
        <f t="shared" si="8"/>
        <v>237.06811950321082</v>
      </c>
      <c r="E138" s="31">
        <f t="shared" si="8"/>
        <v>111864.65785893155</v>
      </c>
      <c r="F138" s="31">
        <f t="shared" si="8"/>
        <v>5080.3798995751658</v>
      </c>
      <c r="G138" s="31">
        <f t="shared" si="8"/>
        <v>86436.397866218758</v>
      </c>
      <c r="H138" s="31">
        <f t="shared" si="8"/>
        <v>12033.634915745202</v>
      </c>
      <c r="I138" s="31">
        <f t="shared" si="8"/>
        <v>4279.4863933036222</v>
      </c>
      <c r="J138" s="31">
        <f>+J137+J136</f>
        <v>1022.1755444324142</v>
      </c>
    </row>
    <row r="139" spans="1:10" x14ac:dyDescent="0.6">
      <c r="B139" s="42"/>
      <c r="C139" s="31"/>
      <c r="D139" s="31"/>
      <c r="E139" s="31"/>
      <c r="F139" s="31"/>
      <c r="G139" s="31"/>
      <c r="H139" s="31"/>
      <c r="I139" s="31"/>
    </row>
    <row r="140" spans="1:10" x14ac:dyDescent="0.6">
      <c r="B140" s="42" t="s">
        <v>170</v>
      </c>
      <c r="C140" s="31">
        <f>SUM(C136:J136)</f>
        <v>295473.29888529773</v>
      </c>
      <c r="D140" s="31"/>
      <c r="E140" s="31"/>
      <c r="F140" s="31"/>
      <c r="G140" s="31"/>
      <c r="H140" s="31"/>
      <c r="I140" s="31"/>
      <c r="J140" s="31"/>
    </row>
    <row r="141" spans="1:10" ht="15.25" x14ac:dyDescent="1.05">
      <c r="B141" s="42" t="s">
        <v>171</v>
      </c>
      <c r="C141" s="45">
        <f>SUM(C137:J137)</f>
        <v>413200.48912183434</v>
      </c>
      <c r="E141" s="36"/>
      <c r="J141" s="31"/>
    </row>
    <row r="142" spans="1:10" x14ac:dyDescent="0.6">
      <c r="B142" s="42" t="s">
        <v>172</v>
      </c>
      <c r="C142" s="31">
        <f>+C141+C140</f>
        <v>708673.78800713201</v>
      </c>
      <c r="E142" s="36"/>
    </row>
    <row r="143" spans="1:10" x14ac:dyDescent="0.6">
      <c r="B143" s="42"/>
    </row>
    <row r="145" spans="2:3" x14ac:dyDescent="0.6">
      <c r="B145" t="s">
        <v>141</v>
      </c>
    </row>
    <row r="146" spans="2:3" x14ac:dyDescent="0.6">
      <c r="B146" s="42" t="s">
        <v>58</v>
      </c>
      <c r="C146" s="31">
        <f>C99</f>
        <v>295473.36039123643</v>
      </c>
    </row>
    <row r="147" spans="2:3" ht="15.25" x14ac:dyDescent="1.05">
      <c r="B147" s="42" t="s">
        <v>61</v>
      </c>
      <c r="C147" s="45">
        <f>C100</f>
        <v>413200.31242591003</v>
      </c>
    </row>
    <row r="148" spans="2:3" x14ac:dyDescent="0.6">
      <c r="B148" s="42" t="s">
        <v>29</v>
      </c>
      <c r="C148" s="31">
        <f>+C147+C146</f>
        <v>708673.67281714641</v>
      </c>
    </row>
    <row r="150" spans="2:3" x14ac:dyDescent="0.6">
      <c r="B150" s="21" t="s">
        <v>173</v>
      </c>
    </row>
    <row r="151" spans="2:3" x14ac:dyDescent="0.6">
      <c r="B151" s="42" t="s">
        <v>58</v>
      </c>
      <c r="C151" s="31">
        <f>+C140-C146</f>
        <v>-6.1505938705522567E-2</v>
      </c>
    </row>
    <row r="152" spans="2:3" ht="15.25" x14ac:dyDescent="1.05">
      <c r="B152" s="42" t="s">
        <v>61</v>
      </c>
      <c r="C152" s="45">
        <f>+C141-C147</f>
        <v>0.17669592431047931</v>
      </c>
    </row>
    <row r="153" spans="2:3" x14ac:dyDescent="0.6">
      <c r="B153" s="42" t="s">
        <v>29</v>
      </c>
      <c r="C153" s="31">
        <f>+C152+C151</f>
        <v>0.11518998560495675</v>
      </c>
    </row>
  </sheetData>
  <customSheetViews>
    <customSheetView guid="{689761CC-C80B-4574-9251-22E069AE5A7E}" scale="87" fitToPage="1" printArea="1" showRuler="0" topLeftCell="A80">
      <selection activeCell="C51" sqref="C51"/>
      <rowBreaks count="2" manualBreakCount="2">
        <brk id="36" max="12" man="1"/>
        <brk id="62" max="12" man="1"/>
      </rowBreaks>
      <pageMargins left="0.75" right="0.75" top="1" bottom="1" header="0.5" footer="0.5"/>
      <pageSetup scale="72" fitToHeight="0" orientation="landscape" r:id="rId1"/>
      <headerFooter alignWithMargins="0"/>
    </customSheetView>
    <customSheetView guid="{E387223A-F425-4996-A843-D576BB2C4D04}" scale="87" showPageBreaks="1" fitToPage="1" printArea="1" showRuler="0" topLeftCell="A80">
      <selection activeCell="C51" sqref="C51"/>
      <rowBreaks count="2" manualBreakCount="2">
        <brk id="36" max="12" man="1"/>
        <brk id="62" max="12" man="1"/>
      </rowBreaks>
      <pageMargins left="0.75" right="0.75" top="1" bottom="1" header="0.5" footer="0.5"/>
      <pageSetup scale="72" fitToHeight="0" orientation="landscape" r:id="rId2"/>
      <headerFooter alignWithMargins="0"/>
    </customSheetView>
  </customSheetViews>
  <phoneticPr fontId="0" type="noConversion"/>
  <pageMargins left="0.75" right="0.75" top="1.25" bottom="1" header="0.5" footer="0.5"/>
  <pageSetup scale="70" fitToHeight="0" orientation="landscape" r:id="rId3"/>
  <headerFooter alignWithMargins="0">
    <oddHeader>&amp;L&amp;"Arial,Bold"Atlantic City Electric Company &amp;"Arial,Regular"
Development of BGS Rates
June 2025 - May 2026&amp;RAttachment 3
Page &amp;P of &amp;N</oddHeader>
  </headerFooter>
  <rowBreaks count="3" manualBreakCount="3">
    <brk id="41" max="10" man="1"/>
    <brk id="84" max="10" man="1"/>
    <brk id="11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C8276-055F-4CE4-9884-3A5B0B2D0363}">
  <sheetPr>
    <pageSetUpPr fitToPage="1"/>
  </sheetPr>
  <dimension ref="A1:H28"/>
  <sheetViews>
    <sheetView zoomScaleNormal="100" zoomScaleSheetLayoutView="100" workbookViewId="0"/>
  </sheetViews>
  <sheetFormatPr defaultColWidth="9.08984375" defaultRowHeight="13" x14ac:dyDescent="0.6"/>
  <cols>
    <col min="1" max="1" width="3.31640625" style="153" bestFit="1" customWidth="1"/>
    <col min="2" max="2" width="81.08984375" style="153" customWidth="1"/>
    <col min="3" max="3" width="22.54296875" style="233" customWidth="1"/>
    <col min="4" max="4" width="22.54296875" style="153" customWidth="1"/>
    <col min="5" max="8" width="9.08984375" style="153"/>
    <col min="9" max="9" width="12.453125" style="153" customWidth="1"/>
    <col min="10" max="16384" width="9.08984375" style="153"/>
  </cols>
  <sheetData>
    <row r="1" spans="1:8" ht="15.5" x14ac:dyDescent="0.7">
      <c r="B1" s="154" t="s">
        <v>227</v>
      </c>
    </row>
    <row r="2" spans="1:8" ht="71.25" customHeight="1" x14ac:dyDescent="0.6">
      <c r="B2" s="254" t="s">
        <v>303</v>
      </c>
      <c r="C2" s="255" t="s">
        <v>301</v>
      </c>
      <c r="D2" s="255" t="s">
        <v>292</v>
      </c>
    </row>
    <row r="3" spans="1:8" ht="26" x14ac:dyDescent="0.6">
      <c r="C3" s="234" t="s">
        <v>279</v>
      </c>
      <c r="D3" s="234" t="s">
        <v>279</v>
      </c>
      <c r="E3" s="155" t="s">
        <v>144</v>
      </c>
    </row>
    <row r="4" spans="1:8" x14ac:dyDescent="0.6">
      <c r="A4" s="153">
        <v>1</v>
      </c>
      <c r="B4" s="156" t="s">
        <v>275</v>
      </c>
      <c r="C4" s="235">
        <v>270.35000000000002</v>
      </c>
      <c r="D4" s="235">
        <v>270.35000000000002</v>
      </c>
      <c r="E4" s="231" t="s">
        <v>274</v>
      </c>
    </row>
    <row r="5" spans="1:8" x14ac:dyDescent="0.6">
      <c r="A5" s="153">
        <v>2</v>
      </c>
      <c r="B5" s="156" t="s">
        <v>228</v>
      </c>
      <c r="C5" s="249">
        <v>44.63</v>
      </c>
      <c r="D5" s="249">
        <v>47.46</v>
      </c>
      <c r="E5" s="157" t="s">
        <v>315</v>
      </c>
      <c r="F5" s="157"/>
      <c r="G5" s="157"/>
      <c r="H5" s="157"/>
    </row>
    <row r="6" spans="1:8" x14ac:dyDescent="0.6">
      <c r="C6" s="234"/>
      <c r="D6" s="234"/>
      <c r="E6" s="155"/>
    </row>
    <row r="7" spans="1:8" x14ac:dyDescent="0.6">
      <c r="A7" s="153">
        <v>3</v>
      </c>
      <c r="B7" s="156" t="s">
        <v>229</v>
      </c>
      <c r="C7" s="236">
        <f>C4-C5</f>
        <v>225.72000000000003</v>
      </c>
      <c r="D7" s="236">
        <f>D4-D5</f>
        <v>222.89000000000001</v>
      </c>
      <c r="E7" s="157" t="s">
        <v>230</v>
      </c>
    </row>
    <row r="8" spans="1:8" x14ac:dyDescent="0.6">
      <c r="A8" s="153">
        <v>4</v>
      </c>
      <c r="B8" s="156" t="s">
        <v>231</v>
      </c>
      <c r="C8" s="237">
        <f>'Attachment 2'!K145</f>
        <v>2302.5767682130172</v>
      </c>
      <c r="D8" s="237">
        <f>C8</f>
        <v>2302.5767682130172</v>
      </c>
    </row>
    <row r="9" spans="1:8" x14ac:dyDescent="0.6">
      <c r="A9" s="153">
        <v>5</v>
      </c>
      <c r="B9" s="156" t="s">
        <v>232</v>
      </c>
      <c r="C9" s="238">
        <v>365</v>
      </c>
      <c r="D9" s="238">
        <v>365</v>
      </c>
    </row>
    <row r="10" spans="1:8" x14ac:dyDescent="0.6">
      <c r="A10" s="153">
        <v>6</v>
      </c>
      <c r="B10" s="156" t="s">
        <v>242</v>
      </c>
      <c r="C10" s="239">
        <f>C7*C8*C9</f>
        <v>189704234.26418045</v>
      </c>
      <c r="D10" s="239">
        <f>D7*D8*D9</f>
        <v>187325787.5914548</v>
      </c>
      <c r="E10" s="157" t="s">
        <v>233</v>
      </c>
    </row>
    <row r="11" spans="1:8" x14ac:dyDescent="0.6">
      <c r="B11" s="156"/>
      <c r="C11" s="240"/>
      <c r="D11" s="240"/>
      <c r="E11" s="157"/>
    </row>
    <row r="12" spans="1:8" x14ac:dyDescent="0.6">
      <c r="A12" s="153">
        <v>7</v>
      </c>
      <c r="B12" s="219" t="s">
        <v>234</v>
      </c>
      <c r="C12" s="158">
        <f>'Attachment 3'!C13</f>
        <v>8</v>
      </c>
      <c r="D12" s="158">
        <f>'Attachment 3'!D13</f>
        <v>7</v>
      </c>
      <c r="E12" s="157" t="s">
        <v>235</v>
      </c>
    </row>
    <row r="13" spans="1:8" x14ac:dyDescent="0.6">
      <c r="A13" s="153">
        <v>8</v>
      </c>
      <c r="B13" s="156" t="s">
        <v>236</v>
      </c>
      <c r="C13" s="159">
        <f>'Attachment 3'!C14</f>
        <v>22</v>
      </c>
      <c r="D13" s="159">
        <f>'Attachment 3'!D14</f>
        <v>22</v>
      </c>
      <c r="E13" s="157" t="s">
        <v>235</v>
      </c>
    </row>
    <row r="14" spans="1:8" x14ac:dyDescent="0.6">
      <c r="A14" s="153">
        <v>9</v>
      </c>
      <c r="B14" s="232" t="s">
        <v>253</v>
      </c>
      <c r="C14" s="160">
        <f>+C12/C13</f>
        <v>0.36363636363636365</v>
      </c>
      <c r="D14" s="160">
        <f>+D12/D13</f>
        <v>0.31818181818181818</v>
      </c>
      <c r="E14" s="157" t="s">
        <v>237</v>
      </c>
    </row>
    <row r="15" spans="1:8" x14ac:dyDescent="0.6">
      <c r="B15" s="156"/>
      <c r="C15" s="240"/>
      <c r="D15" s="240"/>
      <c r="E15" s="157"/>
    </row>
    <row r="16" spans="1:8" x14ac:dyDescent="0.6">
      <c r="A16" s="153">
        <v>10</v>
      </c>
      <c r="B16" s="156" t="s">
        <v>243</v>
      </c>
      <c r="C16" s="240">
        <f>C10*C14</f>
        <v>68983357.914247438</v>
      </c>
      <c r="D16" s="240">
        <f>D10*D14</f>
        <v>59603659.688190162</v>
      </c>
      <c r="E16" s="157" t="s">
        <v>238</v>
      </c>
    </row>
    <row r="17" spans="1:5" x14ac:dyDescent="0.6">
      <c r="B17" s="156"/>
      <c r="C17" s="240"/>
      <c r="D17" s="240"/>
      <c r="E17" s="157"/>
    </row>
    <row r="18" spans="1:5" x14ac:dyDescent="0.6">
      <c r="A18" s="153">
        <v>11</v>
      </c>
      <c r="B18" s="3" t="s">
        <v>251</v>
      </c>
      <c r="C18" s="241">
        <f>'Attachment 3'!C21+'Attachment 3'!C22</f>
        <v>6099742.8782608714</v>
      </c>
      <c r="D18" s="241">
        <f>C18</f>
        <v>6099742.8782608714</v>
      </c>
    </row>
    <row r="19" spans="1:5" x14ac:dyDescent="0.6">
      <c r="A19" s="153">
        <v>12</v>
      </c>
      <c r="B19" s="156" t="s">
        <v>252</v>
      </c>
      <c r="C19" s="238">
        <f>+C14*C18</f>
        <v>2218088.3193675894</v>
      </c>
      <c r="D19" s="238">
        <f>+D14*D18</f>
        <v>1940827.279446641</v>
      </c>
      <c r="E19" s="157" t="s">
        <v>239</v>
      </c>
    </row>
    <row r="20" spans="1:5" x14ac:dyDescent="0.6">
      <c r="B20" s="156"/>
      <c r="C20" s="240"/>
      <c r="D20" s="240"/>
      <c r="E20" s="157"/>
    </row>
    <row r="21" spans="1:5" ht="13.75" thickBot="1" x14ac:dyDescent="0.75">
      <c r="A21" s="153">
        <v>13</v>
      </c>
      <c r="B21" s="156" t="s">
        <v>240</v>
      </c>
      <c r="C21" s="242">
        <f>ROUND(+C16/C19,2)</f>
        <v>31.1</v>
      </c>
      <c r="D21" s="242">
        <f>ROUND(+D16/D19,2)</f>
        <v>30.71</v>
      </c>
      <c r="E21" s="161" t="s">
        <v>241</v>
      </c>
    </row>
    <row r="22" spans="1:5" ht="13.75" thickTop="1" x14ac:dyDescent="0.6">
      <c r="B22" s="156"/>
      <c r="C22" s="240"/>
      <c r="E22" s="157"/>
    </row>
    <row r="23" spans="1:5" x14ac:dyDescent="0.6">
      <c r="A23" s="247"/>
      <c r="B23" s="256"/>
      <c r="C23" s="240"/>
      <c r="E23" s="157"/>
    </row>
    <row r="24" spans="1:5" x14ac:dyDescent="0.6">
      <c r="B24" s="156"/>
      <c r="C24" s="240"/>
      <c r="E24" s="157"/>
    </row>
    <row r="26" spans="1:5" x14ac:dyDescent="0.6">
      <c r="C26" s="241"/>
    </row>
    <row r="28" spans="1:5" x14ac:dyDescent="0.6">
      <c r="B28" s="156"/>
      <c r="C28" s="235"/>
      <c r="E28" s="157"/>
    </row>
  </sheetData>
  <pageMargins left="0.7" right="0.7" top="1" bottom="0.75" header="0.3" footer="0.3"/>
  <pageSetup scale="65" fitToHeight="0" orientation="landscape" r:id="rId1"/>
  <headerFooter>
    <oddHeader>&amp;L&amp;"Arial,Bold"Atlantic City Electric
&amp;"Arial,Regular"Development of BGS Rates
June 2025 - May 2026&amp;RAttachment 4
Page 1 of 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0AB3C-0921-4C31-8E52-FB97CCD69CCB}">
  <sheetPr>
    <pageSetUpPr fitToPage="1"/>
  </sheetPr>
  <dimension ref="A1:H28"/>
  <sheetViews>
    <sheetView zoomScaleNormal="100" zoomScaleSheetLayoutView="100" workbookViewId="0"/>
  </sheetViews>
  <sheetFormatPr defaultColWidth="9.08984375" defaultRowHeight="13" x14ac:dyDescent="0.6"/>
  <cols>
    <col min="1" max="1" width="3.31640625" style="153" bestFit="1" customWidth="1"/>
    <col min="2" max="2" width="81.08984375" style="153" customWidth="1"/>
    <col min="3" max="4" width="22.54296875" style="233" customWidth="1"/>
    <col min="5" max="8" width="9.08984375" style="153"/>
    <col min="9" max="9" width="12.453125" style="153" customWidth="1"/>
    <col min="10" max="16384" width="9.08984375" style="153"/>
  </cols>
  <sheetData>
    <row r="1" spans="1:8" ht="15.5" x14ac:dyDescent="0.7">
      <c r="B1" s="154" t="s">
        <v>227</v>
      </c>
    </row>
    <row r="2" spans="1:8" ht="71.25" customHeight="1" x14ac:dyDescent="0.6">
      <c r="B2" s="254" t="s">
        <v>304</v>
      </c>
      <c r="C2" s="255" t="s">
        <v>292</v>
      </c>
      <c r="D2" s="255" t="s">
        <v>302</v>
      </c>
    </row>
    <row r="3" spans="1:8" ht="26" x14ac:dyDescent="0.6">
      <c r="C3" s="234" t="s">
        <v>282</v>
      </c>
      <c r="D3" s="234" t="s">
        <v>282</v>
      </c>
      <c r="E3" s="155" t="s">
        <v>144</v>
      </c>
    </row>
    <row r="4" spans="1:8" x14ac:dyDescent="0.6">
      <c r="A4" s="153">
        <v>1</v>
      </c>
      <c r="B4" s="156" t="s">
        <v>275</v>
      </c>
      <c r="C4" s="235">
        <v>280</v>
      </c>
      <c r="D4" s="235">
        <v>280</v>
      </c>
      <c r="E4" s="231" t="s">
        <v>274</v>
      </c>
    </row>
    <row r="5" spans="1:8" x14ac:dyDescent="0.6">
      <c r="A5" s="153">
        <v>2</v>
      </c>
      <c r="B5" s="156" t="s">
        <v>228</v>
      </c>
      <c r="C5" s="249">
        <v>49.05</v>
      </c>
      <c r="D5" s="249">
        <v>270.35000000000002</v>
      </c>
      <c r="E5" s="157" t="s">
        <v>316</v>
      </c>
      <c r="F5" s="157"/>
      <c r="G5" s="157"/>
      <c r="H5" s="157"/>
    </row>
    <row r="6" spans="1:8" x14ac:dyDescent="0.6">
      <c r="C6" s="234"/>
      <c r="D6" s="234"/>
      <c r="E6" s="155"/>
    </row>
    <row r="7" spans="1:8" x14ac:dyDescent="0.6">
      <c r="A7" s="153">
        <v>3</v>
      </c>
      <c r="B7" s="156" t="s">
        <v>229</v>
      </c>
      <c r="C7" s="236">
        <f>C4-C5</f>
        <v>230.95</v>
      </c>
      <c r="D7" s="236">
        <f>D4-D5</f>
        <v>9.6499999999999773</v>
      </c>
      <c r="E7" s="157" t="s">
        <v>230</v>
      </c>
    </row>
    <row r="8" spans="1:8" x14ac:dyDescent="0.6">
      <c r="A8" s="153">
        <v>4</v>
      </c>
      <c r="B8" s="156" t="s">
        <v>231</v>
      </c>
      <c r="C8" s="237">
        <f>'Attachment 2'!K145</f>
        <v>2302.5767682130172</v>
      </c>
      <c r="D8" s="237">
        <f>'Attachment 2'!K145</f>
        <v>2302.5767682130172</v>
      </c>
    </row>
    <row r="9" spans="1:8" x14ac:dyDescent="0.6">
      <c r="A9" s="153">
        <v>5</v>
      </c>
      <c r="B9" s="156" t="s">
        <v>232</v>
      </c>
      <c r="C9" s="238">
        <v>365</v>
      </c>
      <c r="D9" s="238">
        <v>365</v>
      </c>
    </row>
    <row r="10" spans="1:8" x14ac:dyDescent="0.6">
      <c r="A10" s="153">
        <v>6</v>
      </c>
      <c r="B10" s="156" t="s">
        <v>242</v>
      </c>
      <c r="C10" s="239">
        <f>C7*C8*C9</f>
        <v>194099738.18586063</v>
      </c>
      <c r="D10" s="239">
        <f>D7*D8*D9</f>
        <v>8110251.0218382813</v>
      </c>
      <c r="E10" s="157" t="s">
        <v>233</v>
      </c>
    </row>
    <row r="11" spans="1:8" x14ac:dyDescent="0.6">
      <c r="B11" s="156"/>
      <c r="C11" s="240"/>
      <c r="D11" s="240"/>
      <c r="E11" s="157"/>
    </row>
    <row r="12" spans="1:8" x14ac:dyDescent="0.6">
      <c r="A12" s="153">
        <v>7</v>
      </c>
      <c r="B12" s="219" t="s">
        <v>234</v>
      </c>
      <c r="C12" s="158">
        <f>'Attachment 4 Pg1'!D12</f>
        <v>7</v>
      </c>
      <c r="D12" s="158">
        <v>7</v>
      </c>
      <c r="E12" s="157" t="s">
        <v>235</v>
      </c>
    </row>
    <row r="13" spans="1:8" x14ac:dyDescent="0.6">
      <c r="A13" s="153">
        <v>8</v>
      </c>
      <c r="B13" s="156" t="s">
        <v>236</v>
      </c>
      <c r="C13" s="159">
        <f>'Attachment 4 Pg1'!D13</f>
        <v>22</v>
      </c>
      <c r="D13" s="159">
        <v>22</v>
      </c>
      <c r="E13" s="157" t="s">
        <v>235</v>
      </c>
    </row>
    <row r="14" spans="1:8" x14ac:dyDescent="0.6">
      <c r="A14" s="153">
        <v>9</v>
      </c>
      <c r="B14" s="232" t="s">
        <v>253</v>
      </c>
      <c r="C14" s="160">
        <f>+C12/C13</f>
        <v>0.31818181818181818</v>
      </c>
      <c r="D14" s="160">
        <f>+D12/D13</f>
        <v>0.31818181818181818</v>
      </c>
      <c r="E14" s="157" t="s">
        <v>237</v>
      </c>
    </row>
    <row r="15" spans="1:8" x14ac:dyDescent="0.6">
      <c r="B15" s="156"/>
      <c r="C15" s="240"/>
      <c r="D15" s="240"/>
      <c r="E15" s="157"/>
    </row>
    <row r="16" spans="1:8" x14ac:dyDescent="0.6">
      <c r="A16" s="153">
        <v>10</v>
      </c>
      <c r="B16" s="156" t="s">
        <v>243</v>
      </c>
      <c r="C16" s="240">
        <f>C10*C14</f>
        <v>61759007.604592018</v>
      </c>
      <c r="D16" s="240">
        <f>D10*D14</f>
        <v>2580534.4160394529</v>
      </c>
      <c r="E16" s="157" t="s">
        <v>238</v>
      </c>
    </row>
    <row r="17" spans="1:6" x14ac:dyDescent="0.6">
      <c r="B17" s="156"/>
      <c r="C17" s="240"/>
      <c r="D17" s="240"/>
      <c r="E17" s="157"/>
    </row>
    <row r="18" spans="1:6" x14ac:dyDescent="0.6">
      <c r="A18" s="153">
        <v>11</v>
      </c>
      <c r="B18" s="3" t="s">
        <v>251</v>
      </c>
      <c r="C18" s="241">
        <f>'Attachment 3'!C21+'Attachment 3'!C22</f>
        <v>6099742.8782608714</v>
      </c>
      <c r="D18" s="241">
        <f>'Attachment 3'!C21+'Attachment 3'!C22</f>
        <v>6099742.8782608714</v>
      </c>
    </row>
    <row r="19" spans="1:6" x14ac:dyDescent="0.6">
      <c r="A19" s="153">
        <v>12</v>
      </c>
      <c r="B19" s="156" t="s">
        <v>252</v>
      </c>
      <c r="C19" s="238">
        <f>+C14*C18</f>
        <v>1940827.279446641</v>
      </c>
      <c r="D19" s="238">
        <f>+D14*D18</f>
        <v>1940827.279446641</v>
      </c>
      <c r="E19" s="157" t="s">
        <v>239</v>
      </c>
    </row>
    <row r="20" spans="1:6" x14ac:dyDescent="0.6">
      <c r="B20" s="156"/>
      <c r="C20" s="240"/>
      <c r="D20" s="240"/>
      <c r="E20" s="157"/>
    </row>
    <row r="21" spans="1:6" ht="13.75" thickBot="1" x14ac:dyDescent="0.75">
      <c r="A21" s="153">
        <v>13</v>
      </c>
      <c r="B21" s="156" t="s">
        <v>240</v>
      </c>
      <c r="C21" s="242">
        <f>ROUND(+C16/C19,2)</f>
        <v>31.82</v>
      </c>
      <c r="D21" s="242">
        <f>ROUND(+D16/D19,2)</f>
        <v>1.33</v>
      </c>
      <c r="E21" s="161" t="s">
        <v>241</v>
      </c>
    </row>
    <row r="22" spans="1:6" ht="13.75" thickTop="1" x14ac:dyDescent="0.6">
      <c r="B22" s="156"/>
      <c r="C22" s="240"/>
      <c r="D22" s="240"/>
      <c r="E22" s="157"/>
    </row>
    <row r="23" spans="1:6" x14ac:dyDescent="0.6">
      <c r="A23" s="247" t="s">
        <v>278</v>
      </c>
      <c r="B23" s="256" t="s">
        <v>320</v>
      </c>
      <c r="C23" s="240"/>
      <c r="D23" s="240"/>
      <c r="F23" s="157"/>
    </row>
    <row r="24" spans="1:6" x14ac:dyDescent="0.6">
      <c r="B24" s="156"/>
      <c r="C24" s="240"/>
      <c r="D24" s="240"/>
      <c r="E24" s="157"/>
    </row>
    <row r="26" spans="1:6" x14ac:dyDescent="0.6">
      <c r="C26" s="241"/>
      <c r="D26" s="241"/>
    </row>
    <row r="28" spans="1:6" x14ac:dyDescent="0.6">
      <c r="B28" s="156"/>
      <c r="C28" s="235"/>
      <c r="D28" s="235"/>
      <c r="E28" s="157"/>
    </row>
  </sheetData>
  <pageMargins left="0.7" right="0.7" top="1" bottom="0.75" header="0.3" footer="0.3"/>
  <pageSetup scale="65" fitToHeight="0" orientation="landscape" r:id="rId1"/>
  <headerFooter>
    <oddHeader>&amp;L&amp;"Arial,Bold"Atlantic City Electric
&amp;"Arial,Regular"Development of BGS Rates
June 2025 - May 2026&amp;RAttachment 4
Page 2 of 5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95DD4-B46F-4105-8CC9-6319E574305C}">
  <sheetPr>
    <pageSetUpPr fitToPage="1"/>
  </sheetPr>
  <dimension ref="A1:G28"/>
  <sheetViews>
    <sheetView zoomScaleNormal="100" zoomScaleSheetLayoutView="100" workbookViewId="0"/>
  </sheetViews>
  <sheetFormatPr defaultColWidth="9.08984375" defaultRowHeight="13" x14ac:dyDescent="0.6"/>
  <cols>
    <col min="1" max="1" width="3.31640625" style="153" bestFit="1" customWidth="1"/>
    <col min="2" max="2" width="81.08984375" style="153" customWidth="1"/>
    <col min="3" max="3" width="22.54296875" style="233" customWidth="1"/>
    <col min="4" max="7" width="9.08984375" style="153"/>
    <col min="8" max="8" width="12.453125" style="153" customWidth="1"/>
    <col min="9" max="16384" width="9.08984375" style="153"/>
  </cols>
  <sheetData>
    <row r="1" spans="1:7" ht="15.5" x14ac:dyDescent="0.7">
      <c r="B1" s="154" t="s">
        <v>227</v>
      </c>
    </row>
    <row r="2" spans="1:7" ht="71.25" customHeight="1" x14ac:dyDescent="0.6">
      <c r="B2" s="254" t="s">
        <v>305</v>
      </c>
      <c r="C2" s="255" t="s">
        <v>302</v>
      </c>
    </row>
    <row r="3" spans="1:7" ht="26" x14ac:dyDescent="0.6">
      <c r="C3" s="234" t="s">
        <v>293</v>
      </c>
      <c r="D3" s="155" t="s">
        <v>144</v>
      </c>
    </row>
    <row r="4" spans="1:7" x14ac:dyDescent="0.6">
      <c r="A4" s="153">
        <v>1</v>
      </c>
      <c r="B4" s="156" t="s">
        <v>275</v>
      </c>
      <c r="C4" s="235">
        <v>280</v>
      </c>
      <c r="D4" s="231" t="s">
        <v>274</v>
      </c>
    </row>
    <row r="5" spans="1:7" x14ac:dyDescent="0.6">
      <c r="A5" s="153">
        <v>2</v>
      </c>
      <c r="B5" s="156" t="s">
        <v>228</v>
      </c>
      <c r="C5" s="249">
        <v>270.35000000000002</v>
      </c>
      <c r="D5" s="157" t="s">
        <v>317</v>
      </c>
      <c r="E5" s="157"/>
      <c r="F5" s="157"/>
      <c r="G5" s="157"/>
    </row>
    <row r="6" spans="1:7" x14ac:dyDescent="0.6">
      <c r="C6" s="234"/>
      <c r="D6" s="155"/>
    </row>
    <row r="7" spans="1:7" x14ac:dyDescent="0.6">
      <c r="A7" s="153">
        <v>3</v>
      </c>
      <c r="B7" s="156" t="s">
        <v>229</v>
      </c>
      <c r="C7" s="236">
        <f>C4-C5</f>
        <v>9.6499999999999773</v>
      </c>
      <c r="D7" s="157" t="s">
        <v>230</v>
      </c>
    </row>
    <row r="8" spans="1:7" x14ac:dyDescent="0.6">
      <c r="A8" s="153">
        <v>4</v>
      </c>
      <c r="B8" s="156" t="s">
        <v>231</v>
      </c>
      <c r="C8" s="237">
        <f>'Attachment 2'!K145</f>
        <v>2302.5767682130172</v>
      </c>
    </row>
    <row r="9" spans="1:7" x14ac:dyDescent="0.6">
      <c r="A9" s="153">
        <v>5</v>
      </c>
      <c r="B9" s="156" t="s">
        <v>232</v>
      </c>
      <c r="C9" s="238">
        <v>366</v>
      </c>
    </row>
    <row r="10" spans="1:7" x14ac:dyDescent="0.6">
      <c r="A10" s="153">
        <v>6</v>
      </c>
      <c r="B10" s="156" t="s">
        <v>242</v>
      </c>
      <c r="C10" s="239">
        <f>C7*C8*C9</f>
        <v>8132470.8876515366</v>
      </c>
      <c r="D10" s="157" t="s">
        <v>233</v>
      </c>
    </row>
    <row r="11" spans="1:7" x14ac:dyDescent="0.6">
      <c r="B11" s="156"/>
      <c r="C11" s="240"/>
      <c r="D11" s="157"/>
    </row>
    <row r="12" spans="1:7" x14ac:dyDescent="0.6">
      <c r="A12" s="153">
        <v>7</v>
      </c>
      <c r="B12" s="219" t="s">
        <v>234</v>
      </c>
      <c r="C12" s="158">
        <f>'Attachment 4 Pg2'!D12</f>
        <v>7</v>
      </c>
      <c r="D12" s="157" t="s">
        <v>235</v>
      </c>
    </row>
    <row r="13" spans="1:7" x14ac:dyDescent="0.6">
      <c r="A13" s="153">
        <v>8</v>
      </c>
      <c r="B13" s="156" t="s">
        <v>236</v>
      </c>
      <c r="C13" s="159">
        <f>'Attachment 4 Pg2'!D13</f>
        <v>22</v>
      </c>
      <c r="D13" s="157" t="s">
        <v>235</v>
      </c>
    </row>
    <row r="14" spans="1:7" x14ac:dyDescent="0.6">
      <c r="A14" s="153">
        <v>9</v>
      </c>
      <c r="B14" s="232" t="s">
        <v>253</v>
      </c>
      <c r="C14" s="160">
        <f>+C12/C13</f>
        <v>0.31818181818181818</v>
      </c>
      <c r="D14" s="157" t="s">
        <v>237</v>
      </c>
    </row>
    <row r="15" spans="1:7" x14ac:dyDescent="0.6">
      <c r="B15" s="156"/>
      <c r="C15" s="240"/>
      <c r="D15" s="157"/>
    </row>
    <row r="16" spans="1:7" x14ac:dyDescent="0.6">
      <c r="A16" s="153">
        <v>10</v>
      </c>
      <c r="B16" s="156" t="s">
        <v>243</v>
      </c>
      <c r="C16" s="240">
        <f>C10*C14</f>
        <v>2587604.3733436707</v>
      </c>
      <c r="D16" s="157" t="s">
        <v>238</v>
      </c>
    </row>
    <row r="17" spans="1:5" x14ac:dyDescent="0.6">
      <c r="B17" s="156"/>
      <c r="C17" s="240"/>
      <c r="D17" s="157"/>
    </row>
    <row r="18" spans="1:5" x14ac:dyDescent="0.6">
      <c r="A18" s="153">
        <v>11</v>
      </c>
      <c r="B18" s="3" t="s">
        <v>251</v>
      </c>
      <c r="C18" s="241">
        <f>'Attachment 3'!C21+'Attachment 3'!C22</f>
        <v>6099742.8782608714</v>
      </c>
    </row>
    <row r="19" spans="1:5" x14ac:dyDescent="0.6">
      <c r="A19" s="153">
        <v>12</v>
      </c>
      <c r="B19" s="156" t="s">
        <v>252</v>
      </c>
      <c r="C19" s="238">
        <f>+C14*C18</f>
        <v>1940827.279446641</v>
      </c>
      <c r="D19" s="157" t="s">
        <v>239</v>
      </c>
    </row>
    <row r="20" spans="1:5" x14ac:dyDescent="0.6">
      <c r="B20" s="156"/>
      <c r="C20" s="240"/>
      <c r="D20" s="157"/>
    </row>
    <row r="21" spans="1:5" ht="13.75" thickBot="1" x14ac:dyDescent="0.75">
      <c r="A21" s="153">
        <v>13</v>
      </c>
      <c r="B21" s="156" t="s">
        <v>240</v>
      </c>
      <c r="C21" s="242">
        <f>ROUND(+C16/C19,2)</f>
        <v>1.33</v>
      </c>
      <c r="D21" s="161" t="s">
        <v>241</v>
      </c>
    </row>
    <row r="22" spans="1:5" ht="13.75" thickTop="1" x14ac:dyDescent="0.6">
      <c r="B22" s="156"/>
      <c r="C22" s="240"/>
      <c r="D22" s="157"/>
    </row>
    <row r="23" spans="1:5" x14ac:dyDescent="0.6">
      <c r="A23" s="247" t="s">
        <v>278</v>
      </c>
      <c r="B23" s="256" t="s">
        <v>319</v>
      </c>
      <c r="C23" s="240"/>
      <c r="E23" s="157"/>
    </row>
    <row r="24" spans="1:5" x14ac:dyDescent="0.6">
      <c r="B24" s="156"/>
      <c r="C24" s="240"/>
      <c r="D24" s="157"/>
    </row>
    <row r="26" spans="1:5" x14ac:dyDescent="0.6">
      <c r="C26" s="241"/>
    </row>
    <row r="28" spans="1:5" x14ac:dyDescent="0.6">
      <c r="B28" s="156"/>
      <c r="C28" s="235"/>
      <c r="D28" s="157"/>
    </row>
  </sheetData>
  <pageMargins left="0.7" right="0.7" top="1" bottom="0.75" header="0.3" footer="0.3"/>
  <pageSetup scale="74" fitToHeight="0" orientation="landscape" r:id="rId1"/>
  <headerFooter>
    <oddHeader>&amp;L&amp;"Arial,Bold"Atlantic City Electric
&amp;"Arial,Regular"Development of BGS Rates
June 2025 - May 2026&amp;RAttachment 4
Page 3 of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D6E89-B802-4141-A402-9153D7920E02}">
  <sheetPr>
    <pageSetUpPr fitToPage="1"/>
  </sheetPr>
  <dimension ref="A1:M274"/>
  <sheetViews>
    <sheetView zoomScaleNormal="100" zoomScaleSheetLayoutView="80" workbookViewId="0"/>
  </sheetViews>
  <sheetFormatPr defaultColWidth="9.08984375" defaultRowHeight="13" outlineLevelRow="1" x14ac:dyDescent="0.6"/>
  <cols>
    <col min="1" max="1" width="12.31640625" style="153" bestFit="1" customWidth="1"/>
    <col min="2" max="2" width="46" style="153" customWidth="1"/>
    <col min="3" max="3" width="17.86328125" style="153" customWidth="1"/>
    <col min="4" max="4" width="13.6796875" style="153" customWidth="1"/>
    <col min="5" max="5" width="13.08984375" style="153" customWidth="1"/>
    <col min="6" max="7" width="12.08984375" style="153" customWidth="1"/>
    <col min="8" max="8" width="11.86328125" style="153" customWidth="1"/>
    <col min="9" max="9" width="11" style="153" customWidth="1"/>
    <col min="10" max="10" width="13.08984375" style="153" customWidth="1"/>
    <col min="11" max="11" width="12.54296875" style="153" customWidth="1"/>
    <col min="12" max="12" width="21" style="153" customWidth="1"/>
    <col min="13" max="13" width="14.31640625" style="153" bestFit="1" customWidth="1"/>
    <col min="14" max="14" width="24.08984375" style="153" bestFit="1" customWidth="1"/>
    <col min="15" max="16" width="10.86328125" style="153" bestFit="1" customWidth="1"/>
    <col min="17" max="17" width="14.453125" style="153" bestFit="1" customWidth="1"/>
    <col min="18" max="16384" width="9.08984375" style="153"/>
  </cols>
  <sheetData>
    <row r="1" spans="1:11" ht="20.5" x14ac:dyDescent="0.9">
      <c r="A1" s="162" t="s">
        <v>244</v>
      </c>
    </row>
    <row r="2" spans="1:11" ht="15.5" x14ac:dyDescent="0.7">
      <c r="A2" s="257" t="s">
        <v>283</v>
      </c>
    </row>
    <row r="3" spans="1:11" x14ac:dyDescent="0.6">
      <c r="A3" s="163" t="s">
        <v>254</v>
      </c>
    </row>
    <row r="5" spans="1:11" x14ac:dyDescent="0.6">
      <c r="A5" s="165" t="s">
        <v>194</v>
      </c>
      <c r="B5" s="156" t="s">
        <v>195</v>
      </c>
    </row>
    <row r="6" spans="1:11" ht="51" customHeight="1" x14ac:dyDescent="0.6">
      <c r="A6" s="166" t="s">
        <v>142</v>
      </c>
      <c r="B6" s="156" t="s">
        <v>245</v>
      </c>
      <c r="C6" s="155" t="s">
        <v>285</v>
      </c>
      <c r="D6" s="155" t="s">
        <v>306</v>
      </c>
      <c r="E6" s="155" t="s">
        <v>286</v>
      </c>
      <c r="G6" s="155" t="s">
        <v>144</v>
      </c>
    </row>
    <row r="8" spans="1:11" x14ac:dyDescent="0.6">
      <c r="A8" s="166">
        <v>1</v>
      </c>
      <c r="B8" s="156" t="s">
        <v>145</v>
      </c>
      <c r="C8" s="5">
        <f>'Attachment 3'!D8</f>
        <v>81.42</v>
      </c>
      <c r="D8" s="5">
        <f>'Attachment 3'!E8</f>
        <v>112.13</v>
      </c>
      <c r="E8" s="5">
        <f>D10</f>
        <v>113.46</v>
      </c>
      <c r="G8" t="s">
        <v>146</v>
      </c>
    </row>
    <row r="9" spans="1:11" x14ac:dyDescent="0.6">
      <c r="A9" s="166" t="s">
        <v>266</v>
      </c>
      <c r="B9" s="156" t="s">
        <v>287</v>
      </c>
      <c r="C9" s="152">
        <f>'Attachment 4 Pg2'!C21</f>
        <v>31.82</v>
      </c>
      <c r="D9" s="152">
        <f>'Attachment 4 Pg2'!D21</f>
        <v>1.33</v>
      </c>
      <c r="E9" s="167"/>
      <c r="G9" s="111" t="s">
        <v>284</v>
      </c>
    </row>
    <row r="10" spans="1:11" x14ac:dyDescent="0.6">
      <c r="A10" s="166" t="s">
        <v>226</v>
      </c>
      <c r="B10" s="156" t="s">
        <v>246</v>
      </c>
      <c r="C10" s="168">
        <f>C8+C9</f>
        <v>113.24000000000001</v>
      </c>
      <c r="D10" s="168">
        <f t="shared" ref="D10:E10" si="0">D8+D9</f>
        <v>113.46</v>
      </c>
      <c r="E10" s="168">
        <f t="shared" si="0"/>
        <v>113.46</v>
      </c>
      <c r="G10" s="141" t="s">
        <v>267</v>
      </c>
    </row>
    <row r="11" spans="1:11" x14ac:dyDescent="0.6">
      <c r="A11" s="166"/>
      <c r="B11" s="156"/>
      <c r="C11" s="168"/>
      <c r="D11" s="168"/>
      <c r="E11" s="168"/>
      <c r="G11" s="157"/>
    </row>
    <row r="12" spans="1:11" x14ac:dyDescent="0.6">
      <c r="A12" s="166">
        <v>2</v>
      </c>
      <c r="B12" s="219" t="s">
        <v>247</v>
      </c>
      <c r="C12" s="169">
        <f>'Attachment 3'!D13</f>
        <v>7</v>
      </c>
      <c r="D12" s="169">
        <f>'Attachment 3'!E13</f>
        <v>7</v>
      </c>
      <c r="E12" s="169">
        <f>22-C12-D12</f>
        <v>8</v>
      </c>
      <c r="G12" t="s">
        <v>147</v>
      </c>
    </row>
    <row r="13" spans="1:11" x14ac:dyDescent="0.6">
      <c r="A13" s="166">
        <v>3</v>
      </c>
      <c r="B13" s="156" t="s">
        <v>248</v>
      </c>
      <c r="C13" s="169">
        <f>'Attachment 3'!D14</f>
        <v>22</v>
      </c>
      <c r="D13" s="169">
        <f>'Attachment 3'!E14</f>
        <v>22</v>
      </c>
      <c r="E13" s="169">
        <f>'Attachment 3'!E14</f>
        <v>22</v>
      </c>
      <c r="G13" t="s">
        <v>147</v>
      </c>
    </row>
    <row r="14" spans="1:11" x14ac:dyDescent="0.6">
      <c r="A14" s="166"/>
      <c r="B14" s="156"/>
      <c r="C14" s="169"/>
      <c r="D14" s="169"/>
      <c r="E14" s="169"/>
      <c r="G14"/>
    </row>
    <row r="15" spans="1:11" x14ac:dyDescent="0.6">
      <c r="A15" s="166"/>
      <c r="B15" s="156" t="s">
        <v>148</v>
      </c>
    </row>
    <row r="16" spans="1:11" x14ac:dyDescent="0.6">
      <c r="A16" s="166">
        <v>4</v>
      </c>
      <c r="B16" s="170" t="s">
        <v>149</v>
      </c>
      <c r="C16" s="65">
        <f>'Attachment 3'!D17</f>
        <v>1</v>
      </c>
      <c r="D16" s="65">
        <f>'Attachment 3'!E17</f>
        <v>1</v>
      </c>
      <c r="E16" s="115">
        <f>'Attachment 3'!E17</f>
        <v>1</v>
      </c>
      <c r="G16" t="s">
        <v>150</v>
      </c>
      <c r="K16" s="171"/>
    </row>
    <row r="17" spans="1:12" x14ac:dyDescent="0.6">
      <c r="A17" s="166">
        <v>5</v>
      </c>
      <c r="B17" s="170" t="s">
        <v>151</v>
      </c>
      <c r="C17" s="65">
        <f>'Attachment 3'!D18</f>
        <v>1</v>
      </c>
      <c r="D17" s="65">
        <f>'Attachment 3'!E18</f>
        <v>1</v>
      </c>
      <c r="E17" s="115">
        <f>'Attachment 3'!E18</f>
        <v>1</v>
      </c>
      <c r="G17" t="s">
        <v>150</v>
      </c>
      <c r="K17" s="171"/>
    </row>
    <row r="18" spans="1:12" x14ac:dyDescent="0.6">
      <c r="A18" s="166"/>
    </row>
    <row r="19" spans="1:12" x14ac:dyDescent="0.6">
      <c r="A19" s="166"/>
      <c r="B19" s="3" t="s">
        <v>152</v>
      </c>
    </row>
    <row r="20" spans="1:12" x14ac:dyDescent="0.6">
      <c r="A20" s="166">
        <v>6</v>
      </c>
      <c r="B20" s="153" t="s">
        <v>153</v>
      </c>
      <c r="C20" s="172">
        <f>'Attachment 3'!C21</f>
        <v>2543217.8376228302</v>
      </c>
      <c r="D20" s="173"/>
      <c r="E20" s="173"/>
      <c r="G20" t="s">
        <v>154</v>
      </c>
    </row>
    <row r="21" spans="1:12" x14ac:dyDescent="0.6">
      <c r="A21" s="166">
        <v>7</v>
      </c>
      <c r="B21" s="153" t="s">
        <v>155</v>
      </c>
      <c r="C21" s="172">
        <f>'Attachment 3'!C22</f>
        <v>3556525.0406380412</v>
      </c>
      <c r="D21" s="173"/>
      <c r="E21" s="173"/>
    </row>
    <row r="22" spans="1:12" x14ac:dyDescent="0.6">
      <c r="A22" s="166"/>
    </row>
    <row r="23" spans="1:12" x14ac:dyDescent="0.6">
      <c r="A23" s="166"/>
      <c r="B23" s="156" t="s">
        <v>249</v>
      </c>
      <c r="E23" s="223"/>
    </row>
    <row r="24" spans="1:12" x14ac:dyDescent="0.6">
      <c r="A24" s="166">
        <v>8</v>
      </c>
      <c r="B24" s="170" t="s">
        <v>149</v>
      </c>
      <c r="C24" s="223">
        <f t="shared" ref="C24:E25" si="1">((+C$8+C$9)*C$12/C$13*C16*$C20/1000)</f>
        <v>91634.450705766591</v>
      </c>
      <c r="D24" s="223">
        <f t="shared" si="1"/>
        <v>91812.475954400172</v>
      </c>
      <c r="E24" s="223">
        <f t="shared" si="1"/>
        <v>104928.54394788593</v>
      </c>
      <c r="F24" s="174"/>
      <c r="G24" s="141" t="s">
        <v>276</v>
      </c>
      <c r="J24" s="175"/>
      <c r="L24" s="175"/>
    </row>
    <row r="25" spans="1:12" ht="15.25" x14ac:dyDescent="1.05">
      <c r="A25" s="166">
        <v>9</v>
      </c>
      <c r="B25" s="170" t="s">
        <v>151</v>
      </c>
      <c r="C25" s="176">
        <f t="shared" si="1"/>
        <v>128144.83041877103</v>
      </c>
      <c r="D25" s="176">
        <f t="shared" si="1"/>
        <v>128393.78717161567</v>
      </c>
      <c r="E25" s="176">
        <f t="shared" si="1"/>
        <v>146735.75676756079</v>
      </c>
      <c r="F25" s="174"/>
      <c r="G25" s="141" t="s">
        <v>277</v>
      </c>
    </row>
    <row r="26" spans="1:12" x14ac:dyDescent="0.6">
      <c r="A26" s="166">
        <v>10</v>
      </c>
      <c r="B26" s="153" t="s">
        <v>157</v>
      </c>
      <c r="C26" s="175">
        <f>+C25+C24</f>
        <v>219779.28112453764</v>
      </c>
      <c r="D26" s="175">
        <f>+D25+D24</f>
        <v>220206.26312601584</v>
      </c>
      <c r="E26" s="175">
        <f>+E25+E24</f>
        <v>251664.3007154467</v>
      </c>
      <c r="J26" s="175"/>
      <c r="L26" s="175"/>
    </row>
    <row r="27" spans="1:12" x14ac:dyDescent="0.6">
      <c r="A27" s="166"/>
    </row>
    <row r="28" spans="1:12" x14ac:dyDescent="0.6">
      <c r="A28" s="166"/>
      <c r="B28" s="156" t="s">
        <v>250</v>
      </c>
    </row>
    <row r="29" spans="1:12" x14ac:dyDescent="0.6">
      <c r="A29" s="166">
        <v>11</v>
      </c>
      <c r="B29" s="170" t="s">
        <v>149</v>
      </c>
      <c r="C29" s="215">
        <f>ROUND(+SUM(C24:E24)/C20*1000,3)</f>
        <v>113.39</v>
      </c>
      <c r="D29" s="177"/>
      <c r="G29" s="141" t="s">
        <v>219</v>
      </c>
    </row>
    <row r="30" spans="1:12" x14ac:dyDescent="0.6">
      <c r="A30" s="166">
        <v>12</v>
      </c>
      <c r="B30" s="170" t="s">
        <v>151</v>
      </c>
      <c r="C30" s="216">
        <f>ROUND(+SUM(C25:E25)/C21*1000,3)</f>
        <v>113.39</v>
      </c>
      <c r="G30" s="141" t="s">
        <v>220</v>
      </c>
    </row>
    <row r="31" spans="1:12" x14ac:dyDescent="0.6">
      <c r="A31" s="166"/>
      <c r="B31" s="170"/>
      <c r="C31" s="178"/>
      <c r="G31" s="157"/>
    </row>
    <row r="32" spans="1:12" x14ac:dyDescent="0.6">
      <c r="A32" s="166">
        <v>13</v>
      </c>
      <c r="B32" s="153" t="s">
        <v>159</v>
      </c>
      <c r="C32" s="217">
        <f>ROUND(+SUM(C26:E26)/(C20+C21)*1000,3)</f>
        <v>113.39</v>
      </c>
      <c r="D32" s="153" t="s">
        <v>160</v>
      </c>
      <c r="G32" s="141" t="s">
        <v>221</v>
      </c>
    </row>
    <row r="33" spans="1:13" x14ac:dyDescent="0.6">
      <c r="D33" s="153" t="s">
        <v>161</v>
      </c>
      <c r="G33" t="s">
        <v>162</v>
      </c>
    </row>
    <row r="34" spans="1:13" x14ac:dyDescent="0.6">
      <c r="C34" s="177"/>
    </row>
    <row r="35" spans="1:13" x14ac:dyDescent="0.6">
      <c r="A35" s="247" t="s">
        <v>278</v>
      </c>
      <c r="B35" s="256" t="s">
        <v>297</v>
      </c>
      <c r="C35" s="240"/>
      <c r="E35" s="157"/>
    </row>
    <row r="36" spans="1:13" x14ac:dyDescent="0.6">
      <c r="A36" s="166"/>
      <c r="B36" s="180"/>
      <c r="C36" s="175"/>
      <c r="D36" s="177"/>
      <c r="G36" s="157"/>
    </row>
    <row r="37" spans="1:13" ht="15.25" x14ac:dyDescent="1.05">
      <c r="A37" s="166"/>
      <c r="B37" s="180"/>
      <c r="C37" s="181"/>
      <c r="D37" s="177"/>
      <c r="G37" s="157"/>
    </row>
    <row r="38" spans="1:13" x14ac:dyDescent="0.6">
      <c r="A38" s="166"/>
      <c r="B38" s="180"/>
      <c r="C38" s="182"/>
      <c r="D38" s="177"/>
      <c r="G38" s="157"/>
    </row>
    <row r="39" spans="1:13" x14ac:dyDescent="0.6">
      <c r="B39" s="180"/>
      <c r="D39" s="177"/>
    </row>
    <row r="41" spans="1:13" x14ac:dyDescent="0.6">
      <c r="A41" s="183"/>
      <c r="B41" s="156"/>
      <c r="G41" s="164"/>
    </row>
    <row r="42" spans="1:13" x14ac:dyDescent="0.6">
      <c r="A42" s="183"/>
      <c r="B42" s="156"/>
      <c r="G42" s="164"/>
    </row>
    <row r="43" spans="1:13" x14ac:dyDescent="0.6">
      <c r="B43" s="156"/>
    </row>
    <row r="44" spans="1:13" x14ac:dyDescent="0.6">
      <c r="B44" s="164"/>
    </row>
    <row r="45" spans="1:13" x14ac:dyDescent="0.6">
      <c r="B45" s="156"/>
    </row>
    <row r="46" spans="1:13" x14ac:dyDescent="0.6">
      <c r="C46" s="184"/>
      <c r="D46" s="184"/>
      <c r="E46" s="184"/>
      <c r="F46" s="184"/>
      <c r="G46" s="184"/>
      <c r="H46" s="184"/>
      <c r="I46" s="184"/>
      <c r="J46" s="184"/>
    </row>
    <row r="47" spans="1:13" x14ac:dyDescent="0.6">
      <c r="C47" s="184"/>
      <c r="D47" s="184"/>
      <c r="E47" s="184"/>
      <c r="F47" s="184"/>
      <c r="G47" s="184"/>
    </row>
    <row r="48" spans="1:13" x14ac:dyDescent="0.6">
      <c r="B48" s="185"/>
      <c r="E48" s="186"/>
      <c r="F48" s="23"/>
      <c r="G48" s="23"/>
      <c r="H48" s="23"/>
      <c r="I48" s="186"/>
      <c r="J48" s="186"/>
      <c r="K48" s="187"/>
      <c r="L48" s="187"/>
      <c r="M48" s="187"/>
    </row>
    <row r="49" spans="2:13" x14ac:dyDescent="0.6">
      <c r="B49" s="188"/>
      <c r="C49" s="19"/>
      <c r="D49" s="189"/>
      <c r="E49" s="23"/>
      <c r="F49" s="186"/>
      <c r="G49" s="186"/>
      <c r="H49" s="186"/>
      <c r="J49" s="190"/>
      <c r="K49" s="187"/>
      <c r="L49" s="187"/>
      <c r="M49" s="187"/>
    </row>
    <row r="50" spans="2:13" x14ac:dyDescent="0.6">
      <c r="B50" s="188"/>
      <c r="C50" s="19"/>
      <c r="D50" s="189"/>
      <c r="E50" s="23"/>
      <c r="F50" s="186"/>
      <c r="G50" s="186"/>
      <c r="H50" s="191"/>
      <c r="J50" s="190"/>
      <c r="K50" s="192"/>
      <c r="L50" s="187"/>
      <c r="M50" s="187"/>
    </row>
    <row r="51" spans="2:13" x14ac:dyDescent="0.6">
      <c r="E51" s="19"/>
      <c r="F51" s="189"/>
      <c r="G51" s="189"/>
      <c r="L51" s="187"/>
      <c r="M51" s="187"/>
    </row>
    <row r="52" spans="2:13" x14ac:dyDescent="0.6">
      <c r="B52" s="193"/>
      <c r="C52" s="23"/>
      <c r="D52" s="23"/>
      <c r="E52" s="19"/>
      <c r="F52" s="189"/>
      <c r="G52" s="189"/>
      <c r="H52" s="189"/>
      <c r="I52" s="189"/>
      <c r="J52" s="189"/>
      <c r="K52" s="187"/>
      <c r="L52" s="187"/>
      <c r="M52" s="187"/>
    </row>
    <row r="53" spans="2:13" x14ac:dyDescent="0.6">
      <c r="B53" s="193"/>
      <c r="C53" s="194"/>
      <c r="D53" s="194"/>
      <c r="E53" s="195"/>
      <c r="F53" s="189"/>
      <c r="G53" s="189"/>
      <c r="H53" s="189"/>
      <c r="I53" s="189"/>
      <c r="J53" s="189"/>
      <c r="K53" s="187"/>
      <c r="L53" s="187"/>
      <c r="M53" s="187"/>
    </row>
    <row r="54" spans="2:13" x14ac:dyDescent="0.6">
      <c r="B54" s="193"/>
      <c r="C54" s="194"/>
      <c r="D54" s="194"/>
      <c r="E54" s="195"/>
      <c r="F54" s="189"/>
      <c r="G54" s="189"/>
      <c r="H54" s="189"/>
      <c r="I54" s="189"/>
      <c r="J54" s="189"/>
      <c r="K54" s="187"/>
      <c r="L54" s="187"/>
      <c r="M54" s="187"/>
    </row>
    <row r="55" spans="2:13" x14ac:dyDescent="0.6">
      <c r="G55" s="189"/>
      <c r="H55" s="189"/>
      <c r="I55" s="189"/>
      <c r="J55" s="189"/>
      <c r="K55" s="187"/>
      <c r="L55" s="187"/>
      <c r="M55" s="187"/>
    </row>
    <row r="56" spans="2:13" x14ac:dyDescent="0.6">
      <c r="H56" s="189"/>
      <c r="I56" s="189"/>
      <c r="J56" s="189"/>
      <c r="K56" s="187"/>
      <c r="L56" s="187"/>
      <c r="M56" s="187"/>
    </row>
    <row r="57" spans="2:13" x14ac:dyDescent="0.6">
      <c r="C57" s="189"/>
      <c r="D57" s="189"/>
      <c r="E57" s="189"/>
      <c r="F57" s="189"/>
      <c r="G57" s="189"/>
      <c r="H57" s="189"/>
      <c r="I57" s="189"/>
      <c r="J57" s="189"/>
      <c r="K57" s="187"/>
      <c r="L57" s="187"/>
      <c r="M57" s="187"/>
    </row>
    <row r="58" spans="2:13" x14ac:dyDescent="0.6">
      <c r="B58" s="185"/>
      <c r="C58" s="23"/>
      <c r="D58" s="23"/>
      <c r="E58" s="186"/>
      <c r="F58" s="23"/>
      <c r="G58" s="23"/>
      <c r="H58" s="23"/>
      <c r="I58" s="186"/>
      <c r="J58" s="186"/>
      <c r="K58" s="187"/>
      <c r="L58" s="187"/>
      <c r="M58" s="187"/>
    </row>
    <row r="59" spans="2:13" x14ac:dyDescent="0.6">
      <c r="B59" s="188"/>
      <c r="C59" s="189"/>
      <c r="D59" s="189"/>
      <c r="E59" s="23"/>
      <c r="F59" s="189"/>
      <c r="G59" s="189"/>
      <c r="H59" s="189"/>
      <c r="J59" s="190"/>
      <c r="K59" s="187"/>
      <c r="L59" s="187"/>
      <c r="M59" s="187"/>
    </row>
    <row r="60" spans="2:13" x14ac:dyDescent="0.6">
      <c r="B60" s="188"/>
      <c r="C60" s="189"/>
      <c r="D60" s="189"/>
      <c r="E60" s="23"/>
      <c r="F60" s="189"/>
      <c r="G60" s="189"/>
      <c r="J60" s="190"/>
      <c r="K60" s="192"/>
      <c r="L60" s="187"/>
      <c r="M60" s="187"/>
    </row>
    <row r="61" spans="2:13" x14ac:dyDescent="0.6">
      <c r="C61" s="187"/>
      <c r="D61" s="187"/>
      <c r="E61" s="187"/>
      <c r="F61" s="187"/>
      <c r="G61" s="187"/>
      <c r="K61" s="187"/>
      <c r="L61" s="187"/>
      <c r="M61" s="187"/>
    </row>
    <row r="62" spans="2:13" x14ac:dyDescent="0.6">
      <c r="C62" s="196"/>
      <c r="D62" s="196"/>
      <c r="E62" s="196"/>
      <c r="F62" s="196"/>
      <c r="G62" s="196"/>
      <c r="H62" s="196"/>
      <c r="I62" s="196"/>
      <c r="J62" s="196"/>
      <c r="K62" s="187"/>
      <c r="L62" s="187"/>
      <c r="M62" s="187"/>
    </row>
    <row r="65" spans="2:11" x14ac:dyDescent="0.6">
      <c r="B65" s="156"/>
    </row>
    <row r="66" spans="2:11" x14ac:dyDescent="0.6">
      <c r="B66" s="164"/>
    </row>
    <row r="68" spans="2:11" x14ac:dyDescent="0.6">
      <c r="C68" s="184"/>
      <c r="D68" s="184"/>
      <c r="E68" s="184"/>
      <c r="F68" s="184"/>
      <c r="H68" s="156"/>
      <c r="I68" s="184"/>
      <c r="J68" s="184"/>
    </row>
    <row r="69" spans="2:11" x14ac:dyDescent="0.6">
      <c r="C69" s="184"/>
      <c r="D69" s="197"/>
      <c r="E69" s="184"/>
      <c r="F69" s="197"/>
    </row>
    <row r="70" spans="2:11" x14ac:dyDescent="0.6">
      <c r="B70" s="185"/>
      <c r="C70" s="23"/>
      <c r="D70" s="192"/>
      <c r="E70" s="191"/>
      <c r="F70" s="191"/>
      <c r="H70" s="198"/>
    </row>
    <row r="71" spans="2:11" x14ac:dyDescent="0.6">
      <c r="B71" s="188"/>
      <c r="C71" s="186"/>
      <c r="D71" s="192"/>
      <c r="E71" s="23"/>
      <c r="F71" s="192"/>
      <c r="H71" s="180"/>
      <c r="I71" s="199"/>
      <c r="J71" s="199"/>
      <c r="K71" s="157"/>
    </row>
    <row r="72" spans="2:11" x14ac:dyDescent="0.6">
      <c r="B72" s="188"/>
      <c r="C72" s="186"/>
      <c r="D72" s="192"/>
      <c r="E72" s="23"/>
      <c r="F72" s="192"/>
      <c r="H72" s="180"/>
      <c r="I72" s="199"/>
      <c r="J72" s="199"/>
      <c r="K72" s="157"/>
    </row>
    <row r="73" spans="2:11" x14ac:dyDescent="0.6">
      <c r="C73" s="186"/>
      <c r="D73" s="192"/>
      <c r="E73" s="186"/>
      <c r="F73" s="192"/>
      <c r="H73" s="180"/>
      <c r="I73" s="199"/>
      <c r="J73" s="199"/>
      <c r="K73" s="157"/>
    </row>
    <row r="74" spans="2:11" x14ac:dyDescent="0.6">
      <c r="B74" s="185"/>
      <c r="C74" s="23"/>
      <c r="D74" s="192"/>
      <c r="E74" s="23"/>
      <c r="F74" s="192"/>
      <c r="H74" s="198"/>
      <c r="I74" s="177"/>
      <c r="J74" s="177"/>
    </row>
    <row r="75" spans="2:11" x14ac:dyDescent="0.6">
      <c r="B75" s="188"/>
      <c r="C75" s="186"/>
      <c r="D75" s="191"/>
      <c r="E75" s="23"/>
      <c r="F75" s="192"/>
      <c r="H75" s="180"/>
      <c r="I75" s="199"/>
      <c r="J75" s="199"/>
      <c r="K75" s="157"/>
    </row>
    <row r="76" spans="2:11" x14ac:dyDescent="0.6">
      <c r="B76" s="188"/>
      <c r="C76" s="186"/>
      <c r="D76" s="191"/>
      <c r="E76" s="23"/>
      <c r="F76" s="192"/>
    </row>
    <row r="77" spans="2:11" x14ac:dyDescent="0.6">
      <c r="C77" s="196"/>
      <c r="D77" s="191"/>
      <c r="E77" s="196"/>
      <c r="F77" s="191"/>
    </row>
    <row r="78" spans="2:11" x14ac:dyDescent="0.6">
      <c r="C78" s="196"/>
      <c r="D78" s="191"/>
      <c r="E78" s="196"/>
      <c r="F78" s="191"/>
    </row>
    <row r="79" spans="2:11" x14ac:dyDescent="0.6">
      <c r="C79" s="196"/>
      <c r="D79" s="191"/>
      <c r="E79" s="196"/>
      <c r="F79" s="191"/>
    </row>
    <row r="80" spans="2:11" x14ac:dyDescent="0.6">
      <c r="C80" s="187"/>
      <c r="E80" s="187"/>
    </row>
    <row r="81" spans="1:13" x14ac:dyDescent="0.6">
      <c r="A81" s="200"/>
      <c r="B81" s="179"/>
      <c r="C81" s="187"/>
      <c r="E81" s="187"/>
    </row>
    <row r="82" spans="1:13" x14ac:dyDescent="0.6">
      <c r="A82" s="200"/>
      <c r="B82" s="164"/>
    </row>
    <row r="84" spans="1:13" x14ac:dyDescent="0.6">
      <c r="B84" s="156"/>
    </row>
    <row r="85" spans="1:13" x14ac:dyDescent="0.6">
      <c r="B85" s="164"/>
    </row>
    <row r="86" spans="1:13" x14ac:dyDescent="0.6">
      <c r="B86" s="156"/>
    </row>
    <row r="87" spans="1:13" x14ac:dyDescent="0.6">
      <c r="C87" s="184"/>
      <c r="D87" s="184"/>
      <c r="E87" s="184"/>
      <c r="F87" s="184"/>
      <c r="G87" s="184"/>
      <c r="H87" s="184"/>
      <c r="I87" s="184"/>
      <c r="J87" s="184"/>
    </row>
    <row r="88" spans="1:13" x14ac:dyDescent="0.6">
      <c r="C88" s="200"/>
      <c r="D88" s="200"/>
      <c r="E88" s="200"/>
      <c r="F88" s="201"/>
      <c r="G88" s="201"/>
      <c r="H88" s="201"/>
      <c r="I88" s="201"/>
      <c r="J88" s="201"/>
    </row>
    <row r="89" spans="1:13" x14ac:dyDescent="0.6">
      <c r="B89" s="185"/>
      <c r="C89" s="200"/>
      <c r="D89" s="200"/>
      <c r="E89" s="200"/>
      <c r="F89" s="201"/>
      <c r="G89" s="201"/>
      <c r="H89" s="201"/>
      <c r="I89" s="201"/>
      <c r="J89" s="201"/>
      <c r="L89" s="187"/>
      <c r="M89" s="187"/>
    </row>
    <row r="90" spans="1:13" x14ac:dyDescent="0.6">
      <c r="B90" s="188"/>
      <c r="C90" s="200"/>
      <c r="D90" s="200"/>
      <c r="E90" s="201"/>
      <c r="F90" s="200"/>
      <c r="G90" s="201"/>
      <c r="H90" s="201"/>
      <c r="I90" s="201"/>
      <c r="J90" s="200"/>
      <c r="L90" s="187"/>
      <c r="M90" s="187"/>
    </row>
    <row r="91" spans="1:13" x14ac:dyDescent="0.6">
      <c r="B91" s="188"/>
      <c r="C91" s="200"/>
      <c r="D91" s="200"/>
      <c r="E91" s="201"/>
      <c r="F91" s="200"/>
      <c r="G91" s="200"/>
      <c r="H91" s="200"/>
      <c r="I91" s="200"/>
      <c r="J91" s="200"/>
      <c r="L91" s="187"/>
      <c r="M91" s="187"/>
    </row>
    <row r="92" spans="1:13" x14ac:dyDescent="0.6">
      <c r="B92" s="193"/>
      <c r="C92" s="200"/>
      <c r="D92" s="200"/>
      <c r="E92" s="200"/>
      <c r="F92" s="200"/>
      <c r="G92" s="200"/>
      <c r="H92" s="200"/>
      <c r="I92" s="200"/>
      <c r="J92" s="200"/>
      <c r="L92" s="187"/>
      <c r="M92" s="187"/>
    </row>
    <row r="93" spans="1:13" x14ac:dyDescent="0.6">
      <c r="B93" s="195"/>
      <c r="C93" s="201"/>
      <c r="D93" s="201"/>
      <c r="E93" s="200"/>
      <c r="F93" s="200"/>
      <c r="G93" s="200"/>
      <c r="H93" s="200"/>
      <c r="I93" s="200"/>
      <c r="J93" s="200"/>
      <c r="L93" s="187"/>
      <c r="M93" s="187"/>
    </row>
    <row r="94" spans="1:13" x14ac:dyDescent="0.6">
      <c r="B94" s="195"/>
      <c r="C94" s="201"/>
      <c r="D94" s="201"/>
      <c r="E94" s="200"/>
      <c r="F94" s="200"/>
      <c r="G94" s="200"/>
      <c r="H94" s="200"/>
      <c r="I94" s="200"/>
      <c r="J94" s="200"/>
      <c r="L94" s="187"/>
      <c r="M94" s="187"/>
    </row>
    <row r="95" spans="1:13" x14ac:dyDescent="0.6">
      <c r="C95" s="201"/>
      <c r="D95" s="201"/>
      <c r="E95" s="200"/>
      <c r="F95" s="200"/>
      <c r="G95" s="200"/>
      <c r="H95" s="200"/>
      <c r="I95" s="200"/>
      <c r="J95" s="200"/>
      <c r="L95" s="187"/>
      <c r="M95" s="187"/>
    </row>
    <row r="96" spans="1:13" x14ac:dyDescent="0.6">
      <c r="B96" s="185"/>
      <c r="C96" s="201"/>
      <c r="D96" s="201"/>
      <c r="E96" s="200"/>
      <c r="F96" s="201"/>
      <c r="G96" s="201"/>
      <c r="H96" s="201"/>
      <c r="I96" s="201"/>
      <c r="J96" s="201"/>
      <c r="L96" s="187"/>
      <c r="M96" s="187"/>
    </row>
    <row r="97" spans="2:13" x14ac:dyDescent="0.6">
      <c r="B97" s="188"/>
      <c r="C97" s="200"/>
      <c r="D97" s="200"/>
      <c r="E97" s="201"/>
      <c r="F97" s="200"/>
      <c r="G97" s="200"/>
      <c r="H97" s="200"/>
      <c r="I97" s="200"/>
      <c r="J97" s="200"/>
      <c r="L97" s="187"/>
      <c r="M97" s="187"/>
    </row>
    <row r="98" spans="2:13" x14ac:dyDescent="0.6">
      <c r="B98" s="188"/>
      <c r="C98" s="200"/>
      <c r="D98" s="200"/>
      <c r="E98" s="201"/>
      <c r="F98" s="200"/>
      <c r="G98" s="200"/>
      <c r="H98" s="200"/>
      <c r="I98" s="200"/>
      <c r="J98" s="200"/>
      <c r="L98" s="187"/>
      <c r="M98" s="187"/>
    </row>
    <row r="99" spans="2:13" x14ac:dyDescent="0.6">
      <c r="C99" s="200"/>
      <c r="D99" s="200"/>
      <c r="E99" s="201"/>
      <c r="F99" s="200"/>
      <c r="G99" s="200"/>
      <c r="H99" s="200"/>
      <c r="I99" s="200"/>
      <c r="J99" s="200"/>
      <c r="L99" s="187"/>
      <c r="M99" s="187"/>
    </row>
    <row r="102" spans="2:13" x14ac:dyDescent="0.6">
      <c r="B102" s="156"/>
    </row>
    <row r="103" spans="2:13" x14ac:dyDescent="0.6">
      <c r="B103" s="164"/>
    </row>
    <row r="105" spans="2:13" x14ac:dyDescent="0.6">
      <c r="C105" s="184"/>
      <c r="D105" s="184"/>
      <c r="E105" s="184"/>
      <c r="F105" s="184"/>
      <c r="H105" s="156"/>
      <c r="I105" s="184"/>
      <c r="J105" s="184"/>
    </row>
    <row r="106" spans="2:13" x14ac:dyDescent="0.6">
      <c r="F106" s="197"/>
    </row>
    <row r="107" spans="2:13" x14ac:dyDescent="0.6">
      <c r="B107" s="185"/>
      <c r="C107" s="201"/>
      <c r="D107" s="201"/>
      <c r="E107" s="201"/>
      <c r="F107" s="191"/>
      <c r="H107" s="198"/>
    </row>
    <row r="108" spans="2:13" x14ac:dyDescent="0.6">
      <c r="B108" s="188"/>
      <c r="C108" s="201"/>
      <c r="D108" s="201"/>
      <c r="E108" s="201"/>
      <c r="F108" s="192"/>
      <c r="H108" s="180"/>
      <c r="I108" s="202"/>
      <c r="J108" s="202"/>
      <c r="K108" s="157"/>
    </row>
    <row r="109" spans="2:13" x14ac:dyDescent="0.6">
      <c r="B109" s="188"/>
      <c r="C109" s="201"/>
      <c r="D109" s="201"/>
      <c r="E109" s="201"/>
      <c r="F109" s="192"/>
      <c r="H109" s="180"/>
      <c r="I109" s="202"/>
      <c r="J109" s="202"/>
      <c r="K109" s="157"/>
    </row>
    <row r="110" spans="2:13" x14ac:dyDescent="0.6">
      <c r="C110" s="201"/>
      <c r="D110" s="201"/>
      <c r="E110" s="201"/>
      <c r="F110" s="192"/>
      <c r="H110" s="180"/>
      <c r="I110" s="199"/>
      <c r="J110" s="199"/>
      <c r="K110" s="157"/>
    </row>
    <row r="111" spans="2:13" x14ac:dyDescent="0.6">
      <c r="B111" s="185"/>
      <c r="C111" s="201"/>
      <c r="D111" s="201"/>
      <c r="E111" s="201"/>
      <c r="F111" s="192"/>
      <c r="H111" s="198"/>
      <c r="I111" s="177"/>
      <c r="J111" s="177"/>
    </row>
    <row r="112" spans="2:13" x14ac:dyDescent="0.6">
      <c r="B112" s="188"/>
      <c r="C112" s="201"/>
      <c r="D112" s="201"/>
      <c r="E112" s="201"/>
      <c r="F112" s="192"/>
      <c r="H112" s="180"/>
      <c r="I112" s="202"/>
      <c r="J112" s="202"/>
      <c r="K112" s="157"/>
    </row>
    <row r="113" spans="1:12" x14ac:dyDescent="0.6">
      <c r="B113" s="188"/>
      <c r="C113" s="201"/>
      <c r="D113" s="201"/>
      <c r="E113" s="201"/>
      <c r="F113" s="192"/>
    </row>
    <row r="114" spans="1:12" x14ac:dyDescent="0.6">
      <c r="C114" s="196"/>
      <c r="D114" s="191"/>
      <c r="E114" s="196"/>
      <c r="F114" s="191"/>
    </row>
    <row r="115" spans="1:12" x14ac:dyDescent="0.6">
      <c r="C115" s="196"/>
      <c r="D115" s="191"/>
      <c r="E115" s="196"/>
      <c r="F115" s="191"/>
    </row>
    <row r="117" spans="1:12" x14ac:dyDescent="0.6">
      <c r="A117" s="200"/>
      <c r="B117" s="156"/>
      <c r="C117" s="187"/>
      <c r="E117" s="187"/>
    </row>
    <row r="118" spans="1:12" x14ac:dyDescent="0.6">
      <c r="C118" s="187"/>
      <c r="E118" s="187"/>
    </row>
    <row r="119" spans="1:12" x14ac:dyDescent="0.6">
      <c r="C119" s="184"/>
      <c r="D119" s="184"/>
      <c r="E119" s="184"/>
      <c r="F119" s="184"/>
      <c r="G119" s="184"/>
      <c r="H119" s="184"/>
      <c r="I119" s="184"/>
      <c r="J119" s="184"/>
    </row>
    <row r="121" spans="1:12" x14ac:dyDescent="0.6">
      <c r="B121" s="166"/>
      <c r="C121" s="182"/>
      <c r="D121" s="182"/>
      <c r="E121" s="203"/>
      <c r="F121" s="182"/>
      <c r="G121" s="182"/>
      <c r="H121" s="182"/>
      <c r="I121" s="182"/>
      <c r="J121" s="182"/>
    </row>
    <row r="122" spans="1:12" ht="15.25" x14ac:dyDescent="1.05">
      <c r="B122" s="166"/>
      <c r="C122" s="204"/>
      <c r="D122" s="204"/>
      <c r="E122" s="204"/>
      <c r="F122" s="204"/>
      <c r="G122" s="204"/>
      <c r="H122" s="204"/>
      <c r="I122" s="204"/>
      <c r="J122" s="204"/>
    </row>
    <row r="123" spans="1:12" x14ac:dyDescent="0.6">
      <c r="B123" s="166"/>
      <c r="C123" s="175"/>
      <c r="D123" s="175"/>
      <c r="E123" s="175"/>
      <c r="F123" s="175"/>
      <c r="G123" s="175"/>
      <c r="H123" s="175"/>
      <c r="I123" s="175"/>
      <c r="J123" s="175"/>
    </row>
    <row r="124" spans="1:12" x14ac:dyDescent="0.6">
      <c r="B124" s="166"/>
      <c r="C124" s="175"/>
      <c r="D124" s="175"/>
      <c r="E124" s="175"/>
      <c r="F124" s="175"/>
      <c r="G124" s="175"/>
      <c r="H124" s="175"/>
      <c r="I124" s="175"/>
      <c r="J124" s="175"/>
      <c r="K124" s="175"/>
      <c r="L124" s="175"/>
    </row>
    <row r="125" spans="1:12" x14ac:dyDescent="0.6">
      <c r="B125" s="166"/>
      <c r="C125" s="175"/>
      <c r="D125" s="175"/>
      <c r="E125" s="175"/>
      <c r="F125" s="175"/>
      <c r="G125" s="175"/>
      <c r="H125" s="175"/>
      <c r="I125" s="175"/>
      <c r="J125" s="175"/>
      <c r="K125" s="175"/>
      <c r="L125" s="175"/>
    </row>
    <row r="126" spans="1:12" x14ac:dyDescent="0.6">
      <c r="B126" s="166"/>
      <c r="C126" s="184"/>
      <c r="D126" s="184"/>
      <c r="F126" s="184"/>
      <c r="G126" s="184"/>
      <c r="H126" s="175"/>
      <c r="I126" s="175"/>
      <c r="J126" s="175"/>
      <c r="K126" s="175"/>
      <c r="L126" s="175"/>
    </row>
    <row r="127" spans="1:12" x14ac:dyDescent="0.6">
      <c r="B127" s="166"/>
      <c r="C127" s="184"/>
      <c r="D127" s="184"/>
      <c r="F127" s="184"/>
      <c r="G127" s="184"/>
      <c r="H127" s="175"/>
      <c r="I127" s="175"/>
      <c r="J127" s="175"/>
      <c r="K127" s="175"/>
      <c r="L127" s="175"/>
    </row>
    <row r="128" spans="1:12" x14ac:dyDescent="0.6">
      <c r="B128" s="166"/>
      <c r="G128" s="175"/>
      <c r="H128" s="175"/>
      <c r="I128" s="175"/>
      <c r="J128" s="175"/>
      <c r="K128" s="175"/>
      <c r="L128" s="175"/>
    </row>
    <row r="129" spans="2:12" x14ac:dyDescent="0.6">
      <c r="B129" s="166"/>
      <c r="C129" s="203"/>
      <c r="D129" s="203"/>
      <c r="F129" s="203"/>
      <c r="G129" s="203"/>
      <c r="H129" s="175"/>
      <c r="I129" s="175"/>
      <c r="J129" s="175"/>
      <c r="K129" s="175"/>
      <c r="L129" s="175"/>
    </row>
    <row r="130" spans="2:12" ht="15.25" x14ac:dyDescent="1.05">
      <c r="B130" s="166"/>
      <c r="C130" s="205"/>
      <c r="D130" s="205"/>
      <c r="F130" s="205"/>
      <c r="G130" s="205"/>
      <c r="H130" s="175"/>
      <c r="I130" s="175"/>
      <c r="J130" s="175"/>
      <c r="K130" s="175"/>
      <c r="L130" s="175"/>
    </row>
    <row r="131" spans="2:12" x14ac:dyDescent="0.6">
      <c r="B131" s="166"/>
      <c r="C131" s="175"/>
      <c r="D131" s="175"/>
      <c r="F131" s="175"/>
      <c r="G131" s="175"/>
      <c r="H131" s="175"/>
      <c r="I131" s="175"/>
      <c r="J131" s="175"/>
      <c r="K131" s="175"/>
      <c r="L131" s="175"/>
    </row>
    <row r="132" spans="2:12" x14ac:dyDescent="0.6">
      <c r="B132" s="166"/>
      <c r="C132" s="175"/>
      <c r="F132" s="175"/>
      <c r="G132" s="175"/>
      <c r="H132" s="175"/>
      <c r="I132" s="175"/>
      <c r="J132" s="175"/>
      <c r="K132" s="175"/>
      <c r="L132" s="175"/>
    </row>
    <row r="133" spans="2:12" x14ac:dyDescent="0.6">
      <c r="B133" s="166"/>
      <c r="C133" s="175"/>
      <c r="D133" s="175"/>
      <c r="E133" s="175"/>
      <c r="F133" s="175"/>
      <c r="G133" s="175"/>
      <c r="H133" s="175"/>
      <c r="I133" s="175"/>
      <c r="J133" s="175"/>
      <c r="K133" s="175"/>
      <c r="L133" s="175"/>
    </row>
    <row r="134" spans="2:12" x14ac:dyDescent="0.6">
      <c r="B134" s="166"/>
      <c r="C134" s="184"/>
      <c r="D134" s="184"/>
      <c r="E134" s="184"/>
      <c r="F134" s="175"/>
      <c r="G134" s="175"/>
      <c r="H134" s="175"/>
      <c r="I134" s="175"/>
      <c r="J134" s="175"/>
      <c r="K134" s="175"/>
      <c r="L134" s="175"/>
    </row>
    <row r="135" spans="2:12" x14ac:dyDescent="0.6">
      <c r="B135" s="166"/>
      <c r="C135" s="175"/>
      <c r="D135" s="175"/>
      <c r="E135" s="175"/>
      <c r="F135" s="175"/>
      <c r="G135" s="175"/>
      <c r="H135" s="175"/>
      <c r="I135" s="175"/>
      <c r="J135" s="175"/>
      <c r="K135" s="175"/>
      <c r="L135" s="175"/>
    </row>
    <row r="136" spans="2:12" ht="15.25" x14ac:dyDescent="1.05">
      <c r="B136" s="166"/>
      <c r="C136" s="181"/>
      <c r="D136" s="181"/>
      <c r="E136" s="181"/>
    </row>
    <row r="137" spans="2:12" x14ac:dyDescent="0.6">
      <c r="B137" s="166"/>
      <c r="C137" s="175"/>
      <c r="D137" s="175"/>
      <c r="E137" s="206"/>
    </row>
    <row r="138" spans="2:12" x14ac:dyDescent="0.6">
      <c r="B138" s="166"/>
      <c r="C138" s="187"/>
      <c r="E138" s="187"/>
    </row>
    <row r="139" spans="2:12" x14ac:dyDescent="0.6">
      <c r="C139" s="184"/>
      <c r="D139" s="184"/>
      <c r="E139" s="184"/>
      <c r="F139" s="184"/>
      <c r="G139" s="184"/>
      <c r="H139" s="184"/>
      <c r="I139" s="184"/>
      <c r="J139" s="184"/>
      <c r="K139" s="184"/>
      <c r="L139" s="184"/>
    </row>
    <row r="141" spans="2:12" x14ac:dyDescent="0.6">
      <c r="B141" s="166"/>
      <c r="C141" s="175"/>
    </row>
    <row r="142" spans="2:12" ht="15.25" x14ac:dyDescent="1.05">
      <c r="B142" s="166"/>
      <c r="C142" s="181"/>
    </row>
    <row r="143" spans="2:12" x14ac:dyDescent="0.6">
      <c r="B143" s="166"/>
      <c r="C143" s="175"/>
    </row>
    <row r="144" spans="2:12" x14ac:dyDescent="0.6">
      <c r="C144" s="187"/>
    </row>
    <row r="145" spans="1:10" x14ac:dyDescent="0.6">
      <c r="B145" s="195"/>
      <c r="C145" s="166"/>
    </row>
    <row r="146" spans="1:10" x14ac:dyDescent="0.6">
      <c r="B146" s="166"/>
      <c r="C146" s="175"/>
    </row>
    <row r="147" spans="1:10" ht="15.25" x14ac:dyDescent="1.05">
      <c r="B147" s="166"/>
      <c r="C147" s="181"/>
    </row>
    <row r="148" spans="1:10" x14ac:dyDescent="0.6">
      <c r="B148" s="166"/>
      <c r="C148" s="175"/>
    </row>
    <row r="153" spans="1:10" x14ac:dyDescent="0.6">
      <c r="A153" s="200"/>
      <c r="B153" s="179"/>
      <c r="C153" s="187"/>
      <c r="E153" s="187"/>
    </row>
    <row r="154" spans="1:10" x14ac:dyDescent="0.6">
      <c r="B154" s="164"/>
    </row>
    <row r="156" spans="1:10" x14ac:dyDescent="0.6">
      <c r="B156" s="156"/>
    </row>
    <row r="157" spans="1:10" x14ac:dyDescent="0.6">
      <c r="B157" s="164"/>
    </row>
    <row r="158" spans="1:10" x14ac:dyDescent="0.6">
      <c r="B158" s="156"/>
    </row>
    <row r="159" spans="1:10" x14ac:dyDescent="0.6">
      <c r="C159" s="184"/>
      <c r="D159" s="184"/>
      <c r="E159" s="184"/>
      <c r="F159" s="184"/>
      <c r="G159" s="184"/>
      <c r="H159" s="184"/>
      <c r="I159" s="184"/>
      <c r="J159" s="184"/>
    </row>
    <row r="160" spans="1:10" x14ac:dyDescent="0.6">
      <c r="C160" s="200"/>
      <c r="D160" s="200"/>
      <c r="E160" s="200"/>
      <c r="F160" s="201"/>
      <c r="G160" s="201"/>
      <c r="H160" s="201"/>
      <c r="I160" s="201"/>
      <c r="J160" s="201"/>
    </row>
    <row r="161" spans="2:10" x14ac:dyDescent="0.6">
      <c r="B161" s="185"/>
      <c r="C161" s="200"/>
      <c r="D161" s="200"/>
      <c r="E161" s="200"/>
      <c r="F161" s="201"/>
      <c r="G161" s="201"/>
      <c r="H161" s="201"/>
      <c r="I161" s="201"/>
      <c r="J161" s="201"/>
    </row>
    <row r="162" spans="2:10" x14ac:dyDescent="0.6">
      <c r="B162" s="188"/>
      <c r="C162" s="200"/>
      <c r="D162" s="200"/>
      <c r="E162" s="201"/>
      <c r="G162" s="201"/>
      <c r="H162" s="201"/>
      <c r="I162" s="201"/>
      <c r="J162" s="200"/>
    </row>
    <row r="163" spans="2:10" x14ac:dyDescent="0.6">
      <c r="B163" s="188"/>
      <c r="C163" s="200"/>
      <c r="D163" s="200"/>
      <c r="E163" s="201"/>
      <c r="F163" s="200"/>
      <c r="G163" s="200"/>
      <c r="H163" s="200"/>
      <c r="I163" s="200"/>
      <c r="J163" s="200"/>
    </row>
    <row r="164" spans="2:10" x14ac:dyDescent="0.6">
      <c r="B164" s="193"/>
      <c r="C164" s="200"/>
      <c r="D164" s="200"/>
      <c r="E164" s="200"/>
      <c r="F164" s="200"/>
      <c r="G164" s="200"/>
      <c r="H164" s="200"/>
      <c r="I164" s="200"/>
      <c r="J164" s="200"/>
    </row>
    <row r="165" spans="2:10" x14ac:dyDescent="0.6">
      <c r="B165" s="195"/>
      <c r="C165" s="201"/>
      <c r="D165" s="201"/>
      <c r="E165" s="200"/>
      <c r="F165" s="200"/>
      <c r="G165" s="200"/>
      <c r="H165" s="200"/>
      <c r="I165" s="200"/>
      <c r="J165" s="200"/>
    </row>
    <row r="166" spans="2:10" x14ac:dyDescent="0.6">
      <c r="B166" s="195"/>
      <c r="C166" s="201"/>
      <c r="D166" s="201"/>
      <c r="E166" s="200"/>
      <c r="F166" s="200"/>
      <c r="G166" s="200"/>
      <c r="H166" s="200"/>
      <c r="I166" s="200"/>
      <c r="J166" s="200"/>
    </row>
    <row r="167" spans="2:10" x14ac:dyDescent="0.6">
      <c r="C167" s="201"/>
      <c r="D167" s="201"/>
      <c r="E167" s="200"/>
      <c r="F167" s="200"/>
      <c r="G167" s="200"/>
      <c r="H167" s="200"/>
      <c r="I167" s="200"/>
      <c r="J167" s="200"/>
    </row>
    <row r="168" spans="2:10" x14ac:dyDescent="0.6">
      <c r="B168" s="185"/>
      <c r="C168" s="201"/>
      <c r="D168" s="201"/>
      <c r="E168" s="200"/>
      <c r="F168" s="201"/>
      <c r="G168" s="201"/>
      <c r="H168" s="201"/>
      <c r="I168" s="201"/>
      <c r="J168" s="201"/>
    </row>
    <row r="169" spans="2:10" x14ac:dyDescent="0.6">
      <c r="B169" s="188"/>
      <c r="C169" s="200"/>
      <c r="D169" s="200"/>
      <c r="E169" s="201"/>
      <c r="F169" s="200"/>
      <c r="G169" s="200"/>
      <c r="H169" s="200"/>
      <c r="I169" s="200"/>
      <c r="J169" s="200"/>
    </row>
    <row r="170" spans="2:10" x14ac:dyDescent="0.6">
      <c r="B170" s="188"/>
      <c r="C170" s="200"/>
      <c r="D170" s="200"/>
      <c r="E170" s="201"/>
      <c r="F170" s="200"/>
      <c r="G170" s="200"/>
      <c r="H170" s="200"/>
      <c r="I170" s="200"/>
      <c r="J170" s="200"/>
    </row>
    <row r="171" spans="2:10" x14ac:dyDescent="0.6">
      <c r="C171" s="200"/>
      <c r="D171" s="200"/>
      <c r="E171" s="201"/>
      <c r="F171" s="200"/>
      <c r="G171" s="200"/>
      <c r="H171" s="200"/>
      <c r="I171" s="200"/>
      <c r="J171" s="200"/>
    </row>
    <row r="174" spans="2:10" x14ac:dyDescent="0.6">
      <c r="B174" s="156"/>
    </row>
    <row r="175" spans="2:10" x14ac:dyDescent="0.6">
      <c r="B175" s="164"/>
    </row>
    <row r="177" spans="1:12" x14ac:dyDescent="0.6">
      <c r="C177" s="184"/>
      <c r="D177" s="184"/>
      <c r="E177" s="184"/>
      <c r="F177" s="184"/>
      <c r="H177" s="156"/>
      <c r="I177" s="184"/>
      <c r="J177" s="184"/>
    </row>
    <row r="178" spans="1:12" x14ac:dyDescent="0.6">
      <c r="F178" s="197"/>
    </row>
    <row r="179" spans="1:12" x14ac:dyDescent="0.6">
      <c r="B179" s="185"/>
      <c r="C179" s="201"/>
      <c r="D179" s="201"/>
      <c r="E179" s="201"/>
      <c r="F179" s="191"/>
      <c r="H179" s="198"/>
    </row>
    <row r="180" spans="1:12" x14ac:dyDescent="0.6">
      <c r="B180" s="188"/>
      <c r="C180" s="201"/>
      <c r="D180" s="201"/>
      <c r="E180" s="201"/>
      <c r="F180" s="192"/>
      <c r="H180" s="180"/>
      <c r="I180" s="207"/>
      <c r="J180" s="207"/>
    </row>
    <row r="181" spans="1:12" x14ac:dyDescent="0.6">
      <c r="B181" s="188"/>
      <c r="C181" s="201"/>
      <c r="D181" s="201"/>
      <c r="E181" s="201"/>
      <c r="F181" s="192"/>
      <c r="H181" s="180"/>
      <c r="I181" s="207"/>
      <c r="J181" s="207"/>
    </row>
    <row r="182" spans="1:12" x14ac:dyDescent="0.6">
      <c r="C182" s="201"/>
      <c r="D182" s="201"/>
      <c r="E182" s="201"/>
      <c r="F182" s="192"/>
      <c r="H182" s="180"/>
      <c r="I182" s="199"/>
      <c r="J182" s="199"/>
    </row>
    <row r="183" spans="1:12" x14ac:dyDescent="0.6">
      <c r="B183" s="185"/>
      <c r="C183" s="201"/>
      <c r="D183" s="201"/>
      <c r="E183" s="201"/>
      <c r="F183" s="192"/>
      <c r="H183" s="198"/>
      <c r="I183" s="177"/>
      <c r="J183" s="177"/>
    </row>
    <row r="184" spans="1:12" x14ac:dyDescent="0.6">
      <c r="B184" s="188"/>
      <c r="C184" s="201"/>
      <c r="D184" s="201"/>
      <c r="E184" s="201"/>
      <c r="F184" s="192"/>
      <c r="H184" s="180"/>
      <c r="I184" s="207"/>
      <c r="J184" s="207"/>
    </row>
    <row r="185" spans="1:12" x14ac:dyDescent="0.6">
      <c r="B185" s="188"/>
      <c r="C185" s="201"/>
      <c r="D185" s="201"/>
      <c r="E185" s="201"/>
      <c r="F185" s="192"/>
    </row>
    <row r="189" spans="1:12" x14ac:dyDescent="0.6">
      <c r="A189" s="200"/>
      <c r="B189" s="156"/>
      <c r="C189" s="187"/>
      <c r="E189" s="187"/>
    </row>
    <row r="190" spans="1:12" x14ac:dyDescent="0.6">
      <c r="C190" s="187"/>
      <c r="E190" s="187"/>
    </row>
    <row r="191" spans="1:12" x14ac:dyDescent="0.6">
      <c r="C191" s="184"/>
      <c r="D191" s="184"/>
      <c r="E191" s="184"/>
      <c r="F191" s="184"/>
      <c r="G191" s="184"/>
      <c r="H191" s="184"/>
      <c r="I191" s="184"/>
      <c r="J191" s="184"/>
      <c r="K191" s="184"/>
      <c r="L191" s="184"/>
    </row>
    <row r="193" spans="2:12" x14ac:dyDescent="0.6">
      <c r="B193" s="166"/>
      <c r="C193" s="182"/>
      <c r="D193" s="182"/>
      <c r="E193" s="203"/>
      <c r="F193" s="182"/>
      <c r="G193" s="182"/>
      <c r="H193" s="182"/>
      <c r="I193" s="182"/>
      <c r="J193" s="182"/>
      <c r="K193" s="203"/>
      <c r="L193" s="203"/>
    </row>
    <row r="194" spans="2:12" ht="15.25" x14ac:dyDescent="1.05">
      <c r="B194" s="166"/>
      <c r="C194" s="204"/>
      <c r="D194" s="204"/>
      <c r="E194" s="204"/>
      <c r="F194" s="204"/>
      <c r="G194" s="204"/>
      <c r="H194" s="204"/>
      <c r="I194" s="204"/>
      <c r="J194" s="204"/>
      <c r="K194" s="205"/>
      <c r="L194" s="205"/>
    </row>
    <row r="195" spans="2:12" x14ac:dyDescent="0.6">
      <c r="B195" s="166"/>
      <c r="C195" s="175"/>
      <c r="D195" s="175"/>
      <c r="E195" s="175"/>
      <c r="F195" s="175"/>
      <c r="G195" s="175"/>
      <c r="H195" s="175"/>
      <c r="I195" s="175"/>
      <c r="J195" s="175"/>
      <c r="K195" s="175"/>
      <c r="L195" s="175"/>
    </row>
    <row r="196" spans="2:12" x14ac:dyDescent="0.6">
      <c r="B196" s="166"/>
      <c r="C196" s="175"/>
      <c r="D196" s="175"/>
      <c r="E196" s="175"/>
      <c r="F196" s="175"/>
      <c r="G196" s="175"/>
      <c r="H196" s="175"/>
      <c r="I196" s="175"/>
      <c r="J196" s="175"/>
      <c r="K196" s="175"/>
      <c r="L196" s="175"/>
    </row>
    <row r="197" spans="2:12" x14ac:dyDescent="0.6">
      <c r="B197" s="166"/>
      <c r="C197" s="175"/>
      <c r="D197" s="175"/>
      <c r="E197" s="175"/>
      <c r="F197" s="175"/>
      <c r="G197" s="175"/>
      <c r="H197" s="175"/>
      <c r="I197" s="175"/>
      <c r="J197" s="175"/>
      <c r="K197" s="175"/>
      <c r="L197" s="175"/>
    </row>
    <row r="198" spans="2:12" ht="15.25" x14ac:dyDescent="1.05">
      <c r="B198" s="166"/>
      <c r="C198" s="181"/>
      <c r="E198" s="187"/>
    </row>
    <row r="199" spans="2:12" x14ac:dyDescent="0.6">
      <c r="B199" s="166"/>
      <c r="C199" s="175"/>
      <c r="E199" s="187"/>
    </row>
    <row r="200" spans="2:12" x14ac:dyDescent="0.6">
      <c r="B200" s="166"/>
      <c r="C200" s="187"/>
      <c r="E200" s="187"/>
    </row>
    <row r="201" spans="2:12" x14ac:dyDescent="0.6">
      <c r="C201" s="184"/>
      <c r="D201" s="184"/>
      <c r="E201" s="184"/>
      <c r="F201" s="184"/>
      <c r="G201" s="184"/>
      <c r="H201" s="184"/>
      <c r="I201" s="184"/>
      <c r="J201" s="184"/>
      <c r="K201" s="184"/>
      <c r="L201" s="184"/>
    </row>
    <row r="203" spans="2:12" x14ac:dyDescent="0.6">
      <c r="B203" s="166"/>
      <c r="C203" s="175"/>
    </row>
    <row r="204" spans="2:12" ht="15.25" x14ac:dyDescent="1.05">
      <c r="B204" s="166"/>
      <c r="C204" s="181"/>
    </row>
    <row r="205" spans="2:12" x14ac:dyDescent="0.6">
      <c r="B205" s="166"/>
      <c r="C205" s="175"/>
      <c r="D205" s="175"/>
      <c r="G205" s="166"/>
    </row>
    <row r="206" spans="2:12" x14ac:dyDescent="0.6">
      <c r="C206" s="187"/>
      <c r="E206" s="187"/>
      <c r="G206" s="166"/>
    </row>
    <row r="207" spans="2:12" x14ac:dyDescent="0.6">
      <c r="B207" s="195"/>
      <c r="C207" s="175"/>
      <c r="E207" s="208"/>
      <c r="G207" s="208"/>
    </row>
    <row r="208" spans="2:12" x14ac:dyDescent="0.6">
      <c r="B208" s="166"/>
      <c r="C208" s="175"/>
      <c r="E208" s="132"/>
    </row>
    <row r="209" spans="1:10" ht="15.25" x14ac:dyDescent="1.05">
      <c r="B209" s="166"/>
      <c r="C209" s="181"/>
      <c r="E209" s="209"/>
    </row>
    <row r="210" spans="1:10" x14ac:dyDescent="0.6">
      <c r="B210" s="166"/>
      <c r="C210" s="175"/>
      <c r="E210" s="132"/>
    </row>
    <row r="212" spans="1:10" x14ac:dyDescent="0.6">
      <c r="C212" s="210"/>
    </row>
    <row r="213" spans="1:10" outlineLevel="1" x14ac:dyDescent="0.6">
      <c r="A213" s="156"/>
    </row>
    <row r="214" spans="1:10" outlineLevel="1" x14ac:dyDescent="0.6">
      <c r="A214" s="200"/>
      <c r="B214" s="179"/>
      <c r="C214" s="187"/>
      <c r="E214" s="187"/>
    </row>
    <row r="215" spans="1:10" outlineLevel="1" x14ac:dyDescent="0.6">
      <c r="B215" s="164"/>
    </row>
    <row r="216" spans="1:10" outlineLevel="1" x14ac:dyDescent="0.6">
      <c r="A216" s="200"/>
    </row>
    <row r="217" spans="1:10" outlineLevel="1" x14ac:dyDescent="0.6">
      <c r="B217" s="156"/>
    </row>
    <row r="218" spans="1:10" outlineLevel="1" x14ac:dyDescent="0.6">
      <c r="B218" s="164"/>
    </row>
    <row r="219" spans="1:10" outlineLevel="1" x14ac:dyDescent="0.6">
      <c r="B219" s="156"/>
    </row>
    <row r="220" spans="1:10" outlineLevel="1" x14ac:dyDescent="0.6">
      <c r="C220" s="184"/>
      <c r="D220" s="184"/>
      <c r="E220" s="184"/>
      <c r="F220" s="184"/>
      <c r="G220" s="184"/>
      <c r="H220" s="184"/>
      <c r="I220" s="184"/>
      <c r="J220" s="184"/>
    </row>
    <row r="221" spans="1:10" outlineLevel="1" x14ac:dyDescent="0.6">
      <c r="C221" s="200"/>
      <c r="D221" s="200"/>
      <c r="E221" s="200"/>
      <c r="F221" s="201"/>
      <c r="G221" s="201"/>
      <c r="H221" s="201"/>
      <c r="I221" s="201"/>
      <c r="J221" s="201"/>
    </row>
    <row r="222" spans="1:10" outlineLevel="1" x14ac:dyDescent="0.6">
      <c r="B222" s="185"/>
      <c r="C222" s="200"/>
      <c r="D222" s="200"/>
      <c r="E222" s="200"/>
      <c r="F222" s="201"/>
      <c r="G222" s="201"/>
      <c r="H222" s="201"/>
      <c r="I222" s="201"/>
      <c r="J222" s="201"/>
    </row>
    <row r="223" spans="1:10" outlineLevel="1" x14ac:dyDescent="0.6">
      <c r="B223" s="188"/>
      <c r="C223" s="200"/>
      <c r="D223" s="200"/>
      <c r="E223" s="201"/>
    </row>
    <row r="224" spans="1:10" outlineLevel="1" x14ac:dyDescent="0.6">
      <c r="B224" s="188"/>
      <c r="C224" s="200"/>
      <c r="D224" s="200"/>
      <c r="E224" s="201"/>
      <c r="F224" s="200"/>
      <c r="G224" s="200"/>
      <c r="H224" s="200"/>
      <c r="I224" s="200"/>
      <c r="J224" s="200"/>
    </row>
    <row r="225" spans="2:10" outlineLevel="1" x14ac:dyDescent="0.6">
      <c r="B225" s="193"/>
      <c r="C225" s="200"/>
      <c r="D225" s="200"/>
      <c r="E225" s="200"/>
      <c r="F225" s="200"/>
      <c r="G225" s="200"/>
      <c r="H225" s="200"/>
      <c r="I225" s="200"/>
      <c r="J225" s="200"/>
    </row>
    <row r="226" spans="2:10" outlineLevel="1" x14ac:dyDescent="0.6">
      <c r="B226" s="195"/>
      <c r="C226" s="201"/>
      <c r="D226" s="201"/>
      <c r="E226" s="200"/>
      <c r="F226" s="200"/>
      <c r="G226" s="200"/>
      <c r="H226" s="200"/>
      <c r="I226" s="200"/>
      <c r="J226" s="200"/>
    </row>
    <row r="227" spans="2:10" outlineLevel="1" x14ac:dyDescent="0.6">
      <c r="B227" s="195"/>
      <c r="C227" s="201"/>
      <c r="D227" s="201"/>
      <c r="E227" s="200"/>
      <c r="F227" s="200"/>
      <c r="G227" s="200"/>
      <c r="H227" s="200"/>
      <c r="I227" s="200"/>
      <c r="J227" s="200"/>
    </row>
    <row r="228" spans="2:10" outlineLevel="1" x14ac:dyDescent="0.6">
      <c r="C228" s="201"/>
      <c r="D228" s="201"/>
      <c r="E228" s="200"/>
      <c r="F228" s="200"/>
      <c r="G228" s="200"/>
      <c r="H228" s="200"/>
      <c r="I228" s="200"/>
      <c r="J228" s="200"/>
    </row>
    <row r="229" spans="2:10" outlineLevel="1" x14ac:dyDescent="0.6">
      <c r="B229" s="185"/>
      <c r="C229" s="201"/>
      <c r="D229" s="201"/>
      <c r="E229" s="200"/>
      <c r="F229" s="201"/>
      <c r="G229" s="201"/>
      <c r="H229" s="201"/>
      <c r="I229" s="201"/>
      <c r="J229" s="201"/>
    </row>
    <row r="230" spans="2:10" outlineLevel="1" x14ac:dyDescent="0.6">
      <c r="B230" s="188"/>
      <c r="C230" s="200"/>
      <c r="D230" s="200"/>
      <c r="E230" s="201"/>
      <c r="F230" s="200"/>
      <c r="G230" s="200"/>
      <c r="H230" s="200"/>
      <c r="I230" s="200"/>
      <c r="J230" s="200"/>
    </row>
    <row r="231" spans="2:10" outlineLevel="1" x14ac:dyDescent="0.6">
      <c r="B231" s="188"/>
      <c r="C231" s="200"/>
      <c r="D231" s="200"/>
      <c r="E231" s="201"/>
      <c r="F231" s="200"/>
      <c r="G231" s="200"/>
      <c r="H231" s="200"/>
      <c r="I231" s="200"/>
      <c r="J231" s="200"/>
    </row>
    <row r="232" spans="2:10" outlineLevel="1" x14ac:dyDescent="0.6">
      <c r="C232" s="200"/>
      <c r="D232" s="200"/>
      <c r="E232" s="201"/>
      <c r="F232" s="200"/>
      <c r="G232" s="200"/>
      <c r="H232" s="200"/>
      <c r="I232" s="200"/>
      <c r="J232" s="200"/>
    </row>
    <row r="233" spans="2:10" outlineLevel="1" x14ac:dyDescent="0.6"/>
    <row r="234" spans="2:10" outlineLevel="1" x14ac:dyDescent="0.6"/>
    <row r="235" spans="2:10" outlineLevel="1" x14ac:dyDescent="0.6">
      <c r="B235" s="156"/>
    </row>
    <row r="236" spans="2:10" outlineLevel="1" x14ac:dyDescent="0.6">
      <c r="B236" s="164"/>
    </row>
    <row r="237" spans="2:10" outlineLevel="1" x14ac:dyDescent="0.6"/>
    <row r="238" spans="2:10" outlineLevel="1" x14ac:dyDescent="0.6">
      <c r="C238" s="184"/>
      <c r="D238" s="184"/>
      <c r="E238" s="184"/>
      <c r="F238" s="184"/>
      <c r="H238" s="156"/>
      <c r="I238" s="184"/>
      <c r="J238" s="184"/>
    </row>
    <row r="239" spans="2:10" outlineLevel="1" x14ac:dyDescent="0.6">
      <c r="F239" s="197"/>
    </row>
    <row r="240" spans="2:10" outlineLevel="1" x14ac:dyDescent="0.6">
      <c r="B240" s="185"/>
      <c r="C240" s="201"/>
      <c r="D240" s="201"/>
      <c r="E240" s="201"/>
      <c r="F240" s="191"/>
      <c r="H240" s="198"/>
    </row>
    <row r="241" spans="1:12" outlineLevel="1" x14ac:dyDescent="0.6">
      <c r="B241" s="188"/>
      <c r="C241" s="201"/>
      <c r="D241" s="201"/>
      <c r="E241" s="201"/>
      <c r="F241" s="192"/>
      <c r="H241" s="180"/>
      <c r="I241" s="207"/>
      <c r="J241" s="207"/>
    </row>
    <row r="242" spans="1:12" outlineLevel="1" x14ac:dyDescent="0.6">
      <c r="B242" s="188"/>
      <c r="C242" s="201"/>
      <c r="D242" s="201"/>
      <c r="E242" s="201"/>
      <c r="F242" s="192"/>
      <c r="H242" s="180"/>
      <c r="I242" s="207"/>
      <c r="J242" s="207"/>
    </row>
    <row r="243" spans="1:12" outlineLevel="1" x14ac:dyDescent="0.6">
      <c r="C243" s="201"/>
      <c r="D243" s="201"/>
      <c r="E243" s="201"/>
      <c r="F243" s="192"/>
      <c r="H243" s="180"/>
      <c r="I243" s="199"/>
      <c r="J243" s="199"/>
    </row>
    <row r="244" spans="1:12" outlineLevel="1" x14ac:dyDescent="0.6">
      <c r="B244" s="185"/>
      <c r="C244" s="201"/>
      <c r="D244" s="201"/>
      <c r="E244" s="201"/>
      <c r="F244" s="192"/>
      <c r="H244" s="198"/>
      <c r="I244" s="177"/>
      <c r="J244" s="177"/>
    </row>
    <row r="245" spans="1:12" outlineLevel="1" x14ac:dyDescent="0.6">
      <c r="B245" s="188"/>
      <c r="C245" s="201"/>
      <c r="D245" s="201"/>
      <c r="E245" s="201"/>
      <c r="F245" s="192"/>
      <c r="H245" s="180"/>
      <c r="I245" s="207"/>
      <c r="J245" s="207"/>
    </row>
    <row r="246" spans="1:12" outlineLevel="1" x14ac:dyDescent="0.6">
      <c r="B246" s="188"/>
      <c r="C246" s="201"/>
      <c r="D246" s="201"/>
      <c r="E246" s="201"/>
      <c r="F246" s="192"/>
    </row>
    <row r="247" spans="1:12" outlineLevel="1" x14ac:dyDescent="0.6"/>
    <row r="248" spans="1:12" outlineLevel="1" x14ac:dyDescent="0.6"/>
    <row r="249" spans="1:12" outlineLevel="1" x14ac:dyDescent="0.6"/>
    <row r="250" spans="1:12" outlineLevel="1" x14ac:dyDescent="0.6"/>
    <row r="251" spans="1:12" outlineLevel="1" x14ac:dyDescent="0.6">
      <c r="A251" s="200"/>
      <c r="B251" s="156"/>
      <c r="C251" s="187"/>
      <c r="E251" s="187"/>
    </row>
    <row r="252" spans="1:12" outlineLevel="1" x14ac:dyDescent="0.6">
      <c r="C252" s="187"/>
      <c r="E252" s="187"/>
    </row>
    <row r="253" spans="1:12" outlineLevel="1" x14ac:dyDescent="0.6">
      <c r="C253" s="184"/>
      <c r="D253" s="184"/>
      <c r="E253" s="184"/>
      <c r="F253" s="184"/>
      <c r="G253" s="184"/>
      <c r="H253" s="184"/>
      <c r="I253" s="184"/>
      <c r="J253" s="184"/>
      <c r="K253" s="184"/>
      <c r="L253" s="184"/>
    </row>
    <row r="254" spans="1:12" outlineLevel="1" x14ac:dyDescent="0.6"/>
    <row r="255" spans="1:12" outlineLevel="1" x14ac:dyDescent="0.6">
      <c r="B255" s="166"/>
      <c r="C255" s="182"/>
      <c r="D255" s="182"/>
      <c r="E255" s="203"/>
      <c r="F255" s="182"/>
      <c r="G255" s="182"/>
      <c r="H255" s="182"/>
      <c r="I255" s="182"/>
      <c r="J255" s="182"/>
      <c r="K255" s="203"/>
      <c r="L255" s="203"/>
    </row>
    <row r="256" spans="1:12" ht="15.25" outlineLevel="1" x14ac:dyDescent="1.05">
      <c r="B256" s="166"/>
      <c r="C256" s="204"/>
      <c r="D256" s="204"/>
      <c r="E256" s="204"/>
      <c r="F256" s="211"/>
      <c r="G256" s="211"/>
      <c r="H256" s="211"/>
      <c r="I256" s="211"/>
      <c r="J256" s="211"/>
      <c r="K256" s="205"/>
      <c r="L256" s="205"/>
    </row>
    <row r="257" spans="2:12" outlineLevel="1" x14ac:dyDescent="0.6">
      <c r="B257" s="166"/>
      <c r="C257" s="175"/>
      <c r="D257" s="175"/>
      <c r="E257" s="175"/>
      <c r="F257" s="175"/>
      <c r="G257" s="175"/>
      <c r="H257" s="175"/>
      <c r="I257" s="175"/>
      <c r="J257" s="175"/>
      <c r="K257" s="175"/>
      <c r="L257" s="175"/>
    </row>
    <row r="258" spans="2:12" outlineLevel="1" x14ac:dyDescent="0.6">
      <c r="B258" s="166"/>
      <c r="C258" s="175"/>
      <c r="D258" s="175"/>
      <c r="E258" s="175"/>
      <c r="F258" s="175"/>
      <c r="G258" s="175"/>
      <c r="H258" s="175"/>
      <c r="I258" s="175"/>
      <c r="J258" s="175"/>
      <c r="K258" s="175"/>
      <c r="L258" s="175"/>
    </row>
    <row r="259" spans="2:12" outlineLevel="1" x14ac:dyDescent="0.6">
      <c r="B259" s="166"/>
      <c r="C259" s="175"/>
      <c r="D259" s="175"/>
      <c r="E259" s="175"/>
      <c r="F259" s="175"/>
      <c r="G259" s="175"/>
      <c r="H259" s="175"/>
      <c r="I259" s="175"/>
      <c r="J259" s="175"/>
      <c r="K259" s="175"/>
      <c r="L259" s="175"/>
    </row>
    <row r="260" spans="2:12" ht="15.25" outlineLevel="1" x14ac:dyDescent="1.05">
      <c r="B260" s="166"/>
      <c r="C260" s="181"/>
      <c r="E260" s="187"/>
    </row>
    <row r="261" spans="2:12" outlineLevel="1" x14ac:dyDescent="0.6">
      <c r="B261" s="166"/>
      <c r="C261" s="175"/>
      <c r="E261" s="187"/>
    </row>
    <row r="262" spans="2:12" outlineLevel="1" x14ac:dyDescent="0.6">
      <c r="B262" s="166"/>
      <c r="C262" s="187"/>
      <c r="E262" s="187"/>
    </row>
    <row r="263" spans="2:12" outlineLevel="1" x14ac:dyDescent="0.6">
      <c r="C263" s="184"/>
      <c r="D263" s="184"/>
      <c r="E263" s="184"/>
      <c r="F263" s="184"/>
      <c r="G263" s="184"/>
      <c r="H263" s="184"/>
      <c r="I263" s="184"/>
      <c r="J263" s="184"/>
      <c r="K263" s="184"/>
      <c r="L263" s="184"/>
    </row>
    <row r="264" spans="2:12" outlineLevel="1" x14ac:dyDescent="0.6"/>
    <row r="265" spans="2:12" outlineLevel="1" x14ac:dyDescent="0.6">
      <c r="C265" s="212"/>
      <c r="D265" s="212"/>
      <c r="E265" s="212"/>
    </row>
    <row r="266" spans="2:12" outlineLevel="1" x14ac:dyDescent="0.6">
      <c r="B266" s="166"/>
      <c r="C266" s="175"/>
      <c r="D266" s="210"/>
      <c r="E266" s="175"/>
    </row>
    <row r="267" spans="2:12" outlineLevel="1" x14ac:dyDescent="0.6">
      <c r="B267" s="166"/>
      <c r="C267" s="213"/>
      <c r="D267" s="214"/>
      <c r="E267" s="213"/>
    </row>
    <row r="268" spans="2:12" outlineLevel="1" x14ac:dyDescent="0.6">
      <c r="B268" s="166"/>
      <c r="C268" s="175"/>
      <c r="D268" s="175"/>
      <c r="E268" s="175"/>
      <c r="G268" s="166"/>
    </row>
    <row r="269" spans="2:12" outlineLevel="1" x14ac:dyDescent="0.6">
      <c r="C269" s="187"/>
      <c r="E269" s="187"/>
      <c r="G269" s="166"/>
    </row>
    <row r="270" spans="2:12" outlineLevel="1" x14ac:dyDescent="0.6">
      <c r="B270" s="195"/>
      <c r="C270" s="175"/>
      <c r="E270" s="208"/>
      <c r="G270" s="208"/>
    </row>
    <row r="271" spans="2:12" outlineLevel="1" x14ac:dyDescent="0.6">
      <c r="B271" s="166"/>
      <c r="C271" s="175"/>
      <c r="E271" s="132"/>
    </row>
    <row r="272" spans="2:12" outlineLevel="1" x14ac:dyDescent="0.6">
      <c r="B272" s="166"/>
      <c r="C272" s="213"/>
      <c r="E272" s="209"/>
    </row>
    <row r="273" spans="2:5" outlineLevel="1" x14ac:dyDescent="0.6">
      <c r="B273" s="166"/>
      <c r="C273" s="175"/>
      <c r="E273" s="132"/>
    </row>
    <row r="274" spans="2:5" outlineLevel="1" x14ac:dyDescent="0.6"/>
  </sheetData>
  <pageMargins left="0.75" right="0.75" top="1" bottom="1" header="0.5" footer="0.5"/>
  <pageSetup scale="56" orientation="landscape" r:id="rId1"/>
  <headerFooter alignWithMargins="0">
    <oddHeader>&amp;L&amp;"Arial,Bold"Atlantic City Electric
&amp;"Arial,Regular"Development of BGS Rates
June 2025 - May 2026
&amp;"Arial,Bold"
&amp;RAttachment 4
Page 4 of 5</oddHeader>
  </headerFooter>
  <rowBreaks count="7" manualBreakCount="7">
    <brk id="33" max="9" man="1"/>
    <brk id="79" max="9" man="1"/>
    <brk id="115" max="9" man="1"/>
    <brk id="151" max="9" man="1"/>
    <brk id="187" max="9" man="1"/>
    <brk id="212" max="11" man="1"/>
    <brk id="250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3642B-1D2C-4736-8DFE-5E779F8CAA9C}">
  <sheetPr>
    <pageSetUpPr fitToPage="1"/>
  </sheetPr>
  <dimension ref="A1:G35"/>
  <sheetViews>
    <sheetView zoomScaleNormal="100" workbookViewId="0"/>
  </sheetViews>
  <sheetFormatPr defaultRowHeight="13" x14ac:dyDescent="0.6"/>
  <cols>
    <col min="1" max="1" width="12.453125" bestFit="1" customWidth="1"/>
    <col min="2" max="2" width="46" customWidth="1"/>
    <col min="3" max="5" width="16.54296875" customWidth="1"/>
    <col min="6" max="6" width="4.54296875" customWidth="1"/>
    <col min="7" max="7" width="41.54296875" bestFit="1" customWidth="1"/>
  </cols>
  <sheetData>
    <row r="1" spans="1:7" ht="20.5" x14ac:dyDescent="0.9">
      <c r="A1" s="162" t="s">
        <v>244</v>
      </c>
      <c r="B1" s="233"/>
      <c r="C1" s="233"/>
      <c r="D1" s="259"/>
      <c r="E1" s="233"/>
      <c r="F1" s="233"/>
      <c r="G1" s="233"/>
    </row>
    <row r="2" spans="1:7" ht="15.5" x14ac:dyDescent="0.7">
      <c r="A2" s="257" t="s">
        <v>294</v>
      </c>
      <c r="B2" s="233"/>
      <c r="C2" s="233"/>
      <c r="D2" s="260"/>
      <c r="E2" s="260"/>
      <c r="F2" s="260"/>
      <c r="G2" s="260"/>
    </row>
    <row r="3" spans="1:7" x14ac:dyDescent="0.6">
      <c r="A3" s="163" t="s">
        <v>254</v>
      </c>
      <c r="B3" s="233"/>
      <c r="C3" s="233"/>
      <c r="D3" s="260"/>
      <c r="E3" s="260"/>
      <c r="F3" s="260"/>
      <c r="G3" s="260"/>
    </row>
    <row r="4" spans="1:7" x14ac:dyDescent="0.6">
      <c r="A4" s="233"/>
      <c r="B4" s="233"/>
      <c r="C4" s="233"/>
      <c r="D4" s="233"/>
      <c r="E4" s="233"/>
      <c r="F4" s="233"/>
      <c r="G4" s="233"/>
    </row>
    <row r="5" spans="1:7" x14ac:dyDescent="0.6">
      <c r="A5" s="261" t="s">
        <v>194</v>
      </c>
      <c r="B5" s="232" t="s">
        <v>195</v>
      </c>
      <c r="C5" s="233"/>
      <c r="D5" s="233"/>
      <c r="E5" s="233"/>
      <c r="F5" s="233"/>
      <c r="G5" s="233"/>
    </row>
    <row r="6" spans="1:7" ht="89.25" customHeight="1" x14ac:dyDescent="0.6">
      <c r="A6" s="262" t="s">
        <v>142</v>
      </c>
      <c r="B6" s="232" t="s">
        <v>245</v>
      </c>
      <c r="C6" s="263" t="s">
        <v>306</v>
      </c>
      <c r="D6" s="263" t="s">
        <v>307</v>
      </c>
      <c r="E6" s="263" t="s">
        <v>295</v>
      </c>
      <c r="F6" s="233"/>
      <c r="G6" s="264" t="s">
        <v>144</v>
      </c>
    </row>
    <row r="7" spans="1:7" x14ac:dyDescent="0.6">
      <c r="A7" s="233"/>
      <c r="B7" s="233"/>
      <c r="C7" s="233"/>
      <c r="D7" s="233"/>
      <c r="E7" s="233"/>
      <c r="F7" s="233"/>
      <c r="G7" s="233"/>
    </row>
    <row r="8" spans="1:7" x14ac:dyDescent="0.6">
      <c r="A8" s="262">
        <v>1</v>
      </c>
      <c r="B8" s="232" t="s">
        <v>145</v>
      </c>
      <c r="C8" s="144">
        <f>'Attachment 3'!E8</f>
        <v>112.13</v>
      </c>
      <c r="D8" s="144">
        <f>'Attachment 4 Pg4'!E8</f>
        <v>113.46</v>
      </c>
      <c r="E8" s="144">
        <f>D10</f>
        <v>113.46</v>
      </c>
      <c r="F8" s="233"/>
      <c r="G8" s="265" t="s">
        <v>146</v>
      </c>
    </row>
    <row r="9" spans="1:7" x14ac:dyDescent="0.6">
      <c r="A9" s="262" t="s">
        <v>266</v>
      </c>
      <c r="B9" s="232" t="s">
        <v>308</v>
      </c>
      <c r="C9" s="144">
        <f>'Attachment 4 Pg3'!C21</f>
        <v>1.33</v>
      </c>
      <c r="D9" s="258"/>
      <c r="E9" s="258"/>
      <c r="F9" s="233"/>
      <c r="G9" s="265" t="s">
        <v>309</v>
      </c>
    </row>
    <row r="10" spans="1:7" x14ac:dyDescent="0.6">
      <c r="A10" s="262" t="s">
        <v>226</v>
      </c>
      <c r="B10" s="232" t="s">
        <v>246</v>
      </c>
      <c r="C10" s="266">
        <f>C8+C9</f>
        <v>113.46</v>
      </c>
      <c r="D10" s="266">
        <f t="shared" ref="D10:E10" si="0">D8+D9</f>
        <v>113.46</v>
      </c>
      <c r="E10" s="266">
        <f t="shared" si="0"/>
        <v>113.46</v>
      </c>
      <c r="F10" s="233"/>
      <c r="G10" s="267" t="s">
        <v>310</v>
      </c>
    </row>
    <row r="11" spans="1:7" x14ac:dyDescent="0.6">
      <c r="A11" s="262"/>
      <c r="B11" s="232"/>
      <c r="C11" s="266"/>
      <c r="D11" s="266"/>
      <c r="E11" s="266"/>
      <c r="F11" s="233"/>
      <c r="G11" s="231"/>
    </row>
    <row r="12" spans="1:7" ht="38.25" customHeight="1" x14ac:dyDescent="0.6">
      <c r="A12" s="262">
        <v>2</v>
      </c>
      <c r="B12" s="268" t="s">
        <v>247</v>
      </c>
      <c r="C12" s="279">
        <f>'Attachment 4 Pg4'!D12</f>
        <v>7</v>
      </c>
      <c r="D12" s="279">
        <f>'Attachment 4 Pg4'!E12</f>
        <v>8</v>
      </c>
      <c r="E12" s="279">
        <f>22-D12-C12</f>
        <v>7</v>
      </c>
      <c r="F12" s="233"/>
      <c r="G12" s="265" t="s">
        <v>147</v>
      </c>
    </row>
    <row r="13" spans="1:7" x14ac:dyDescent="0.6">
      <c r="A13" s="262">
        <v>3</v>
      </c>
      <c r="B13" s="232" t="s">
        <v>248</v>
      </c>
      <c r="C13" s="279">
        <f>'Attachment 4 Pg4'!D13</f>
        <v>22</v>
      </c>
      <c r="D13" s="279">
        <f>'Attachment 4 Pg4'!E13</f>
        <v>22</v>
      </c>
      <c r="E13" s="279">
        <v>22</v>
      </c>
      <c r="F13" s="233"/>
      <c r="G13" s="265" t="s">
        <v>147</v>
      </c>
    </row>
    <row r="14" spans="1:7" x14ac:dyDescent="0.6">
      <c r="A14" s="262"/>
      <c r="B14" s="232"/>
      <c r="C14" s="233"/>
      <c r="D14" s="233"/>
      <c r="E14" s="233"/>
      <c r="F14" s="233"/>
      <c r="G14" s="265"/>
    </row>
    <row r="15" spans="1:7" x14ac:dyDescent="0.6">
      <c r="A15" s="262"/>
      <c r="B15" s="232" t="s">
        <v>148</v>
      </c>
      <c r="C15" s="233"/>
      <c r="D15" s="233"/>
      <c r="E15" s="233"/>
      <c r="F15" s="233"/>
      <c r="G15" s="233"/>
    </row>
    <row r="16" spans="1:7" x14ac:dyDescent="0.6">
      <c r="A16" s="262">
        <v>4</v>
      </c>
      <c r="B16" s="170" t="s">
        <v>149</v>
      </c>
      <c r="C16" s="269">
        <v>1</v>
      </c>
      <c r="D16" s="269">
        <v>1</v>
      </c>
      <c r="E16" s="269">
        <v>1</v>
      </c>
      <c r="F16" s="233"/>
      <c r="G16" s="265" t="s">
        <v>150</v>
      </c>
    </row>
    <row r="17" spans="1:7" x14ac:dyDescent="0.6">
      <c r="A17" s="262">
        <v>5</v>
      </c>
      <c r="B17" s="170" t="s">
        <v>151</v>
      </c>
      <c r="C17" s="269">
        <v>1</v>
      </c>
      <c r="D17" s="269">
        <v>1</v>
      </c>
      <c r="E17" s="269">
        <v>1</v>
      </c>
      <c r="F17" s="233"/>
      <c r="G17" s="265" t="s">
        <v>150</v>
      </c>
    </row>
    <row r="18" spans="1:7" x14ac:dyDescent="0.6">
      <c r="A18" s="262"/>
      <c r="B18" s="233"/>
      <c r="C18" s="233"/>
      <c r="D18" s="233"/>
      <c r="E18" s="233"/>
      <c r="F18" s="233"/>
      <c r="G18" s="233"/>
    </row>
    <row r="19" spans="1:7" x14ac:dyDescent="0.6">
      <c r="A19" s="262"/>
      <c r="B19" s="270" t="s">
        <v>152</v>
      </c>
      <c r="C19" s="233"/>
      <c r="D19" s="233"/>
      <c r="E19" s="233"/>
      <c r="F19" s="233"/>
      <c r="G19" s="233"/>
    </row>
    <row r="20" spans="1:7" x14ac:dyDescent="0.6">
      <c r="A20" s="262">
        <v>6</v>
      </c>
      <c r="B20" s="233" t="s">
        <v>153</v>
      </c>
      <c r="C20" s="241">
        <f>'Attachment 3'!C21</f>
        <v>2543217.8376228302</v>
      </c>
      <c r="D20" s="241"/>
      <c r="E20" s="241"/>
      <c r="F20" s="233"/>
      <c r="G20" s="265" t="s">
        <v>154</v>
      </c>
    </row>
    <row r="21" spans="1:7" x14ac:dyDescent="0.6">
      <c r="A21" s="262">
        <v>7</v>
      </c>
      <c r="B21" s="233" t="s">
        <v>155</v>
      </c>
      <c r="C21" s="241">
        <f>'Attachment 3'!C22</f>
        <v>3556525.0406380412</v>
      </c>
      <c r="D21" s="241"/>
      <c r="E21" s="241"/>
      <c r="F21" s="233"/>
      <c r="G21" s="233"/>
    </row>
    <row r="22" spans="1:7" x14ac:dyDescent="0.6">
      <c r="A22" s="262"/>
      <c r="B22" s="233"/>
      <c r="C22" s="233"/>
      <c r="D22" s="233"/>
      <c r="E22" s="233"/>
      <c r="F22" s="233"/>
      <c r="G22" s="233"/>
    </row>
    <row r="23" spans="1:7" x14ac:dyDescent="0.6">
      <c r="A23" s="262"/>
      <c r="B23" s="232" t="s">
        <v>311</v>
      </c>
      <c r="C23" s="233"/>
      <c r="D23" s="233"/>
      <c r="E23" s="233"/>
      <c r="F23" s="233"/>
      <c r="G23" s="233"/>
    </row>
    <row r="24" spans="1:7" x14ac:dyDescent="0.6">
      <c r="A24" s="262">
        <v>8</v>
      </c>
      <c r="B24" s="170" t="s">
        <v>149</v>
      </c>
      <c r="C24" s="271">
        <f>((+C$10)*C$12/C$13*C16*$C20/1000)</f>
        <v>91812.475954400172</v>
      </c>
      <c r="D24" s="271">
        <f t="shared" ref="D24:E25" si="1">((+D$10)*D$12/D$13*D16*$C20/1000)</f>
        <v>104928.54394788593</v>
      </c>
      <c r="E24" s="271">
        <f t="shared" si="1"/>
        <v>91812.475954400172</v>
      </c>
      <c r="F24" s="272"/>
      <c r="G24" s="267" t="s">
        <v>312</v>
      </c>
    </row>
    <row r="25" spans="1:7" ht="15.25" x14ac:dyDescent="1.05">
      <c r="A25" s="262">
        <v>9</v>
      </c>
      <c r="B25" s="170" t="s">
        <v>151</v>
      </c>
      <c r="C25" s="273">
        <f>((+C$10)*C$12/C$13*C17*$C21/1000)</f>
        <v>128393.78717161567</v>
      </c>
      <c r="D25" s="273">
        <f t="shared" si="1"/>
        <v>146735.75676756079</v>
      </c>
      <c r="E25" s="273">
        <f t="shared" si="1"/>
        <v>128393.78717161567</v>
      </c>
      <c r="F25" s="272"/>
      <c r="G25" s="267" t="s">
        <v>313</v>
      </c>
    </row>
    <row r="26" spans="1:7" x14ac:dyDescent="0.6">
      <c r="A26" s="262">
        <v>10</v>
      </c>
      <c r="B26" s="233" t="s">
        <v>157</v>
      </c>
      <c r="C26" s="274">
        <f>+C25+C24</f>
        <v>220206.26312601584</v>
      </c>
      <c r="D26" s="274">
        <f>+D25+D24</f>
        <v>251664.3007154467</v>
      </c>
      <c r="E26" s="274">
        <f>+E25+E24</f>
        <v>220206.26312601584</v>
      </c>
      <c r="F26" s="233"/>
      <c r="G26" s="233"/>
    </row>
    <row r="27" spans="1:7" x14ac:dyDescent="0.6">
      <c r="A27" s="262"/>
      <c r="B27" s="233"/>
      <c r="C27" s="233"/>
      <c r="D27" s="233"/>
      <c r="E27" s="233"/>
      <c r="F27" s="233"/>
      <c r="G27" s="233"/>
    </row>
    <row r="28" spans="1:7" x14ac:dyDescent="0.6">
      <c r="A28" s="262"/>
      <c r="B28" s="232" t="s">
        <v>158</v>
      </c>
      <c r="C28" s="233"/>
      <c r="D28" s="233"/>
      <c r="E28" s="233"/>
      <c r="F28" s="233"/>
      <c r="G28" s="233"/>
    </row>
    <row r="29" spans="1:7" x14ac:dyDescent="0.6">
      <c r="A29" s="262">
        <v>11</v>
      </c>
      <c r="B29" s="170" t="s">
        <v>149</v>
      </c>
      <c r="C29" s="275">
        <f>ROUND(+SUM(C24:E24)/C20*1000,3)</f>
        <v>113.46</v>
      </c>
      <c r="D29" s="276"/>
      <c r="E29" s="233"/>
      <c r="F29" s="233"/>
      <c r="G29" s="267" t="s">
        <v>219</v>
      </c>
    </row>
    <row r="30" spans="1:7" x14ac:dyDescent="0.6">
      <c r="A30" s="262">
        <v>12</v>
      </c>
      <c r="B30" s="170" t="s">
        <v>151</v>
      </c>
      <c r="C30" s="266">
        <f>ROUND(+SUM(C25:E25)/C21*1000,3)</f>
        <v>113.46</v>
      </c>
      <c r="D30" s="233"/>
      <c r="E30" s="233"/>
      <c r="F30" s="233"/>
      <c r="G30" s="267" t="s">
        <v>220</v>
      </c>
    </row>
    <row r="31" spans="1:7" x14ac:dyDescent="0.6">
      <c r="A31" s="262"/>
      <c r="B31" s="170"/>
      <c r="C31" s="277"/>
      <c r="D31" s="233"/>
      <c r="E31" s="233"/>
      <c r="F31" s="233"/>
      <c r="G31" s="231"/>
    </row>
    <row r="32" spans="1:7" x14ac:dyDescent="0.6">
      <c r="A32" s="262">
        <v>13</v>
      </c>
      <c r="B32" s="233" t="s">
        <v>159</v>
      </c>
      <c r="C32" s="278">
        <f>ROUND(+SUM(C26:E26)/(C20+C21)*1000,3)</f>
        <v>113.46</v>
      </c>
      <c r="D32" s="233" t="s">
        <v>160</v>
      </c>
      <c r="E32" s="233"/>
      <c r="F32" s="233"/>
      <c r="G32" s="267" t="s">
        <v>221</v>
      </c>
    </row>
    <row r="33" spans="1:7" x14ac:dyDescent="0.6">
      <c r="A33" s="233"/>
      <c r="B33" s="233"/>
      <c r="C33" s="233"/>
      <c r="D33" s="233" t="s">
        <v>161</v>
      </c>
      <c r="E33" s="233"/>
      <c r="F33" s="233"/>
      <c r="G33" s="265" t="s">
        <v>162</v>
      </c>
    </row>
    <row r="35" spans="1:7" x14ac:dyDescent="0.6">
      <c r="A35" s="247" t="s">
        <v>278</v>
      </c>
      <c r="B35" s="256" t="s">
        <v>314</v>
      </c>
    </row>
  </sheetData>
  <pageMargins left="0.7" right="0.7" top="0.75" bottom="0.75" header="0.3" footer="0.3"/>
  <pageSetup scale="65" orientation="landscape" r:id="rId1"/>
  <headerFooter>
    <oddHeader>&amp;L&amp;"Arial,Bold"Atlantic City Electric&amp;"Arial,Regular"
Development of BGS Rates
June 2025 - May 2026&amp;RAttachment 4
Page 5 of 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Attachment 2</vt:lpstr>
      <vt:lpstr>Attachment 3</vt:lpstr>
      <vt:lpstr>Attachment 4 Pg1</vt:lpstr>
      <vt:lpstr>Attachment 4 Pg2</vt:lpstr>
      <vt:lpstr>Attachment 4 Pg3</vt:lpstr>
      <vt:lpstr>Attachment 4 Pg4</vt:lpstr>
      <vt:lpstr>Attachment 4 Pg5</vt:lpstr>
      <vt:lpstr>'Attachment 2'!Print_Area</vt:lpstr>
      <vt:lpstr>'Attachment 3'!Print_Area</vt:lpstr>
      <vt:lpstr>'Attachment 4 Pg1'!Print_Area</vt:lpstr>
      <vt:lpstr>'Attachment 4 Pg2'!Print_Area</vt:lpstr>
      <vt:lpstr>'Attachment 4 Pg3'!Print_Area</vt:lpstr>
      <vt:lpstr>'Attachment 4 Pg4'!Print_Area</vt:lpstr>
      <vt:lpstr>'Attachment 4 Pg5'!Print_Area</vt:lpstr>
      <vt:lpstr>'Attachment 3'!Print_Titles</vt:lpstr>
      <vt:lpstr>'Attachment 4 Pg4'!Print_Titles</vt:lpstr>
    </vt:vector>
  </TitlesOfParts>
  <Company>Conectiv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JJanocha</dc:creator>
  <cp:lastModifiedBy>Morrison, Kate</cp:lastModifiedBy>
  <cp:lastPrinted>2025-01-09T18:52:03Z</cp:lastPrinted>
  <dcterms:created xsi:type="dcterms:W3CDTF">2003-06-13T18:49:24Z</dcterms:created>
  <dcterms:modified xsi:type="dcterms:W3CDTF">2025-01-30T21:54:17Z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c968b3d1-e05f-4796-9c23-acaf26d588cb_Enabled">
    <vt:lpwstr>true</vt:lpwstr>
  </property>
  <property fmtid="{D5CDD505-2E9C-101B-9397-08002B2CF9AE}" pid="4" name="MSIP_Label_c968b3d1-e05f-4796-9c23-acaf26d588cb_SetDate">
    <vt:lpwstr>2022-02-01T20:15:16Z</vt:lpwstr>
  </property>
  <property fmtid="{D5CDD505-2E9C-101B-9397-08002B2CF9AE}" pid="5" name="MSIP_Label_c968b3d1-e05f-4796-9c23-acaf26d588cb_Method">
    <vt:lpwstr>Standard</vt:lpwstr>
  </property>
  <property fmtid="{D5CDD505-2E9C-101B-9397-08002B2CF9AE}" pid="6" name="MSIP_Label_c968b3d1-e05f-4796-9c23-acaf26d588cb_Name">
    <vt:lpwstr>Company Confidential Information</vt:lpwstr>
  </property>
  <property fmtid="{D5CDD505-2E9C-101B-9397-08002B2CF9AE}" pid="7" name="MSIP_Label_c968b3d1-e05f-4796-9c23-acaf26d588cb_SiteId">
    <vt:lpwstr>600d01fc-055f-49c6-868f-3ecfcc791773</vt:lpwstr>
  </property>
  <property fmtid="{D5CDD505-2E9C-101B-9397-08002B2CF9AE}" pid="8" name="MSIP_Label_c968b3d1-e05f-4796-9c23-acaf26d588cb_ActionId">
    <vt:lpwstr>97ca61ff-67c1-4d5b-bb5a-2178d7ba5392</vt:lpwstr>
  </property>
  <property fmtid="{D5CDD505-2E9C-101B-9397-08002B2CF9AE}" pid="9" name="MSIP_Label_c968b3d1-e05f-4796-9c23-acaf26d588cb_ContentBits">
    <vt:lpwstr>0</vt:lpwstr>
  </property>
  <property fmtid="{D5CDD505-2E9C-101B-9397-08002B2CF9AE}" pid="10" name="SV_HIDDEN_GRID_QUERY_LIST_4F35BF76-6C0D-4D9B-82B2-816C12CF3733">
    <vt:lpwstr>empty_477D106A-C0D6-4607-AEBD-E2C9D60EA279</vt:lpwstr>
  </property>
  <property fmtid="{D5CDD505-2E9C-101B-9397-08002B2CF9AE}" pid="11" name="WorkbookGuid">
    <vt:lpwstr>1d17b970-6577-4d97-ab9d-18271713ceb6</vt:lpwstr>
  </property>
  <property fmtid="{D5CDD505-2E9C-101B-9397-08002B2CF9AE}" pid="12" name="MSIP_Label_38f1469a-2c2a-4aee-b92b-090d4c5468ff_Enabled">
    <vt:lpwstr>true</vt:lpwstr>
  </property>
  <property fmtid="{D5CDD505-2E9C-101B-9397-08002B2CF9AE}" pid="13" name="MSIP_Label_38f1469a-2c2a-4aee-b92b-090d4c5468ff_SetDate">
    <vt:lpwstr>2025-01-22T15:19:34Z</vt:lpwstr>
  </property>
  <property fmtid="{D5CDD505-2E9C-101B-9397-08002B2CF9AE}" pid="14" name="MSIP_Label_38f1469a-2c2a-4aee-b92b-090d4c5468ff_Method">
    <vt:lpwstr>Standard</vt:lpwstr>
  </property>
  <property fmtid="{D5CDD505-2E9C-101B-9397-08002B2CF9AE}" pid="15" name="MSIP_Label_38f1469a-2c2a-4aee-b92b-090d4c5468ff_Name">
    <vt:lpwstr>Confidential - Unmarked</vt:lpwstr>
  </property>
  <property fmtid="{D5CDD505-2E9C-101B-9397-08002B2CF9AE}" pid="16" name="MSIP_Label_38f1469a-2c2a-4aee-b92b-090d4c5468ff_SiteId">
    <vt:lpwstr>2a6e6092-73e4-4752-b1a5-477a17f5056d</vt:lpwstr>
  </property>
  <property fmtid="{D5CDD505-2E9C-101B-9397-08002B2CF9AE}" pid="17" name="MSIP_Label_38f1469a-2c2a-4aee-b92b-090d4c5468ff_ActionId">
    <vt:lpwstr>03a8e2ab-5b42-4197-9283-34d3c385e907</vt:lpwstr>
  </property>
  <property fmtid="{D5CDD505-2E9C-101B-9397-08002B2CF9AE}" pid="18" name="MSIP_Label_38f1469a-2c2a-4aee-b92b-090d4c5468ff_ContentBits">
    <vt:lpwstr>0</vt:lpwstr>
  </property>
</Properties>
</file>