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dcfs\Work\Projects\Energy\BGS 24-25 (A) (121824)\2024 Auction\3 RSCP Rates\3 January 2024\2 Received from EDCs\to post\"/>
    </mc:Choice>
  </mc:AlternateContent>
  <xr:revisionPtr revIDLastSave="0" documentId="8_{EA71E919-A4A8-464A-BAB4-591203880877}" xr6:coauthVersionLast="47" xr6:coauthVersionMax="47" xr10:uidLastSave="{00000000-0000-0000-0000-000000000000}"/>
  <bookViews>
    <workbookView xWindow="-420" yWindow="-16470" windowWidth="29040" windowHeight="15225" xr2:uid="{17A1803C-0B29-49DD-B82A-F5917C9635D5}"/>
  </bookViews>
  <sheets>
    <sheet name="BGS Cost &amp; Bid Factors" sheetId="1" r:id="rId1"/>
    <sheet name="Weighted Avg Price Calc" sheetId="2" r:id="rId2"/>
    <sheet name="Rate Calculations" sheetId="3" r:id="rId3"/>
  </sheet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#REF!</definedName>
    <definedName name="BGS_Forecast">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#REF!</definedName>
    <definedName name="BilledLMSales">#REF!</definedName>
    <definedName name="BilledLMWalkCode">#REF!</definedName>
    <definedName name="BilledLYTDRev">#REF!</definedName>
    <definedName name="BilledLYTDSales">#REF!</definedName>
    <definedName name="BilledLYTDWalkCode">#REF!</definedName>
    <definedName name="BilledSC">#REF!</definedName>
    <definedName name="BilledTMRev">#REF!</definedName>
    <definedName name="BilledTMSales">#REF!</definedName>
    <definedName name="BilledTMWalkCode">#REF!</definedName>
    <definedName name="BilledTYTDRev">#REF!</definedName>
    <definedName name="BilledTYTDSales">#REF!</definedName>
    <definedName name="BilledTYTDWalkCode">#REF!</definedName>
    <definedName name="Black_Box">#REF!</definedName>
    <definedName name="BLE_Close_Date">#REF!</definedName>
    <definedName name="BLE_Resid">#REF!</definedName>
    <definedName name="BLE_Strand">#REF!</definedName>
    <definedName name="BLEwd">#REF!</definedName>
    <definedName name="BPU_Assessment">#REF!</definedName>
    <definedName name="CBT">#REF!</definedName>
    <definedName name="CEP">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#REF!</definedName>
    <definedName name="CombRate">#REF!</definedName>
    <definedName name="Composite_Tax_Rate">#REF!</definedName>
    <definedName name="currentedc">#REF!</definedName>
    <definedName name="Curve_Date">#REF!</definedName>
    <definedName name="Cust">#REF!</definedName>
    <definedName name="CustLMAccts">#REF!</definedName>
    <definedName name="CustLMWalkCode">#REF!</definedName>
    <definedName name="CustTMAccts">#REF!</definedName>
    <definedName name="CustTMWalkCode">#REF!</definedName>
    <definedName name="DataTable">#REF!</definedName>
    <definedName name="Decommissioning_Rate">#REF!</definedName>
    <definedName name="Deferral_Interest_Rate">#REF!</definedName>
    <definedName name="Deferral_Recovery">#REF!</definedName>
    <definedName name="Deferral_Sec_Date">#REF!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#REF!</definedName>
    <definedName name="FilterBilled2">#REF!</definedName>
    <definedName name="Formulas8B22">#REF!</definedName>
    <definedName name="Fossil_BGS">#REF!</definedName>
    <definedName name="Fossil_Divest">#REF!</definedName>
    <definedName name="Fossil_Secur_Date">#REF!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#REF!</definedName>
    <definedName name="IncRate">#REF!</definedName>
    <definedName name="Key">#REF!</definedName>
    <definedName name="KeyCon_Close_Date">#REF!</definedName>
    <definedName name="limcount" hidden="1">1</definedName>
    <definedName name="LMP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#REF!</definedName>
    <definedName name="month1">#REF!</definedName>
    <definedName name="MTC">#REF!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#REF!</definedName>
    <definedName name="o">#REF!</definedName>
    <definedName name="opnrg3yr">#REF!</definedName>
    <definedName name="opnrgcst3yr">#REF!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#REF!</definedName>
    <definedName name="pknrgcst3yr">#REF!</definedName>
    <definedName name="POLR">#REF!</definedName>
    <definedName name="PostTransReturn">#REF!</definedName>
    <definedName name="PPACOST">#REF!</definedName>
    <definedName name="PreTaxDebt">#REF!</definedName>
    <definedName name="PriceModel">#REF!</definedName>
    <definedName name="PricePerSales">IF(#REF!=0,"",ROUND(#REF!/#REF!,4))</definedName>
    <definedName name="PricePerSalesInput">IF(#REF!=0,"",ROUND(#REF!/#REF!,4))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#REF!</definedName>
    <definedName name="Rate_Reduction_Factor">#REF!</definedName>
    <definedName name="Rates">#REF!</definedName>
    <definedName name="Recover">#REF!</definedName>
    <definedName name="RESALE_CUSTOMERS">#REF!</definedName>
    <definedName name="RESALE_LINES">#REF!</definedName>
    <definedName name="Restructure_Amort">#REF!</definedName>
    <definedName name="RPA">#REF!</definedName>
    <definedName name="Rpt_Mo">#REF!</definedName>
    <definedName name="s">#REF!</definedName>
    <definedName name="Sales">#REF!</definedName>
    <definedName name="SBC">#REF!</definedName>
    <definedName name="SBC_Amort">#REF!</definedName>
    <definedName name="SC">#REF!</definedName>
    <definedName name="SSA">#REF!</definedName>
    <definedName name="State_Tax_Rate">#REF!</definedName>
    <definedName name="SummerWinter">#REF!</definedName>
    <definedName name="SUT">#REF!</definedName>
    <definedName name="SW">#REF!</definedName>
    <definedName name="Swap_Amort">#REF!</definedName>
    <definedName name="Tacx_Factor">#REF!</definedName>
    <definedName name="TaxBasis">#REF!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#REF!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#REF!</definedName>
    <definedName name="UnbilledAdjLMSales">#REF!</definedName>
    <definedName name="UnbilledAdjLMWalkCode">#REF!</definedName>
    <definedName name="UnbilledAdjTMRev">#REF!</definedName>
    <definedName name="UnbilledAdjTMSales">#REF!</definedName>
    <definedName name="UnbilledAdjTMWalkCode">#REF!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#REF!</definedName>
    <definedName name="UnbilledLMSales">#REF!</definedName>
    <definedName name="UnbilledLMWalkCode">#REF!</definedName>
    <definedName name="UnbilledTMRev">#REF!</definedName>
    <definedName name="UnbilledTMSales">#REF!</definedName>
    <definedName name="UnbilledTMWalkCode">#REF!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9" i="3" l="1"/>
  <c r="U271" i="3"/>
  <c r="R271" i="3"/>
  <c r="J271" i="3"/>
  <c r="K271" i="3"/>
  <c r="U270" i="3"/>
  <c r="R270" i="3"/>
  <c r="J270" i="3"/>
  <c r="K270" i="3"/>
  <c r="U269" i="3"/>
  <c r="R269" i="3"/>
  <c r="J269" i="3"/>
  <c r="K269" i="3"/>
  <c r="U268" i="3"/>
  <c r="R268" i="3"/>
  <c r="J268" i="3"/>
  <c r="K268" i="3"/>
  <c r="U267" i="3"/>
  <c r="R267" i="3"/>
  <c r="J267" i="3"/>
  <c r="K267" i="3"/>
  <c r="U266" i="3"/>
  <c r="R266" i="3"/>
  <c r="J266" i="3"/>
  <c r="K266" i="3"/>
  <c r="U265" i="3"/>
  <c r="R265" i="3"/>
  <c r="J265" i="3"/>
  <c r="K265" i="3"/>
  <c r="U264" i="3"/>
  <c r="R264" i="3"/>
  <c r="J264" i="3"/>
  <c r="K264" i="3"/>
  <c r="U263" i="3"/>
  <c r="R263" i="3"/>
  <c r="J263" i="3"/>
  <c r="K263" i="3"/>
  <c r="U262" i="3"/>
  <c r="R262" i="3"/>
  <c r="J262" i="3"/>
  <c r="K262" i="3"/>
  <c r="U261" i="3"/>
  <c r="R261" i="3"/>
  <c r="J261" i="3"/>
  <c r="K261" i="3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R260" i="3"/>
  <c r="R273" i="3" s="1"/>
  <c r="O260" i="3"/>
  <c r="J260" i="3"/>
  <c r="H273" i="3"/>
  <c r="K260" i="3"/>
  <c r="M260" i="3" s="1"/>
  <c r="F252" i="3"/>
  <c r="F251" i="3"/>
  <c r="E253" i="3"/>
  <c r="D253" i="3"/>
  <c r="F245" i="3"/>
  <c r="D246" i="3"/>
  <c r="E246" i="3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H211" i="3"/>
  <c r="D209" i="3"/>
  <c r="C209" i="3"/>
  <c r="I209" i="3" s="1"/>
  <c r="D195" i="3"/>
  <c r="D194" i="3"/>
  <c r="D196" i="3" s="1"/>
  <c r="D190" i="3"/>
  <c r="D184" i="3"/>
  <c r="H167" i="3"/>
  <c r="G167" i="3"/>
  <c r="F167" i="3"/>
  <c r="E167" i="3"/>
  <c r="D167" i="3"/>
  <c r="C167" i="3"/>
  <c r="I141" i="3"/>
  <c r="I118" i="3"/>
  <c r="H118" i="3"/>
  <c r="G118" i="3"/>
  <c r="F118" i="3"/>
  <c r="E118" i="3"/>
  <c r="D118" i="3"/>
  <c r="C118" i="3"/>
  <c r="D105" i="3"/>
  <c r="D104" i="3"/>
  <c r="D103" i="3"/>
  <c r="D100" i="3"/>
  <c r="D95" i="3"/>
  <c r="I78" i="3"/>
  <c r="H78" i="3"/>
  <c r="G78" i="3"/>
  <c r="F78" i="3"/>
  <c r="E78" i="3"/>
  <c r="D78" i="3"/>
  <c r="C78" i="3"/>
  <c r="I55" i="3"/>
  <c r="I208" i="3" s="1"/>
  <c r="H55" i="3"/>
  <c r="H208" i="3" s="1"/>
  <c r="G55" i="3"/>
  <c r="G208" i="3" s="1"/>
  <c r="F55" i="3"/>
  <c r="F208" i="3" s="1"/>
  <c r="E55" i="3"/>
  <c r="E208" i="3" s="1"/>
  <c r="D55" i="3"/>
  <c r="D208" i="3" s="1"/>
  <c r="C55" i="3"/>
  <c r="C208" i="3" s="1"/>
  <c r="H40" i="3"/>
  <c r="H39" i="3"/>
  <c r="J37" i="3"/>
  <c r="I37" i="3"/>
  <c r="H37" i="3"/>
  <c r="C33" i="3"/>
  <c r="D33" i="3" s="1"/>
  <c r="H12" i="3"/>
  <c r="G12" i="3"/>
  <c r="F12" i="3"/>
  <c r="E12" i="3"/>
  <c r="D12" i="3"/>
  <c r="C12" i="3"/>
  <c r="D44" i="2"/>
  <c r="I42" i="2"/>
  <c r="D41" i="2"/>
  <c r="D25" i="2"/>
  <c r="D26" i="2" s="1"/>
  <c r="D24" i="2"/>
  <c r="E16" i="2"/>
  <c r="D16" i="2"/>
  <c r="F15" i="2"/>
  <c r="F14" i="2"/>
  <c r="D14" i="2"/>
  <c r="F12" i="2"/>
  <c r="E12" i="2"/>
  <c r="D12" i="2"/>
  <c r="E14" i="2"/>
  <c r="E30" i="2" s="1"/>
  <c r="G9" i="2"/>
  <c r="E6" i="2"/>
  <c r="D6" i="2"/>
  <c r="I586" i="1"/>
  <c r="H586" i="1"/>
  <c r="G586" i="1"/>
  <c r="F586" i="1"/>
  <c r="E586" i="1"/>
  <c r="D586" i="1"/>
  <c r="C586" i="1"/>
  <c r="I575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210" i="3"/>
  <c r="I538" i="1"/>
  <c r="H209" i="3"/>
  <c r="G209" i="3"/>
  <c r="F209" i="3"/>
  <c r="E209" i="3"/>
  <c r="I537" i="1"/>
  <c r="I513" i="1"/>
  <c r="I491" i="1"/>
  <c r="H491" i="1"/>
  <c r="H537" i="1" s="1"/>
  <c r="G491" i="1"/>
  <c r="G537" i="1" s="1"/>
  <c r="F491" i="1"/>
  <c r="F537" i="1" s="1"/>
  <c r="E491" i="1"/>
  <c r="E537" i="1" s="1"/>
  <c r="D491" i="1"/>
  <c r="D537" i="1" s="1"/>
  <c r="C491" i="1"/>
  <c r="C537" i="1" s="1"/>
  <c r="C468" i="1"/>
  <c r="C467" i="1"/>
  <c r="L49" i="3"/>
  <c r="L48" i="3"/>
  <c r="G461" i="1"/>
  <c r="P457" i="1"/>
  <c r="Q456" i="1"/>
  <c r="Q455" i="1"/>
  <c r="Q454" i="1"/>
  <c r="Q453" i="1"/>
  <c r="Q457" i="1" s="1"/>
  <c r="Q452" i="1"/>
  <c r="R451" i="1"/>
  <c r="R457" i="1" s="1"/>
  <c r="R450" i="1"/>
  <c r="R449" i="1"/>
  <c r="I420" i="1"/>
  <c r="G420" i="1"/>
  <c r="F420" i="1"/>
  <c r="G419" i="1"/>
  <c r="F419" i="1"/>
  <c r="I419" i="1" s="1"/>
  <c r="G418" i="1"/>
  <c r="F418" i="1"/>
  <c r="I418" i="1" s="1"/>
  <c r="I417" i="1"/>
  <c r="I416" i="1"/>
  <c r="I415" i="1"/>
  <c r="I414" i="1"/>
  <c r="I413" i="1"/>
  <c r="I412" i="1"/>
  <c r="D412" i="1"/>
  <c r="E412" i="1"/>
  <c r="J412" i="1" s="1"/>
  <c r="I410" i="1"/>
  <c r="E409" i="1"/>
  <c r="J409" i="1" s="1"/>
  <c r="D418" i="1"/>
  <c r="E418" i="1" s="1"/>
  <c r="J418" i="1" s="1"/>
  <c r="I409" i="1"/>
  <c r="I383" i="1"/>
  <c r="H383" i="1"/>
  <c r="G383" i="1"/>
  <c r="F383" i="1"/>
  <c r="E383" i="1"/>
  <c r="D383" i="1"/>
  <c r="C383" i="1"/>
  <c r="I361" i="1"/>
  <c r="H361" i="1"/>
  <c r="G361" i="1"/>
  <c r="F361" i="1"/>
  <c r="E361" i="1"/>
  <c r="D361" i="1"/>
  <c r="C361" i="1"/>
  <c r="D346" i="1"/>
  <c r="C346" i="1"/>
  <c r="H325" i="1"/>
  <c r="G325" i="1"/>
  <c r="F325" i="1"/>
  <c r="E325" i="1"/>
  <c r="D325" i="1"/>
  <c r="C325" i="1"/>
  <c r="J296" i="1"/>
  <c r="J350" i="1" s="1"/>
  <c r="I296" i="1"/>
  <c r="I350" i="1" s="1"/>
  <c r="C292" i="1"/>
  <c r="H271" i="1"/>
  <c r="G271" i="1"/>
  <c r="F271" i="1"/>
  <c r="E271" i="1"/>
  <c r="D271" i="1"/>
  <c r="C271" i="1"/>
  <c r="C253" i="1"/>
  <c r="D253" i="1" s="1"/>
  <c r="H231" i="1"/>
  <c r="G231" i="1"/>
  <c r="F231" i="1"/>
  <c r="E231" i="1"/>
  <c r="D231" i="1"/>
  <c r="C231" i="1"/>
  <c r="Q214" i="1"/>
  <c r="V214" i="1"/>
  <c r="R214" i="1"/>
  <c r="S214" i="1" s="1"/>
  <c r="S213" i="1"/>
  <c r="R213" i="1"/>
  <c r="Q213" i="1"/>
  <c r="L211" i="1"/>
  <c r="C196" i="1"/>
  <c r="H179" i="1"/>
  <c r="G179" i="1"/>
  <c r="F179" i="1"/>
  <c r="E179" i="1"/>
  <c r="D179" i="1"/>
  <c r="C179" i="1"/>
  <c r="H165" i="1"/>
  <c r="G165" i="1"/>
  <c r="F165" i="1"/>
  <c r="E165" i="1"/>
  <c r="D165" i="1"/>
  <c r="C165" i="1"/>
  <c r="C158" i="1"/>
  <c r="C154" i="1"/>
  <c r="H146" i="1"/>
  <c r="I141" i="1"/>
  <c r="L137" i="1"/>
  <c r="H137" i="1"/>
  <c r="G137" i="1"/>
  <c r="F137" i="1"/>
  <c r="E137" i="1"/>
  <c r="D137" i="1"/>
  <c r="C137" i="1"/>
  <c r="L136" i="1"/>
  <c r="L133" i="1" s="1"/>
  <c r="B136" i="1"/>
  <c r="I122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S78" i="1"/>
  <c r="H76" i="1"/>
  <c r="G76" i="1"/>
  <c r="F76" i="1"/>
  <c r="E76" i="1"/>
  <c r="D76" i="1"/>
  <c r="C76" i="1"/>
  <c r="S60" i="1"/>
  <c r="S71" i="1" s="1"/>
  <c r="H56" i="1"/>
  <c r="G56" i="1"/>
  <c r="G167" i="1" s="1"/>
  <c r="I55" i="1"/>
  <c r="I54" i="1"/>
  <c r="N48" i="1"/>
  <c r="I51" i="1"/>
  <c r="I50" i="1"/>
  <c r="Q48" i="1"/>
  <c r="M48" i="1"/>
  <c r="L48" i="1"/>
  <c r="I48" i="1"/>
  <c r="I47" i="1"/>
  <c r="I46" i="1"/>
  <c r="I45" i="1"/>
  <c r="M44" i="1"/>
  <c r="Q42" i="1"/>
  <c r="P42" i="1"/>
  <c r="O42" i="1"/>
  <c r="N42" i="1"/>
  <c r="M42" i="1"/>
  <c r="L42" i="1"/>
  <c r="H42" i="1"/>
  <c r="G42" i="1"/>
  <c r="F42" i="1"/>
  <c r="E42" i="1"/>
  <c r="D42" i="1"/>
  <c r="C42" i="1"/>
  <c r="M37" i="1"/>
  <c r="R37" i="1"/>
  <c r="R36" i="1"/>
  <c r="M36" i="1"/>
  <c r="M35" i="1"/>
  <c r="R35" i="1"/>
  <c r="R34" i="1"/>
  <c r="M34" i="1"/>
  <c r="M33" i="1"/>
  <c r="R33" i="1"/>
  <c r="R32" i="1"/>
  <c r="M32" i="1"/>
  <c r="M31" i="1"/>
  <c r="S68" i="1" s="1"/>
  <c r="M49" i="1"/>
  <c r="R30" i="1"/>
  <c r="M30" i="1"/>
  <c r="M29" i="1"/>
  <c r="R29" i="1"/>
  <c r="M28" i="1"/>
  <c r="R28" i="1"/>
  <c r="M27" i="1"/>
  <c r="R27" i="1"/>
  <c r="M45" i="1"/>
  <c r="Q24" i="1"/>
  <c r="P24" i="1"/>
  <c r="O24" i="1"/>
  <c r="N24" i="1"/>
  <c r="M24" i="1"/>
  <c r="L24" i="1"/>
  <c r="H24" i="1"/>
  <c r="G24" i="1"/>
  <c r="F24" i="1"/>
  <c r="E24" i="1"/>
  <c r="D24" i="1"/>
  <c r="C24" i="1"/>
  <c r="M19" i="1"/>
  <c r="L19" i="1"/>
  <c r="Q19" i="1"/>
  <c r="G19" i="1"/>
  <c r="P19" i="1" s="1"/>
  <c r="N19" i="1"/>
  <c r="Q18" i="1"/>
  <c r="L18" i="1"/>
  <c r="O18" i="1"/>
  <c r="N18" i="1"/>
  <c r="M18" i="1"/>
  <c r="M17" i="1"/>
  <c r="L17" i="1"/>
  <c r="Q17" i="1"/>
  <c r="G17" i="1"/>
  <c r="P17" i="1" s="1"/>
  <c r="N17" i="1"/>
  <c r="Q16" i="1"/>
  <c r="L16" i="1"/>
  <c r="O16" i="1"/>
  <c r="N16" i="1"/>
  <c r="M16" i="1"/>
  <c r="M15" i="1"/>
  <c r="L15" i="1"/>
  <c r="Q15" i="1"/>
  <c r="G15" i="1"/>
  <c r="P15" i="1" s="1"/>
  <c r="N15" i="1"/>
  <c r="Q14" i="1"/>
  <c r="L14" i="1"/>
  <c r="O14" i="1"/>
  <c r="N14" i="1"/>
  <c r="M14" i="1"/>
  <c r="O13" i="1"/>
  <c r="M13" i="1"/>
  <c r="L13" i="1"/>
  <c r="Q13" i="1"/>
  <c r="Q12" i="1"/>
  <c r="L12" i="1"/>
  <c r="O12" i="1"/>
  <c r="N12" i="1"/>
  <c r="M12" i="1"/>
  <c r="V78" i="1"/>
  <c r="O11" i="1"/>
  <c r="M11" i="1"/>
  <c r="L11" i="1"/>
  <c r="Q11" i="1"/>
  <c r="G11" i="1"/>
  <c r="P11" i="1" s="1"/>
  <c r="N11" i="1"/>
  <c r="Q10" i="1"/>
  <c r="L10" i="1"/>
  <c r="O10" i="1"/>
  <c r="N10" i="1"/>
  <c r="M10" i="1"/>
  <c r="O9" i="1"/>
  <c r="M9" i="1"/>
  <c r="L9" i="1"/>
  <c r="Q9" i="1"/>
  <c r="G9" i="1"/>
  <c r="P9" i="1" s="1"/>
  <c r="N9" i="1"/>
  <c r="Q8" i="1"/>
  <c r="L8" i="1"/>
  <c r="O8" i="1"/>
  <c r="M8" i="1"/>
  <c r="V74" i="1"/>
  <c r="Q6" i="1"/>
  <c r="P6" i="1"/>
  <c r="O6" i="1"/>
  <c r="N6" i="1"/>
  <c r="M6" i="1"/>
  <c r="L6" i="1"/>
  <c r="B41" i="1"/>
  <c r="N8" i="1" l="1"/>
  <c r="R45" i="1"/>
  <c r="V63" i="1" s="1"/>
  <c r="V87" i="1" s="1"/>
  <c r="M46" i="1"/>
  <c r="S67" i="1"/>
  <c r="S77" i="1"/>
  <c r="R49" i="1"/>
  <c r="V67" i="1" s="1"/>
  <c r="V92" i="1" s="1"/>
  <c r="R31" i="1"/>
  <c r="O48" i="1"/>
  <c r="L44" i="1"/>
  <c r="R44" i="1" s="1"/>
  <c r="I44" i="1"/>
  <c r="C56" i="1"/>
  <c r="C167" i="1" s="1"/>
  <c r="H167" i="1" s="1"/>
  <c r="S92" i="1"/>
  <c r="T78" i="1"/>
  <c r="N44" i="1"/>
  <c r="I53" i="1"/>
  <c r="O44" i="1"/>
  <c r="M50" i="1"/>
  <c r="F56" i="1"/>
  <c r="F167" i="1" s="1"/>
  <c r="I52" i="1"/>
  <c r="S75" i="1"/>
  <c r="G8" i="1"/>
  <c r="G10" i="1"/>
  <c r="P10" i="1" s="1"/>
  <c r="G12" i="1"/>
  <c r="P12" i="1" s="1"/>
  <c r="N13" i="1"/>
  <c r="G14" i="1"/>
  <c r="P14" i="1" s="1"/>
  <c r="G16" i="1"/>
  <c r="P16" i="1" s="1"/>
  <c r="G18" i="1"/>
  <c r="P18" i="1" s="1"/>
  <c r="P48" i="1"/>
  <c r="S63" i="1"/>
  <c r="I139" i="1"/>
  <c r="O15" i="1"/>
  <c r="O17" i="1"/>
  <c r="O19" i="1"/>
  <c r="P44" i="1"/>
  <c r="I49" i="1"/>
  <c r="S73" i="1"/>
  <c r="S79" i="1"/>
  <c r="S84" i="1"/>
  <c r="O269" i="3"/>
  <c r="M269" i="3"/>
  <c r="E420" i="1"/>
  <c r="J420" i="1" s="1"/>
  <c r="L138" i="1"/>
  <c r="Q44" i="1"/>
  <c r="R48" i="1"/>
  <c r="O261" i="3"/>
  <c r="M261" i="3"/>
  <c r="M273" i="3" s="1"/>
  <c r="D281" i="3" s="1"/>
  <c r="E281" i="3" s="1"/>
  <c r="A2" i="3"/>
  <c r="C474" i="1"/>
  <c r="E144" i="1"/>
  <c r="E147" i="1" s="1"/>
  <c r="C473" i="1"/>
  <c r="A2" i="2"/>
  <c r="C472" i="1"/>
  <c r="M26" i="1"/>
  <c r="S64" i="1" s="1"/>
  <c r="L52" i="1"/>
  <c r="L53" i="1" s="1"/>
  <c r="D56" i="1"/>
  <c r="D167" i="1" s="1"/>
  <c r="S66" i="1"/>
  <c r="S74" i="1"/>
  <c r="E145" i="1"/>
  <c r="I411" i="1"/>
  <c r="E411" i="1"/>
  <c r="J411" i="1" s="1"/>
  <c r="D416" i="1"/>
  <c r="D417" i="1"/>
  <c r="M466" i="1"/>
  <c r="C451" i="1"/>
  <c r="D451" i="1" s="1"/>
  <c r="D449" i="1"/>
  <c r="B1" i="1"/>
  <c r="D3" i="1"/>
  <c r="G13" i="1"/>
  <c r="M23" i="1"/>
  <c r="R26" i="1"/>
  <c r="E56" i="1"/>
  <c r="S62" i="1"/>
  <c r="V213" i="1"/>
  <c r="E417" i="1"/>
  <c r="J417" i="1" s="1"/>
  <c r="F461" i="1"/>
  <c r="S457" i="1"/>
  <c r="L4" i="1"/>
  <c r="G206" i="1"/>
  <c r="H263" i="1" s="1"/>
  <c r="E167" i="1"/>
  <c r="L217" i="1"/>
  <c r="C466" i="1"/>
  <c r="D415" i="1"/>
  <c r="E415" i="1" s="1"/>
  <c r="J415" i="1" s="1"/>
  <c r="F253" i="3"/>
  <c r="O264" i="3"/>
  <c r="M264" i="3"/>
  <c r="K273" i="3"/>
  <c r="O267" i="3"/>
  <c r="M267" i="3"/>
  <c r="O262" i="3"/>
  <c r="O273" i="3" s="1"/>
  <c r="M262" i="3"/>
  <c r="O270" i="3"/>
  <c r="M270" i="3"/>
  <c r="D411" i="1"/>
  <c r="E414" i="1"/>
  <c r="J414" i="1" s="1"/>
  <c r="O265" i="3"/>
  <c r="M265" i="3"/>
  <c r="D420" i="1"/>
  <c r="D30" i="2"/>
  <c r="U273" i="3"/>
  <c r="D283" i="3" s="1"/>
  <c r="E283" i="3" s="1"/>
  <c r="O268" i="3"/>
  <c r="M268" i="3"/>
  <c r="D413" i="1"/>
  <c r="E413" i="1" s="1"/>
  <c r="J413" i="1" s="1"/>
  <c r="E416" i="1"/>
  <c r="J416" i="1" s="1"/>
  <c r="D419" i="1"/>
  <c r="E419" i="1" s="1"/>
  <c r="J419" i="1" s="1"/>
  <c r="L50" i="3"/>
  <c r="O263" i="3"/>
  <c r="M263" i="3"/>
  <c r="O271" i="3"/>
  <c r="M271" i="3"/>
  <c r="D410" i="1"/>
  <c r="E410" i="1" s="1"/>
  <c r="J410" i="1" s="1"/>
  <c r="E29" i="2"/>
  <c r="E31" i="2" s="1"/>
  <c r="J273" i="3"/>
  <c r="D280" i="3" s="1"/>
  <c r="O266" i="3"/>
  <c r="M266" i="3"/>
  <c r="D15" i="2"/>
  <c r="E15" i="2"/>
  <c r="D273" i="3"/>
  <c r="F244" i="3"/>
  <c r="F246" i="3" s="1"/>
  <c r="F16" i="2"/>
  <c r="G16" i="2" s="1"/>
  <c r="D29" i="2"/>
  <c r="G15" i="2" l="1"/>
  <c r="G17" i="2" s="1"/>
  <c r="N273" i="3"/>
  <c r="D282" i="3"/>
  <c r="E282" i="3" s="1"/>
  <c r="D31" i="2"/>
  <c r="E41" i="2"/>
  <c r="D447" i="1"/>
  <c r="E447" i="1"/>
  <c r="F451" i="1" s="1"/>
  <c r="D284" i="3"/>
  <c r="E280" i="3"/>
  <c r="T63" i="1"/>
  <c r="P8" i="1"/>
  <c r="D285" i="3"/>
  <c r="E279" i="3"/>
  <c r="V66" i="1"/>
  <c r="V77" i="1" s="1"/>
  <c r="V79" i="1" s="1"/>
  <c r="R50" i="1"/>
  <c r="V68" i="1" s="1"/>
  <c r="I56" i="1"/>
  <c r="F449" i="1"/>
  <c r="P13" i="1"/>
  <c r="T74" i="1"/>
  <c r="S87" i="1"/>
  <c r="V62" i="1"/>
  <c r="V73" i="1" s="1"/>
  <c r="V75" i="1" s="1"/>
  <c r="R46" i="1"/>
  <c r="V64" i="1" s="1"/>
  <c r="T67" i="1"/>
  <c r="C465" i="1" l="1"/>
  <c r="D150" i="1"/>
  <c r="C464" i="1"/>
  <c r="D149" i="1"/>
  <c r="K429" i="1"/>
  <c r="G459" i="1"/>
  <c r="E284" i="3"/>
  <c r="F459" i="1"/>
  <c r="K428" i="1"/>
  <c r="F425" i="1"/>
  <c r="G182" i="3"/>
  <c r="C599" i="1"/>
  <c r="C598" i="1"/>
  <c r="G183" i="3"/>
  <c r="G93" i="3"/>
  <c r="D286" i="3"/>
  <c r="E42" i="2" s="1"/>
  <c r="E47" i="2"/>
  <c r="E46" i="2"/>
  <c r="G41" i="2"/>
  <c r="C600" i="1" l="1"/>
  <c r="D47" i="2"/>
  <c r="G47" i="2" s="1"/>
  <c r="C98" i="3"/>
  <c r="E98" i="3" s="1"/>
  <c r="E45" i="2"/>
  <c r="K42" i="2"/>
  <c r="C188" i="3"/>
  <c r="E188" i="3" s="1"/>
  <c r="C189" i="3"/>
  <c r="C99" i="3"/>
  <c r="G94" i="3"/>
  <c r="H461" i="1"/>
  <c r="D161" i="1" s="1"/>
  <c r="C469" i="1" s="1"/>
  <c r="G170" i="1"/>
  <c r="G171" i="1"/>
  <c r="D170" i="1"/>
  <c r="F171" i="1"/>
  <c r="C170" i="1"/>
  <c r="H170" i="1" s="1"/>
  <c r="F170" i="1"/>
  <c r="L213" i="1"/>
  <c r="I149" i="1"/>
  <c r="E170" i="1"/>
  <c r="D171" i="1"/>
  <c r="C171" i="1"/>
  <c r="H171" i="1" s="1"/>
  <c r="P213" i="1"/>
  <c r="E171" i="1"/>
  <c r="H432" i="1"/>
  <c r="D66" i="1" s="1"/>
  <c r="H428" i="1"/>
  <c r="H439" i="1"/>
  <c r="D73" i="1" s="1"/>
  <c r="H437" i="1"/>
  <c r="D71" i="1" s="1"/>
  <c r="H435" i="1"/>
  <c r="D69" i="1" s="1"/>
  <c r="H433" i="1"/>
  <c r="G432" i="1"/>
  <c r="C66" i="1" s="1"/>
  <c r="H429" i="1"/>
  <c r="D63" i="1" s="1"/>
  <c r="G428" i="1"/>
  <c r="G439" i="1"/>
  <c r="C73" i="1" s="1"/>
  <c r="G437" i="1"/>
  <c r="C71" i="1" s="1"/>
  <c r="G435" i="1"/>
  <c r="C69" i="1" s="1"/>
  <c r="G433" i="1"/>
  <c r="H430" i="1"/>
  <c r="D64" i="1" s="1"/>
  <c r="G429" i="1"/>
  <c r="C63" i="1" s="1"/>
  <c r="G430" i="1"/>
  <c r="C64" i="1" s="1"/>
  <c r="H438" i="1"/>
  <c r="D72" i="1" s="1"/>
  <c r="H436" i="1"/>
  <c r="D70" i="1" s="1"/>
  <c r="H434" i="1"/>
  <c r="D68" i="1" s="1"/>
  <c r="G431" i="1"/>
  <c r="C65" i="1" s="1"/>
  <c r="G436" i="1"/>
  <c r="C70" i="1" s="1"/>
  <c r="G438" i="1"/>
  <c r="C72" i="1" s="1"/>
  <c r="G434" i="1"/>
  <c r="C68" i="1" s="1"/>
  <c r="H431" i="1"/>
  <c r="D65" i="1" s="1"/>
  <c r="I150" i="1"/>
  <c r="D172" i="1"/>
  <c r="G172" i="1"/>
  <c r="F172" i="1"/>
  <c r="L214" i="1"/>
  <c r="C172" i="1"/>
  <c r="H172" i="1" s="1"/>
  <c r="P214" i="1"/>
  <c r="M214" i="1" s="1"/>
  <c r="E172" i="1"/>
  <c r="P217" i="1" l="1"/>
  <c r="M213" i="1"/>
  <c r="I260" i="1"/>
  <c r="I299" i="1" s="1"/>
  <c r="I353" i="1" s="1"/>
  <c r="N214" i="1"/>
  <c r="H214" i="1"/>
  <c r="R428" i="1"/>
  <c r="R430" i="1" s="1"/>
  <c r="D67" i="1"/>
  <c r="Q432" i="1"/>
  <c r="C62" i="1"/>
  <c r="Q429" i="1"/>
  <c r="C67" i="1"/>
  <c r="Q428" i="1"/>
  <c r="Q430" i="1" s="1"/>
  <c r="E100" i="3"/>
  <c r="C100" i="3"/>
  <c r="E99" i="3"/>
  <c r="E189" i="3"/>
  <c r="E190" i="3" s="1"/>
  <c r="C190" i="3"/>
  <c r="R432" i="1"/>
  <c r="D62" i="1"/>
  <c r="R429" i="1"/>
  <c r="H88" i="1" l="1"/>
  <c r="H89" i="1"/>
  <c r="H107" i="1" s="1"/>
  <c r="C89" i="1"/>
  <c r="D88" i="1"/>
  <c r="E89" i="1"/>
  <c r="E107" i="1" s="1"/>
  <c r="F89" i="1"/>
  <c r="F107" i="1" s="1"/>
  <c r="D89" i="1"/>
  <c r="C88" i="1"/>
  <c r="E88" i="1"/>
  <c r="F88" i="1"/>
  <c r="G88" i="1"/>
  <c r="G89" i="1"/>
  <c r="G107" i="1" s="1"/>
  <c r="J260" i="1"/>
  <c r="J299" i="1" s="1"/>
  <c r="J353" i="1" s="1"/>
  <c r="I214" i="1"/>
  <c r="I40" i="3"/>
  <c r="H508" i="1"/>
  <c r="H92" i="1"/>
  <c r="H110" i="1" s="1"/>
  <c r="H128" i="1" s="1"/>
  <c r="C202" i="1" s="1"/>
  <c r="D92" i="1"/>
  <c r="D110" i="1" s="1"/>
  <c r="D128" i="1" s="1"/>
  <c r="D188" i="1" s="1"/>
  <c r="D93" i="1"/>
  <c r="C93" i="1"/>
  <c r="H93" i="1"/>
  <c r="H111" i="1" s="1"/>
  <c r="F92" i="1"/>
  <c r="F110" i="1" s="1"/>
  <c r="F128" i="1" s="1"/>
  <c r="F188" i="1" s="1"/>
  <c r="E93" i="1"/>
  <c r="E111" i="1" s="1"/>
  <c r="F93" i="1"/>
  <c r="F111" i="1" s="1"/>
  <c r="E92" i="1"/>
  <c r="E110" i="1" s="1"/>
  <c r="E128" i="1" s="1"/>
  <c r="E188" i="1" s="1"/>
  <c r="C92" i="1"/>
  <c r="C110" i="1" s="1"/>
  <c r="C128" i="1" s="1"/>
  <c r="G93" i="1"/>
  <c r="G111" i="1" s="1"/>
  <c r="G92" i="1"/>
  <c r="G110" i="1" s="1"/>
  <c r="G128" i="1" s="1"/>
  <c r="G188" i="1" s="1"/>
  <c r="Z213" i="1"/>
  <c r="AA213" i="1" s="1"/>
  <c r="N213" i="1"/>
  <c r="H213" i="1"/>
  <c r="I259" i="1"/>
  <c r="I298" i="1" s="1"/>
  <c r="I352" i="1" s="1"/>
  <c r="H72" i="3"/>
  <c r="H203" i="1"/>
  <c r="S432" i="1"/>
  <c r="F94" i="1"/>
  <c r="F112" i="1" s="1"/>
  <c r="D94" i="1"/>
  <c r="C94" i="1"/>
  <c r="H94" i="1"/>
  <c r="H112" i="1" s="1"/>
  <c r="E94" i="1"/>
  <c r="E112" i="1" s="1"/>
  <c r="G94" i="1"/>
  <c r="G112" i="1" s="1"/>
  <c r="C90" i="1"/>
  <c r="H90" i="1"/>
  <c r="H108" i="1" s="1"/>
  <c r="D90" i="1"/>
  <c r="F90" i="1"/>
  <c r="F108" i="1" s="1"/>
  <c r="E90" i="1"/>
  <c r="E108" i="1" s="1"/>
  <c r="G90" i="1"/>
  <c r="G108" i="1" s="1"/>
  <c r="C106" i="1" l="1"/>
  <c r="C96" i="1"/>
  <c r="H64" i="3"/>
  <c r="H202" i="1"/>
  <c r="D107" i="1"/>
  <c r="S93" i="1"/>
  <c r="S94" i="1" s="1"/>
  <c r="D126" i="1" s="1"/>
  <c r="D183" i="1" s="1"/>
  <c r="H561" i="1"/>
  <c r="H530" i="1"/>
  <c r="C112" i="1"/>
  <c r="J259" i="1"/>
  <c r="J298" i="1" s="1"/>
  <c r="J352" i="1" s="1"/>
  <c r="I213" i="1"/>
  <c r="F280" i="1"/>
  <c r="F364" i="1"/>
  <c r="I203" i="1"/>
  <c r="H73" i="3"/>
  <c r="I39" i="3"/>
  <c r="H500" i="1"/>
  <c r="D112" i="1"/>
  <c r="H509" i="1"/>
  <c r="H531" i="1" s="1"/>
  <c r="J40" i="3"/>
  <c r="G280" i="1"/>
  <c r="G364" i="1"/>
  <c r="C111" i="1"/>
  <c r="V88" i="1"/>
  <c r="V89" i="1" s="1"/>
  <c r="I130" i="1" s="1"/>
  <c r="H190" i="1" s="1"/>
  <c r="D106" i="1"/>
  <c r="D96" i="1"/>
  <c r="D111" i="1"/>
  <c r="S88" i="1"/>
  <c r="S89" i="1" s="1"/>
  <c r="D129" i="1" s="1"/>
  <c r="D189" i="1" s="1"/>
  <c r="G96" i="1"/>
  <c r="G106" i="1"/>
  <c r="C107" i="1"/>
  <c r="V93" i="1"/>
  <c r="V94" i="1" s="1"/>
  <c r="I126" i="1" s="1"/>
  <c r="H183" i="1" s="1"/>
  <c r="D108" i="1"/>
  <c r="C108" i="1"/>
  <c r="C188" i="1"/>
  <c r="H188" i="1"/>
  <c r="I128" i="1"/>
  <c r="D364" i="1"/>
  <c r="D280" i="1"/>
  <c r="D386" i="1" s="1"/>
  <c r="F96" i="1"/>
  <c r="F106" i="1"/>
  <c r="E364" i="1"/>
  <c r="E280" i="1"/>
  <c r="C298" i="1"/>
  <c r="C214" i="1"/>
  <c r="D259" i="1" s="1"/>
  <c r="E96" i="1"/>
  <c r="E106" i="1"/>
  <c r="H96" i="1"/>
  <c r="H106" i="1"/>
  <c r="H275" i="1" l="1"/>
  <c r="H282" i="1"/>
  <c r="D275" i="1"/>
  <c r="D281" i="1"/>
  <c r="F386" i="1"/>
  <c r="E386" i="1"/>
  <c r="D130" i="1"/>
  <c r="D190" i="1" s="1"/>
  <c r="H65" i="3"/>
  <c r="I202" i="1"/>
  <c r="D125" i="1"/>
  <c r="D182" i="1" s="1"/>
  <c r="D114" i="1"/>
  <c r="D124" i="1"/>
  <c r="I125" i="1"/>
  <c r="H182" i="1" s="1"/>
  <c r="C364" i="1"/>
  <c r="C280" i="1"/>
  <c r="G114" i="1"/>
  <c r="G124" i="1"/>
  <c r="I129" i="1"/>
  <c r="H189" i="1" s="1"/>
  <c r="H554" i="1"/>
  <c r="H522" i="1"/>
  <c r="J39" i="3"/>
  <c r="H501" i="1"/>
  <c r="H523" i="1" s="1"/>
  <c r="H386" i="1"/>
  <c r="C309" i="1"/>
  <c r="D352" i="1"/>
  <c r="D39" i="3" s="1"/>
  <c r="H114" i="1"/>
  <c r="H124" i="1"/>
  <c r="H280" i="1"/>
  <c r="I386" i="1" s="1"/>
  <c r="I364" i="1"/>
  <c r="E114" i="1"/>
  <c r="E124" i="1"/>
  <c r="F114" i="1"/>
  <c r="F124" i="1"/>
  <c r="C98" i="1"/>
  <c r="G386" i="1"/>
  <c r="I124" i="1"/>
  <c r="C114" i="1"/>
  <c r="C124" i="1"/>
  <c r="H281" i="1" l="1"/>
  <c r="H274" i="1"/>
  <c r="G181" i="1"/>
  <c r="G132" i="1"/>
  <c r="G192" i="1" s="1"/>
  <c r="D181" i="1"/>
  <c r="D132" i="1"/>
  <c r="D192" i="1" s="1"/>
  <c r="C116" i="1"/>
  <c r="C133" i="1" s="1"/>
  <c r="E181" i="1"/>
  <c r="E132" i="1"/>
  <c r="E192" i="1" s="1"/>
  <c r="C386" i="1"/>
  <c r="D274" i="1"/>
  <c r="C198" i="1"/>
  <c r="H132" i="1"/>
  <c r="C206" i="1" s="1"/>
  <c r="F181" i="1"/>
  <c r="F132" i="1"/>
  <c r="F192" i="1" s="1"/>
  <c r="H181" i="1"/>
  <c r="I132" i="1"/>
  <c r="H192" i="1" s="1"/>
  <c r="C373" i="1"/>
  <c r="C132" i="1"/>
  <c r="C192" i="1" s="1"/>
  <c r="C181" i="1"/>
  <c r="D282" i="1"/>
  <c r="D363" i="1" l="1"/>
  <c r="D273" i="1"/>
  <c r="D385" i="1" s="1"/>
  <c r="G363" i="1"/>
  <c r="G273" i="1"/>
  <c r="C210" i="1"/>
  <c r="C294" i="1"/>
  <c r="E378" i="1"/>
  <c r="I363" i="1"/>
  <c r="H273" i="1"/>
  <c r="I385" i="1" s="1"/>
  <c r="C395" i="1"/>
  <c r="E284" i="1"/>
  <c r="E363" i="1"/>
  <c r="E273" i="1"/>
  <c r="F284" i="1"/>
  <c r="C284" i="1"/>
  <c r="F363" i="1"/>
  <c r="F273" i="1"/>
  <c r="G284" i="1"/>
  <c r="H284" i="1"/>
  <c r="C273" i="1"/>
  <c r="C184" i="1"/>
  <c r="C218" i="1"/>
  <c r="C221" i="1" s="1"/>
  <c r="C302" i="1"/>
  <c r="C313" i="1" s="1"/>
  <c r="D284" i="1"/>
  <c r="D223" i="1" l="1"/>
  <c r="C255" i="1" s="1"/>
  <c r="D222" i="1"/>
  <c r="E365" i="1"/>
  <c r="E369" i="1" s="1"/>
  <c r="C316" i="1"/>
  <c r="D255" i="1"/>
  <c r="G385" i="1"/>
  <c r="F365" i="1"/>
  <c r="F369" i="1" s="1"/>
  <c r="E385" i="1"/>
  <c r="G365" i="1"/>
  <c r="G369" i="1" s="1"/>
  <c r="H365" i="1"/>
  <c r="H369" i="1" s="1"/>
  <c r="C185" i="1"/>
  <c r="C239" i="1" s="1"/>
  <c r="C238" i="1"/>
  <c r="I387" i="1"/>
  <c r="I391" i="1" s="1"/>
  <c r="I365" i="1"/>
  <c r="I369" i="1" s="1"/>
  <c r="C276" i="1"/>
  <c r="D387" i="1"/>
  <c r="D391" i="1" s="1"/>
  <c r="F385" i="1"/>
  <c r="E400" i="1"/>
  <c r="H385" i="1"/>
  <c r="C305" i="1"/>
  <c r="D365" i="1"/>
  <c r="D369" i="1" s="1"/>
  <c r="C263" i="1" l="1"/>
  <c r="J378" i="1"/>
  <c r="F21" i="2" s="1"/>
  <c r="F30" i="2" s="1"/>
  <c r="G30" i="2" s="1"/>
  <c r="C363" i="1"/>
  <c r="C372" i="1" s="1"/>
  <c r="G368" i="1"/>
  <c r="D318" i="1"/>
  <c r="J400" i="1" s="1"/>
  <c r="D317" i="1"/>
  <c r="E368" i="1"/>
  <c r="D368" i="1"/>
  <c r="E387" i="1"/>
  <c r="E391" i="1" s="1"/>
  <c r="I390" i="1"/>
  <c r="H368" i="1"/>
  <c r="F368" i="1"/>
  <c r="H390" i="1"/>
  <c r="H387" i="1"/>
  <c r="H391" i="1" s="1"/>
  <c r="D390" i="1"/>
  <c r="C277" i="1"/>
  <c r="C333" i="1" s="1"/>
  <c r="C20" i="3" s="1"/>
  <c r="C332" i="1"/>
  <c r="C19" i="3" s="1"/>
  <c r="F387" i="1"/>
  <c r="F391" i="1" s="1"/>
  <c r="I368" i="1"/>
  <c r="D348" i="1"/>
  <c r="D35" i="3" s="1"/>
  <c r="G387" i="1"/>
  <c r="G391" i="1" s="1"/>
  <c r="C568" i="1"/>
  <c r="D484" i="1"/>
  <c r="G242" i="1"/>
  <c r="F242" i="1"/>
  <c r="E242" i="1"/>
  <c r="H235" i="1"/>
  <c r="C242" i="1"/>
  <c r="H244" i="1"/>
  <c r="D243" i="1"/>
  <c r="C259" i="1"/>
  <c r="D235" i="1"/>
  <c r="H243" i="1"/>
  <c r="H234" i="1"/>
  <c r="D244" i="1"/>
  <c r="D234" i="1"/>
  <c r="F246" i="1"/>
  <c r="G246" i="1"/>
  <c r="E233" i="1"/>
  <c r="C233" i="1"/>
  <c r="G233" i="1"/>
  <c r="D246" i="1"/>
  <c r="F233" i="1"/>
  <c r="E246" i="1"/>
  <c r="C246" i="1"/>
  <c r="H246" i="1"/>
  <c r="C365" i="1" l="1"/>
  <c r="C369" i="1" s="1"/>
  <c r="C570" i="1"/>
  <c r="C572" i="1" s="1"/>
  <c r="F486" i="1"/>
  <c r="M468" i="1"/>
  <c r="M469" i="1" s="1"/>
  <c r="M470" i="1" s="1"/>
  <c r="D485" i="1" s="1"/>
  <c r="D486" i="1" s="1"/>
  <c r="H493" i="1" s="1"/>
  <c r="C348" i="1"/>
  <c r="C35" i="3" s="1"/>
  <c r="L52" i="3"/>
  <c r="L55" i="3" s="1"/>
  <c r="L53" i="3" s="1"/>
  <c r="L54" i="3" s="1"/>
  <c r="E390" i="1"/>
  <c r="F390" i="1"/>
  <c r="E377" i="1"/>
  <c r="J377" i="1" s="1"/>
  <c r="C374" i="1"/>
  <c r="C378" i="1" s="1"/>
  <c r="F488" i="1"/>
  <c r="C385" i="1"/>
  <c r="C183" i="3"/>
  <c r="D35" i="2"/>
  <c r="C94" i="3"/>
  <c r="G390" i="1"/>
  <c r="F336" i="1"/>
  <c r="G336" i="1"/>
  <c r="E336" i="1"/>
  <c r="D329" i="1"/>
  <c r="C336" i="1"/>
  <c r="D337" i="1"/>
  <c r="C352" i="1"/>
  <c r="H329" i="1"/>
  <c r="H338" i="1"/>
  <c r="D338" i="1"/>
  <c r="H328" i="1"/>
  <c r="H337" i="1"/>
  <c r="D328" i="1"/>
  <c r="C356" i="1"/>
  <c r="C43" i="3" s="1"/>
  <c r="H340" i="1"/>
  <c r="H27" i="3" s="1"/>
  <c r="E327" i="1"/>
  <c r="F327" i="1"/>
  <c r="G327" i="1"/>
  <c r="G340" i="1"/>
  <c r="G27" i="3" s="1"/>
  <c r="E340" i="1"/>
  <c r="E27" i="3" s="1"/>
  <c r="F340" i="1"/>
  <c r="F27" i="3" s="1"/>
  <c r="D340" i="1"/>
  <c r="D27" i="3" s="1"/>
  <c r="C340" i="1"/>
  <c r="C27" i="3" s="1"/>
  <c r="C327" i="1"/>
  <c r="C14" i="3" s="1"/>
  <c r="C368" i="1" l="1"/>
  <c r="H547" i="1"/>
  <c r="H515" i="1"/>
  <c r="E183" i="3"/>
  <c r="C195" i="3"/>
  <c r="C394" i="1"/>
  <c r="C387" i="1"/>
  <c r="C391" i="1" s="1"/>
  <c r="H15" i="3"/>
  <c r="I494" i="1"/>
  <c r="E23" i="3"/>
  <c r="E504" i="1"/>
  <c r="C377" i="1"/>
  <c r="G23" i="3"/>
  <c r="G504" i="1"/>
  <c r="F14" i="3"/>
  <c r="F493" i="1"/>
  <c r="H25" i="3"/>
  <c r="I506" i="1"/>
  <c r="F23" i="3"/>
  <c r="F504" i="1"/>
  <c r="F20" i="2"/>
  <c r="F29" i="2" s="1"/>
  <c r="C569" i="1"/>
  <c r="C571" i="1" s="1"/>
  <c r="C23" i="3"/>
  <c r="C504" i="1"/>
  <c r="H24" i="3"/>
  <c r="I505" i="1"/>
  <c r="D506" i="1"/>
  <c r="D25" i="3"/>
  <c r="E14" i="3"/>
  <c r="E493" i="1"/>
  <c r="H589" i="1"/>
  <c r="G589" i="1"/>
  <c r="D589" i="1"/>
  <c r="C589" i="1"/>
  <c r="I589" i="1"/>
  <c r="F589" i="1"/>
  <c r="E589" i="1"/>
  <c r="C39" i="3"/>
  <c r="H504" i="1"/>
  <c r="E94" i="3"/>
  <c r="C104" i="3"/>
  <c r="D15" i="3"/>
  <c r="D494" i="1"/>
  <c r="C497" i="1"/>
  <c r="C496" i="1"/>
  <c r="C493" i="1"/>
  <c r="D16" i="3"/>
  <c r="D495" i="1"/>
  <c r="G14" i="3"/>
  <c r="G493" i="1"/>
  <c r="H16" i="3"/>
  <c r="I495" i="1"/>
  <c r="D24" i="3"/>
  <c r="D505" i="1"/>
  <c r="C390" i="1" l="1"/>
  <c r="E399" i="1"/>
  <c r="J399" i="1" s="1"/>
  <c r="C396" i="1"/>
  <c r="C400" i="1" s="1"/>
  <c r="G577" i="1"/>
  <c r="G547" i="1"/>
  <c r="G515" i="1"/>
  <c r="E557" i="1"/>
  <c r="E578" i="1"/>
  <c r="E526" i="1"/>
  <c r="I517" i="1"/>
  <c r="I549" i="1"/>
  <c r="I578" i="1"/>
  <c r="I558" i="1"/>
  <c r="I527" i="1"/>
  <c r="E195" i="3"/>
  <c r="D202" i="3" s="1"/>
  <c r="F578" i="1"/>
  <c r="F526" i="1"/>
  <c r="F557" i="1"/>
  <c r="I559" i="1"/>
  <c r="I528" i="1"/>
  <c r="I577" i="1"/>
  <c r="I516" i="1"/>
  <c r="I548" i="1"/>
  <c r="C551" i="1"/>
  <c r="C519" i="1"/>
  <c r="C594" i="1"/>
  <c r="D517" i="1"/>
  <c r="D549" i="1"/>
  <c r="E104" i="3"/>
  <c r="D110" i="3" s="1"/>
  <c r="C578" i="1"/>
  <c r="C557" i="1"/>
  <c r="C526" i="1"/>
  <c r="F577" i="1"/>
  <c r="F547" i="1"/>
  <c r="F515" i="1"/>
  <c r="F31" i="2"/>
  <c r="G29" i="2"/>
  <c r="D559" i="1"/>
  <c r="D528" i="1"/>
  <c r="H579" i="1"/>
  <c r="H526" i="1"/>
  <c r="H557" i="1"/>
  <c r="D548" i="1"/>
  <c r="D516" i="1"/>
  <c r="D577" i="1"/>
  <c r="D558" i="1"/>
  <c r="D527" i="1"/>
  <c r="D578" i="1"/>
  <c r="C547" i="1"/>
  <c r="C577" i="1"/>
  <c r="C518" i="1"/>
  <c r="C550" i="1"/>
  <c r="E577" i="1"/>
  <c r="E547" i="1"/>
  <c r="E515" i="1"/>
  <c r="G588" i="1"/>
  <c r="G590" i="1" s="1"/>
  <c r="F588" i="1"/>
  <c r="F590" i="1" s="1"/>
  <c r="C588" i="1"/>
  <c r="C590" i="1" s="1"/>
  <c r="I588" i="1"/>
  <c r="I590" i="1" s="1"/>
  <c r="H588" i="1"/>
  <c r="H590" i="1" s="1"/>
  <c r="E588" i="1"/>
  <c r="E590" i="1" s="1"/>
  <c r="D588" i="1"/>
  <c r="D590" i="1" s="1"/>
  <c r="G578" i="1"/>
  <c r="G526" i="1"/>
  <c r="G557" i="1"/>
  <c r="G579" i="1" l="1"/>
  <c r="F579" i="1"/>
  <c r="D579" i="1"/>
  <c r="C93" i="3"/>
  <c r="C182" i="3"/>
  <c r="D34" i="2"/>
  <c r="G31" i="2"/>
  <c r="D36" i="2" s="1"/>
  <c r="D42" i="2" s="1"/>
  <c r="C604" i="1"/>
  <c r="C583" i="1"/>
  <c r="C579" i="1"/>
  <c r="C593" i="1"/>
  <c r="C603" i="1" s="1"/>
  <c r="C399" i="1"/>
  <c r="I579" i="1"/>
  <c r="C582" i="1"/>
  <c r="E579" i="1"/>
  <c r="C595" i="1" l="1"/>
  <c r="C609" i="1"/>
  <c r="D45" i="2"/>
  <c r="D46" i="2"/>
  <c r="G46" i="2" s="1"/>
  <c r="G48" i="2" s="1"/>
  <c r="D48" i="3" s="1"/>
  <c r="D50" i="3" s="1"/>
  <c r="C584" i="1"/>
  <c r="C194" i="3"/>
  <c r="E182" i="3"/>
  <c r="E184" i="3" s="1"/>
  <c r="C184" i="3"/>
  <c r="C608" i="1"/>
  <c r="C605" i="1"/>
  <c r="E93" i="3"/>
  <c r="E95" i="3" s="1"/>
  <c r="C103" i="3"/>
  <c r="C95" i="3"/>
  <c r="C610" i="1" l="1"/>
  <c r="E194" i="3"/>
  <c r="C196" i="3"/>
  <c r="C61" i="3"/>
  <c r="C60" i="3"/>
  <c r="C57" i="3"/>
  <c r="H57" i="3"/>
  <c r="E68" i="3"/>
  <c r="H68" i="3"/>
  <c r="D69" i="3"/>
  <c r="G68" i="3"/>
  <c r="E57" i="3"/>
  <c r="I69" i="3"/>
  <c r="D70" i="3"/>
  <c r="D59" i="3"/>
  <c r="I58" i="3"/>
  <c r="G57" i="3"/>
  <c r="I59" i="3"/>
  <c r="I70" i="3"/>
  <c r="F68" i="3"/>
  <c r="F57" i="3"/>
  <c r="C68" i="3"/>
  <c r="D58" i="3"/>
  <c r="E103" i="3"/>
  <c r="C105" i="3"/>
  <c r="E81" i="3" l="1"/>
  <c r="E196" i="3"/>
  <c r="D201" i="3"/>
  <c r="I80" i="3"/>
  <c r="C80" i="3"/>
  <c r="H81" i="3"/>
  <c r="D80" i="3"/>
  <c r="I81" i="3"/>
  <c r="I82" i="3" s="1"/>
  <c r="G80" i="3"/>
  <c r="E105" i="3"/>
  <c r="D109" i="3"/>
  <c r="H80" i="3"/>
  <c r="C81" i="3"/>
  <c r="F80" i="3"/>
  <c r="E80" i="3"/>
  <c r="D81" i="3"/>
  <c r="D82" i="3" s="1"/>
  <c r="F81" i="3"/>
  <c r="G81" i="3"/>
  <c r="G82" i="3" l="1"/>
  <c r="F82" i="3"/>
  <c r="D203" i="3"/>
  <c r="D111" i="3"/>
  <c r="H82" i="3"/>
  <c r="E82" i="3"/>
  <c r="C86" i="3"/>
  <c r="C82" i="3"/>
  <c r="C85" i="3"/>
  <c r="C109" i="3" s="1"/>
  <c r="E109" i="3" s="1"/>
  <c r="G109" i="3" s="1"/>
  <c r="H128" i="3" l="1"/>
  <c r="H129" i="3"/>
  <c r="I123" i="3"/>
  <c r="G121" i="3"/>
  <c r="F121" i="3"/>
  <c r="C124" i="3"/>
  <c r="D123" i="3"/>
  <c r="D122" i="3"/>
  <c r="E121" i="3"/>
  <c r="I122" i="3"/>
  <c r="C125" i="3"/>
  <c r="H121" i="3"/>
  <c r="C121" i="3"/>
  <c r="C110" i="3"/>
  <c r="C87" i="3"/>
  <c r="D144" i="3" l="1"/>
  <c r="U122" i="3"/>
  <c r="AC122" i="3" s="1"/>
  <c r="D219" i="3"/>
  <c r="D169" i="3"/>
  <c r="T121" i="3"/>
  <c r="AB121" i="3" s="1"/>
  <c r="C218" i="3"/>
  <c r="C169" i="3"/>
  <c r="G218" i="3"/>
  <c r="G143" i="3"/>
  <c r="X121" i="3"/>
  <c r="AF121" i="3" s="1"/>
  <c r="G169" i="3"/>
  <c r="C146" i="3"/>
  <c r="C221" i="3"/>
  <c r="T124" i="3"/>
  <c r="AB124" i="3" s="1"/>
  <c r="I145" i="3"/>
  <c r="I220" i="3"/>
  <c r="F169" i="3"/>
  <c r="F218" i="3"/>
  <c r="F143" i="3"/>
  <c r="W121" i="3"/>
  <c r="AE121" i="3" s="1"/>
  <c r="C222" i="3"/>
  <c r="C147" i="3"/>
  <c r="T125" i="3"/>
  <c r="AB125" i="3" s="1"/>
  <c r="I219" i="3"/>
  <c r="I144" i="3"/>
  <c r="H226" i="3"/>
  <c r="H151" i="3"/>
  <c r="U123" i="3"/>
  <c r="AC123" i="3" s="1"/>
  <c r="D220" i="3"/>
  <c r="D145" i="3"/>
  <c r="C111" i="3"/>
  <c r="E110" i="3"/>
  <c r="H218" i="3"/>
  <c r="H143" i="3"/>
  <c r="Y121" i="3"/>
  <c r="AG121" i="3" s="1"/>
  <c r="H169" i="3"/>
  <c r="E218" i="3"/>
  <c r="E143" i="3"/>
  <c r="V121" i="3"/>
  <c r="AD121" i="3" s="1"/>
  <c r="E169" i="3"/>
  <c r="Y128" i="3"/>
  <c r="AG128" i="3" s="1"/>
  <c r="H150" i="3"/>
  <c r="H225" i="3"/>
  <c r="C174" i="3" l="1"/>
  <c r="C201" i="3" s="1"/>
  <c r="E201" i="3" s="1"/>
  <c r="G110" i="3"/>
  <c r="E111" i="3"/>
  <c r="H136" i="3" l="1"/>
  <c r="H137" i="3"/>
  <c r="D134" i="3"/>
  <c r="D133" i="3"/>
  <c r="C132" i="3"/>
  <c r="E132" i="3"/>
  <c r="H132" i="3"/>
  <c r="F132" i="3"/>
  <c r="I133" i="3"/>
  <c r="I134" i="3"/>
  <c r="G132" i="3"/>
  <c r="F170" i="3" l="1"/>
  <c r="F171" i="3" s="1"/>
  <c r="F229" i="3"/>
  <c r="W131" i="3"/>
  <c r="AE131" i="3" s="1"/>
  <c r="F154" i="3"/>
  <c r="D230" i="3"/>
  <c r="U132" i="3"/>
  <c r="AC132" i="3" s="1"/>
  <c r="D155" i="3"/>
  <c r="D170" i="3"/>
  <c r="D171" i="3" s="1"/>
  <c r="H154" i="3"/>
  <c r="Y131" i="3"/>
  <c r="AG131" i="3" s="1"/>
  <c r="H170" i="3"/>
  <c r="H171" i="3" s="1"/>
  <c r="H229" i="3"/>
  <c r="D156" i="3"/>
  <c r="D231" i="3"/>
  <c r="U133" i="3"/>
  <c r="AC133" i="3" s="1"/>
  <c r="C229" i="3"/>
  <c r="C170" i="3"/>
  <c r="C154" i="3"/>
  <c r="T131" i="3"/>
  <c r="AB131" i="3" s="1"/>
  <c r="H234" i="3"/>
  <c r="H159" i="3"/>
  <c r="V131" i="3"/>
  <c r="AD131" i="3" s="1"/>
  <c r="E229" i="3"/>
  <c r="E170" i="3"/>
  <c r="E171" i="3" s="1"/>
  <c r="E154" i="3"/>
  <c r="G170" i="3"/>
  <c r="G171" i="3" s="1"/>
  <c r="G154" i="3"/>
  <c r="G229" i="3"/>
  <c r="X131" i="3"/>
  <c r="AF131" i="3" s="1"/>
  <c r="I156" i="3"/>
  <c r="I231" i="3"/>
  <c r="I230" i="3"/>
  <c r="I155" i="3"/>
  <c r="H233" i="3"/>
  <c r="Y135" i="3"/>
  <c r="AG135" i="3" s="1"/>
  <c r="H158" i="3"/>
  <c r="C171" i="3" l="1"/>
  <c r="C175" i="3"/>
  <c r="C202" i="3" l="1"/>
  <c r="C176" i="3"/>
  <c r="C203" i="3" l="1"/>
  <c r="E202" i="3"/>
  <c r="E203" i="3" s="1"/>
</calcChain>
</file>

<file path=xl/sharedStrings.xml><?xml version="1.0" encoding="utf-8"?>
<sst xmlns="http://schemas.openxmlformats.org/spreadsheetml/2006/main" count="1130" uniqueCount="406">
  <si>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</si>
  <si>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</si>
  <si>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</si>
  <si>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</si>
  <si>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</si>
  <si>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</si>
  <si>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</si>
  <si>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</si>
  <si>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</si>
  <si>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</si>
  <si>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</si>
  <si>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</si>
  <si>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</si>
  <si>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</si>
  <si>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</si>
  <si>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</si>
  <si>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</si>
  <si>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</si>
  <si>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</si>
  <si>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</si>
  <si>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</si>
  <si>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</si>
  <si>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</si>
  <si>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</si>
  <si>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</si>
  <si>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</si>
  <si>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</si>
  <si>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</si>
  <si>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</si>
  <si>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</si>
  <si>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SC1 TOD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</si>
  <si>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</si>
  <si>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</si>
  <si>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</si>
  <si>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</si>
  <si>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</si>
  <si>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</si>
  <si>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</si>
  <si>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</si>
  <si>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</si>
  <si>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</si>
  <si>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</si>
  <si>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</si>
  <si>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</si>
  <si>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</si>
  <si>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</si>
  <si>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</si>
  <si>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</si>
  <si>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</si>
  <si>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</si>
  <si>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</si>
  <si>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</si>
  <si>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</si>
  <si>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</si>
  <si>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</si>
  <si>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</si>
  <si>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</si>
  <si>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</si>
  <si>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</si>
  <si>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</si>
  <si>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</si>
  <si>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</si>
  <si>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</si>
  <si>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</si>
  <si>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</si>
  <si>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</si>
  <si>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</si>
  <si>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</si>
  <si>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</si>
  <si>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</si>
  <si>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</si>
  <si>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</si>
  <si>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</si>
  <si>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</si>
  <si>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</si>
  <si>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</si>
  <si>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</si>
  <si>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</si>
  <si>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</si>
  <si>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</si>
  <si>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</si>
  <si>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</si>
  <si>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</si>
  <si>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</si>
  <si>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</si>
  <si>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</si>
  <si>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</si>
  <si>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</si>
  <si>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</si>
  <si>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</si>
  <si>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</si>
  <si>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</si>
  <si>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</si>
  <si>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</si>
  <si>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</si>
  <si>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</si>
  <si>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</si>
  <si>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</si>
  <si>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</si>
  <si>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</si>
  <si>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</si>
  <si>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</si>
  <si>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</si>
  <si>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</si>
  <si>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</si>
  <si>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</si>
  <si>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</si>
  <si>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</si>
  <si>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</si>
  <si>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</si>
  <si>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</si>
  <si>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</si>
  <si>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</si>
  <si>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</si>
  <si>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</si>
  <si>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</si>
  <si>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</si>
  <si>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</si>
  <si>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</si>
  <si>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</si>
  <si>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</si>
  <si>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</si>
  <si>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</si>
  <si>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</si>
  <si>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</si>
  <si>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</si>
  <si>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</si>
  <si>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</si>
  <si>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</si>
  <si>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</si>
  <si>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</si>
  <si>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</si>
  <si>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</si>
  <si>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</si>
  <si>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</si>
  <si>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</si>
  <si>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</si>
  <si>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</si>
  <si>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</si>
  <si>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</si>
  <si>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</si>
  <si>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</si>
  <si>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</si>
  <si>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</si>
  <si>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</si>
  <si>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</si>
  <si>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</si>
  <si>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</si>
  <si>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</si>
  <si>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</si>
  <si>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</si>
  <si>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</si>
  <si>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</si>
  <si>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</si>
  <si>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</si>
  <si>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</si>
  <si>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</si>
  <si>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</si>
  <si>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</si>
  <si>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</si>
  <si>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</si>
  <si>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</si>
  <si>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</si>
  <si>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</si>
  <si>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</si>
  <si>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</si>
  <si>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</si>
  <si>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</si>
  <si>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</si>
  <si>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</si>
  <si>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</si>
  <si>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</si>
  <si>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</si>
  <si>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</si>
  <si>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</si>
  <si>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</si>
  <si>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</si>
  <si>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</si>
  <si>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</si>
  <si>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</si>
  <si>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</si>
  <si>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</si>
  <si>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</si>
  <si>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</si>
  <si>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</si>
  <si>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</si>
  <si>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</si>
  <si>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</si>
  <si>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</si>
  <si>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</si>
  <si>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</si>
  <si>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</si>
  <si>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</si>
  <si>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</si>
  <si>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</si>
  <si>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</si>
  <si>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</si>
  <si>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</si>
  <si>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</si>
  <si>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</si>
  <si>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</si>
  <si>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</si>
  <si>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</si>
  <si>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</si>
  <si>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</si>
  <si>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</si>
  <si>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</si>
  <si>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</si>
  <si>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</si>
  <si>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</si>
  <si>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</si>
  <si>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</si>
  <si>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</si>
  <si>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</si>
  <si>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</si>
  <si>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</si>
  <si>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</si>
  <si>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</si>
  <si>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</si>
  <si>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</si>
  <si>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</si>
  <si>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</si>
  <si>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</si>
  <si>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</si>
  <si>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</si>
  <si>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</si>
  <si>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</si>
  <si>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</si>
  <si>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</si>
  <si>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</si>
  <si>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</si>
  <si>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</si>
  <si>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</si>
  <si>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</si>
  <si>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</si>
  <si>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</si>
  <si>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</si>
  <si>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</si>
  <si>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</si>
  <si>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</si>
  <si>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</si>
  <si>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</si>
  <si>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</si>
  <si>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</si>
  <si>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</si>
  <si>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</si>
  <si>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</si>
  <si>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</si>
  <si>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</si>
  <si>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</si>
  <si>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</si>
  <si>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</si>
  <si>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</si>
  <si>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</si>
  <si>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</si>
  <si>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>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</si>
  <si>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</si>
  <si>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</si>
  <si>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</si>
  <si>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</si>
  <si>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</si>
  <si>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</si>
  <si>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</si>
  <si>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</si>
  <si>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</si>
  <si>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</si>
  <si>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</si>
  <si>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</si>
  <si>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</si>
  <si>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</si>
  <si>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</si>
  <si>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</si>
  <si>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</si>
  <si>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</si>
  <si>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</si>
  <si>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</si>
  <si>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</si>
  <si>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</si>
  <si>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</si>
  <si>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</si>
  <si>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</si>
  <si>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</si>
  <si>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</si>
  <si>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</si>
  <si>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</si>
  <si>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</si>
  <si>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</si>
  <si>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</si>
  <si>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</si>
  <si>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</si>
  <si>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</si>
  <si>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</si>
  <si>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</si>
  <si>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</si>
  <si>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</si>
  <si>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</si>
  <si>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</si>
  <si>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</si>
  <si>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</si>
  <si>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</si>
  <si>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</si>
  <si>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</si>
  <si>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</si>
  <si>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</si>
  <si>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</si>
  <si>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</si>
  <si>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</si>
  <si>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2024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</si>
  <si>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</si>
  <si>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</si>
  <si>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</si>
  <si>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</si>
  <si>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</si>
  <si>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 xml:space="preserve">= 2(a) + 2(b) </t>
  </si>
  <si>
    <t>Weighted Avg BGS</t>
  </si>
  <si>
    <t>= (1) / Total Tranches * (3)</t>
  </si>
  <si>
    <t>Weighted Avg Trans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</si>
  <si>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</si>
  <si>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</si>
  <si>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</si>
  <si>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</si>
  <si>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</si>
  <si>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</si>
  <si>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</si>
  <si>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</si>
  <si>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</si>
  <si>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</si>
  <si>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</si>
  <si>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(3) / 100 * (6) * (8) * 1,000</t>
  </si>
  <si>
    <t>= (1) / Total Tranches * (3) / 100* (7) * (9) * 1,000</t>
  </si>
  <si>
    <t>= (11) + (12)</t>
  </si>
  <si>
    <t>Average Cost (NJ Statewide Auction)</t>
  </si>
  <si>
    <t>= sum(line 11) / (8) / 1000 * 100  rounded to 3 decimal places</t>
  </si>
  <si>
    <t>= sum(line 12) / (9) / 1000 * 100  rounded to 3 decimal places</t>
  </si>
  <si>
    <t>= sum(line 13) / (10)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</si>
  <si>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</si>
  <si>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</si>
  <si>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</si>
  <si>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</si>
  <si>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</si>
  <si>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</si>
  <si>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Transmission</t>
  </si>
  <si>
    <t>= (19) - (20)</t>
  </si>
  <si>
    <t>= (17) / Total Tranches * (18)</t>
  </si>
  <si>
    <t>= (17) / Total Tranches * (19)</t>
  </si>
  <si>
    <t>Weighted Avg Total Price</t>
  </si>
  <si>
    <t>= (19)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</si>
  <si>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</si>
  <si>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</si>
  <si>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</si>
  <si>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</si>
  <si>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</si>
  <si>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</si>
  <si>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</si>
  <si>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</si>
  <si>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</si>
  <si>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</si>
  <si>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</si>
  <si>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</si>
  <si>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</si>
  <si>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</si>
  <si>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</si>
  <si>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</si>
  <si>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</si>
  <si>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</si>
  <si>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</si>
  <si>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</si>
  <si>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</si>
  <si>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</si>
  <si>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</si>
  <si>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</si>
  <si>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</si>
  <si>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</si>
  <si>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</si>
  <si>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</si>
  <si>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</si>
  <si>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</si>
  <si>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</si>
  <si>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</si>
  <si>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</si>
  <si>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</si>
  <si>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</si>
  <si>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</si>
  <si>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</si>
  <si>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</si>
  <si>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</si>
  <si>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</si>
  <si>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</si>
  <si>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</si>
  <si>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</si>
  <si>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</si>
  <si>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</si>
  <si>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</si>
  <si>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</si>
  <si>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</si>
  <si>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</si>
  <si>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</si>
  <si>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</si>
  <si>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</si>
  <si>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</si>
  <si>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</si>
  <si>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</si>
  <si>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</si>
  <si>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</si>
  <si>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2024 to May 2025 Forwards @ PJM West as of January 02, 2024</t>
  </si>
  <si>
    <t>Based on Jun 2024 to May 2025 Forwards @ NYISO Zone G and Lower Hudson Valley (LHV) as of June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</si>
</sst>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#,##0.00000"/>
    <numFmt numFmtId="170" formatCode="_(* #,##0_);_(* \(#,##0\);_(* &quot;-&quot;??_);_(@_)"/>
    <numFmt numFmtId="171" formatCode="0.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0"/>
    <numFmt numFmtId="177" formatCode="&quot;$&quot;#,##0.00"/>
    <numFmt numFmtId="178" formatCode="0.000%"/>
    <numFmt numFmtId="179" formatCode="#,##0.000_);\(#,##0.000\)"/>
    <numFmt numFmtId="180" formatCode="_(* #,##0.000000_);_(* \(#,##0.000000\);_(* &quot;-&quot;??_);_(@_)"/>
    <numFmt numFmtId="181" formatCode="0.00_);\(0.00\)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1" fillId="0" borderId="0" xfId="0" applyFont="1"/>
    <xf numFmtId="0" fontId="3" fillId="0" borderId="0" xfId="0" applyFont="1"/>
    <xf numFmtId="1" fontId="4" fillId="0" borderId="0" xfId="1" applyNumberFormat="1" applyFont="1" applyFill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quotePrefix="1" applyFont="1"/>
    <xf numFmtId="39" fontId="1" fillId="0" borderId="0" xfId="0" quotePrefix="1" applyNumberFormat="1" applyFont="1"/>
    <xf numFmtId="0" fontId="7" fillId="0" borderId="0" xfId="0" applyFont="1"/>
    <xf numFmtId="0" fontId="4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quotePrefix="1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" fontId="1" fillId="0" borderId="0" xfId="0" applyNumberFormat="1" applyFont="1"/>
    <xf numFmtId="10" fontId="1" fillId="0" borderId="0" xfId="3" quotePrefix="1" applyNumberFormat="1" applyFont="1" applyFill="1"/>
    <xf numFmtId="164" fontId="1" fillId="0" borderId="0" xfId="3" quotePrefix="1" applyNumberFormat="1" applyFont="1" applyFill="1"/>
    <xf numFmtId="9" fontId="1" fillId="0" borderId="0" xfId="3" quotePrefix="1" applyFont="1" applyFill="1"/>
    <xf numFmtId="10" fontId="1" fillId="0" borderId="0" xfId="0" applyNumberFormat="1" applyFont="1"/>
    <xf numFmtId="10" fontId="1" fillId="0" borderId="0" xfId="3" applyNumberFormat="1" applyFont="1" applyFill="1"/>
    <xf numFmtId="9" fontId="1" fillId="0" borderId="0" xfId="3" applyFont="1" applyFill="1"/>
    <xf numFmtId="9" fontId="7" fillId="0" borderId="0" xfId="3" applyFont="1" applyFill="1"/>
    <xf numFmtId="0" fontId="7" fillId="0" borderId="0" xfId="0" quotePrefix="1" applyFont="1" applyAlignment="1">
      <alignment horizontal="center" wrapText="1"/>
    </xf>
    <xf numFmtId="9" fontId="1" fillId="0" borderId="0" xfId="3" quotePrefix="1" applyFont="1" applyFill="1" applyAlignment="1">
      <alignment horizontal="center"/>
    </xf>
    <xf numFmtId="164" fontId="1" fillId="0" borderId="0" xfId="3" quotePrefix="1" applyNumberFormat="1" applyFont="1" applyFill="1" applyAlignment="1">
      <alignment horizontal="right"/>
    </xf>
    <xf numFmtId="17" fontId="4" fillId="0" borderId="0" xfId="0" applyNumberFormat="1" applyFont="1"/>
    <xf numFmtId="0" fontId="4" fillId="0" borderId="0" xfId="0" applyFont="1"/>
    <xf numFmtId="17" fontId="7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quotePrefix="1" applyNumberFormat="1" applyFont="1"/>
    <xf numFmtId="0" fontId="1" fillId="0" borderId="0" xfId="0" quotePrefix="1" applyFont="1" applyAlignment="1">
      <alignment horizontal="right"/>
    </xf>
    <xf numFmtId="3" fontId="10" fillId="0" borderId="0" xfId="0" applyNumberFormat="1" applyFont="1"/>
    <xf numFmtId="17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4" fillId="0" borderId="5" xfId="0" applyFont="1" applyBorder="1" applyAlignment="1">
      <alignment horizontal="center"/>
    </xf>
    <xf numFmtId="3" fontId="1" fillId="0" borderId="4" xfId="0" applyNumberFormat="1" applyFont="1" applyBorder="1"/>
    <xf numFmtId="4" fontId="1" fillId="0" borderId="0" xfId="0" applyNumberFormat="1" applyFont="1"/>
    <xf numFmtId="3" fontId="1" fillId="0" borderId="0" xfId="0" quotePrefix="1" applyNumberFormat="1" applyFont="1" applyAlignment="1">
      <alignment horizontal="right"/>
    </xf>
    <xf numFmtId="165" fontId="1" fillId="0" borderId="0" xfId="0" applyNumberFormat="1" applyFont="1"/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9" fillId="0" borderId="0" xfId="0" applyFont="1"/>
    <xf numFmtId="44" fontId="1" fillId="0" borderId="0" xfId="2" quotePrefix="1" applyFont="1" applyFill="1"/>
    <xf numFmtId="166" fontId="1" fillId="0" borderId="0" xfId="2" applyNumberFormat="1" applyFont="1" applyFill="1" applyBorder="1"/>
    <xf numFmtId="17" fontId="1" fillId="0" borderId="0" xfId="0" applyNumberFormat="1" applyFont="1" applyAlignment="1">
      <alignment horizontal="right"/>
    </xf>
    <xf numFmtId="44" fontId="1" fillId="0" borderId="0" xfId="0" applyNumberFormat="1" applyFont="1"/>
    <xf numFmtId="44" fontId="1" fillId="0" borderId="0" xfId="2" applyFont="1" applyFill="1"/>
    <xf numFmtId="166" fontId="1" fillId="0" borderId="0" xfId="0" applyNumberFormat="1" applyFont="1"/>
    <xf numFmtId="166" fontId="1" fillId="0" borderId="0" xfId="2" quotePrefix="1" applyNumberFormat="1" applyFont="1" applyFill="1"/>
    <xf numFmtId="166" fontId="1" fillId="0" borderId="0" xfId="2" applyNumberFormat="1" applyFont="1" applyFill="1"/>
    <xf numFmtId="39" fontId="1" fillId="0" borderId="0" xfId="0" applyNumberFormat="1" applyFont="1"/>
    <xf numFmtId="14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170" fontId="1" fillId="0" borderId="0" xfId="0" applyNumberFormat="1" applyFont="1"/>
    <xf numFmtId="168" fontId="1" fillId="0" borderId="0" xfId="0" applyNumberFormat="1" applyFont="1" applyAlignment="1">
      <alignment horizontal="right"/>
    </xf>
    <xf numFmtId="43" fontId="1" fillId="0" borderId="0" xfId="1" applyFont="1" applyFill="1"/>
    <xf numFmtId="0" fontId="1" fillId="0" borderId="0" xfId="0" quotePrefix="1" applyFont="1"/>
    <xf numFmtId="43" fontId="1" fillId="0" borderId="0" xfId="0" applyNumberFormat="1" applyFont="1"/>
    <xf numFmtId="7" fontId="1" fillId="0" borderId="0" xfId="2" applyNumberFormat="1" applyFont="1" applyFill="1"/>
    <xf numFmtId="0" fontId="1" fillId="0" borderId="0" xfId="0" quotePrefix="1" applyFont="1" applyAlignment="1">
      <alignment horizontal="left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71" fontId="1" fillId="0" borderId="0" xfId="0" applyNumberFormat="1" applyFont="1"/>
    <xf numFmtId="7" fontId="1" fillId="0" borderId="0" xfId="0" applyNumberFormat="1" applyFont="1"/>
    <xf numFmtId="5" fontId="1" fillId="0" borderId="0" xfId="0" applyNumberFormat="1" applyFont="1"/>
    <xf numFmtId="44" fontId="1" fillId="0" borderId="0" xfId="2" quotePrefix="1" applyFont="1" applyFill="1" applyAlignment="1">
      <alignment horizontal="left"/>
    </xf>
    <xf numFmtId="0" fontId="10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172" fontId="1" fillId="0" borderId="0" xfId="2" quotePrefix="1" applyNumberFormat="1" applyFont="1" applyFill="1"/>
    <xf numFmtId="172" fontId="1" fillId="0" borderId="0" xfId="0" applyNumberFormat="1" applyFont="1"/>
    <xf numFmtId="0" fontId="10" fillId="0" borderId="0" xfId="0" applyFont="1" applyAlignment="1">
      <alignment horizontal="left"/>
    </xf>
    <xf numFmtId="0" fontId="8" fillId="0" borderId="0" xfId="0" applyFont="1"/>
    <xf numFmtId="0" fontId="12" fillId="0" borderId="0" xfId="0" applyFont="1"/>
    <xf numFmtId="0" fontId="13" fillId="0" borderId="0" xfId="0" applyFont="1"/>
    <xf numFmtId="17" fontId="10" fillId="0" borderId="0" xfId="0" applyNumberFormat="1" applyFont="1" applyAlignment="1">
      <alignment horizontal="left"/>
    </xf>
    <xf numFmtId="0" fontId="10" fillId="0" borderId="4" xfId="0" quotePrefix="1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9" fontId="13" fillId="0" borderId="0" xfId="0" applyNumberFormat="1" applyFont="1"/>
    <xf numFmtId="172" fontId="13" fillId="0" borderId="0" xfId="2" quotePrefix="1" applyNumberFormat="1" applyFont="1" applyFill="1"/>
    <xf numFmtId="3" fontId="13" fillId="0" borderId="0" xfId="0" quotePrefix="1" applyNumberFormat="1" applyFont="1"/>
    <xf numFmtId="3" fontId="13" fillId="0" borderId="0" xfId="0" applyNumberFormat="1" applyFont="1"/>
    <xf numFmtId="4" fontId="13" fillId="0" borderId="0" xfId="0" applyNumberFormat="1" applyFont="1"/>
    <xf numFmtId="0" fontId="14" fillId="0" borderId="0" xfId="0" applyFont="1" applyAlignment="1">
      <alignment horizontal="left"/>
    </xf>
    <xf numFmtId="0" fontId="13" fillId="0" borderId="0" xfId="0" quotePrefix="1" applyFont="1"/>
    <xf numFmtId="44" fontId="13" fillId="0" borderId="0" xfId="2" applyFont="1" applyFill="1"/>
    <xf numFmtId="44" fontId="13" fillId="0" borderId="0" xfId="0" applyNumberFormat="1" applyFont="1"/>
    <xf numFmtId="166" fontId="1" fillId="0" borderId="0" xfId="2" quotePrefix="1" applyNumberFormat="1" applyFont="1" applyFill="1" applyAlignment="1">
      <alignment horizontal="left"/>
    </xf>
    <xf numFmtId="166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/>
    <xf numFmtId="173" fontId="1" fillId="0" borderId="0" xfId="0" applyNumberFormat="1" applyFont="1"/>
    <xf numFmtId="174" fontId="4" fillId="0" borderId="0" xfId="1" quotePrefix="1" applyNumberFormat="1" applyFont="1" applyFill="1" applyBorder="1"/>
    <xf numFmtId="43" fontId="1" fillId="0" borderId="0" xfId="1" quotePrefix="1" applyFont="1" applyFill="1" applyBorder="1"/>
    <xf numFmtId="43" fontId="1" fillId="0" borderId="0" xfId="1" quotePrefix="1" applyFont="1" applyFill="1"/>
    <xf numFmtId="43" fontId="4" fillId="0" borderId="0" xfId="1" quotePrefix="1" applyFont="1" applyFill="1" applyBorder="1"/>
    <xf numFmtId="0" fontId="4" fillId="0" borderId="0" xfId="0" quotePrefix="1" applyFont="1" applyAlignment="1">
      <alignment horizontal="right"/>
    </xf>
    <xf numFmtId="44" fontId="4" fillId="0" borderId="0" xfId="2" quotePrefix="1" applyFont="1" applyFill="1" applyBorder="1"/>
    <xf numFmtId="174" fontId="1" fillId="0" borderId="0" xfId="1" quotePrefix="1" applyNumberFormat="1" applyFont="1" applyFill="1" applyBorder="1"/>
    <xf numFmtId="175" fontId="4" fillId="0" borderId="0" xfId="1" quotePrefix="1" applyNumberFormat="1" applyFont="1" applyFill="1"/>
    <xf numFmtId="174" fontId="1" fillId="0" borderId="0" xfId="1" quotePrefix="1" applyNumberFormat="1" applyFont="1" applyFill="1"/>
    <xf numFmtId="0" fontId="4" fillId="0" borderId="4" xfId="0" applyFont="1" applyBorder="1"/>
    <xf numFmtId="172" fontId="4" fillId="0" borderId="0" xfId="0" applyNumberFormat="1" applyFont="1"/>
    <xf numFmtId="17" fontId="1" fillId="0" borderId="0" xfId="0" quotePrefix="1" applyNumberFormat="1" applyFont="1" applyAlignment="1">
      <alignment horizontal="right"/>
    </xf>
    <xf numFmtId="44" fontId="4" fillId="0" borderId="0" xfId="0" applyNumberFormat="1" applyFont="1"/>
    <xf numFmtId="0" fontId="1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17" fontId="10" fillId="0" borderId="0" xfId="0" quotePrefix="1" applyNumberFormat="1" applyFont="1" applyAlignment="1">
      <alignment horizontal="left"/>
    </xf>
    <xf numFmtId="43" fontId="4" fillId="0" borderId="0" xfId="1" quotePrefix="1" applyFont="1" applyFill="1"/>
    <xf numFmtId="174" fontId="4" fillId="0" borderId="0" xfId="1" quotePrefix="1" applyNumberFormat="1" applyFont="1" applyFill="1"/>
    <xf numFmtId="0" fontId="9" fillId="0" borderId="0" xfId="0" quotePrefix="1" applyFont="1" applyAlignment="1">
      <alignment horizontal="right"/>
    </xf>
    <xf numFmtId="174" fontId="4" fillId="0" borderId="0" xfId="0" applyNumberFormat="1" applyFont="1"/>
    <xf numFmtId="174" fontId="1" fillId="0" borderId="0" xfId="0" applyNumberFormat="1" applyFont="1"/>
    <xf numFmtId="166" fontId="1" fillId="0" borderId="0" xfId="0" quotePrefix="1" applyNumberFormat="1" applyFont="1" applyAlignment="1">
      <alignment horizontal="left"/>
    </xf>
    <xf numFmtId="166" fontId="1" fillId="0" borderId="0" xfId="3" applyNumberFormat="1" applyFont="1" applyFill="1"/>
    <xf numFmtId="175" fontId="4" fillId="0" borderId="0" xfId="1" applyNumberFormat="1" applyFont="1" applyFill="1"/>
    <xf numFmtId="0" fontId="1" fillId="0" borderId="9" xfId="0" applyFont="1" applyBorder="1" applyAlignment="1">
      <alignment horizontal="right"/>
    </xf>
    <xf numFmtId="43" fontId="4" fillId="0" borderId="0" xfId="1" applyFont="1" applyFill="1"/>
    <xf numFmtId="0" fontId="1" fillId="0" borderId="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176" fontId="1" fillId="0" borderId="0" xfId="0" applyNumberFormat="1" applyFont="1"/>
    <xf numFmtId="4" fontId="1" fillId="0" borderId="5" xfId="0" applyNumberFormat="1" applyFont="1" applyBorder="1"/>
    <xf numFmtId="9" fontId="1" fillId="0" borderId="0" xfId="1" applyNumberFormat="1" applyFont="1" applyFill="1"/>
    <xf numFmtId="164" fontId="1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3" applyNumberFormat="1" applyFont="1" applyFill="1"/>
    <xf numFmtId="0" fontId="10" fillId="0" borderId="0" xfId="0" applyFont="1" applyAlignment="1">
      <alignment horizontal="right"/>
    </xf>
    <xf numFmtId="7" fontId="1" fillId="0" borderId="0" xfId="0" applyNumberFormat="1" applyFont="1" applyAlignment="1">
      <alignment horizontal="right"/>
    </xf>
    <xf numFmtId="43" fontId="1" fillId="0" borderId="0" xfId="2" applyNumberFormat="1" applyFont="1" applyFill="1"/>
    <xf numFmtId="7" fontId="1" fillId="0" borderId="0" xfId="3" applyNumberFormat="1" applyFont="1" applyFill="1"/>
    <xf numFmtId="0" fontId="16" fillId="0" borderId="6" xfId="0" applyFont="1" applyBorder="1"/>
    <xf numFmtId="2" fontId="1" fillId="0" borderId="12" xfId="0" applyNumberFormat="1" applyFont="1" applyBorder="1"/>
    <xf numFmtId="0" fontId="16" fillId="0" borderId="8" xfId="0" applyFont="1" applyBorder="1"/>
    <xf numFmtId="2" fontId="1" fillId="0" borderId="0" xfId="0" applyNumberFormat="1" applyFont="1"/>
    <xf numFmtId="170" fontId="1" fillId="0" borderId="0" xfId="1" applyNumberFormat="1" applyFont="1" applyFill="1"/>
    <xf numFmtId="177" fontId="1" fillId="0" borderId="0" xfId="0" applyNumberFormat="1" applyFont="1"/>
    <xf numFmtId="0" fontId="16" fillId="0" borderId="10" xfId="0" applyFont="1" applyBorder="1"/>
    <xf numFmtId="2" fontId="1" fillId="0" borderId="13" xfId="0" applyNumberFormat="1" applyFont="1" applyBorder="1"/>
    <xf numFmtId="0" fontId="1" fillId="0" borderId="11" xfId="0" applyFont="1" applyBorder="1"/>
    <xf numFmtId="0" fontId="16" fillId="0" borderId="0" xfId="0" applyFont="1"/>
    <xf numFmtId="0" fontId="4" fillId="0" borderId="14" xfId="0" applyFont="1" applyBorder="1" applyAlignment="1">
      <alignment horizontal="left"/>
    </xf>
    <xf numFmtId="0" fontId="1" fillId="0" borderId="14" xfId="0" applyFont="1" applyBorder="1"/>
    <xf numFmtId="44" fontId="8" fillId="0" borderId="0" xfId="0" quotePrefix="1" applyNumberFormat="1" applyFont="1"/>
    <xf numFmtId="44" fontId="10" fillId="0" borderId="0" xfId="0" applyNumberFormat="1" applyFont="1"/>
    <xf numFmtId="44" fontId="16" fillId="0" borderId="0" xfId="0" applyNumberFormat="1" applyFont="1"/>
    <xf numFmtId="177" fontId="1" fillId="0" borderId="0" xfId="0" applyNumberFormat="1" applyFont="1" applyAlignment="1">
      <alignment horizontal="left"/>
    </xf>
    <xf numFmtId="0" fontId="10" fillId="0" borderId="0" xfId="0" applyFont="1"/>
    <xf numFmtId="178" fontId="1" fillId="0" borderId="0" xfId="0" applyNumberFormat="1" applyFont="1"/>
    <xf numFmtId="179" fontId="1" fillId="0" borderId="0" xfId="0" applyNumberFormat="1" applyFont="1"/>
    <xf numFmtId="171" fontId="1" fillId="0" borderId="0" xfId="0" quotePrefix="1" applyNumberFormat="1" applyFont="1" applyAlignment="1">
      <alignment horizontal="right"/>
    </xf>
    <xf numFmtId="2" fontId="1" fillId="0" borderId="0" xfId="0" quotePrefix="1" applyNumberFormat="1" applyFont="1" applyAlignment="1">
      <alignment horizontal="right"/>
    </xf>
    <xf numFmtId="180" fontId="1" fillId="0" borderId="0" xfId="1" quotePrefix="1" applyNumberFormat="1" applyFont="1" applyFill="1"/>
    <xf numFmtId="175" fontId="1" fillId="0" borderId="0" xfId="1" quotePrefix="1" applyNumberFormat="1" applyFont="1" applyFill="1"/>
    <xf numFmtId="166" fontId="10" fillId="0" borderId="0" xfId="2" applyNumberFormat="1" applyFont="1" applyFill="1"/>
    <xf numFmtId="166" fontId="10" fillId="0" borderId="0" xfId="2" quotePrefix="1" applyNumberFormat="1" applyFont="1" applyFill="1"/>
    <xf numFmtId="166" fontId="10" fillId="0" borderId="0" xfId="0" applyNumberFormat="1" applyFont="1"/>
    <xf numFmtId="166" fontId="4" fillId="0" borderId="0" xfId="0" applyNumberFormat="1" applyFont="1"/>
    <xf numFmtId="178" fontId="8" fillId="0" borderId="0" xfId="3" applyNumberFormat="1" applyFont="1" applyFill="1"/>
    <xf numFmtId="166" fontId="10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6" fillId="0" borderId="0" xfId="0" quotePrefix="1" applyFont="1" applyAlignment="1">
      <alignment horizontal="left"/>
    </xf>
    <xf numFmtId="171" fontId="16" fillId="0" borderId="0" xfId="0" applyNumberFormat="1" applyFont="1"/>
    <xf numFmtId="171" fontId="19" fillId="0" borderId="0" xfId="0" applyNumberFormat="1" applyFont="1"/>
    <xf numFmtId="9" fontId="16" fillId="0" borderId="0" xfId="3" applyFont="1" applyAlignment="1">
      <alignment horizontal="right"/>
    </xf>
    <xf numFmtId="176" fontId="16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/>
    <xf numFmtId="3" fontId="18" fillId="0" borderId="0" xfId="0" applyNumberFormat="1" applyFont="1"/>
    <xf numFmtId="0" fontId="18" fillId="0" borderId="0" xfId="0" quotePrefix="1" applyFont="1" applyAlignment="1">
      <alignment horizontal="left"/>
    </xf>
    <xf numFmtId="0" fontId="18" fillId="0" borderId="0" xfId="0" quotePrefix="1" applyFont="1" applyAlignment="1">
      <alignment horizontal="right"/>
    </xf>
    <xf numFmtId="0" fontId="19" fillId="0" borderId="0" xfId="0" applyFont="1"/>
    <xf numFmtId="171" fontId="19" fillId="0" borderId="15" xfId="0" applyNumberFormat="1" applyFont="1" applyBorder="1"/>
    <xf numFmtId="0" fontId="16" fillId="0" borderId="0" xfId="0" applyFont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4" xfId="0" applyBorder="1"/>
    <xf numFmtId="44" fontId="0" fillId="0" borderId="0" xfId="0" applyNumberFormat="1"/>
    <xf numFmtId="0" fontId="0" fillId="0" borderId="4" xfId="0" applyBorder="1" applyAlignment="1">
      <alignment horizontal="right"/>
    </xf>
    <xf numFmtId="174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44" fontId="1" fillId="0" borderId="0" xfId="0" quotePrefix="1" applyNumberFormat="1" applyFont="1"/>
    <xf numFmtId="0" fontId="0" fillId="0" borderId="0" xfId="0" quotePrefix="1" applyAlignment="1">
      <alignment horizontal="left"/>
    </xf>
    <xf numFmtId="177" fontId="0" fillId="0" borderId="0" xfId="0" applyNumberFormat="1"/>
    <xf numFmtId="2" fontId="0" fillId="0" borderId="0" xfId="0" applyNumberFormat="1"/>
    <xf numFmtId="177" fontId="0" fillId="0" borderId="0" xfId="0" applyNumberFormat="1" applyAlignment="1">
      <alignment horizontal="left"/>
    </xf>
    <xf numFmtId="0" fontId="0" fillId="0" borderId="0" xfId="0" quotePrefix="1" applyAlignment="1">
      <alignment horizontal="right"/>
    </xf>
    <xf numFmtId="171" fontId="0" fillId="0" borderId="0" xfId="0" quotePrefix="1" applyNumberFormat="1" applyAlignment="1">
      <alignment horizontal="right"/>
    </xf>
    <xf numFmtId="171" fontId="0" fillId="0" borderId="0" xfId="0" applyNumberFormat="1"/>
    <xf numFmtId="0" fontId="0" fillId="0" borderId="0" xfId="0" applyAlignment="1">
      <alignment horizontal="right"/>
    </xf>
    <xf numFmtId="39" fontId="0" fillId="0" borderId="0" xfId="0" applyNumberFormat="1"/>
    <xf numFmtId="166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166" fontId="0" fillId="0" borderId="0" xfId="2" applyNumberFormat="1" applyFont="1" applyFill="1"/>
    <xf numFmtId="166" fontId="0" fillId="0" borderId="0" xfId="2" quotePrefix="1" applyNumberFormat="1" applyFont="1" applyFill="1"/>
    <xf numFmtId="3" fontId="0" fillId="0" borderId="9" xfId="0" applyNumberFormat="1" applyBorder="1"/>
    <xf numFmtId="0" fontId="0" fillId="0" borderId="10" xfId="0" applyBorder="1"/>
    <xf numFmtId="3" fontId="0" fillId="0" borderId="11" xfId="0" applyNumberFormat="1" applyBorder="1"/>
    <xf numFmtId="166" fontId="0" fillId="0" borderId="0" xfId="0" applyNumberFormat="1"/>
    <xf numFmtId="43" fontId="20" fillId="0" borderId="0" xfId="1" applyFont="1" applyFill="1" applyAlignment="1">
      <alignment horizontal="right"/>
    </xf>
    <xf numFmtId="43" fontId="21" fillId="0" borderId="0" xfId="1" quotePrefix="1" applyFont="1" applyFill="1" applyBorder="1"/>
    <xf numFmtId="166" fontId="0" fillId="0" borderId="0" xfId="0" quotePrefix="1" applyNumberFormat="1" applyAlignment="1">
      <alignment horizontal="left"/>
    </xf>
    <xf numFmtId="166" fontId="20" fillId="0" borderId="0" xfId="0" applyNumberFormat="1" applyFont="1"/>
    <xf numFmtId="43" fontId="21" fillId="0" borderId="0" xfId="1" quotePrefix="1" applyFont="1" applyFill="1"/>
    <xf numFmtId="179" fontId="0" fillId="0" borderId="0" xfId="0" quotePrefix="1" applyNumberFormat="1" applyAlignment="1">
      <alignment horizontal="right"/>
    </xf>
    <xf numFmtId="179" fontId="0" fillId="0" borderId="0" xfId="0" applyNumberFormat="1"/>
    <xf numFmtId="164" fontId="0" fillId="0" borderId="0" xfId="3" quotePrefix="1" applyNumberFormat="1" applyFont="1" applyFill="1" applyAlignment="1">
      <alignment horizontal="right"/>
    </xf>
    <xf numFmtId="179" fontId="1" fillId="0" borderId="0" xfId="0" applyNumberFormat="1" applyFont="1" applyAlignment="1">
      <alignment horizontal="right"/>
    </xf>
    <xf numFmtId="2" fontId="0" fillId="0" borderId="0" xfId="0" quotePrefix="1" applyNumberFormat="1" applyAlignment="1">
      <alignment horizontal="right"/>
    </xf>
    <xf numFmtId="0" fontId="21" fillId="0" borderId="0" xfId="0" applyFont="1"/>
    <xf numFmtId="167" fontId="11" fillId="0" borderId="0" xfId="0" applyNumberFormat="1" applyFont="1"/>
    <xf numFmtId="177" fontId="11" fillId="0" borderId="0" xfId="0" applyNumberFormat="1" applyFont="1"/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39" fontId="0" fillId="0" borderId="12" xfId="0" applyNumberForma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39" fontId="9" fillId="0" borderId="0" xfId="0" applyNumberFormat="1" applyFont="1" applyAlignment="1">
      <alignment horizontal="center"/>
    </xf>
    <xf numFmtId="0" fontId="9" fillId="0" borderId="9" xfId="0" applyFont="1" applyBorder="1" applyAlignment="1">
      <alignment horizontal="center"/>
    </xf>
    <xf numFmtId="170" fontId="1" fillId="0" borderId="0" xfId="1" applyNumberFormat="1" applyFont="1" applyFill="1" applyBorder="1" applyAlignment="1">
      <alignment horizontal="right"/>
    </xf>
    <xf numFmtId="170" fontId="1" fillId="0" borderId="9" xfId="1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170" fontId="4" fillId="0" borderId="19" xfId="1" applyNumberFormat="1" applyFont="1" applyFill="1" applyBorder="1" applyAlignment="1">
      <alignment horizontal="right"/>
    </xf>
    <xf numFmtId="43" fontId="1" fillId="0" borderId="8" xfId="1" quotePrefix="1" applyFont="1" applyFill="1" applyBorder="1"/>
    <xf numFmtId="0" fontId="0" fillId="0" borderId="13" xfId="0" applyBorder="1"/>
    <xf numFmtId="39" fontId="0" fillId="0" borderId="13" xfId="0" applyNumberFormat="1" applyBorder="1"/>
    <xf numFmtId="0" fontId="0" fillId="0" borderId="11" xfId="0" applyBorder="1"/>
    <xf numFmtId="0" fontId="22" fillId="0" borderId="0" xfId="0" applyFont="1"/>
    <xf numFmtId="0" fontId="2" fillId="0" borderId="9" xfId="0" applyFont="1" applyBorder="1"/>
    <xf numFmtId="0" fontId="22" fillId="0" borderId="15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9" xfId="0" applyFont="1" applyBorder="1"/>
    <xf numFmtId="2" fontId="0" fillId="0" borderId="2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3" fontId="0" fillId="0" borderId="2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0" xfId="0" applyNumberFormat="1" applyBorder="1" applyAlignment="1">
      <alignment horizontal="center"/>
    </xf>
    <xf numFmtId="38" fontId="0" fillId="0" borderId="0" xfId="0" applyNumberFormat="1" applyAlignment="1">
      <alignment horizontal="center"/>
    </xf>
    <xf numFmtId="37" fontId="0" fillId="0" borderId="20" xfId="0" applyNumberFormat="1" applyBorder="1" applyAlignment="1">
      <alignment horizontal="center"/>
    </xf>
    <xf numFmtId="38" fontId="0" fillId="0" borderId="20" xfId="0" applyNumberFormat="1" applyBorder="1" applyAlignment="1">
      <alignment horizontal="center"/>
    </xf>
    <xf numFmtId="0" fontId="4" fillId="0" borderId="13" xfId="0" applyFont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4" fillId="0" borderId="17" xfId="0" applyFont="1" applyBorder="1" applyAlignment="1">
      <alignment horizontal="center"/>
    </xf>
    <xf numFmtId="0" fontId="0" fillId="0" borderId="18" xfId="0" applyBorder="1"/>
    <xf numFmtId="37" fontId="0" fillId="0" borderId="15" xfId="0" applyNumberFormat="1" applyBorder="1" applyAlignment="1">
      <alignment horizontal="center"/>
    </xf>
    <xf numFmtId="37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7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9" fillId="0" borderId="0" xfId="0" quotePrefix="1" applyFont="1" applyAlignment="1">
      <alignment horizontal="left"/>
    </xf>
    <xf numFmtId="37" fontId="0" fillId="0" borderId="0" xfId="0" applyNumberFormat="1"/>
    <xf numFmtId="181" fontId="0" fillId="0" borderId="0" xfId="0" applyNumberFormat="1"/>
    <xf numFmtId="37" fontId="10" fillId="0" borderId="0" xfId="0" applyNumberFormat="1" applyFont="1"/>
    <xf numFmtId="181" fontId="10" fillId="0" borderId="0" xfId="0" applyNumberFormat="1" applyFont="1"/>
    <xf numFmtId="168" fontId="4" fillId="0" borderId="0" xfId="0" applyNumberFormat="1" applyFont="1"/>
    <xf numFmtId="0" fontId="12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C445-9DAE-4BC6-A5E1-BC927AEC5173}">
  <sheetPr codeName="Sheet3">
    <tabColor rgb="FF7030A0"/>
  </sheetPr>
  <dimension ref="A1:AA610"/>
  <sheetViews>
    <sheetView tabSelected="1" workbookViewId="0"/>
  </sheetViews>
  <sheetFormatPr defaultColWidth="9.1328125" defaultRowHeight="13" x14ac:dyDescent="0.6"/>
  <cols>
    <col min="1" max="1" width="10.7265625" style="1" customWidth="1"/>
    <col min="2" max="2" width="27.86328125" style="3" customWidth="1"/>
    <col min="3" max="3" width="16.40625" style="3" customWidth="1"/>
    <col min="4" max="4" width="16.1328125" style="3" customWidth="1"/>
    <col min="5" max="5" width="12.7265625" style="3" customWidth="1"/>
    <col min="6" max="7" width="13.40625" style="3" customWidth="1"/>
    <col min="8" max="8" width="12.7265625" style="3" customWidth="1"/>
    <col min="9" max="9" width="14.86328125" style="3" customWidth="1"/>
    <col min="10" max="10" width="12.7265625" style="3" customWidth="1"/>
    <col min="11" max="11" width="17.26953125" style="3" customWidth="1"/>
    <col min="12" max="12" width="15.26953125" style="3" bestFit="1" customWidth="1"/>
    <col min="13" max="13" width="13.40625" style="3" customWidth="1"/>
    <col min="14" max="14" width="12" style="3" customWidth="1"/>
    <col min="15" max="15" width="11.1328125" style="3" customWidth="1"/>
    <col min="16" max="16" width="12.26953125" style="3" customWidth="1"/>
    <col min="17" max="17" width="13" style="3" customWidth="1"/>
    <col min="18" max="18" width="10" style="3" bestFit="1" customWidth="1"/>
    <col min="19" max="19" width="10.7265625" style="3" customWidth="1"/>
    <col min="20" max="22" width="11.7265625" style="3" customWidth="1"/>
    <col min="23" max="23" width="9.1328125" style="3"/>
    <col min="24" max="24" width="11.1328125" style="3" bestFit="1" customWidth="1"/>
    <col min="25" max="25" width="9.1328125" style="3"/>
    <col min="26" max="26" width="13.26953125" style="3" bestFit="1" customWidth="1"/>
    <col min="27" max="27" width="15.26953125" style="3" customWidth="1"/>
    <col min="28" max="28" width="13.54296875" style="3" customWidth="1"/>
    <col min="29" max="16384" width="9.1328125" style="3"/>
  </cols>
  <sheetData>
    <row r="1" spans="1:26" ht="15.5" x14ac:dyDescent="0.7">
      <c r="B1" s="2" t="str">
        <f>"Development of BGS Cost and Bid Factors for Rates Effective June 1, " &amp;M1</f>
        <v>Development of BGS Cost and Bid Factors for Rates Effective June 1, 2024</v>
      </c>
      <c r="G1" s="4"/>
      <c r="M1" s="5">
        <v>2024</v>
      </c>
      <c r="N1" s="3" t="s">
        <v>0</v>
      </c>
    </row>
    <row r="2" spans="1:26" ht="15.25" x14ac:dyDescent="0.65">
      <c r="A2" s="6"/>
      <c r="I2" s="7"/>
    </row>
    <row r="3" spans="1:26" x14ac:dyDescent="0.6">
      <c r="D3" s="8" t="str">
        <f>"Based on " &amp;M1-1  &amp;" Load Profile Information"</f>
        <v>Based on 2023 Load Profile Information</v>
      </c>
    </row>
    <row r="4" spans="1:26" x14ac:dyDescent="0.6">
      <c r="A4" s="9" t="s">
        <v>1</v>
      </c>
      <c r="B4" s="10" t="s">
        <v>2</v>
      </c>
      <c r="C4" s="11"/>
      <c r="D4" s="12" t="s">
        <v>3</v>
      </c>
      <c r="K4" s="10"/>
      <c r="L4" s="13" t="str">
        <f>"'% usage during Off-Peak period (from "&amp;M1-1&amp;" profiles)"</f>
        <v>'% usage during Off-Peak period (from 2023 profiles)</v>
      </c>
    </row>
    <row r="5" spans="1:26" ht="26" x14ac:dyDescent="0.6">
      <c r="A5" s="14"/>
      <c r="C5" s="15" t="s">
        <v>4</v>
      </c>
      <c r="D5" s="15" t="s">
        <v>4</v>
      </c>
      <c r="E5" s="15" t="s">
        <v>4</v>
      </c>
      <c r="F5" s="12" t="s">
        <v>5</v>
      </c>
      <c r="G5" s="16"/>
      <c r="H5" s="15" t="s">
        <v>4</v>
      </c>
      <c r="I5" s="15"/>
      <c r="J5" s="15"/>
      <c r="K5" s="12"/>
      <c r="L5" s="15" t="s">
        <v>4</v>
      </c>
      <c r="M5" s="15" t="s">
        <v>4</v>
      </c>
      <c r="N5" s="15" t="s">
        <v>4</v>
      </c>
      <c r="O5" s="12" t="s">
        <v>6</v>
      </c>
      <c r="P5" s="16"/>
      <c r="Q5" s="15" t="s">
        <v>4</v>
      </c>
      <c r="R5" s="15"/>
    </row>
    <row r="6" spans="1:26" x14ac:dyDescent="0.6">
      <c r="A6" s="14"/>
      <c r="B6" s="17"/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9"/>
      <c r="J6" s="19"/>
      <c r="K6" s="20"/>
      <c r="L6" s="19" t="str">
        <f t="shared" ref="L6:Q6" si="0">+C6</f>
        <v>SC1</v>
      </c>
      <c r="M6" s="19" t="str">
        <f t="shared" si="0"/>
        <v>SC3</v>
      </c>
      <c r="N6" s="19" t="str">
        <f t="shared" si="0"/>
        <v>SC2 ND</v>
      </c>
      <c r="O6" s="19" t="str">
        <f t="shared" si="0"/>
        <v>SC4</v>
      </c>
      <c r="P6" s="19" t="str">
        <f t="shared" si="0"/>
        <v>SC6</v>
      </c>
      <c r="Q6" s="19" t="str">
        <f t="shared" si="0"/>
        <v>SC2 Dem</v>
      </c>
      <c r="R6" s="19"/>
    </row>
    <row r="7" spans="1:26" x14ac:dyDescent="0.6">
      <c r="A7" s="14"/>
    </row>
    <row r="8" spans="1:26" x14ac:dyDescent="0.6">
      <c r="A8" s="14"/>
      <c r="B8" s="21" t="s">
        <v>13</v>
      </c>
      <c r="C8" s="22">
        <v>0.42637719303301941</v>
      </c>
      <c r="D8" s="22">
        <v>0.46199293900109512</v>
      </c>
      <c r="E8" s="22">
        <v>0.46141448572852328</v>
      </c>
      <c r="F8" s="22">
        <v>0.53468980059905624</v>
      </c>
      <c r="G8" s="22">
        <f>F8</f>
        <v>0.53468980059905624</v>
      </c>
      <c r="H8" s="22">
        <v>0.50461958827275333</v>
      </c>
      <c r="I8" s="23"/>
      <c r="J8" s="23"/>
      <c r="K8" s="24"/>
      <c r="L8" s="23">
        <f t="shared" ref="L8:Q19" si="1">1-C8</f>
        <v>0.57362280696698065</v>
      </c>
      <c r="M8" s="23">
        <f t="shared" si="1"/>
        <v>0.53800706099890494</v>
      </c>
      <c r="N8" s="23">
        <f t="shared" si="1"/>
        <v>0.53858551427147672</v>
      </c>
      <c r="O8" s="23">
        <f t="shared" si="1"/>
        <v>0.46531019940094376</v>
      </c>
      <c r="P8" s="23">
        <f t="shared" si="1"/>
        <v>0.46531019940094376</v>
      </c>
      <c r="Q8" s="23">
        <f t="shared" si="1"/>
        <v>0.49538041172724667</v>
      </c>
      <c r="R8" s="24"/>
      <c r="S8" s="25"/>
      <c r="T8" s="25"/>
      <c r="U8" s="25"/>
      <c r="V8" s="25"/>
      <c r="W8" s="25"/>
      <c r="X8" s="25"/>
      <c r="Y8" s="25"/>
      <c r="Z8" s="25"/>
    </row>
    <row r="9" spans="1:26" x14ac:dyDescent="0.6">
      <c r="A9" s="14"/>
      <c r="B9" s="21" t="s">
        <v>14</v>
      </c>
      <c r="C9" s="22">
        <v>0.4419337152792962</v>
      </c>
      <c r="D9" s="22">
        <v>0.48359546289192518</v>
      </c>
      <c r="E9" s="22">
        <v>0.46321305197094503</v>
      </c>
      <c r="F9" s="22">
        <v>0.54828849458910012</v>
      </c>
      <c r="G9" s="22">
        <f t="shared" ref="G9:G19" si="2">F9</f>
        <v>0.54828849458910012</v>
      </c>
      <c r="H9" s="22">
        <v>0.51940348092291899</v>
      </c>
      <c r="I9" s="23"/>
      <c r="J9" s="23"/>
      <c r="K9" s="24"/>
      <c r="L9" s="23">
        <f t="shared" si="1"/>
        <v>0.55806628472070385</v>
      </c>
      <c r="M9" s="23">
        <f t="shared" si="1"/>
        <v>0.51640453710807477</v>
      </c>
      <c r="N9" s="23">
        <f t="shared" si="1"/>
        <v>0.53678694802905502</v>
      </c>
      <c r="O9" s="23">
        <f t="shared" si="1"/>
        <v>0.45171150541089988</v>
      </c>
      <c r="P9" s="23">
        <f t="shared" si="1"/>
        <v>0.45171150541089988</v>
      </c>
      <c r="Q9" s="23">
        <f t="shared" si="1"/>
        <v>0.48059651907708101</v>
      </c>
      <c r="R9" s="24"/>
      <c r="S9" s="25"/>
      <c r="T9" s="25"/>
      <c r="U9" s="25"/>
      <c r="V9" s="25"/>
      <c r="W9" s="25"/>
      <c r="X9" s="25"/>
      <c r="Y9" s="25"/>
      <c r="Z9" s="25"/>
    </row>
    <row r="10" spans="1:26" x14ac:dyDescent="0.6">
      <c r="A10" s="14"/>
      <c r="B10" s="21" t="s">
        <v>15</v>
      </c>
      <c r="C10" s="22">
        <v>0.46324014101442468</v>
      </c>
      <c r="D10" s="22">
        <v>0.50403832817702843</v>
      </c>
      <c r="E10" s="22">
        <v>0.48651453763775043</v>
      </c>
      <c r="F10" s="22">
        <v>0.56564276219045762</v>
      </c>
      <c r="G10" s="22">
        <f t="shared" si="2"/>
        <v>0.56564276219045762</v>
      </c>
      <c r="H10" s="22">
        <v>0.54299944704827574</v>
      </c>
      <c r="I10" s="23"/>
      <c r="J10" s="23"/>
      <c r="K10" s="24"/>
      <c r="L10" s="23">
        <f t="shared" si="1"/>
        <v>0.53675985898557532</v>
      </c>
      <c r="M10" s="23">
        <f t="shared" si="1"/>
        <v>0.49596167182297157</v>
      </c>
      <c r="N10" s="23">
        <f t="shared" si="1"/>
        <v>0.51348546236224957</v>
      </c>
      <c r="O10" s="23">
        <f t="shared" si="1"/>
        <v>0.43435723780954238</v>
      </c>
      <c r="P10" s="23">
        <f t="shared" si="1"/>
        <v>0.43435723780954238</v>
      </c>
      <c r="Q10" s="23">
        <f t="shared" si="1"/>
        <v>0.45700055295172426</v>
      </c>
      <c r="R10" s="24"/>
      <c r="S10" s="25"/>
      <c r="T10" s="25"/>
      <c r="U10" s="25"/>
      <c r="V10" s="25"/>
      <c r="W10" s="25"/>
      <c r="X10" s="25"/>
      <c r="Y10" s="25"/>
      <c r="Z10" s="25"/>
    </row>
    <row r="11" spans="1:26" x14ac:dyDescent="0.6">
      <c r="A11" s="14"/>
      <c r="B11" s="21" t="s">
        <v>16</v>
      </c>
      <c r="C11" s="22">
        <v>0.43620314493603973</v>
      </c>
      <c r="D11" s="22">
        <v>0.47581514762605559</v>
      </c>
      <c r="E11" s="22">
        <v>0.45800746864120812</v>
      </c>
      <c r="F11" s="22">
        <v>0.53886739922792248</v>
      </c>
      <c r="G11" s="22">
        <f t="shared" si="2"/>
        <v>0.53886739922792248</v>
      </c>
      <c r="H11" s="22">
        <v>0.51658052315987002</v>
      </c>
      <c r="I11" s="23"/>
      <c r="J11" s="23"/>
      <c r="K11" s="24"/>
      <c r="L11" s="23">
        <f t="shared" si="1"/>
        <v>0.56379685506396027</v>
      </c>
      <c r="M11" s="23">
        <f t="shared" si="1"/>
        <v>0.52418485237394441</v>
      </c>
      <c r="N11" s="23">
        <f t="shared" si="1"/>
        <v>0.54199253135879188</v>
      </c>
      <c r="O11" s="23">
        <f t="shared" si="1"/>
        <v>0.46113260077207752</v>
      </c>
      <c r="P11" s="23">
        <f t="shared" si="1"/>
        <v>0.46113260077207752</v>
      </c>
      <c r="Q11" s="23">
        <f t="shared" si="1"/>
        <v>0.48341947684012998</v>
      </c>
      <c r="R11" s="24"/>
      <c r="S11" s="25"/>
      <c r="T11" s="25"/>
      <c r="U11" s="25"/>
      <c r="V11" s="25"/>
      <c r="W11" s="25"/>
      <c r="X11" s="25"/>
      <c r="Y11" s="25"/>
      <c r="Z11" s="25"/>
    </row>
    <row r="12" spans="1:26" x14ac:dyDescent="0.6">
      <c r="A12" s="14"/>
      <c r="B12" s="21" t="s">
        <v>17</v>
      </c>
      <c r="C12" s="22">
        <v>0.41011930012679348</v>
      </c>
      <c r="D12" s="22">
        <v>0.48449591363083033</v>
      </c>
      <c r="E12" s="22">
        <v>0.45770280819879711</v>
      </c>
      <c r="F12" s="22">
        <v>0.52400285752837805</v>
      </c>
      <c r="G12" s="22">
        <f t="shared" si="2"/>
        <v>0.52400285752837805</v>
      </c>
      <c r="H12" s="22">
        <v>0.50843005719314027</v>
      </c>
      <c r="I12" s="23"/>
      <c r="J12" s="23"/>
      <c r="K12" s="24"/>
      <c r="L12" s="23">
        <f t="shared" si="1"/>
        <v>0.58988069987320646</v>
      </c>
      <c r="M12" s="23">
        <f t="shared" si="1"/>
        <v>0.51550408636916967</v>
      </c>
      <c r="N12" s="23">
        <f t="shared" si="1"/>
        <v>0.54229719180120295</v>
      </c>
      <c r="O12" s="23">
        <f t="shared" si="1"/>
        <v>0.47599714247162195</v>
      </c>
      <c r="P12" s="23">
        <f t="shared" si="1"/>
        <v>0.47599714247162195</v>
      </c>
      <c r="Q12" s="23">
        <f t="shared" si="1"/>
        <v>0.49156994280685973</v>
      </c>
      <c r="R12" s="24"/>
      <c r="S12" s="25"/>
      <c r="T12" s="25"/>
      <c r="U12" s="25"/>
      <c r="V12" s="25"/>
      <c r="W12" s="25"/>
      <c r="X12" s="25"/>
      <c r="Y12" s="25"/>
      <c r="Z12" s="25"/>
    </row>
    <row r="13" spans="1:26" x14ac:dyDescent="0.6">
      <c r="A13" s="14"/>
      <c r="B13" s="21" t="s">
        <v>18</v>
      </c>
      <c r="C13" s="22">
        <v>0.46195367970965251</v>
      </c>
      <c r="D13" s="22">
        <v>0.5413254744671937</v>
      </c>
      <c r="E13" s="22">
        <v>0.51683373579064873</v>
      </c>
      <c r="F13" s="22">
        <v>0.56235935536965465</v>
      </c>
      <c r="G13" s="22">
        <f t="shared" si="2"/>
        <v>0.56235935536965465</v>
      </c>
      <c r="H13" s="22">
        <v>0.56231131888392083</v>
      </c>
      <c r="I13" s="23"/>
      <c r="J13" s="23"/>
      <c r="K13" s="24"/>
      <c r="L13" s="23">
        <f t="shared" si="1"/>
        <v>0.53804632029034749</v>
      </c>
      <c r="M13" s="23">
        <f t="shared" si="1"/>
        <v>0.4586745255328063</v>
      </c>
      <c r="N13" s="23">
        <f t="shared" si="1"/>
        <v>0.48316626420935127</v>
      </c>
      <c r="O13" s="23">
        <f t="shared" si="1"/>
        <v>0.43764064463034535</v>
      </c>
      <c r="P13" s="23">
        <f t="shared" si="1"/>
        <v>0.43764064463034535</v>
      </c>
      <c r="Q13" s="23">
        <f t="shared" si="1"/>
        <v>0.43768868111607917</v>
      </c>
      <c r="R13" s="24"/>
      <c r="S13" s="25"/>
      <c r="T13" s="25"/>
      <c r="U13" s="25"/>
      <c r="V13" s="25"/>
      <c r="W13" s="25"/>
      <c r="X13" s="25"/>
      <c r="Y13" s="25"/>
      <c r="Z13" s="25"/>
    </row>
    <row r="14" spans="1:26" x14ac:dyDescent="0.6">
      <c r="A14" s="14"/>
      <c r="B14" s="21" t="s">
        <v>19</v>
      </c>
      <c r="C14" s="22">
        <v>0.41661082263869204</v>
      </c>
      <c r="D14" s="22">
        <v>0.48820174855116444</v>
      </c>
      <c r="E14" s="22">
        <v>0.46155388001066638</v>
      </c>
      <c r="F14" s="22">
        <v>0.49031934289897389</v>
      </c>
      <c r="G14" s="22">
        <f t="shared" si="2"/>
        <v>0.49031934289897389</v>
      </c>
      <c r="H14" s="22">
        <v>0.4979144792609197</v>
      </c>
      <c r="I14" s="23"/>
      <c r="J14" s="23"/>
      <c r="K14" s="24"/>
      <c r="L14" s="23">
        <f t="shared" si="1"/>
        <v>0.58338917736130802</v>
      </c>
      <c r="M14" s="23">
        <f t="shared" si="1"/>
        <v>0.51179825144883551</v>
      </c>
      <c r="N14" s="23">
        <f t="shared" si="1"/>
        <v>0.53844611998933356</v>
      </c>
      <c r="O14" s="23">
        <f t="shared" si="1"/>
        <v>0.50968065710102617</v>
      </c>
      <c r="P14" s="23">
        <f t="shared" si="1"/>
        <v>0.50968065710102617</v>
      </c>
      <c r="Q14" s="23">
        <f t="shared" si="1"/>
        <v>0.5020855207390803</v>
      </c>
      <c r="R14" s="24"/>
      <c r="S14" s="25"/>
      <c r="T14" s="25"/>
      <c r="U14" s="25"/>
      <c r="V14" s="25"/>
      <c r="W14" s="25"/>
      <c r="X14" s="25"/>
      <c r="Y14" s="25"/>
      <c r="Z14" s="25"/>
    </row>
    <row r="15" spans="1:26" x14ac:dyDescent="0.6">
      <c r="A15" s="14"/>
      <c r="B15" s="21" t="s">
        <v>20</v>
      </c>
      <c r="C15" s="22">
        <v>0.47569982769865998</v>
      </c>
      <c r="D15" s="22">
        <v>0.55883400283176388</v>
      </c>
      <c r="E15" s="22">
        <v>0.52713595839207938</v>
      </c>
      <c r="F15" s="22">
        <v>0.56318686041908184</v>
      </c>
      <c r="G15" s="22">
        <f t="shared" si="2"/>
        <v>0.56318686041908184</v>
      </c>
      <c r="H15" s="22">
        <v>0.56646003544468204</v>
      </c>
      <c r="I15" s="23"/>
      <c r="J15" s="23"/>
      <c r="K15" s="24"/>
      <c r="L15" s="23">
        <f t="shared" si="1"/>
        <v>0.52430017230134007</v>
      </c>
      <c r="M15" s="23">
        <f t="shared" si="1"/>
        <v>0.44116599716823612</v>
      </c>
      <c r="N15" s="23">
        <f t="shared" si="1"/>
        <v>0.47286404160792062</v>
      </c>
      <c r="O15" s="23">
        <f t="shared" si="1"/>
        <v>0.43681313958091816</v>
      </c>
      <c r="P15" s="23">
        <f t="shared" si="1"/>
        <v>0.43681313958091816</v>
      </c>
      <c r="Q15" s="23">
        <f t="shared" si="1"/>
        <v>0.43353996455531796</v>
      </c>
      <c r="R15" s="24"/>
      <c r="S15" s="25"/>
      <c r="T15" s="25"/>
      <c r="U15" s="25"/>
      <c r="V15" s="25"/>
      <c r="W15" s="25"/>
      <c r="X15" s="25"/>
      <c r="Y15" s="25"/>
      <c r="Z15" s="25"/>
    </row>
    <row r="16" spans="1:26" x14ac:dyDescent="0.6">
      <c r="A16" s="14"/>
      <c r="B16" s="21" t="s">
        <v>21</v>
      </c>
      <c r="C16" s="22">
        <v>0.41862927769943126</v>
      </c>
      <c r="D16" s="22">
        <v>0.5059308888912325</v>
      </c>
      <c r="E16" s="22">
        <v>0.47591659295651101</v>
      </c>
      <c r="F16" s="22">
        <v>0.53026018076771908</v>
      </c>
      <c r="G16" s="22">
        <f t="shared" si="2"/>
        <v>0.53026018076771908</v>
      </c>
      <c r="H16" s="22">
        <v>0.52300156068221326</v>
      </c>
      <c r="I16" s="23"/>
      <c r="J16" s="23"/>
      <c r="K16" s="24"/>
      <c r="L16" s="23">
        <f t="shared" si="1"/>
        <v>0.58137072230056874</v>
      </c>
      <c r="M16" s="23">
        <f t="shared" si="1"/>
        <v>0.4940691111087675</v>
      </c>
      <c r="N16" s="23">
        <f t="shared" si="1"/>
        <v>0.52408340704348899</v>
      </c>
      <c r="O16" s="23">
        <f t="shared" si="1"/>
        <v>0.46973981923228092</v>
      </c>
      <c r="P16" s="23">
        <f t="shared" si="1"/>
        <v>0.46973981923228092</v>
      </c>
      <c r="Q16" s="23">
        <f t="shared" si="1"/>
        <v>0.47699843931778674</v>
      </c>
      <c r="R16" s="24"/>
      <c r="S16" s="25"/>
      <c r="T16" s="25"/>
      <c r="U16" s="25"/>
      <c r="V16" s="25"/>
      <c r="W16" s="25"/>
      <c r="X16" s="25"/>
      <c r="Y16" s="25"/>
      <c r="Z16" s="25"/>
    </row>
    <row r="17" spans="1:26" x14ac:dyDescent="0.6">
      <c r="A17" s="14"/>
      <c r="B17" s="21" t="s">
        <v>22</v>
      </c>
      <c r="C17" s="22">
        <v>0.43467990867564976</v>
      </c>
      <c r="D17" s="22">
        <v>0.48828061815711032</v>
      </c>
      <c r="E17" s="22">
        <v>0.4734703767471492</v>
      </c>
      <c r="F17" s="26">
        <v>0.51822405267373495</v>
      </c>
      <c r="G17" s="22">
        <f t="shared" si="2"/>
        <v>0.51822405267373495</v>
      </c>
      <c r="H17" s="22">
        <v>0.51209943225847288</v>
      </c>
      <c r="I17" s="23"/>
      <c r="J17" s="23"/>
      <c r="K17" s="24"/>
      <c r="L17" s="23">
        <f t="shared" si="1"/>
        <v>0.56532009132435024</v>
      </c>
      <c r="M17" s="23">
        <f t="shared" si="1"/>
        <v>0.51171938184288968</v>
      </c>
      <c r="N17" s="23">
        <f t="shared" si="1"/>
        <v>0.5265296232528508</v>
      </c>
      <c r="O17" s="23">
        <f t="shared" si="1"/>
        <v>0.48177594732626505</v>
      </c>
      <c r="P17" s="23">
        <f t="shared" si="1"/>
        <v>0.48177594732626505</v>
      </c>
      <c r="Q17" s="23">
        <f t="shared" si="1"/>
        <v>0.48790056774152712</v>
      </c>
      <c r="R17" s="24"/>
      <c r="S17" s="25"/>
      <c r="T17" s="25"/>
      <c r="U17" s="25"/>
      <c r="V17" s="25"/>
      <c r="W17" s="25"/>
      <c r="X17" s="25"/>
      <c r="Y17" s="25"/>
      <c r="Z17" s="25"/>
    </row>
    <row r="18" spans="1:26" x14ac:dyDescent="0.6">
      <c r="A18" s="14"/>
      <c r="B18" s="21" t="s">
        <v>23</v>
      </c>
      <c r="C18" s="22">
        <v>0.4408687403134155</v>
      </c>
      <c r="D18" s="22">
        <v>0.47671365895066059</v>
      </c>
      <c r="E18" s="22">
        <v>0.4650058662290088</v>
      </c>
      <c r="F18" s="22">
        <v>0.53066297599316858</v>
      </c>
      <c r="G18" s="22">
        <f t="shared" si="2"/>
        <v>0.53066297599316858</v>
      </c>
      <c r="H18" s="22">
        <v>0.51217029911492751</v>
      </c>
      <c r="I18" s="23"/>
      <c r="J18" s="23"/>
      <c r="K18" s="24"/>
      <c r="L18" s="23">
        <f t="shared" si="1"/>
        <v>0.5591312596865845</v>
      </c>
      <c r="M18" s="23">
        <f t="shared" si="1"/>
        <v>0.52328634104933935</v>
      </c>
      <c r="N18" s="23">
        <f t="shared" si="1"/>
        <v>0.53499413377099114</v>
      </c>
      <c r="O18" s="23">
        <f t="shared" si="1"/>
        <v>0.46933702400683142</v>
      </c>
      <c r="P18" s="23">
        <f t="shared" si="1"/>
        <v>0.46933702400683142</v>
      </c>
      <c r="Q18" s="23">
        <f t="shared" si="1"/>
        <v>0.48782970088507249</v>
      </c>
      <c r="R18" s="24"/>
      <c r="S18" s="25"/>
      <c r="T18" s="25"/>
      <c r="U18" s="25"/>
      <c r="V18" s="25"/>
      <c r="W18" s="25"/>
      <c r="X18" s="25"/>
      <c r="Y18" s="25"/>
      <c r="Z18" s="25"/>
    </row>
    <row r="19" spans="1:26" x14ac:dyDescent="0.6">
      <c r="A19" s="14"/>
      <c r="B19" s="21" t="s">
        <v>24</v>
      </c>
      <c r="C19" s="22">
        <v>0.42099046266478146</v>
      </c>
      <c r="D19" s="22">
        <v>0.46834259565794251</v>
      </c>
      <c r="E19" s="22">
        <v>0.45277622460483957</v>
      </c>
      <c r="F19" s="22">
        <v>0.52590753130353474</v>
      </c>
      <c r="G19" s="22">
        <f t="shared" si="2"/>
        <v>0.52590753130353474</v>
      </c>
      <c r="H19" s="22">
        <v>0.4959301055984594</v>
      </c>
      <c r="I19" s="23"/>
      <c r="J19" s="23"/>
      <c r="K19" s="24"/>
      <c r="L19" s="23">
        <f t="shared" si="1"/>
        <v>0.57900953733521854</v>
      </c>
      <c r="M19" s="23">
        <f t="shared" si="1"/>
        <v>0.53165740434205744</v>
      </c>
      <c r="N19" s="23">
        <f t="shared" si="1"/>
        <v>0.54722377539516043</v>
      </c>
      <c r="O19" s="23">
        <f t="shared" si="1"/>
        <v>0.47409246869646526</v>
      </c>
      <c r="P19" s="23">
        <f t="shared" si="1"/>
        <v>0.47409246869646526</v>
      </c>
      <c r="Q19" s="23">
        <f t="shared" si="1"/>
        <v>0.5040698944015406</v>
      </c>
      <c r="R19" s="24"/>
      <c r="S19" s="25"/>
      <c r="T19" s="25"/>
      <c r="U19" s="25"/>
      <c r="V19" s="25"/>
      <c r="W19" s="25"/>
      <c r="X19" s="25"/>
      <c r="Y19" s="25"/>
      <c r="Z19" s="25"/>
    </row>
    <row r="20" spans="1:26" x14ac:dyDescent="0.6">
      <c r="A20" s="14"/>
      <c r="B20" s="21"/>
      <c r="C20" s="24"/>
      <c r="D20" s="24"/>
      <c r="E20" s="24"/>
      <c r="F20" s="27"/>
      <c r="G20" s="2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26" x14ac:dyDescent="0.6">
      <c r="A21" s="14"/>
      <c r="B21" s="21"/>
      <c r="C21" s="24"/>
      <c r="D21" s="24"/>
      <c r="E21" s="24"/>
      <c r="F21" s="27"/>
      <c r="G21" s="27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26" x14ac:dyDescent="0.6">
      <c r="A22" s="9" t="s">
        <v>25</v>
      </c>
      <c r="B22" s="13" t="s">
        <v>26</v>
      </c>
      <c r="C22" s="24"/>
      <c r="D22" s="24"/>
      <c r="E22" s="28" t="s">
        <v>27</v>
      </c>
      <c r="F22" s="27"/>
      <c r="G22" s="2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6" ht="39" x14ac:dyDescent="0.6">
      <c r="A23" s="14"/>
      <c r="C23" s="15" t="s">
        <v>28</v>
      </c>
      <c r="D23" s="15"/>
      <c r="E23" s="15" t="s">
        <v>28</v>
      </c>
      <c r="F23" s="15" t="s">
        <v>28</v>
      </c>
      <c r="G23" s="15" t="s">
        <v>28</v>
      </c>
      <c r="H23" s="15" t="s">
        <v>28</v>
      </c>
      <c r="I23" s="15"/>
      <c r="J23" s="15"/>
      <c r="K23" s="12"/>
      <c r="L23" s="15" t="s">
        <v>28</v>
      </c>
      <c r="M23" s="29" t="str">
        <f>M1-2&amp;" Forecasted Billed Sales"</f>
        <v>2022 Forecasted Billed Sales</v>
      </c>
      <c r="N23" s="15" t="s">
        <v>28</v>
      </c>
      <c r="O23" s="15" t="s">
        <v>28</v>
      </c>
      <c r="P23" s="15" t="s">
        <v>28</v>
      </c>
      <c r="Q23" s="15" t="s">
        <v>28</v>
      </c>
      <c r="R23" s="29"/>
    </row>
    <row r="24" spans="1:26" x14ac:dyDescent="0.6">
      <c r="A24" s="14"/>
      <c r="B24" s="17" t="s">
        <v>29</v>
      </c>
      <c r="C24" s="18" t="str">
        <f>+C6</f>
        <v>SC1</v>
      </c>
      <c r="D24" s="18" t="str">
        <f t="shared" ref="D24:H24" si="3">+D6</f>
        <v>SC3</v>
      </c>
      <c r="E24" s="18" t="str">
        <f t="shared" si="3"/>
        <v>SC2 ND</v>
      </c>
      <c r="F24" s="18" t="str">
        <f t="shared" si="3"/>
        <v>SC4</v>
      </c>
      <c r="G24" s="18" t="str">
        <f t="shared" si="3"/>
        <v>SC6</v>
      </c>
      <c r="H24" s="18" t="str">
        <f t="shared" si="3"/>
        <v>SC2 Dem</v>
      </c>
      <c r="I24" s="18" t="s">
        <v>30</v>
      </c>
      <c r="J24" s="19"/>
      <c r="K24" s="20"/>
      <c r="L24" s="19" t="str">
        <f t="shared" ref="L24:Q24" si="4">+C6</f>
        <v>SC1</v>
      </c>
      <c r="M24" s="19" t="str">
        <f t="shared" si="4"/>
        <v>SC3</v>
      </c>
      <c r="N24" s="19" t="str">
        <f t="shared" si="4"/>
        <v>SC2 ND</v>
      </c>
      <c r="O24" s="19" t="str">
        <f t="shared" si="4"/>
        <v>SC4</v>
      </c>
      <c r="P24" s="19" t="str">
        <f t="shared" si="4"/>
        <v>SC6</v>
      </c>
      <c r="Q24" s="19" t="str">
        <f t="shared" si="4"/>
        <v>SC2 Dem</v>
      </c>
      <c r="R24" s="19" t="s">
        <v>30</v>
      </c>
    </row>
    <row r="25" spans="1:26" x14ac:dyDescent="0.6">
      <c r="A25" s="14"/>
    </row>
    <row r="26" spans="1:26" x14ac:dyDescent="0.6">
      <c r="A26" s="14"/>
      <c r="B26" s="21" t="s">
        <v>13</v>
      </c>
      <c r="C26" s="30" t="s">
        <v>31</v>
      </c>
      <c r="D26" s="31">
        <v>0.32595656670113754</v>
      </c>
      <c r="E26" s="30" t="s">
        <v>31</v>
      </c>
      <c r="F26" s="30" t="s">
        <v>31</v>
      </c>
      <c r="G26" s="30" t="s">
        <v>31</v>
      </c>
      <c r="H26" s="30" t="s">
        <v>31</v>
      </c>
      <c r="I26" s="31">
        <v>0.23233717476007615</v>
      </c>
      <c r="J26" s="23"/>
      <c r="K26" s="24"/>
      <c r="L26" s="24"/>
      <c r="M26" s="23">
        <f t="shared" ref="M26:M37" si="5">1-D26</f>
        <v>0.67404343329886252</v>
      </c>
      <c r="N26" s="24"/>
      <c r="O26" s="24"/>
      <c r="P26" s="24"/>
      <c r="Q26" s="24"/>
      <c r="R26" s="23">
        <f>1-I26</f>
        <v>0.7676628252399238</v>
      </c>
    </row>
    <row r="27" spans="1:26" x14ac:dyDescent="0.6">
      <c r="A27" s="14"/>
      <c r="B27" s="21" t="s">
        <v>14</v>
      </c>
      <c r="C27" s="30" t="s">
        <v>31</v>
      </c>
      <c r="D27" s="31">
        <v>0.35905680600214362</v>
      </c>
      <c r="E27" s="30" t="s">
        <v>31</v>
      </c>
      <c r="F27" s="30" t="s">
        <v>31</v>
      </c>
      <c r="G27" s="30" t="s">
        <v>31</v>
      </c>
      <c r="H27" s="30" t="s">
        <v>31</v>
      </c>
      <c r="I27" s="31">
        <v>0.24400519211966873</v>
      </c>
      <c r="J27" s="23"/>
      <c r="K27" s="24"/>
      <c r="L27" s="24"/>
      <c r="M27" s="23">
        <f t="shared" si="5"/>
        <v>0.64094319399785638</v>
      </c>
      <c r="N27" s="24"/>
      <c r="O27" s="24"/>
      <c r="P27" s="24"/>
      <c r="Q27" s="24"/>
      <c r="R27" s="23">
        <f t="shared" ref="R27:R37" si="6">1-I27</f>
        <v>0.75599480788033124</v>
      </c>
    </row>
    <row r="28" spans="1:26" x14ac:dyDescent="0.6">
      <c r="A28" s="14"/>
      <c r="B28" s="21" t="s">
        <v>15</v>
      </c>
      <c r="C28" s="30" t="s">
        <v>31</v>
      </c>
      <c r="D28" s="31">
        <v>0.33603912305798594</v>
      </c>
      <c r="E28" s="30" t="s">
        <v>31</v>
      </c>
      <c r="F28" s="30" t="s">
        <v>31</v>
      </c>
      <c r="G28" s="30" t="s">
        <v>31</v>
      </c>
      <c r="H28" s="30" t="s">
        <v>31</v>
      </c>
      <c r="I28" s="31">
        <v>0.23361763465989074</v>
      </c>
      <c r="J28" s="23"/>
      <c r="K28" s="24"/>
      <c r="L28" s="24"/>
      <c r="M28" s="23">
        <f t="shared" si="5"/>
        <v>0.663960876942014</v>
      </c>
      <c r="N28" s="24"/>
      <c r="O28" s="24"/>
      <c r="P28" s="24"/>
      <c r="Q28" s="24"/>
      <c r="R28" s="23">
        <f t="shared" si="6"/>
        <v>0.76638236534010928</v>
      </c>
    </row>
    <row r="29" spans="1:26" x14ac:dyDescent="0.6">
      <c r="A29" s="14"/>
      <c r="B29" s="21" t="s">
        <v>16</v>
      </c>
      <c r="C29" s="30" t="s">
        <v>31</v>
      </c>
      <c r="D29" s="31">
        <v>0.34774089442139233</v>
      </c>
      <c r="E29" s="30" t="s">
        <v>31</v>
      </c>
      <c r="F29" s="30" t="s">
        <v>31</v>
      </c>
      <c r="G29" s="30" t="s">
        <v>31</v>
      </c>
      <c r="H29" s="30" t="s">
        <v>31</v>
      </c>
      <c r="I29" s="31">
        <v>0.22673527607328028</v>
      </c>
      <c r="J29" s="23"/>
      <c r="K29" s="24"/>
      <c r="L29" s="24"/>
      <c r="M29" s="23">
        <f t="shared" si="5"/>
        <v>0.65225910557860767</v>
      </c>
      <c r="N29" s="24"/>
      <c r="O29" s="24"/>
      <c r="P29" s="24"/>
      <c r="Q29" s="24"/>
      <c r="R29" s="23">
        <f t="shared" si="6"/>
        <v>0.77326472392671974</v>
      </c>
    </row>
    <row r="30" spans="1:26" x14ac:dyDescent="0.6">
      <c r="A30" s="14"/>
      <c r="B30" s="21" t="s">
        <v>17</v>
      </c>
      <c r="C30" s="30" t="s">
        <v>31</v>
      </c>
      <c r="D30" s="31">
        <v>0.35975147030923921</v>
      </c>
      <c r="E30" s="30" t="s">
        <v>31</v>
      </c>
      <c r="F30" s="30" t="s">
        <v>31</v>
      </c>
      <c r="G30" s="30" t="s">
        <v>31</v>
      </c>
      <c r="H30" s="30" t="s">
        <v>31</v>
      </c>
      <c r="I30" s="31">
        <v>0.26512836359132674</v>
      </c>
      <c r="J30" s="23"/>
      <c r="K30" s="24"/>
      <c r="L30" s="24"/>
      <c r="M30" s="23">
        <f t="shared" si="5"/>
        <v>0.64024852969076074</v>
      </c>
      <c r="N30" s="24"/>
      <c r="O30" s="24"/>
      <c r="P30" s="24"/>
      <c r="Q30" s="24"/>
      <c r="R30" s="23">
        <f t="shared" si="6"/>
        <v>0.73487163640867326</v>
      </c>
    </row>
    <row r="31" spans="1:26" x14ac:dyDescent="0.6">
      <c r="A31" s="14"/>
      <c r="B31" s="21" t="s">
        <v>18</v>
      </c>
      <c r="C31" s="30" t="s">
        <v>31</v>
      </c>
      <c r="D31" s="31">
        <v>0.39489624951669028</v>
      </c>
      <c r="E31" s="30" t="s">
        <v>31</v>
      </c>
      <c r="F31" s="30" t="s">
        <v>31</v>
      </c>
      <c r="G31" s="30" t="s">
        <v>31</v>
      </c>
      <c r="H31" s="30" t="s">
        <v>31</v>
      </c>
      <c r="I31" s="31">
        <v>0.3046792367494443</v>
      </c>
      <c r="J31" s="23"/>
      <c r="K31" s="24"/>
      <c r="L31" s="24"/>
      <c r="M31" s="23">
        <f t="shared" si="5"/>
        <v>0.60510375048330967</v>
      </c>
      <c r="N31" s="24"/>
      <c r="O31" s="24"/>
      <c r="P31" s="24"/>
      <c r="Q31" s="24"/>
      <c r="R31" s="23">
        <f t="shared" si="6"/>
        <v>0.6953207632505557</v>
      </c>
    </row>
    <row r="32" spans="1:26" x14ac:dyDescent="0.6">
      <c r="A32" s="14"/>
      <c r="B32" s="21" t="s">
        <v>19</v>
      </c>
      <c r="C32" s="30" t="s">
        <v>31</v>
      </c>
      <c r="D32" s="31">
        <v>0.4169343227378447</v>
      </c>
      <c r="E32" s="30" t="s">
        <v>31</v>
      </c>
      <c r="F32" s="30" t="s">
        <v>31</v>
      </c>
      <c r="G32" s="30" t="s">
        <v>31</v>
      </c>
      <c r="H32" s="30" t="s">
        <v>31</v>
      </c>
      <c r="I32" s="31">
        <v>0.31394108115367292</v>
      </c>
      <c r="J32" s="23"/>
      <c r="K32" s="24"/>
      <c r="L32" s="24"/>
      <c r="M32" s="23">
        <f t="shared" si="5"/>
        <v>0.5830656772621553</v>
      </c>
      <c r="N32" s="24"/>
      <c r="O32" s="24"/>
      <c r="P32" s="24"/>
      <c r="Q32" s="24"/>
      <c r="R32" s="23">
        <f t="shared" si="6"/>
        <v>0.68605891884632708</v>
      </c>
    </row>
    <row r="33" spans="1:19" x14ac:dyDescent="0.6">
      <c r="A33" s="14"/>
      <c r="B33" s="21" t="s">
        <v>20</v>
      </c>
      <c r="C33" s="30" t="s">
        <v>31</v>
      </c>
      <c r="D33" s="31">
        <v>0.42892105024624588</v>
      </c>
      <c r="E33" s="30" t="s">
        <v>31</v>
      </c>
      <c r="F33" s="30" t="s">
        <v>31</v>
      </c>
      <c r="G33" s="30" t="s">
        <v>31</v>
      </c>
      <c r="H33" s="30" t="s">
        <v>31</v>
      </c>
      <c r="I33" s="31">
        <v>0.31835902075449962</v>
      </c>
      <c r="J33" s="23"/>
      <c r="K33" s="24"/>
      <c r="L33" s="24"/>
      <c r="M33" s="23">
        <f t="shared" si="5"/>
        <v>0.57107894975375406</v>
      </c>
      <c r="N33" s="24"/>
      <c r="O33" s="24"/>
      <c r="P33" s="24"/>
      <c r="Q33" s="24"/>
      <c r="R33" s="23">
        <f t="shared" si="6"/>
        <v>0.68164097924550038</v>
      </c>
    </row>
    <row r="34" spans="1:19" x14ac:dyDescent="0.6">
      <c r="A34" s="14"/>
      <c r="B34" s="21" t="s">
        <v>21</v>
      </c>
      <c r="C34" s="30" t="s">
        <v>31</v>
      </c>
      <c r="D34" s="31">
        <v>0.41815557337610265</v>
      </c>
      <c r="E34" s="30" t="s">
        <v>31</v>
      </c>
      <c r="F34" s="30" t="s">
        <v>31</v>
      </c>
      <c r="G34" s="30" t="s">
        <v>31</v>
      </c>
      <c r="H34" s="30" t="s">
        <v>31</v>
      </c>
      <c r="I34" s="31">
        <v>0.29385621903041503</v>
      </c>
      <c r="J34" s="23"/>
      <c r="K34" s="24"/>
      <c r="L34" s="24"/>
      <c r="M34" s="23">
        <f t="shared" si="5"/>
        <v>0.58184442662389735</v>
      </c>
      <c r="N34" s="24"/>
      <c r="O34" s="24"/>
      <c r="P34" s="24"/>
      <c r="Q34" s="24"/>
      <c r="R34" s="23">
        <f t="shared" si="6"/>
        <v>0.70614378096958497</v>
      </c>
    </row>
    <row r="35" spans="1:19" x14ac:dyDescent="0.6">
      <c r="A35" s="14"/>
      <c r="B35" s="21" t="s">
        <v>22</v>
      </c>
      <c r="C35" s="30" t="s">
        <v>31</v>
      </c>
      <c r="D35" s="31">
        <v>0.39968445963712856</v>
      </c>
      <c r="E35" s="30" t="s">
        <v>31</v>
      </c>
      <c r="F35" s="30" t="s">
        <v>31</v>
      </c>
      <c r="G35" s="30" t="s">
        <v>31</v>
      </c>
      <c r="H35" s="30" t="s">
        <v>31</v>
      </c>
      <c r="I35" s="31">
        <v>0.24085108196240684</v>
      </c>
      <c r="J35" s="23"/>
      <c r="K35" s="24"/>
      <c r="L35" s="24"/>
      <c r="M35" s="23">
        <f t="shared" si="5"/>
        <v>0.60031554036287149</v>
      </c>
      <c r="N35" s="24"/>
      <c r="O35" s="24"/>
      <c r="P35" s="24"/>
      <c r="Q35" s="24"/>
      <c r="R35" s="23">
        <f t="shared" si="6"/>
        <v>0.75914891803759321</v>
      </c>
    </row>
    <row r="36" spans="1:19" x14ac:dyDescent="0.6">
      <c r="A36" s="14"/>
      <c r="B36" s="21" t="s">
        <v>23</v>
      </c>
      <c r="C36" s="30" t="s">
        <v>31</v>
      </c>
      <c r="D36" s="31">
        <v>0.37566715186802524</v>
      </c>
      <c r="E36" s="30" t="s">
        <v>31</v>
      </c>
      <c r="F36" s="30" t="s">
        <v>31</v>
      </c>
      <c r="G36" s="30" t="s">
        <v>31</v>
      </c>
      <c r="H36" s="30" t="s">
        <v>31</v>
      </c>
      <c r="I36" s="31">
        <v>0.2595146172472958</v>
      </c>
      <c r="J36" s="23"/>
      <c r="K36" s="24"/>
      <c r="L36" s="24"/>
      <c r="M36" s="23">
        <f t="shared" si="5"/>
        <v>0.62433284813197476</v>
      </c>
      <c r="N36" s="24"/>
      <c r="O36" s="24"/>
      <c r="P36" s="24"/>
      <c r="Q36" s="24"/>
      <c r="R36" s="23">
        <f t="shared" si="6"/>
        <v>0.74048538275270426</v>
      </c>
    </row>
    <row r="37" spans="1:19" x14ac:dyDescent="0.6">
      <c r="A37" s="14"/>
      <c r="B37" s="21" t="s">
        <v>24</v>
      </c>
      <c r="C37" s="30" t="s">
        <v>31</v>
      </c>
      <c r="D37" s="31">
        <v>0.35755115297174406</v>
      </c>
      <c r="E37" s="30" t="s">
        <v>31</v>
      </c>
      <c r="F37" s="30" t="s">
        <v>31</v>
      </c>
      <c r="G37" s="30" t="s">
        <v>31</v>
      </c>
      <c r="H37" s="30" t="s">
        <v>31</v>
      </c>
      <c r="I37" s="31">
        <v>0.24645308496691076</v>
      </c>
      <c r="J37" s="23"/>
      <c r="K37" s="24"/>
      <c r="L37" s="24"/>
      <c r="M37" s="23">
        <f t="shared" si="5"/>
        <v>0.64244884702825589</v>
      </c>
      <c r="N37" s="24"/>
      <c r="O37" s="24"/>
      <c r="P37" s="24"/>
      <c r="Q37" s="24"/>
      <c r="R37" s="23">
        <f t="shared" si="6"/>
        <v>0.75354691503308924</v>
      </c>
    </row>
    <row r="38" spans="1:19" x14ac:dyDescent="0.6">
      <c r="A38" s="14"/>
      <c r="B38" s="21"/>
      <c r="C38" s="24"/>
      <c r="D38" s="24"/>
      <c r="E38" s="24"/>
      <c r="F38" s="27"/>
      <c r="G38" s="27"/>
      <c r="H38" s="24"/>
      <c r="I38" s="24"/>
      <c r="J38" s="24"/>
      <c r="K38" s="24"/>
      <c r="L38" s="24"/>
      <c r="M38" s="24"/>
      <c r="N38" s="24"/>
      <c r="O38" s="24"/>
      <c r="P38" s="24"/>
      <c r="R38" s="24"/>
      <c r="S38" s="24"/>
    </row>
    <row r="39" spans="1:19" x14ac:dyDescent="0.6">
      <c r="A39" s="14"/>
      <c r="B39" s="21"/>
      <c r="C39" s="24"/>
      <c r="D39" s="24"/>
      <c r="E39" s="24"/>
      <c r="F39" s="27"/>
      <c r="G39" s="27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x14ac:dyDescent="0.6">
      <c r="A40" s="9" t="s">
        <v>32</v>
      </c>
      <c r="B40" s="32" t="s">
        <v>33</v>
      </c>
      <c r="L40" s="33" t="s">
        <v>34</v>
      </c>
    </row>
    <row r="41" spans="1:19" x14ac:dyDescent="0.6">
      <c r="A41" s="14"/>
      <c r="B41" s="34" t="str">
        <f>"Calendar month billed sales forecasted for " &amp;M1</f>
        <v>Calendar month billed sales forecasted for 2024</v>
      </c>
    </row>
    <row r="42" spans="1:19" x14ac:dyDescent="0.6">
      <c r="A42" s="14"/>
      <c r="B42" s="12" t="s">
        <v>35</v>
      </c>
      <c r="C42" s="35" t="str">
        <f>+C6</f>
        <v>SC1</v>
      </c>
      <c r="D42" s="35" t="str">
        <f t="shared" ref="D42:H42" si="7">+D6</f>
        <v>SC3</v>
      </c>
      <c r="E42" s="35" t="str">
        <f t="shared" si="7"/>
        <v>SC2 ND</v>
      </c>
      <c r="F42" s="35" t="str">
        <f t="shared" si="7"/>
        <v>SC4</v>
      </c>
      <c r="G42" s="35" t="str">
        <f t="shared" si="7"/>
        <v>SC6</v>
      </c>
      <c r="H42" s="35" t="str">
        <f t="shared" si="7"/>
        <v>SC2 Dem</v>
      </c>
      <c r="I42" s="35" t="s">
        <v>36</v>
      </c>
      <c r="J42" s="19"/>
      <c r="K42" s="19"/>
      <c r="L42" s="19" t="str">
        <f t="shared" ref="L42:Q42" si="8">+C6</f>
        <v>SC1</v>
      </c>
      <c r="M42" s="19" t="str">
        <f t="shared" si="8"/>
        <v>SC3</v>
      </c>
      <c r="N42" s="19" t="str">
        <f t="shared" si="8"/>
        <v>SC2 ND</v>
      </c>
      <c r="O42" s="19" t="str">
        <f t="shared" si="8"/>
        <v>SC4</v>
      </c>
      <c r="P42" s="19" t="str">
        <f t="shared" si="8"/>
        <v>SC6</v>
      </c>
      <c r="Q42" s="19" t="str">
        <f t="shared" si="8"/>
        <v>SC2 Dem</v>
      </c>
      <c r="R42" s="19" t="s">
        <v>30</v>
      </c>
    </row>
    <row r="43" spans="1:19" x14ac:dyDescent="0.6">
      <c r="A43" s="14"/>
    </row>
    <row r="44" spans="1:19" x14ac:dyDescent="0.6">
      <c r="A44" s="14"/>
      <c r="B44" s="21" t="s">
        <v>13</v>
      </c>
      <c r="C44" s="36">
        <v>56459.028881112637</v>
      </c>
      <c r="D44" s="36">
        <v>58.895392859969064</v>
      </c>
      <c r="E44" s="36">
        <v>1541</v>
      </c>
      <c r="F44" s="36">
        <v>664</v>
      </c>
      <c r="G44" s="36">
        <v>473.5</v>
      </c>
      <c r="H44" s="36">
        <v>28399.454424657535</v>
      </c>
      <c r="I44" s="36">
        <f t="shared" ref="I44:I55" si="9">SUM(C44:H44)</f>
        <v>87595.878698630142</v>
      </c>
      <c r="J44" s="36"/>
      <c r="K44" s="37" t="s">
        <v>37</v>
      </c>
      <c r="L44" s="38">
        <f t="shared" ref="L44:Q44" si="10">SUM(C44:C48,C53:C55)</f>
        <v>383439.75129196758</v>
      </c>
      <c r="M44" s="36">
        <f t="shared" si="10"/>
        <v>439.86277247899159</v>
      </c>
      <c r="N44" s="36">
        <f t="shared" si="10"/>
        <v>10515</v>
      </c>
      <c r="O44" s="36">
        <f t="shared" si="10"/>
        <v>4571.5</v>
      </c>
      <c r="P44" s="36">
        <f t="shared" si="10"/>
        <v>3510</v>
      </c>
      <c r="Q44" s="36">
        <f t="shared" si="10"/>
        <v>194673.74749484516</v>
      </c>
      <c r="R44" s="36">
        <f>L44</f>
        <v>383439.75129196758</v>
      </c>
    </row>
    <row r="45" spans="1:19" x14ac:dyDescent="0.6">
      <c r="A45" s="14"/>
      <c r="B45" s="21" t="s">
        <v>14</v>
      </c>
      <c r="C45" s="36">
        <v>52369.784713878515</v>
      </c>
      <c r="D45" s="36">
        <v>57.62065598450048</v>
      </c>
      <c r="E45" s="36">
        <v>1876</v>
      </c>
      <c r="F45" s="36">
        <v>552.5</v>
      </c>
      <c r="G45" s="36">
        <v>426</v>
      </c>
      <c r="H45" s="36">
        <v>26442.133458904107</v>
      </c>
      <c r="I45" s="36">
        <f t="shared" si="9"/>
        <v>81724.038828767123</v>
      </c>
      <c r="J45" s="36"/>
      <c r="K45" s="37" t="s">
        <v>38</v>
      </c>
      <c r="L45" s="38"/>
      <c r="M45" s="36">
        <f>SUMPRODUCT(D26:D30,D44:D48)+SUMPRODUCT(D35:D37,D53:D55)</f>
        <v>156.72861857037265</v>
      </c>
      <c r="R45" s="36">
        <f>SUMPRODUCT(I26:I30,C44:C48)+SUMPRODUCT(I35:I37,C53:C55)</f>
        <v>93202.486368147496</v>
      </c>
    </row>
    <row r="46" spans="1:19" x14ac:dyDescent="0.6">
      <c r="A46" s="14"/>
      <c r="B46" s="21" t="s">
        <v>15</v>
      </c>
      <c r="C46" s="36">
        <v>46642.260399198036</v>
      </c>
      <c r="D46" s="36">
        <v>55.87983093895285</v>
      </c>
      <c r="E46" s="36">
        <v>1856</v>
      </c>
      <c r="F46" s="36">
        <v>542.5</v>
      </c>
      <c r="G46" s="36">
        <v>389.5</v>
      </c>
      <c r="H46" s="36">
        <v>21516.059793150685</v>
      </c>
      <c r="I46" s="36">
        <f t="shared" si="9"/>
        <v>71002.200023287674</v>
      </c>
      <c r="J46" s="36"/>
      <c r="K46" s="37" t="s">
        <v>39</v>
      </c>
      <c r="L46" s="38"/>
      <c r="M46" s="36">
        <f>+M44-M45</f>
        <v>283.13415390861894</v>
      </c>
      <c r="R46" s="36">
        <f>R44-R45</f>
        <v>290237.2649238201</v>
      </c>
    </row>
    <row r="47" spans="1:19" x14ac:dyDescent="0.6">
      <c r="A47" s="14"/>
      <c r="B47" s="21" t="s">
        <v>16</v>
      </c>
      <c r="C47" s="36">
        <v>43191.975588841786</v>
      </c>
      <c r="D47" s="36">
        <v>58.896893349996205</v>
      </c>
      <c r="E47" s="36">
        <v>1119</v>
      </c>
      <c r="F47" s="36">
        <v>475.5</v>
      </c>
      <c r="G47" s="36">
        <v>384</v>
      </c>
      <c r="H47" s="36">
        <v>24942.40585753425</v>
      </c>
      <c r="I47" s="36">
        <f t="shared" si="9"/>
        <v>70171.778339726035</v>
      </c>
      <c r="J47" s="36"/>
    </row>
    <row r="48" spans="1:19" x14ac:dyDescent="0.6">
      <c r="A48" s="14"/>
      <c r="B48" s="21" t="s">
        <v>17</v>
      </c>
      <c r="C48" s="36">
        <v>43146.489672182935</v>
      </c>
      <c r="D48" s="36">
        <v>56.551259323910585</v>
      </c>
      <c r="E48" s="36">
        <v>874</v>
      </c>
      <c r="F48" s="36">
        <v>432.5</v>
      </c>
      <c r="G48" s="36">
        <v>365.5</v>
      </c>
      <c r="H48" s="36">
        <v>21553.563404109591</v>
      </c>
      <c r="I48" s="36">
        <f t="shared" si="9"/>
        <v>66428.60433561643</v>
      </c>
      <c r="J48" s="36"/>
      <c r="K48" s="37" t="s">
        <v>40</v>
      </c>
      <c r="L48" s="38">
        <f>SUM(C49:C52)</f>
        <v>302961.65521624492</v>
      </c>
      <c r="M48" s="36">
        <f>+SUM(D49:D52)</f>
        <v>222.46183655280285</v>
      </c>
      <c r="N48" s="36">
        <f>+SUM(E49:E52)</f>
        <v>4113</v>
      </c>
      <c r="O48" s="36">
        <f>+SUM(F49:F52)</f>
        <v>1789</v>
      </c>
      <c r="P48" s="36">
        <f>+SUM(G49:G52)</f>
        <v>1410</v>
      </c>
      <c r="Q48" s="36">
        <f>+SUM(H49:H52)</f>
        <v>119636.96386790382</v>
      </c>
      <c r="R48" s="36">
        <f>L48</f>
        <v>302961.65521624492</v>
      </c>
    </row>
    <row r="49" spans="1:23" x14ac:dyDescent="0.6">
      <c r="A49" s="14"/>
      <c r="B49" s="21" t="s">
        <v>18</v>
      </c>
      <c r="C49" s="36">
        <v>59628.36069306924</v>
      </c>
      <c r="D49" s="36">
        <v>48.995943251463174</v>
      </c>
      <c r="E49" s="36">
        <v>914</v>
      </c>
      <c r="F49" s="36">
        <v>382.5</v>
      </c>
      <c r="G49" s="36">
        <v>343.5</v>
      </c>
      <c r="H49" s="36">
        <v>25854.636590463582</v>
      </c>
      <c r="I49" s="36">
        <f t="shared" si="9"/>
        <v>87171.993226784281</v>
      </c>
      <c r="J49" s="36"/>
      <c r="K49" s="37" t="s">
        <v>38</v>
      </c>
      <c r="L49" s="38"/>
      <c r="M49" s="36">
        <f>+SUMPRODUCT(D31:D34,D49:D52)</f>
        <v>92.452775892234229</v>
      </c>
      <c r="R49" s="36">
        <f>+SUMPRODUCT(I31:I34,C49:C52)</f>
        <v>93472.038451676708</v>
      </c>
    </row>
    <row r="50" spans="1:23" x14ac:dyDescent="0.6">
      <c r="A50" s="14"/>
      <c r="B50" s="21" t="s">
        <v>19</v>
      </c>
      <c r="C50" s="36">
        <v>84222.452106360201</v>
      </c>
      <c r="D50" s="36">
        <v>57.083973998184163</v>
      </c>
      <c r="E50" s="36">
        <v>1097</v>
      </c>
      <c r="F50" s="36">
        <v>414</v>
      </c>
      <c r="G50" s="36">
        <v>332.5</v>
      </c>
      <c r="H50" s="36">
        <v>30660.883881451875</v>
      </c>
      <c r="I50" s="36">
        <f t="shared" si="9"/>
        <v>116783.91996181026</v>
      </c>
      <c r="J50" s="36"/>
      <c r="K50" s="37" t="s">
        <v>39</v>
      </c>
      <c r="L50" s="38"/>
      <c r="M50" s="36">
        <f>+M48-M49</f>
        <v>130.00906066056862</v>
      </c>
      <c r="R50" s="36">
        <f>R48-R49</f>
        <v>209489.6167645682</v>
      </c>
    </row>
    <row r="51" spans="1:23" x14ac:dyDescent="0.6">
      <c r="A51" s="14"/>
      <c r="B51" s="21" t="s">
        <v>20</v>
      </c>
      <c r="C51" s="36">
        <v>86027.582469726942</v>
      </c>
      <c r="D51" s="36">
        <v>59.304890388044846</v>
      </c>
      <c r="E51" s="36">
        <v>1068</v>
      </c>
      <c r="F51" s="36">
        <v>470.5</v>
      </c>
      <c r="G51" s="36">
        <v>334.5</v>
      </c>
      <c r="H51" s="36">
        <v>31390.502339354211</v>
      </c>
      <c r="I51" s="36">
        <f t="shared" si="9"/>
        <v>119350.38969946919</v>
      </c>
      <c r="J51" s="36"/>
    </row>
    <row r="52" spans="1:23" x14ac:dyDescent="0.6">
      <c r="A52" s="14"/>
      <c r="B52" s="21" t="s">
        <v>21</v>
      </c>
      <c r="C52" s="36">
        <v>73083.259947088562</v>
      </c>
      <c r="D52" s="36">
        <v>57.077028915110674</v>
      </c>
      <c r="E52" s="36">
        <v>1034</v>
      </c>
      <c r="F52" s="36">
        <v>522</v>
      </c>
      <c r="G52" s="36">
        <v>399.5</v>
      </c>
      <c r="H52" s="36">
        <v>31730.941056634158</v>
      </c>
      <c r="I52" s="36">
        <f t="shared" si="9"/>
        <v>106826.77803263783</v>
      </c>
      <c r="J52" s="36"/>
      <c r="K52" s="37" t="s">
        <v>41</v>
      </c>
      <c r="L52" s="38">
        <f>ROUND(L48*E156,0)</f>
        <v>130183</v>
      </c>
    </row>
    <row r="53" spans="1:23" x14ac:dyDescent="0.6">
      <c r="A53" s="14"/>
      <c r="B53" s="21" t="s">
        <v>22</v>
      </c>
      <c r="C53" s="36">
        <v>48739.700245369721</v>
      </c>
      <c r="D53" s="36">
        <v>48.252631342605085</v>
      </c>
      <c r="E53" s="36">
        <v>901</v>
      </c>
      <c r="F53" s="36">
        <v>595.5</v>
      </c>
      <c r="G53" s="36">
        <v>461.5</v>
      </c>
      <c r="H53" s="36">
        <v>24437.739315068487</v>
      </c>
      <c r="I53" s="36">
        <f t="shared" si="9"/>
        <v>75183.692191780807</v>
      </c>
      <c r="J53" s="36"/>
      <c r="K53" s="39" t="s">
        <v>42</v>
      </c>
      <c r="L53" s="38">
        <f>L48-L52</f>
        <v>172778.65521624492</v>
      </c>
    </row>
    <row r="54" spans="1:23" x14ac:dyDescent="0.6">
      <c r="A54" s="14"/>
      <c r="B54" s="21" t="s">
        <v>23</v>
      </c>
      <c r="C54" s="36">
        <v>41751.283228799177</v>
      </c>
      <c r="D54" s="36">
        <v>47.008431474795074</v>
      </c>
      <c r="E54" s="36">
        <v>916</v>
      </c>
      <c r="F54" s="36">
        <v>630.5</v>
      </c>
      <c r="G54" s="36">
        <v>504.5</v>
      </c>
      <c r="H54" s="36">
        <v>22485.548720547948</v>
      </c>
      <c r="I54" s="36">
        <f t="shared" si="9"/>
        <v>66334.840380821915</v>
      </c>
      <c r="J54" s="36"/>
      <c r="K54" s="39" t="s">
        <v>43</v>
      </c>
      <c r="L54" s="38"/>
    </row>
    <row r="55" spans="1:23" x14ac:dyDescent="0.6">
      <c r="A55" s="14"/>
      <c r="B55" s="21" t="s">
        <v>24</v>
      </c>
      <c r="C55" s="40">
        <v>51139.228562584802</v>
      </c>
      <c r="D55" s="40">
        <v>56.757677204262208</v>
      </c>
      <c r="E55" s="40">
        <v>1432</v>
      </c>
      <c r="F55" s="40">
        <v>678.5</v>
      </c>
      <c r="G55" s="40">
        <v>505.5</v>
      </c>
      <c r="H55" s="40">
        <v>24896.842520872531</v>
      </c>
      <c r="I55" s="40">
        <f t="shared" si="9"/>
        <v>78708.828760661592</v>
      </c>
      <c r="J55" s="36"/>
      <c r="M55" s="38"/>
    </row>
    <row r="56" spans="1:23" x14ac:dyDescent="0.6">
      <c r="A56" s="14"/>
      <c r="B56" s="41" t="s">
        <v>36</v>
      </c>
      <c r="C56" s="36">
        <f>SUM(C44:C55)</f>
        <v>686401.40650821244</v>
      </c>
      <c r="D56" s="36">
        <f t="shared" ref="D56:H56" si="11">SUM(D44:D55)</f>
        <v>662.32460903179447</v>
      </c>
      <c r="E56" s="36">
        <f t="shared" si="11"/>
        <v>14628</v>
      </c>
      <c r="F56" s="36">
        <f>SUM(F44:F55)</f>
        <v>6360.5</v>
      </c>
      <c r="G56" s="36">
        <f>SUM(G44:G55)</f>
        <v>4920</v>
      </c>
      <c r="H56" s="36">
        <f t="shared" si="11"/>
        <v>314310.71136274899</v>
      </c>
      <c r="I56" s="36">
        <f>SUM(I44:I55)</f>
        <v>1027282.9424799932</v>
      </c>
      <c r="J56" s="36"/>
      <c r="M56" s="38"/>
    </row>
    <row r="57" spans="1:23" x14ac:dyDescent="0.6">
      <c r="A57" s="14"/>
      <c r="B57" s="21"/>
      <c r="N57" s="38"/>
      <c r="O57" s="33" t="s">
        <v>44</v>
      </c>
    </row>
    <row r="58" spans="1:23" x14ac:dyDescent="0.6">
      <c r="A58" s="14"/>
      <c r="O58" s="42"/>
      <c r="P58" s="43"/>
      <c r="Q58" s="43"/>
      <c r="R58" s="43"/>
      <c r="S58" s="43"/>
      <c r="T58" s="43"/>
      <c r="U58" s="43"/>
      <c r="V58" s="43"/>
      <c r="W58" s="44"/>
    </row>
    <row r="59" spans="1:23" x14ac:dyDescent="0.6">
      <c r="A59" s="9" t="s">
        <v>45</v>
      </c>
      <c r="B59" s="33" t="s">
        <v>46</v>
      </c>
      <c r="G59" s="45"/>
      <c r="H59" s="33"/>
      <c r="N59" s="38"/>
      <c r="O59" s="46"/>
      <c r="P59" s="3" t="s">
        <v>47</v>
      </c>
      <c r="W59" s="47"/>
    </row>
    <row r="60" spans="1:23" x14ac:dyDescent="0.6">
      <c r="A60" s="14"/>
      <c r="B60" s="8" t="s">
        <v>48</v>
      </c>
      <c r="N60" s="38"/>
      <c r="O60" s="48"/>
      <c r="P60" s="19"/>
      <c r="Q60" s="19"/>
      <c r="R60" s="19"/>
      <c r="S60" s="18" t="str">
        <f>D6</f>
        <v>SC3</v>
      </c>
      <c r="T60" s="18"/>
      <c r="U60" s="18"/>
      <c r="V60" s="18" t="s">
        <v>30</v>
      </c>
      <c r="W60" s="49"/>
    </row>
    <row r="61" spans="1:23" x14ac:dyDescent="0.6">
      <c r="A61" s="14"/>
      <c r="C61" s="35" t="s">
        <v>49</v>
      </c>
      <c r="D61" s="35" t="s">
        <v>50</v>
      </c>
      <c r="G61" s="19"/>
      <c r="H61" s="19"/>
      <c r="I61" s="19"/>
      <c r="N61" s="38"/>
      <c r="O61" s="50"/>
      <c r="W61" s="47"/>
    </row>
    <row r="62" spans="1:23" x14ac:dyDescent="0.6">
      <c r="A62" s="14"/>
      <c r="B62" s="21" t="s">
        <v>13</v>
      </c>
      <c r="C62" s="51">
        <f t="shared" ref="C62:D73" si="12">G428</f>
        <v>59.36</v>
      </c>
      <c r="D62" s="51">
        <f t="shared" si="12"/>
        <v>49.8</v>
      </c>
      <c r="H62" s="19"/>
      <c r="I62" s="19"/>
      <c r="O62" s="48"/>
      <c r="P62" s="36"/>
      <c r="Q62" s="37" t="s">
        <v>37</v>
      </c>
      <c r="R62" s="36"/>
      <c r="S62" s="52">
        <f>SUM(D44:D48,D53:D55)</f>
        <v>439.86277247899159</v>
      </c>
      <c r="T62" s="36"/>
      <c r="U62" s="52"/>
      <c r="V62" s="36">
        <f>R44</f>
        <v>383439.75129196758</v>
      </c>
      <c r="W62" s="47"/>
    </row>
    <row r="63" spans="1:23" x14ac:dyDescent="0.6">
      <c r="A63" s="14"/>
      <c r="B63" s="21" t="s">
        <v>14</v>
      </c>
      <c r="C63" s="51">
        <f t="shared" si="12"/>
        <v>54.64</v>
      </c>
      <c r="D63" s="51">
        <f t="shared" si="12"/>
        <v>45.61</v>
      </c>
      <c r="H63" s="19"/>
      <c r="I63" s="19"/>
      <c r="O63" s="48"/>
      <c r="P63" s="36"/>
      <c r="Q63" s="37" t="s">
        <v>38</v>
      </c>
      <c r="S63" s="52">
        <f>SUMPRODUCT(D26:D30,D44:D48)+SUMPRODUCT(D35:D37,D53:D55)</f>
        <v>156.72861857037265</v>
      </c>
      <c r="T63" s="3">
        <f>S63/S62</f>
        <v>0.35631253285445569</v>
      </c>
      <c r="U63" s="52"/>
      <c r="V63" s="36">
        <f>R45</f>
        <v>93202.486368147496</v>
      </c>
      <c r="W63" s="47"/>
    </row>
    <row r="64" spans="1:23" x14ac:dyDescent="0.6">
      <c r="A64" s="14"/>
      <c r="B64" s="21" t="s">
        <v>15</v>
      </c>
      <c r="C64" s="51">
        <f t="shared" si="12"/>
        <v>44.88</v>
      </c>
      <c r="D64" s="51">
        <f t="shared" si="12"/>
        <v>38.130000000000003</v>
      </c>
      <c r="H64" s="19"/>
      <c r="I64" s="19"/>
      <c r="M64" s="19"/>
      <c r="N64" s="19"/>
      <c r="O64" s="48"/>
      <c r="P64" s="36"/>
      <c r="Q64" s="37" t="s">
        <v>39</v>
      </c>
      <c r="S64" s="52">
        <f>SUMPRODUCT(M26:M30,D44:D48)+SUMPRODUCT(M35:M37,D53:D55)</f>
        <v>283.13415390861894</v>
      </c>
      <c r="U64" s="52"/>
      <c r="V64" s="36">
        <f>R46</f>
        <v>290237.2649238201</v>
      </c>
      <c r="W64" s="47"/>
    </row>
    <row r="65" spans="1:23" x14ac:dyDescent="0.6">
      <c r="A65" s="14"/>
      <c r="B65" s="21" t="s">
        <v>16</v>
      </c>
      <c r="C65" s="51">
        <f t="shared" si="12"/>
        <v>41.32</v>
      </c>
      <c r="D65" s="51">
        <f t="shared" si="12"/>
        <v>34.67</v>
      </c>
      <c r="H65" s="19"/>
      <c r="I65" s="19"/>
      <c r="O65" s="50"/>
      <c r="W65" s="47"/>
    </row>
    <row r="66" spans="1:23" x14ac:dyDescent="0.6">
      <c r="A66" s="14"/>
      <c r="B66" s="21" t="s">
        <v>17</v>
      </c>
      <c r="C66" s="51">
        <f t="shared" si="12"/>
        <v>43.49</v>
      </c>
      <c r="D66" s="51">
        <f t="shared" si="12"/>
        <v>36.51</v>
      </c>
      <c r="H66" s="19"/>
      <c r="I66" s="19"/>
      <c r="N66" s="38"/>
      <c r="O66" s="48"/>
      <c r="P66" s="36"/>
      <c r="Q66" s="37" t="s">
        <v>40</v>
      </c>
      <c r="R66" s="36"/>
      <c r="S66" s="52">
        <f>+SUM(D49:D52)</f>
        <v>222.46183655280285</v>
      </c>
      <c r="T66" s="36"/>
      <c r="U66" s="52"/>
      <c r="V66" s="36">
        <f>R48</f>
        <v>302961.65521624492</v>
      </c>
      <c r="W66" s="47"/>
    </row>
    <row r="67" spans="1:23" x14ac:dyDescent="0.6">
      <c r="A67" s="14"/>
      <c r="B67" s="21" t="s">
        <v>18</v>
      </c>
      <c r="C67" s="51">
        <f t="shared" si="12"/>
        <v>40.049999999999997</v>
      </c>
      <c r="D67" s="51">
        <f t="shared" si="12"/>
        <v>26.62</v>
      </c>
      <c r="H67" s="19"/>
      <c r="I67" s="19"/>
      <c r="N67" s="38"/>
      <c r="O67" s="48"/>
      <c r="P67" s="36"/>
      <c r="Q67" s="37" t="s">
        <v>38</v>
      </c>
      <c r="S67" s="52">
        <f>+SUMPRODUCT(D31:D34,D49:D52)</f>
        <v>92.452775892234229</v>
      </c>
      <c r="T67" s="53">
        <f>S67/S66</f>
        <v>0.41558937624921533</v>
      </c>
      <c r="U67" s="52"/>
      <c r="V67" s="36">
        <f>R49</f>
        <v>93472.038451676708</v>
      </c>
      <c r="W67" s="47"/>
    </row>
    <row r="68" spans="1:23" x14ac:dyDescent="0.6">
      <c r="A68" s="14"/>
      <c r="B68" s="21" t="s">
        <v>19</v>
      </c>
      <c r="C68" s="51">
        <f t="shared" si="12"/>
        <v>53.4</v>
      </c>
      <c r="D68" s="51">
        <f t="shared" si="12"/>
        <v>35.270000000000003</v>
      </c>
      <c r="H68" s="19"/>
      <c r="I68" s="19"/>
      <c r="N68" s="38"/>
      <c r="O68" s="48"/>
      <c r="P68" s="36"/>
      <c r="Q68" s="37" t="s">
        <v>39</v>
      </c>
      <c r="S68" s="52">
        <f>SUMPRODUCT(M31:M34,D49:D52)</f>
        <v>130.00906066056862</v>
      </c>
      <c r="U68" s="52"/>
      <c r="V68" s="36">
        <f>R50</f>
        <v>209489.6167645682</v>
      </c>
      <c r="W68" s="47"/>
    </row>
    <row r="69" spans="1:23" x14ac:dyDescent="0.6">
      <c r="A69" s="14"/>
      <c r="B69" s="21" t="s">
        <v>20</v>
      </c>
      <c r="C69" s="51">
        <f t="shared" si="12"/>
        <v>47.82</v>
      </c>
      <c r="D69" s="51">
        <f t="shared" si="12"/>
        <v>31.21</v>
      </c>
      <c r="H69" s="19"/>
      <c r="I69" s="19"/>
      <c r="O69" s="48"/>
      <c r="W69" s="47"/>
    </row>
    <row r="70" spans="1:23" x14ac:dyDescent="0.6">
      <c r="A70" s="14"/>
      <c r="B70" s="21" t="s">
        <v>21</v>
      </c>
      <c r="C70" s="51">
        <f t="shared" si="12"/>
        <v>40.54</v>
      </c>
      <c r="D70" s="51">
        <f t="shared" si="12"/>
        <v>26.97</v>
      </c>
      <c r="H70" s="19"/>
      <c r="I70" s="19"/>
      <c r="N70" s="38"/>
      <c r="O70" s="46"/>
      <c r="P70" s="3" t="s">
        <v>51</v>
      </c>
      <c r="W70" s="47"/>
    </row>
    <row r="71" spans="1:23" x14ac:dyDescent="0.6">
      <c r="A71" s="14"/>
      <c r="B71" s="21" t="s">
        <v>22</v>
      </c>
      <c r="C71" s="51">
        <f t="shared" si="12"/>
        <v>40.35</v>
      </c>
      <c r="D71" s="51">
        <f t="shared" si="12"/>
        <v>33.97</v>
      </c>
      <c r="H71" s="19"/>
      <c r="I71" s="19"/>
      <c r="N71" s="38"/>
      <c r="O71" s="48"/>
      <c r="P71" s="19"/>
      <c r="Q71" s="19"/>
      <c r="R71" s="19"/>
      <c r="S71" s="19" t="str">
        <f>S60</f>
        <v>SC3</v>
      </c>
      <c r="T71" s="19"/>
      <c r="U71" s="19"/>
      <c r="V71" s="19"/>
      <c r="W71" s="47"/>
    </row>
    <row r="72" spans="1:23" x14ac:dyDescent="0.6">
      <c r="A72" s="14"/>
      <c r="B72" s="21" t="s">
        <v>23</v>
      </c>
      <c r="C72" s="51">
        <f t="shared" si="12"/>
        <v>42.61</v>
      </c>
      <c r="D72" s="51">
        <f t="shared" si="12"/>
        <v>35.979999999999997</v>
      </c>
      <c r="H72" s="19"/>
      <c r="I72" s="19"/>
      <c r="N72" s="38"/>
      <c r="O72" s="50"/>
      <c r="W72" s="47"/>
    </row>
    <row r="73" spans="1:23" x14ac:dyDescent="0.6">
      <c r="A73" s="14"/>
      <c r="B73" s="21" t="s">
        <v>24</v>
      </c>
      <c r="C73" s="51">
        <f t="shared" si="12"/>
        <v>49.41</v>
      </c>
      <c r="D73" s="51">
        <f t="shared" si="12"/>
        <v>42.26</v>
      </c>
      <c r="H73" s="19"/>
      <c r="I73" s="19"/>
      <c r="O73" s="48"/>
      <c r="P73" s="36"/>
      <c r="Q73" s="37" t="s">
        <v>37</v>
      </c>
      <c r="R73" s="36"/>
      <c r="S73" s="52">
        <f>SUM(D44:D48,D53:D55)</f>
        <v>439.86277247899159</v>
      </c>
      <c r="T73" s="36"/>
      <c r="U73" s="52"/>
      <c r="V73" s="36">
        <f>V62</f>
        <v>383439.75129196758</v>
      </c>
      <c r="W73" s="47"/>
    </row>
    <row r="74" spans="1:23" x14ac:dyDescent="0.6">
      <c r="A74" s="14"/>
      <c r="B74" s="21"/>
      <c r="C74" s="51"/>
      <c r="D74" s="51"/>
      <c r="G74" s="27"/>
      <c r="M74" s="19"/>
      <c r="N74" s="19"/>
      <c r="O74" s="48"/>
      <c r="P74" s="36"/>
      <c r="Q74" s="37" t="s">
        <v>38</v>
      </c>
      <c r="S74" s="52">
        <f>SUMPRODUCT(D8:D12,D44:D48)+SUMPRODUCT(D17:D19,D53:D55)</f>
        <v>211.21523196131858</v>
      </c>
      <c r="T74" s="3">
        <f>S74/S73</f>
        <v>0.48018437834815059</v>
      </c>
      <c r="U74" s="52"/>
      <c r="V74" s="36">
        <f>SUMPRODUCT(C8:C12,C44:C48)+SUMPRODUCT(C17:C19,C53:C55)</f>
        <v>166481.19839034101</v>
      </c>
      <c r="W74" s="47"/>
    </row>
    <row r="75" spans="1:23" x14ac:dyDescent="0.6">
      <c r="A75" s="14"/>
      <c r="B75" s="21"/>
      <c r="C75" s="51"/>
      <c r="D75" s="51"/>
      <c r="I75" s="27"/>
      <c r="O75" s="48"/>
      <c r="P75" s="36"/>
      <c r="Q75" s="37" t="s">
        <v>39</v>
      </c>
      <c r="S75" s="52">
        <f>SUMPRODUCT(M8:M12,D44:D48)+SUMPRODUCT(M17:M19,D53:D55)</f>
        <v>228.64754051767298</v>
      </c>
      <c r="U75" s="52"/>
      <c r="V75" s="36">
        <f>V73-V74</f>
        <v>216958.55290162656</v>
      </c>
      <c r="W75" s="47"/>
    </row>
    <row r="76" spans="1:23" x14ac:dyDescent="0.6">
      <c r="A76" s="54" t="s">
        <v>52</v>
      </c>
      <c r="B76" s="32" t="s">
        <v>53</v>
      </c>
      <c r="C76" s="35" t="str">
        <f t="shared" ref="C76:H76" si="13">+C6</f>
        <v>SC1</v>
      </c>
      <c r="D76" s="35" t="str">
        <f t="shared" si="13"/>
        <v>SC3</v>
      </c>
      <c r="E76" s="35" t="str">
        <f t="shared" si="13"/>
        <v>SC2 ND</v>
      </c>
      <c r="F76" s="35" t="str">
        <f t="shared" si="13"/>
        <v>SC4</v>
      </c>
      <c r="G76" s="35" t="str">
        <f t="shared" si="13"/>
        <v>SC6</v>
      </c>
      <c r="H76" s="35" t="str">
        <f t="shared" si="13"/>
        <v>SC2 Dem</v>
      </c>
      <c r="J76" s="19"/>
      <c r="N76" s="38"/>
      <c r="O76" s="50"/>
      <c r="W76" s="47"/>
    </row>
    <row r="77" spans="1:23" x14ac:dyDescent="0.6">
      <c r="A77" s="14"/>
      <c r="C77" s="55"/>
      <c r="D77" s="55"/>
      <c r="E77" s="55"/>
      <c r="N77" s="38"/>
      <c r="O77" s="48"/>
      <c r="P77" s="19"/>
      <c r="Q77" s="37" t="s">
        <v>40</v>
      </c>
      <c r="R77" s="19"/>
      <c r="S77" s="52">
        <f>+SUM(D49:D52)</f>
        <v>222.46183655280285</v>
      </c>
      <c r="T77" s="19"/>
      <c r="U77" s="52"/>
      <c r="V77" s="56">
        <f>V66</f>
        <v>302961.65521624492</v>
      </c>
      <c r="W77" s="47"/>
    </row>
    <row r="78" spans="1:23" x14ac:dyDescent="0.6">
      <c r="A78" s="14"/>
      <c r="B78" s="3" t="s">
        <v>54</v>
      </c>
      <c r="C78" s="53">
        <v>1.0866239975480974</v>
      </c>
      <c r="D78" s="53">
        <v>1.0866239975480974</v>
      </c>
      <c r="E78" s="53">
        <v>1.0866239975480974</v>
      </c>
      <c r="F78" s="53">
        <v>1.0828404807999878</v>
      </c>
      <c r="G78" s="53">
        <v>1.0828404807999878</v>
      </c>
      <c r="H78" s="53">
        <v>1.0866239975480974</v>
      </c>
      <c r="I78" s="53"/>
      <c r="J78" s="57"/>
      <c r="N78" s="38"/>
      <c r="O78" s="48"/>
      <c r="P78" s="36"/>
      <c r="Q78" s="37" t="s">
        <v>38</v>
      </c>
      <c r="S78" s="52">
        <f>+SUMPRODUCT(D13:D16,D49:D52)</f>
        <v>116.40986940507133</v>
      </c>
      <c r="T78" s="3">
        <f>S78/S77</f>
        <v>0.52328017788993053</v>
      </c>
      <c r="U78" s="52"/>
      <c r="V78" s="56">
        <f>+SUMPRODUCT(C12:C15,C49:C52)</f>
        <v>133967.32928666988</v>
      </c>
      <c r="W78" s="47"/>
    </row>
    <row r="79" spans="1:23" x14ac:dyDescent="0.6">
      <c r="A79" s="14"/>
      <c r="I79" s="53"/>
      <c r="J79" s="53"/>
      <c r="O79" s="48"/>
      <c r="P79" s="36"/>
      <c r="Q79" s="37" t="s">
        <v>39</v>
      </c>
      <c r="S79" s="52">
        <f>SUMPRODUCT(M13:M16,D49:D52)</f>
        <v>106.05196714773152</v>
      </c>
      <c r="U79" s="52"/>
      <c r="V79" s="36">
        <f>V77-V78</f>
        <v>168994.32592957505</v>
      </c>
      <c r="W79" s="47"/>
    </row>
    <row r="80" spans="1:23" x14ac:dyDescent="0.6">
      <c r="A80" s="14"/>
      <c r="B80" s="3" t="s">
        <v>55</v>
      </c>
      <c r="C80" s="53"/>
      <c r="I80" s="53"/>
      <c r="J80" s="53"/>
      <c r="O80" s="48"/>
      <c r="P80" s="36"/>
      <c r="Q80" s="37"/>
      <c r="S80" s="52"/>
      <c r="U80" s="52"/>
      <c r="W80" s="47"/>
    </row>
    <row r="81" spans="1:23" x14ac:dyDescent="0.6">
      <c r="A81" s="14"/>
      <c r="B81" s="3" t="s">
        <v>56</v>
      </c>
      <c r="C81" s="53">
        <v>1.0764622899784873</v>
      </c>
      <c r="D81" s="53">
        <v>1.0764622899784873</v>
      </c>
      <c r="E81" s="53">
        <v>1.0764622899784873</v>
      </c>
      <c r="F81" s="53">
        <v>1.0727141552860526</v>
      </c>
      <c r="G81" s="53">
        <v>1.0660255083227215</v>
      </c>
      <c r="H81" s="53">
        <v>1.0764622899784873</v>
      </c>
      <c r="I81" s="53"/>
      <c r="J81" s="53"/>
      <c r="O81" s="48"/>
      <c r="P81" s="36"/>
      <c r="Q81" s="37"/>
      <c r="S81" s="52"/>
      <c r="U81" s="52"/>
      <c r="W81" s="47"/>
    </row>
    <row r="82" spans="1:23" x14ac:dyDescent="0.6">
      <c r="A82" s="14"/>
      <c r="N82" s="38"/>
      <c r="O82" s="46"/>
      <c r="W82" s="47"/>
    </row>
    <row r="83" spans="1:23" x14ac:dyDescent="0.6">
      <c r="A83" s="54" t="s">
        <v>57</v>
      </c>
      <c r="B83" s="33" t="s">
        <v>58</v>
      </c>
      <c r="N83" s="38"/>
      <c r="O83" s="48"/>
      <c r="P83" s="3" t="s">
        <v>59</v>
      </c>
      <c r="W83" s="47"/>
    </row>
    <row r="84" spans="1:23" x14ac:dyDescent="0.6">
      <c r="A84" s="14"/>
      <c r="B84" s="8" t="s">
        <v>60</v>
      </c>
      <c r="N84" s="38"/>
      <c r="O84" s="50"/>
      <c r="P84" s="19"/>
      <c r="Q84" s="19"/>
      <c r="R84" s="19"/>
      <c r="S84" s="19" t="str">
        <f>S60</f>
        <v>SC3</v>
      </c>
      <c r="T84" s="19"/>
      <c r="U84" s="19"/>
      <c r="V84" s="19"/>
      <c r="W84" s="47"/>
    </row>
    <row r="85" spans="1:23" x14ac:dyDescent="0.6">
      <c r="A85" s="14"/>
      <c r="B85" s="12" t="s">
        <v>61</v>
      </c>
      <c r="O85" s="48"/>
      <c r="W85" s="47"/>
    </row>
    <row r="86" spans="1:23" x14ac:dyDescent="0.6">
      <c r="A86" s="14"/>
      <c r="B86" s="33"/>
      <c r="C86" s="35" t="str">
        <f t="shared" ref="C86:H86" si="14">+C6</f>
        <v>SC1</v>
      </c>
      <c r="D86" s="35" t="str">
        <f t="shared" si="14"/>
        <v>SC3</v>
      </c>
      <c r="E86" s="35" t="str">
        <f t="shared" si="14"/>
        <v>SC2 ND</v>
      </c>
      <c r="F86" s="35" t="str">
        <f t="shared" si="14"/>
        <v>SC4</v>
      </c>
      <c r="G86" s="35" t="str">
        <f t="shared" si="14"/>
        <v>SC6</v>
      </c>
      <c r="H86" s="35" t="str">
        <f t="shared" si="14"/>
        <v>SC2 Dem</v>
      </c>
      <c r="I86" s="19"/>
      <c r="J86" s="19"/>
      <c r="O86" s="48"/>
      <c r="P86" s="36"/>
      <c r="Q86" s="37" t="s">
        <v>62</v>
      </c>
      <c r="R86" s="36"/>
      <c r="S86" s="36"/>
      <c r="T86" s="36"/>
      <c r="U86" s="36"/>
      <c r="V86" s="36"/>
      <c r="W86" s="47"/>
    </row>
    <row r="87" spans="1:23" x14ac:dyDescent="0.6">
      <c r="A87" s="14"/>
      <c r="O87" s="48"/>
      <c r="P87" s="36"/>
      <c r="Q87" s="39" t="s">
        <v>63</v>
      </c>
      <c r="S87" s="36">
        <f>S74-S63</f>
        <v>54.486613390945934</v>
      </c>
      <c r="U87" s="36"/>
      <c r="V87" s="56">
        <f>V74-V63</f>
        <v>73278.712022193518</v>
      </c>
      <c r="W87" s="47"/>
    </row>
    <row r="88" spans="1:23" x14ac:dyDescent="0.6">
      <c r="A88" s="14"/>
      <c r="B88" s="21" t="s">
        <v>64</v>
      </c>
      <c r="C88" s="58">
        <f t="shared" ref="C88:H88" si="15">(SUMPRODUCT(C13:C16,C49:C52,$C67:$C70)*C78+SUMPRODUCT(L13:L16,C49:C52,$D67:$D70)*C78)/SUM(C49:C52)</f>
        <v>40.582467467529099</v>
      </c>
      <c r="D88" s="58">
        <f t="shared" si="15"/>
        <v>41.575731355466012</v>
      </c>
      <c r="E88" s="58">
        <f t="shared" si="15"/>
        <v>41.159569105972551</v>
      </c>
      <c r="F88" s="58">
        <f t="shared" si="15"/>
        <v>41.324120478550284</v>
      </c>
      <c r="G88" s="58">
        <f t="shared" si="15"/>
        <v>41.193467716561834</v>
      </c>
      <c r="H88" s="58">
        <f t="shared" si="15"/>
        <v>41.759621785809443</v>
      </c>
      <c r="I88" s="58"/>
      <c r="J88" s="58"/>
      <c r="O88" s="50"/>
      <c r="P88" s="36"/>
      <c r="Q88" s="37" t="s">
        <v>65</v>
      </c>
      <c r="S88" s="59">
        <f>S87*(D93-D94)</f>
        <v>431.78225530444337</v>
      </c>
      <c r="U88" s="59"/>
      <c r="V88" s="56">
        <f>V87*(C93-C94)</f>
        <v>591870.126795833</v>
      </c>
      <c r="W88" s="47"/>
    </row>
    <row r="89" spans="1:23" x14ac:dyDescent="0.6">
      <c r="A89" s="14"/>
      <c r="B89" s="60" t="s">
        <v>66</v>
      </c>
      <c r="C89" s="58">
        <f t="shared" ref="C89:H89" si="16">(SUMPRODUCT(C13:C16,C49:C52,$C67:$C70)*C78)/SUMPRODUCT(C13:C16,C49:C52)</f>
        <v>50.010526375763739</v>
      </c>
      <c r="D89" s="58">
        <f t="shared" si="16"/>
        <v>49.527927306822889</v>
      </c>
      <c r="E89" s="58">
        <f t="shared" si="16"/>
        <v>49.596747119699046</v>
      </c>
      <c r="F89" s="58">
        <f t="shared" si="16"/>
        <v>48.900546854397724</v>
      </c>
      <c r="G89" s="58">
        <f t="shared" si="16"/>
        <v>48.727413802946323</v>
      </c>
      <c r="H89" s="58">
        <f t="shared" si="16"/>
        <v>49.446664952907902</v>
      </c>
      <c r="I89" s="58"/>
      <c r="J89" s="58"/>
      <c r="O89" s="48"/>
      <c r="Q89" s="37" t="s">
        <v>67</v>
      </c>
      <c r="S89" s="61">
        <f>ROUND(S88/S73,2)</f>
        <v>0.98</v>
      </c>
      <c r="U89" s="61"/>
      <c r="V89" s="61">
        <f>ROUND(V88/V73,2)</f>
        <v>1.54</v>
      </c>
      <c r="W89" s="47"/>
    </row>
    <row r="90" spans="1:23" x14ac:dyDescent="0.6">
      <c r="A90" s="14"/>
      <c r="B90" s="60" t="s">
        <v>68</v>
      </c>
      <c r="C90" s="58">
        <f t="shared" ref="C90:H90" si="17">(SUMPRODUCT(L13:L16,C49:C52,$D67:$D70)*C78)/SUMPRODUCT(L13:L16,C49:C52)</f>
        <v>33.090084416789772</v>
      </c>
      <c r="D90" s="58">
        <f t="shared" si="17"/>
        <v>32.846858925485883</v>
      </c>
      <c r="E90" s="58">
        <f t="shared" si="17"/>
        <v>32.906703054623932</v>
      </c>
      <c r="F90" s="58">
        <f t="shared" si="17"/>
        <v>32.553019872334424</v>
      </c>
      <c r="G90" s="58">
        <f t="shared" si="17"/>
        <v>32.473901271333915</v>
      </c>
      <c r="H90" s="58">
        <f t="shared" si="17"/>
        <v>32.862961160420923</v>
      </c>
      <c r="I90" s="58"/>
      <c r="J90" s="58"/>
      <c r="O90" s="48"/>
      <c r="P90" s="19"/>
      <c r="V90" s="19"/>
      <c r="W90" s="47"/>
    </row>
    <row r="91" spans="1:23" x14ac:dyDescent="0.6">
      <c r="A91" s="14"/>
      <c r="C91" s="62"/>
      <c r="D91" s="62"/>
      <c r="E91" s="62"/>
      <c r="F91" s="62"/>
      <c r="G91" s="62"/>
      <c r="H91" s="62"/>
      <c r="I91" s="62"/>
      <c r="J91" s="62"/>
      <c r="O91" s="48"/>
      <c r="P91" s="36"/>
      <c r="Q91" s="37" t="s">
        <v>69</v>
      </c>
      <c r="R91" s="19"/>
      <c r="S91" s="63"/>
      <c r="T91" s="19"/>
      <c r="U91" s="63"/>
      <c r="W91" s="47"/>
    </row>
    <row r="92" spans="1:23" x14ac:dyDescent="0.6">
      <c r="A92" s="14"/>
      <c r="B92" s="21" t="s">
        <v>70</v>
      </c>
      <c r="C92" s="58">
        <f t="shared" ref="C92:H92" si="18">(SUMPRODUCT(C8:C12,C44:C48,$C62:$C66)*C78+SUMPRODUCT(L8:L12,C44:C48,$D62:$D66)*C78+SUMPRODUCT(C17:C19,C53:C55,$C71:$C73)*C78+SUMPRODUCT(L17:L19,C53:C55,$D71:$D73)*C78)/SUM(C44:C48,C53:C55)</f>
        <v>47.08616112002133</v>
      </c>
      <c r="D92" s="58">
        <f t="shared" si="18"/>
        <v>47.173976372836464</v>
      </c>
      <c r="E92" s="58">
        <f t="shared" si="18"/>
        <v>48.051561287421713</v>
      </c>
      <c r="F92" s="58">
        <f t="shared" si="18"/>
        <v>47.6202407609712</v>
      </c>
      <c r="G92" s="58">
        <f t="shared" si="18"/>
        <v>47.398837478098642</v>
      </c>
      <c r="H92" s="58">
        <f t="shared" si="18"/>
        <v>47.613929838348199</v>
      </c>
      <c r="I92" s="58"/>
      <c r="J92" s="58"/>
      <c r="O92" s="48"/>
      <c r="P92" s="36"/>
      <c r="Q92" s="39" t="s">
        <v>63</v>
      </c>
      <c r="S92" s="36">
        <f>S78-S67</f>
        <v>23.957093512837105</v>
      </c>
      <c r="U92" s="36"/>
      <c r="V92" s="36">
        <f>V78-V67</f>
        <v>40495.290834993168</v>
      </c>
      <c r="W92" s="47"/>
    </row>
    <row r="93" spans="1:23" x14ac:dyDescent="0.6">
      <c r="A93" s="14"/>
      <c r="B93" s="60" t="s">
        <v>66</v>
      </c>
      <c r="C93" s="58">
        <f t="shared" ref="C93" si="19">(SUMPRODUCT(C8:C12,C44:C48,$C62:$C66)*C78+SUMPRODUCT(C17:C19,C53:C55,$C71:$C73)*C78)/(SUMPRODUCT(C8:C12,C44:C48)+SUMPRODUCT(C17:C19,C53:C55))</f>
        <v>51.656287756563223</v>
      </c>
      <c r="D93" s="58">
        <f>(SUMPRODUCT(D8:D12,D44:D48,$C62:$C66)*D78+SUMPRODUCT(D17:D19,D53:D55,$C71:$C73)*D78)/(SUMPRODUCT(D8:D12,D44:D48)+SUMPRODUCT(D17:D19,D53:D55))</f>
        <v>51.293284722006376</v>
      </c>
      <c r="E93" s="58">
        <f>(SUMPRODUCT(E8:E12,E44:E48,$C62:$C66)*E78+SUMPRODUCT(E17:E19,E53:E55,$C71:$C73)*E78)/(SUMPRODUCT(E8:E12,E44:E48)+SUMPRODUCT(E17:E19,E53:E55))</f>
        <v>52.414803362606619</v>
      </c>
      <c r="F93" s="58">
        <f>(SUMPRODUCT(F8:F12,F44:F48,$C62:$C66)*F78+SUMPRODUCT(F17:F19,F53:F55,$C71:$C73)*F78)/(SUMPRODUCT(F8:F12,F44:F48)+SUMPRODUCT(F17:F19,F53:F55))</f>
        <v>51.397879346444135</v>
      </c>
      <c r="G93" s="58">
        <f>(SUMPRODUCT(G8:G12,G44:G48,$C62:$C66)*G78+SUMPRODUCT(G17:G19,G53:G55,$C71:$C73)*G78)/(SUMPRODUCT(G8:G12,G44:G48)+SUMPRODUCT(G17:G19,G53:G55))</f>
        <v>51.16680867670091</v>
      </c>
      <c r="H93" s="58">
        <f>(SUMPRODUCT(H8:H12,H44:H48,$C62:$C66)*H78+SUMPRODUCT(H17:H19,H53:H55,$C71:$C73)*H78)/(SUMPRODUCT(H8:H12,H44:H48)+SUMPRODUCT(H17:H19,H53:H55))</f>
        <v>51.523701761460678</v>
      </c>
      <c r="I93" s="58"/>
      <c r="J93" s="58"/>
      <c r="Q93" s="37" t="s">
        <v>65</v>
      </c>
      <c r="S93" s="59">
        <f>S92*(D89-D90)</f>
        <v>399.62991510572095</v>
      </c>
      <c r="U93" s="59"/>
      <c r="V93" s="56">
        <f>V92*(C89-C90)</f>
        <v>685198.2181852723</v>
      </c>
    </row>
    <row r="94" spans="1:23" x14ac:dyDescent="0.6">
      <c r="A94" s="14"/>
      <c r="B94" s="60" t="s">
        <v>68</v>
      </c>
      <c r="C94" s="58">
        <f t="shared" ref="C94:H94" si="20">(SUMPRODUCT(L8:L12,C44:C48,$D62:$D66)*C78+SUMPRODUCT(L17:L19,C53:C55,$D71:$D73)*C78)/(SUMPRODUCT(L8:L12,C44:C48)+SUMPRODUCT(L17:L19,C53:C55))</f>
        <v>43.579315461845809</v>
      </c>
      <c r="D94" s="58">
        <f t="shared" si="20"/>
        <v>43.368728056933982</v>
      </c>
      <c r="E94" s="58">
        <f t="shared" si="20"/>
        <v>44.249073454671453</v>
      </c>
      <c r="F94" s="58">
        <f t="shared" si="20"/>
        <v>43.266472024539759</v>
      </c>
      <c r="G94" s="58">
        <f t="shared" si="20"/>
        <v>43.061714912724632</v>
      </c>
      <c r="H94" s="58">
        <f t="shared" si="20"/>
        <v>43.486780118031923</v>
      </c>
      <c r="I94" s="58"/>
      <c r="J94" s="58"/>
      <c r="Q94" s="37" t="s">
        <v>67</v>
      </c>
      <c r="S94" s="61">
        <f>ROUND(S93/S77,2)</f>
        <v>1.8</v>
      </c>
      <c r="U94" s="61"/>
      <c r="V94" s="61">
        <f>ROUND(V93/V77,2)</f>
        <v>2.2599999999999998</v>
      </c>
    </row>
    <row r="95" spans="1:23" x14ac:dyDescent="0.6">
      <c r="A95" s="14"/>
      <c r="C95" s="62"/>
      <c r="D95" s="62"/>
      <c r="E95" s="62"/>
      <c r="F95" s="62"/>
      <c r="G95" s="62"/>
      <c r="H95" s="62"/>
      <c r="I95" s="62"/>
      <c r="J95" s="62"/>
    </row>
    <row r="96" spans="1:23" x14ac:dyDescent="0.6">
      <c r="A96" s="14"/>
      <c r="B96" s="3" t="s">
        <v>71</v>
      </c>
      <c r="C96" s="58">
        <f t="shared" ref="C96" si="21">(C88*SUM(C49:C52)+C92*SUM(C44:C48,C53:C55))/C56</f>
        <v>44.215581637963041</v>
      </c>
      <c r="D96" s="62">
        <f>(D88*SUM(D49:D52)+D92*SUM(D44:D48,D53:D55))/D56</f>
        <v>45.29363574974326</v>
      </c>
      <c r="E96" s="62">
        <f>(E88*SUM(E49:E52)+E92*SUM(E44:E48,E53:E55))/E56</f>
        <v>46.113718530906787</v>
      </c>
      <c r="F96" s="62">
        <f>(F88*SUM(F49:F52)+F92*SUM(F44:F48,F53:F55))/F56</f>
        <v>45.849348663612339</v>
      </c>
      <c r="G96" s="62">
        <f>(G88*SUM(G49:G52)+G92*SUM(G44:G48,G53:G55))/G56</f>
        <v>45.620469314731388</v>
      </c>
      <c r="H96" s="62">
        <f>(H88*SUM(H49:H52)+H92*SUM(H44:H48,H53:H55))/H56</f>
        <v>45.385588214492977</v>
      </c>
      <c r="I96" s="62"/>
      <c r="J96" s="62"/>
    </row>
    <row r="97" spans="1:11" x14ac:dyDescent="0.6">
      <c r="A97" s="14"/>
      <c r="C97" s="58"/>
      <c r="D97" s="62"/>
      <c r="E97" s="62"/>
      <c r="F97" s="62"/>
      <c r="G97" s="62"/>
      <c r="H97" s="62"/>
      <c r="I97" s="62"/>
      <c r="J97" s="62"/>
    </row>
    <row r="98" spans="1:11" x14ac:dyDescent="0.6">
      <c r="A98" s="14"/>
      <c r="B98" s="3" t="s">
        <v>72</v>
      </c>
      <c r="C98" s="58">
        <f>SUMPRODUCT(C96:H96,C56:H56)/SUM(C56:H56)</f>
        <v>44.618128174114354</v>
      </c>
      <c r="D98" s="62"/>
      <c r="E98" s="62"/>
      <c r="F98" s="62"/>
      <c r="G98" s="62"/>
      <c r="H98" s="62"/>
      <c r="I98" s="62"/>
      <c r="J98" s="62"/>
    </row>
    <row r="99" spans="1:11" x14ac:dyDescent="0.6">
      <c r="A99" s="14"/>
      <c r="C99" s="58"/>
      <c r="D99" s="62"/>
      <c r="E99" s="62"/>
      <c r="F99" s="62"/>
      <c r="G99" s="62"/>
      <c r="H99" s="62"/>
      <c r="I99" s="62"/>
      <c r="J99" s="62"/>
      <c r="K99" s="62"/>
    </row>
    <row r="100" spans="1:11" x14ac:dyDescent="0.6">
      <c r="A100" s="14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x14ac:dyDescent="0.6">
      <c r="A101" s="54" t="s">
        <v>73</v>
      </c>
      <c r="B101" s="33" t="s">
        <v>74</v>
      </c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x14ac:dyDescent="0.6">
      <c r="A102" s="14"/>
      <c r="B102" s="12" t="s">
        <v>60</v>
      </c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x14ac:dyDescent="0.6">
      <c r="A103" s="14"/>
      <c r="B103" s="12" t="s">
        <v>75</v>
      </c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x14ac:dyDescent="0.6">
      <c r="A104" s="14"/>
      <c r="B104" s="33"/>
      <c r="C104" s="35" t="str">
        <f t="shared" ref="C104:H104" si="22">+C6</f>
        <v>SC1</v>
      </c>
      <c r="D104" s="35" t="str">
        <f t="shared" si="22"/>
        <v>SC3</v>
      </c>
      <c r="E104" s="35" t="str">
        <f t="shared" si="22"/>
        <v>SC2 ND</v>
      </c>
      <c r="F104" s="35" t="str">
        <f t="shared" si="22"/>
        <v>SC4</v>
      </c>
      <c r="G104" s="35" t="str">
        <f t="shared" si="22"/>
        <v>SC6</v>
      </c>
      <c r="H104" s="35" t="str">
        <f t="shared" si="22"/>
        <v>SC2 Dem</v>
      </c>
      <c r="I104" s="19"/>
      <c r="J104" s="19"/>
    </row>
    <row r="105" spans="1:11" x14ac:dyDescent="0.6">
      <c r="A105" s="14"/>
      <c r="C105" s="63"/>
    </row>
    <row r="106" spans="1:11" x14ac:dyDescent="0.6">
      <c r="A106" s="14"/>
      <c r="B106" s="21" t="s">
        <v>64</v>
      </c>
      <c r="C106" s="64">
        <f t="shared" ref="C106" si="23">SUM(C49:C52)*C88/1000</f>
        <v>12294.931516722027</v>
      </c>
      <c r="D106" s="64">
        <f>SUM(D49:D52)*D88/1000</f>
        <v>9.2490135533629196</v>
      </c>
      <c r="E106" s="64">
        <f>SUM(E49:E52)*E88/1000</f>
        <v>169.2893077328651</v>
      </c>
      <c r="F106" s="64">
        <f>SUM(F49:F52)*F88/1000</f>
        <v>73.928851536126459</v>
      </c>
      <c r="G106" s="64">
        <f>SUM(G49:G52)*G88/1000</f>
        <v>58.082789480352183</v>
      </c>
      <c r="H106" s="64">
        <f>SUM(H49:H52)*H88/1000</f>
        <v>4995.9943627262137</v>
      </c>
      <c r="I106" s="64"/>
      <c r="J106" s="64"/>
    </row>
    <row r="107" spans="1:11" x14ac:dyDescent="0.6">
      <c r="A107" s="14"/>
      <c r="B107" s="60" t="s">
        <v>66</v>
      </c>
      <c r="C107" s="64">
        <f t="shared" ref="C107" si="24">SUMPRODUCT(C49:C52,C13:C16)*C89/1000</f>
        <v>6708.9933391877448</v>
      </c>
      <c r="D107" s="64">
        <f>SUMPRODUCT(D49:D52,D13:D16)*D89/1000</f>
        <v>5.7655395496911188</v>
      </c>
      <c r="E107" s="64">
        <f>SUMPRODUCT(E49:E52,E13:E16)*E89/1000</f>
        <v>100.86934856344951</v>
      </c>
      <c r="F107" s="64">
        <f>SUMPRODUCT(F49:F52,F13:F16)*F89/1000</f>
        <v>46.938162704987626</v>
      </c>
      <c r="G107" s="64">
        <f>SUMPRODUCT(G49:G52,G13:G16)*G89/1000</f>
        <v>36.858710347124365</v>
      </c>
      <c r="H107" s="64">
        <f>SUMPRODUCT(H49:H52,H13:H16)*H89/1000</f>
        <v>3173.5685236129361</v>
      </c>
      <c r="I107" s="64"/>
      <c r="J107" s="64"/>
    </row>
    <row r="108" spans="1:11" x14ac:dyDescent="0.6">
      <c r="A108" s="14"/>
      <c r="B108" s="60" t="s">
        <v>68</v>
      </c>
      <c r="C108" s="64">
        <f t="shared" ref="C108:H108" si="25">SUMPRODUCT(C49:C52,L13:L16)*C90/1000</f>
        <v>5585.9381775342845</v>
      </c>
      <c r="D108" s="64">
        <f t="shared" si="25"/>
        <v>3.4834740036718008</v>
      </c>
      <c r="E108" s="64">
        <f t="shared" si="25"/>
        <v>68.419959169415577</v>
      </c>
      <c r="F108" s="64">
        <f t="shared" si="25"/>
        <v>26.990688831138829</v>
      </c>
      <c r="G108" s="64">
        <f t="shared" si="25"/>
        <v>21.224079133227818</v>
      </c>
      <c r="H108" s="64">
        <f t="shared" si="25"/>
        <v>1822.4258391132776</v>
      </c>
      <c r="I108" s="64"/>
      <c r="J108" s="64"/>
    </row>
    <row r="109" spans="1:11" x14ac:dyDescent="0.6">
      <c r="A109" s="14"/>
      <c r="C109" s="65"/>
      <c r="D109" s="65"/>
      <c r="E109" s="65"/>
      <c r="F109" s="65"/>
      <c r="G109" s="65"/>
      <c r="H109" s="65"/>
      <c r="I109" s="65"/>
      <c r="J109" s="65"/>
    </row>
    <row r="110" spans="1:11" x14ac:dyDescent="0.6">
      <c r="A110" s="14"/>
      <c r="B110" s="21" t="s">
        <v>70</v>
      </c>
      <c r="C110" s="65">
        <f t="shared" ref="C110" si="26">SUM(C44:C48,C53:C55)*C92/1000</f>
        <v>18054.705909154494</v>
      </c>
      <c r="D110" s="65">
        <f>SUM(D44:D48,D53:D55)*D92/1000</f>
        <v>20.750076036214288</v>
      </c>
      <c r="E110" s="65">
        <f>SUM(E44:E48,E53:E55)*E92/1000</f>
        <v>505.26216693723927</v>
      </c>
      <c r="F110" s="65">
        <f>SUM(F44:F48,F53:F55)*F92/1000</f>
        <v>217.69593063877983</v>
      </c>
      <c r="G110" s="65">
        <f>SUM(G44:G48,G53:G55)*G92/1000</f>
        <v>166.36991954812623</v>
      </c>
      <c r="H110" s="65">
        <f>SUM(H44:H48,H53:H55)*H92/1000</f>
        <v>9269.1821545878702</v>
      </c>
      <c r="I110" s="65"/>
      <c r="J110" s="65"/>
    </row>
    <row r="111" spans="1:11" x14ac:dyDescent="0.6">
      <c r="A111" s="14"/>
      <c r="B111" s="60" t="s">
        <v>66</v>
      </c>
      <c r="C111" s="64">
        <f t="shared" ref="C111" si="27">(SUMPRODUCT(C44:C48,C8:C12)+SUMPRODUCT(C53:C55,C17:C19))*C93/1000</f>
        <v>8599.8006901089448</v>
      </c>
      <c r="D111" s="64">
        <f>(SUMPRODUCT(D44:D48,D8:D12)+SUMPRODUCT(D53:D55,D17:D19))*D93/1000</f>
        <v>10.833923030616535</v>
      </c>
      <c r="E111" s="64">
        <f>(SUMPRODUCT(E44:E48,E8:E12)+SUMPRODUCT(E53:E55,E17:E19))*E93/1000</f>
        <v>256.64692193509188</v>
      </c>
      <c r="F111" s="64">
        <f>(SUMPRODUCT(F44:F48,F8:F12)+SUMPRODUCT(F53:F55,F17:F19))*F93/1000</f>
        <v>125.80664032881931</v>
      </c>
      <c r="G111" s="64">
        <f>(SUMPRODUCT(G44:G48,G8:G12)+SUMPRODUCT(G53:G55,G17:G19))*G93/1000</f>
        <v>96.103476612662178</v>
      </c>
      <c r="H111" s="64">
        <f>(SUMPRODUCT(H44:H48,H8:H12)+SUMPRODUCT(H53:H55,H17:H19))*H93/1000</f>
        <v>5150.8029619452163</v>
      </c>
      <c r="I111" s="64"/>
      <c r="J111" s="64"/>
    </row>
    <row r="112" spans="1:11" x14ac:dyDescent="0.6">
      <c r="A112" s="14"/>
      <c r="B112" s="60" t="s">
        <v>68</v>
      </c>
      <c r="C112" s="64">
        <f t="shared" ref="C112:H112" si="28">+(SUMPRODUCT(C44:C48,L8:L12)+SUMPRODUCT(C53:C55,L17:L19))*C94/1000</f>
        <v>9454.9052190455477</v>
      </c>
      <c r="D112" s="64">
        <f t="shared" si="28"/>
        <v>9.9161530055977529</v>
      </c>
      <c r="E112" s="64">
        <f t="shared" si="28"/>
        <v>248.61524500214745</v>
      </c>
      <c r="F112" s="64">
        <f t="shared" si="28"/>
        <v>91.889290309960515</v>
      </c>
      <c r="G112" s="64">
        <f t="shared" si="28"/>
        <v>70.266442935464042</v>
      </c>
      <c r="H112" s="64">
        <f t="shared" si="28"/>
        <v>4118.3791926426557</v>
      </c>
      <c r="I112" s="64"/>
      <c r="J112" s="64"/>
    </row>
    <row r="113" spans="1:10" x14ac:dyDescent="0.6">
      <c r="A113" s="14"/>
      <c r="C113" s="62"/>
      <c r="D113" s="62"/>
      <c r="E113" s="62"/>
      <c r="F113" s="62"/>
      <c r="G113" s="62"/>
      <c r="H113" s="62"/>
      <c r="I113" s="62"/>
      <c r="J113" s="62"/>
    </row>
    <row r="114" spans="1:10" x14ac:dyDescent="0.6">
      <c r="A114" s="14"/>
      <c r="B114" s="3" t="s">
        <v>71</v>
      </c>
      <c r="C114" s="65">
        <f>+C106+C110</f>
        <v>30349.637425876521</v>
      </c>
      <c r="D114" s="65">
        <f t="shared" ref="D114:H114" si="29">+D106+D110</f>
        <v>29.99908958957721</v>
      </c>
      <c r="E114" s="65">
        <f t="shared" si="29"/>
        <v>674.55147467010443</v>
      </c>
      <c r="F114" s="65">
        <f t="shared" si="29"/>
        <v>291.62478217490627</v>
      </c>
      <c r="G114" s="65">
        <f t="shared" si="29"/>
        <v>224.45270902847841</v>
      </c>
      <c r="H114" s="65">
        <f t="shared" si="29"/>
        <v>14265.176517314085</v>
      </c>
      <c r="I114" s="65"/>
      <c r="J114" s="65"/>
    </row>
    <row r="115" spans="1:10" x14ac:dyDescent="0.6">
      <c r="A115" s="14"/>
    </row>
    <row r="116" spans="1:10" x14ac:dyDescent="0.6">
      <c r="A116" s="14"/>
      <c r="B116" s="3" t="s">
        <v>72</v>
      </c>
      <c r="C116" s="64">
        <f>SUM(C114:H114)</f>
        <v>45835.441998653674</v>
      </c>
      <c r="D116" s="66"/>
      <c r="E116" s="58"/>
    </row>
    <row r="117" spans="1:10" x14ac:dyDescent="0.6">
      <c r="A117" s="14"/>
    </row>
    <row r="118" spans="1:10" x14ac:dyDescent="0.6">
      <c r="A118" s="14"/>
    </row>
    <row r="119" spans="1:10" x14ac:dyDescent="0.6">
      <c r="A119" s="54" t="s">
        <v>76</v>
      </c>
      <c r="B119" s="13" t="s">
        <v>77</v>
      </c>
      <c r="C119" s="62"/>
    </row>
    <row r="120" spans="1:10" x14ac:dyDescent="0.6">
      <c r="A120" s="14"/>
      <c r="B120" s="8" t="s">
        <v>78</v>
      </c>
      <c r="C120" s="62"/>
    </row>
    <row r="121" spans="1:10" x14ac:dyDescent="0.6">
      <c r="A121" s="14"/>
      <c r="B121" s="12"/>
      <c r="C121" s="62"/>
    </row>
    <row r="122" spans="1:10" x14ac:dyDescent="0.6">
      <c r="A122" s="14"/>
      <c r="B122" s="33"/>
      <c r="C122" s="35" t="str">
        <f t="shared" ref="C122:H122" si="30">+C6</f>
        <v>SC1</v>
      </c>
      <c r="D122" s="35" t="str">
        <f t="shared" si="30"/>
        <v>SC3</v>
      </c>
      <c r="E122" s="35" t="str">
        <f t="shared" si="30"/>
        <v>SC2 ND</v>
      </c>
      <c r="F122" s="35" t="str">
        <f t="shared" si="30"/>
        <v>SC4</v>
      </c>
      <c r="G122" s="35" t="str">
        <f t="shared" si="30"/>
        <v>SC6</v>
      </c>
      <c r="H122" s="35" t="str">
        <f t="shared" si="30"/>
        <v>SC2 Dem</v>
      </c>
      <c r="I122" s="35" t="str">
        <f>$I$24</f>
        <v>SC1 TOD</v>
      </c>
      <c r="J122" s="19"/>
    </row>
    <row r="123" spans="1:10" x14ac:dyDescent="0.6">
      <c r="A123" s="14"/>
      <c r="C123" s="63"/>
    </row>
    <row r="124" spans="1:10" x14ac:dyDescent="0.6">
      <c r="A124" s="14"/>
      <c r="B124" s="21" t="s">
        <v>64</v>
      </c>
      <c r="C124" s="58">
        <f t="shared" ref="C124" si="31">+C106/SUM(C49:C52)*1000</f>
        <v>40.582467467529099</v>
      </c>
      <c r="D124" s="58">
        <f>+D106/SUM(D49:D52)*1000</f>
        <v>41.575731355466012</v>
      </c>
      <c r="E124" s="58">
        <f>+E106/SUM(E49:E52)*1000</f>
        <v>41.159569105972551</v>
      </c>
      <c r="F124" s="58">
        <f>+F106/SUM(F49:F52)*1000</f>
        <v>41.324120478550284</v>
      </c>
      <c r="G124" s="58">
        <f>+G106/SUM(G49:G52)*1000</f>
        <v>41.193467716561834</v>
      </c>
      <c r="H124" s="58">
        <f>+H106/SUM(H49:H52)*1000</f>
        <v>41.759621785809443</v>
      </c>
      <c r="I124" s="58">
        <f>+C106/SUM(C49:C52)*1000</f>
        <v>40.582467467529099</v>
      </c>
      <c r="J124" s="58"/>
    </row>
    <row r="125" spans="1:10" x14ac:dyDescent="0.6">
      <c r="A125" s="14"/>
      <c r="B125" s="60" t="s">
        <v>79</v>
      </c>
      <c r="C125" s="64"/>
      <c r="D125" s="58">
        <f>D89+S94</f>
        <v>51.327927306822886</v>
      </c>
      <c r="E125" s="64"/>
      <c r="F125" s="64"/>
      <c r="G125" s="64"/>
      <c r="H125" s="64"/>
      <c r="I125" s="58">
        <f>C89+V94</f>
        <v>52.270526375763737</v>
      </c>
      <c r="J125" s="58"/>
    </row>
    <row r="126" spans="1:10" x14ac:dyDescent="0.6">
      <c r="A126" s="14"/>
      <c r="B126" s="60" t="s">
        <v>80</v>
      </c>
      <c r="C126" s="64"/>
      <c r="D126" s="58">
        <f>D90+S94</f>
        <v>34.64685892548588</v>
      </c>
      <c r="E126" s="64"/>
      <c r="F126" s="64"/>
      <c r="G126" s="64"/>
      <c r="H126" s="64"/>
      <c r="I126" s="58">
        <f>C90+V94</f>
        <v>35.35008441678977</v>
      </c>
      <c r="J126" s="58"/>
    </row>
    <row r="127" spans="1:10" x14ac:dyDescent="0.6">
      <c r="A127" s="14"/>
      <c r="C127" s="65"/>
      <c r="D127" s="65"/>
      <c r="E127" s="65"/>
      <c r="F127" s="65"/>
      <c r="G127" s="65"/>
      <c r="H127" s="65"/>
      <c r="I127" s="65"/>
      <c r="J127" s="65"/>
    </row>
    <row r="128" spans="1:10" x14ac:dyDescent="0.6">
      <c r="A128" s="14"/>
      <c r="B128" s="21" t="s">
        <v>70</v>
      </c>
      <c r="C128" s="62">
        <f t="shared" ref="C128" si="32">+C110/SUM(C44:C48,C53:C55)*1000</f>
        <v>47.086161120021337</v>
      </c>
      <c r="D128" s="62">
        <f>+D110/SUM(D44:D48,D53:D55)*1000</f>
        <v>47.173976372836464</v>
      </c>
      <c r="E128" s="62">
        <f>+E110/SUM(E44:E48,E53:E55)*1000</f>
        <v>48.051561287421713</v>
      </c>
      <c r="F128" s="62">
        <f>+F110/SUM(F44:F48,F53:F55)*1000</f>
        <v>47.6202407609712</v>
      </c>
      <c r="G128" s="62">
        <f>+G110/SUM(G44:G48,G53:G55)*1000</f>
        <v>47.398837478098642</v>
      </c>
      <c r="H128" s="62">
        <f>+H110/SUM(H44:H48,H53:H55)*1000</f>
        <v>47.613929838348199</v>
      </c>
      <c r="I128" s="62">
        <f>C128</f>
        <v>47.086161120021337</v>
      </c>
      <c r="J128" s="62"/>
    </row>
    <row r="129" spans="1:21" x14ac:dyDescent="0.6">
      <c r="A129" s="14"/>
      <c r="B129" s="60" t="s">
        <v>79</v>
      </c>
      <c r="C129" s="64"/>
      <c r="D129" s="58">
        <f>D93+S89</f>
        <v>52.273284722006373</v>
      </c>
      <c r="E129" s="64"/>
      <c r="F129" s="64"/>
      <c r="G129" s="64"/>
      <c r="H129" s="64"/>
      <c r="I129" s="58">
        <f>C93+V89</f>
        <v>53.196287756563223</v>
      </c>
      <c r="J129" s="58"/>
    </row>
    <row r="130" spans="1:21" x14ac:dyDescent="0.6">
      <c r="A130" s="14"/>
      <c r="B130" s="60" t="s">
        <v>80</v>
      </c>
      <c r="C130" s="64"/>
      <c r="D130" s="58">
        <f>D94+S89</f>
        <v>44.348728056933979</v>
      </c>
      <c r="E130" s="64"/>
      <c r="F130" s="64"/>
      <c r="G130" s="64"/>
      <c r="H130" s="64"/>
      <c r="I130" s="58">
        <f>C94+V89</f>
        <v>45.119315461845808</v>
      </c>
      <c r="J130" s="58"/>
    </row>
    <row r="131" spans="1:21" x14ac:dyDescent="0.6">
      <c r="A131" s="14"/>
      <c r="C131" s="62"/>
      <c r="D131" s="62"/>
      <c r="E131" s="62"/>
      <c r="F131" s="62"/>
      <c r="G131" s="62"/>
      <c r="H131" s="62"/>
      <c r="I131" s="62"/>
      <c r="J131" s="62"/>
    </row>
    <row r="132" spans="1:21" x14ac:dyDescent="0.6">
      <c r="A132" s="14"/>
      <c r="B132" s="3" t="s">
        <v>81</v>
      </c>
      <c r="C132" s="58">
        <f t="shared" ref="C132:H132" si="33">(C124*SUM(C49:C52)+C128*SUM(C44:C48,C53:C55))/C56</f>
        <v>44.215581637963041</v>
      </c>
      <c r="D132" s="58">
        <f t="shared" si="33"/>
        <v>45.29363574974326</v>
      </c>
      <c r="E132" s="58">
        <f t="shared" si="33"/>
        <v>46.113718530906787</v>
      </c>
      <c r="F132" s="58">
        <f t="shared" si="33"/>
        <v>45.849348663612339</v>
      </c>
      <c r="G132" s="58">
        <f t="shared" si="33"/>
        <v>45.620469314731388</v>
      </c>
      <c r="H132" s="58">
        <f t="shared" si="33"/>
        <v>45.385588214492977</v>
      </c>
      <c r="I132" s="58">
        <f>(I124*SUM(C49:C52)+I128*SUM(C44:C48,C53:C55))/C56</f>
        <v>44.215581637963041</v>
      </c>
      <c r="J132" s="58"/>
      <c r="L132" s="3">
        <v>42644</v>
      </c>
    </row>
    <row r="133" spans="1:21" x14ac:dyDescent="0.6">
      <c r="A133" s="14"/>
      <c r="B133" s="3" t="s">
        <v>82</v>
      </c>
      <c r="C133" s="58">
        <f>+C116/SUM(C56:H56)*1000</f>
        <v>44.618128174114347</v>
      </c>
      <c r="L133" s="3">
        <f>L136-L132</f>
        <v>3165</v>
      </c>
    </row>
    <row r="134" spans="1:21" x14ac:dyDescent="0.6">
      <c r="A134" s="14"/>
    </row>
    <row r="135" spans="1:21" x14ac:dyDescent="0.6">
      <c r="A135" s="54" t="s">
        <v>83</v>
      </c>
      <c r="B135" s="13" t="s">
        <v>84</v>
      </c>
    </row>
    <row r="136" spans="1:21" x14ac:dyDescent="0.6">
      <c r="A136" s="14"/>
      <c r="B136" s="8" t="str">
        <f>"Obligations - annual average forecasted for " &amp;M1-1 &amp;"; costs are market estimates"</f>
        <v>Obligations - annual average forecasted for 2023; costs are market estimates</v>
      </c>
      <c r="L136" s="67">
        <f>(DATE($M$1+1,6,1))</f>
        <v>45809</v>
      </c>
    </row>
    <row r="137" spans="1:21" x14ac:dyDescent="0.6">
      <c r="A137" s="14"/>
      <c r="B137" s="12" t="s">
        <v>85</v>
      </c>
      <c r="C137" s="35" t="str">
        <f t="shared" ref="C137:H137" si="34">+C6</f>
        <v>SC1</v>
      </c>
      <c r="D137" s="35" t="str">
        <f t="shared" si="34"/>
        <v>SC3</v>
      </c>
      <c r="E137" s="35" t="str">
        <f t="shared" si="34"/>
        <v>SC2 ND</v>
      </c>
      <c r="F137" s="35" t="str">
        <f t="shared" si="34"/>
        <v>SC4</v>
      </c>
      <c r="G137" s="35" t="str">
        <f t="shared" si="34"/>
        <v>SC6</v>
      </c>
      <c r="H137" s="35" t="str">
        <f t="shared" si="34"/>
        <v>SC2 Dem</v>
      </c>
      <c r="I137" s="35" t="s">
        <v>86</v>
      </c>
      <c r="J137" s="19"/>
      <c r="L137" s="67">
        <f>(DATE($M$1,10,1))</f>
        <v>45566</v>
      </c>
    </row>
    <row r="138" spans="1:21" x14ac:dyDescent="0.6">
      <c r="A138" s="14"/>
      <c r="L138" s="3">
        <f>L136-L137</f>
        <v>243</v>
      </c>
    </row>
    <row r="139" spans="1:21" x14ac:dyDescent="0.6">
      <c r="A139" s="14"/>
      <c r="B139" s="3" t="s">
        <v>87</v>
      </c>
      <c r="C139" s="68">
        <v>296.08499999999998</v>
      </c>
      <c r="D139" s="68">
        <v>0.112</v>
      </c>
      <c r="E139" s="68">
        <v>2.7789999999999999</v>
      </c>
      <c r="F139" s="69">
        <v>0</v>
      </c>
      <c r="G139" s="69">
        <v>0</v>
      </c>
      <c r="H139" s="68">
        <v>81.811000000000007</v>
      </c>
      <c r="I139" s="68">
        <f>SUM(C139:H139)</f>
        <v>380.78700000000003</v>
      </c>
      <c r="J139" s="300" t="b">
        <v>1</v>
      </c>
      <c r="K139" s="68"/>
      <c r="L139" s="68"/>
      <c r="M139" s="68"/>
      <c r="N139" s="68"/>
      <c r="O139" s="68"/>
      <c r="P139" s="68"/>
      <c r="Q139" s="68"/>
      <c r="R139" s="51"/>
      <c r="S139" s="51"/>
      <c r="T139" s="51"/>
      <c r="U139" s="51"/>
    </row>
    <row r="140" spans="1:21" x14ac:dyDescent="0.6">
      <c r="A140" s="14"/>
      <c r="C140" s="68"/>
      <c r="D140" s="68"/>
      <c r="E140" s="68"/>
      <c r="F140" s="68"/>
      <c r="G140" s="68"/>
      <c r="H140" s="68"/>
      <c r="I140" s="68"/>
    </row>
    <row r="141" spans="1:21" x14ac:dyDescent="0.6">
      <c r="A141" s="14"/>
      <c r="B141" s="3" t="s">
        <v>88</v>
      </c>
      <c r="C141" s="68">
        <v>270.23700000000002</v>
      </c>
      <c r="D141" s="68">
        <v>0.10100000000000001</v>
      </c>
      <c r="E141" s="68">
        <v>2.5790000000000002</v>
      </c>
      <c r="F141" s="69">
        <v>0</v>
      </c>
      <c r="G141" s="69">
        <v>0</v>
      </c>
      <c r="H141" s="68">
        <v>75.552999999999997</v>
      </c>
      <c r="I141" s="68">
        <f>SUM(C141:H141)</f>
        <v>348.47</v>
      </c>
      <c r="J141" s="300" t="b">
        <v>1</v>
      </c>
      <c r="K141" s="68"/>
      <c r="L141" s="68"/>
      <c r="P141" s="68"/>
      <c r="Q141" s="68"/>
      <c r="R141" s="51"/>
      <c r="S141" s="51"/>
      <c r="T141" s="51"/>
      <c r="U141" s="51"/>
    </row>
    <row r="142" spans="1:21" x14ac:dyDescent="0.6">
      <c r="A142" s="14"/>
      <c r="C142" s="69"/>
      <c r="D142" s="69"/>
      <c r="E142" s="69"/>
      <c r="F142" s="69"/>
      <c r="G142" s="69"/>
      <c r="H142" s="69"/>
      <c r="I142" s="69"/>
      <c r="J142" s="69"/>
    </row>
    <row r="143" spans="1:21" x14ac:dyDescent="0.6">
      <c r="A143" s="14"/>
      <c r="B143" s="3" t="s">
        <v>89</v>
      </c>
      <c r="F143" s="69"/>
      <c r="G143" s="69"/>
      <c r="H143" s="69"/>
      <c r="I143" s="70"/>
      <c r="J143" s="69"/>
    </row>
    <row r="144" spans="1:21" x14ac:dyDescent="0.6">
      <c r="A144" s="14"/>
      <c r="D144" s="37" t="s">
        <v>90</v>
      </c>
      <c r="E144" s="71">
        <f>(DATE($M$1,10,1))-(DATE($M$1,6,1))</f>
        <v>122</v>
      </c>
      <c r="G144" s="37" t="s">
        <v>91</v>
      </c>
      <c r="H144" s="3">
        <v>4</v>
      </c>
      <c r="I144" s="69"/>
      <c r="J144" s="69"/>
      <c r="K144" s="72"/>
      <c r="L144" s="73"/>
    </row>
    <row r="145" spans="1:12" x14ac:dyDescent="0.6">
      <c r="A145" s="14"/>
      <c r="D145" s="39" t="s">
        <v>92</v>
      </c>
      <c r="E145" s="71">
        <f>(DATE($M$1+1,6,1))-(DATE($M$1,10,1))</f>
        <v>243</v>
      </c>
      <c r="G145" s="39" t="s">
        <v>93</v>
      </c>
      <c r="H145" s="3">
        <v>8</v>
      </c>
      <c r="I145" s="69"/>
      <c r="J145" s="69"/>
      <c r="K145" s="72"/>
      <c r="L145" s="73"/>
    </row>
    <row r="146" spans="1:12" x14ac:dyDescent="0.6">
      <c r="A146" s="14"/>
      <c r="G146" s="37" t="s">
        <v>94</v>
      </c>
      <c r="H146" s="3">
        <f>+H144+H145</f>
        <v>12</v>
      </c>
      <c r="I146" s="69"/>
      <c r="J146" s="69"/>
      <c r="K146" s="69"/>
    </row>
    <row r="147" spans="1:12" x14ac:dyDescent="0.6">
      <c r="A147" s="14"/>
      <c r="B147" s="3" t="s">
        <v>95</v>
      </c>
      <c r="C147" s="65">
        <v>53766</v>
      </c>
      <c r="D147" s="74" t="s">
        <v>96</v>
      </c>
      <c r="E147" s="75">
        <f>C147/SUM(E144:E145)</f>
        <v>147.3041095890411</v>
      </c>
      <c r="F147" s="75"/>
    </row>
    <row r="148" spans="1:12" x14ac:dyDescent="0.6">
      <c r="A148" s="14"/>
    </row>
    <row r="149" spans="1:12" x14ac:dyDescent="0.6">
      <c r="A149" s="14"/>
      <c r="B149" s="3" t="s">
        <v>97</v>
      </c>
      <c r="C149" s="3" t="s">
        <v>98</v>
      </c>
      <c r="D149" s="76">
        <f>F449</f>
        <v>70.2</v>
      </c>
      <c r="E149" s="74" t="s">
        <v>99</v>
      </c>
      <c r="G149" s="39" t="s">
        <v>100</v>
      </c>
      <c r="H149" s="37" t="s">
        <v>101</v>
      </c>
      <c r="I149" s="62">
        <f>+D149*365/1000</f>
        <v>25.623000000000001</v>
      </c>
      <c r="J149" s="3" t="s">
        <v>102</v>
      </c>
    </row>
    <row r="150" spans="1:12" x14ac:dyDescent="0.6">
      <c r="A150" s="14"/>
      <c r="B150" s="77" t="s">
        <v>103</v>
      </c>
      <c r="C150" s="3" t="s">
        <v>104</v>
      </c>
      <c r="D150" s="76">
        <f>F451</f>
        <v>58.46</v>
      </c>
      <c r="E150" s="74" t="s">
        <v>99</v>
      </c>
      <c r="H150" s="37" t="s">
        <v>105</v>
      </c>
      <c r="I150" s="62">
        <f>+D150*365/1000</f>
        <v>21.337900000000001</v>
      </c>
      <c r="J150" s="3" t="s">
        <v>102</v>
      </c>
      <c r="L150" s="67"/>
    </row>
    <row r="151" spans="1:12" x14ac:dyDescent="0.6">
      <c r="A151" s="14"/>
      <c r="D151" s="76"/>
      <c r="E151" s="74"/>
      <c r="H151" s="37"/>
      <c r="I151" s="62"/>
      <c r="L151" s="67"/>
    </row>
    <row r="152" spans="1:12" x14ac:dyDescent="0.6">
      <c r="A152" s="14"/>
      <c r="B152" s="77" t="s">
        <v>106</v>
      </c>
      <c r="L152" s="73"/>
    </row>
    <row r="153" spans="1:12" x14ac:dyDescent="0.6">
      <c r="A153" s="14"/>
      <c r="B153" s="8" t="s">
        <v>107</v>
      </c>
    </row>
    <row r="154" spans="1:12" x14ac:dyDescent="0.6">
      <c r="A154" s="14"/>
      <c r="B154" s="12"/>
      <c r="C154" s="78" t="str">
        <f>" ---------- "&amp;C6&amp;" ----------"</f>
        <v xml:space="preserve"> ---------- SC1 ----------</v>
      </c>
      <c r="D154" s="79"/>
      <c r="E154" s="79"/>
      <c r="H154" s="78"/>
      <c r="I154" s="79"/>
      <c r="J154" s="79"/>
    </row>
    <row r="155" spans="1:12" x14ac:dyDescent="0.6">
      <c r="A155" s="14"/>
      <c r="C155" s="37" t="s">
        <v>108</v>
      </c>
      <c r="D155" s="37"/>
      <c r="E155" s="37" t="s">
        <v>109</v>
      </c>
      <c r="H155" s="78"/>
      <c r="I155" s="79"/>
      <c r="J155" s="79"/>
    </row>
    <row r="156" spans="1:12" x14ac:dyDescent="0.6">
      <c r="A156" s="14"/>
      <c r="B156" s="39" t="s">
        <v>110</v>
      </c>
      <c r="C156" s="80">
        <v>5.6639999999999997</v>
      </c>
      <c r="D156" s="3" t="s">
        <v>111</v>
      </c>
      <c r="E156" s="25">
        <v>0.42970000000000003</v>
      </c>
      <c r="H156" s="78"/>
      <c r="I156" s="79"/>
      <c r="J156" s="79"/>
    </row>
    <row r="157" spans="1:12" x14ac:dyDescent="0.6">
      <c r="A157" s="14"/>
      <c r="B157" s="39" t="s">
        <v>112</v>
      </c>
      <c r="C157" s="80">
        <v>11.840999999999999</v>
      </c>
      <c r="D157" s="3" t="s">
        <v>111</v>
      </c>
      <c r="E157" s="25">
        <v>0.57030000000000003</v>
      </c>
      <c r="H157" s="78"/>
      <c r="I157" s="79"/>
      <c r="J157" s="79"/>
    </row>
    <row r="158" spans="1:12" x14ac:dyDescent="0.6">
      <c r="A158" s="14"/>
      <c r="B158" s="37" t="s">
        <v>113</v>
      </c>
      <c r="C158" s="80">
        <f>+C157-C156</f>
        <v>6.1769999999999996</v>
      </c>
      <c r="D158" s="3" t="s">
        <v>111</v>
      </c>
      <c r="H158" s="78"/>
      <c r="I158" s="79"/>
      <c r="J158" s="79"/>
    </row>
    <row r="159" spans="1:12" x14ac:dyDescent="0.6">
      <c r="A159" s="3"/>
      <c r="F159" s="12"/>
    </row>
    <row r="160" spans="1:12" x14ac:dyDescent="0.6">
      <c r="A160" s="54" t="s">
        <v>114</v>
      </c>
      <c r="B160" s="33" t="s">
        <v>115</v>
      </c>
    </row>
    <row r="161" spans="1:10" x14ac:dyDescent="0.6">
      <c r="A161" s="14"/>
      <c r="B161" s="12" t="s">
        <v>116</v>
      </c>
      <c r="D161" s="81">
        <f>H461</f>
        <v>22.94</v>
      </c>
      <c r="E161" s="77" t="s">
        <v>117</v>
      </c>
      <c r="F161" s="74"/>
    </row>
    <row r="162" spans="1:10" x14ac:dyDescent="0.6">
      <c r="A162" s="14"/>
      <c r="B162" s="12"/>
      <c r="F162" s="74"/>
    </row>
    <row r="163" spans="1:10" x14ac:dyDescent="0.6">
      <c r="A163" s="54" t="s">
        <v>118</v>
      </c>
      <c r="B163" s="33" t="s">
        <v>119</v>
      </c>
    </row>
    <row r="164" spans="1:10" x14ac:dyDescent="0.6">
      <c r="A164" s="9"/>
      <c r="B164" s="33"/>
    </row>
    <row r="165" spans="1:10" x14ac:dyDescent="0.6">
      <c r="A165" s="9"/>
      <c r="B165" s="33"/>
      <c r="C165" s="35" t="str">
        <f t="shared" ref="C165" si="35">+C6</f>
        <v>SC1</v>
      </c>
      <c r="D165" s="35" t="str">
        <f>+D6</f>
        <v>SC3</v>
      </c>
      <c r="E165" s="35" t="str">
        <f>+E6</f>
        <v>SC2 ND</v>
      </c>
      <c r="F165" s="35" t="str">
        <f>+F6</f>
        <v>SC4</v>
      </c>
      <c r="G165" s="35" t="str">
        <f>+G6</f>
        <v>SC6</v>
      </c>
      <c r="H165" s="35" t="str">
        <f>$I$24</f>
        <v>SC1 TOD</v>
      </c>
    </row>
    <row r="166" spans="1:10" x14ac:dyDescent="0.6">
      <c r="A166" s="9"/>
      <c r="B166" s="33"/>
    </row>
    <row r="167" spans="1:10" x14ac:dyDescent="0.6">
      <c r="A167" s="14"/>
      <c r="B167" s="37" t="s">
        <v>120</v>
      </c>
      <c r="C167" s="58">
        <f t="shared" ref="C167" si="36">(+$C$147*C141*$H$146/12)/C56</f>
        <v>21.167734221165471</v>
      </c>
      <c r="D167" s="58">
        <f>(+$C$147*D141*$H$146/12)/D56</f>
        <v>8.1989494666946889</v>
      </c>
      <c r="E167" s="58">
        <f>(+$C$147*E141*$H$146/12)/E56</f>
        <v>9.4792530762920428</v>
      </c>
      <c r="F167" s="58">
        <f>(+$C$147*F141*$H$146/12)/F56</f>
        <v>0</v>
      </c>
      <c r="G167" s="58">
        <f>(+$C$147*G141*$H$146/12)/G56</f>
        <v>0</v>
      </c>
      <c r="H167" s="58">
        <f>C167</f>
        <v>21.167734221165471</v>
      </c>
      <c r="I167" s="58"/>
      <c r="J167" s="58"/>
    </row>
    <row r="168" spans="1:10" x14ac:dyDescent="0.6">
      <c r="A168" s="14"/>
      <c r="B168" s="37"/>
      <c r="C168" s="58"/>
      <c r="D168" s="58"/>
      <c r="E168" s="58"/>
      <c r="F168" s="58"/>
      <c r="G168" s="58"/>
      <c r="H168" s="58"/>
      <c r="I168" s="58"/>
      <c r="J168" s="58"/>
    </row>
    <row r="169" spans="1:10" x14ac:dyDescent="0.6">
      <c r="A169" s="14"/>
      <c r="B169" s="37" t="s">
        <v>121</v>
      </c>
      <c r="C169" s="58"/>
      <c r="D169" s="58"/>
      <c r="E169" s="58"/>
      <c r="F169" s="58"/>
      <c r="G169" s="58"/>
      <c r="H169" s="58"/>
      <c r="I169" s="58"/>
      <c r="J169" s="58"/>
    </row>
    <row r="170" spans="1:10" x14ac:dyDescent="0.6">
      <c r="A170" s="14"/>
      <c r="B170" s="37" t="s">
        <v>122</v>
      </c>
      <c r="C170" s="58">
        <f t="shared" ref="C170" si="37">((+$D$149*$E$144*C139)+($D$150*$E$145*C139))/C56</f>
        <v>9.8221079988700986</v>
      </c>
      <c r="D170" s="58">
        <f>((+$D$149*$E$144*D139)+($D$150*$E$145*D139))/D56</f>
        <v>3.8504686753645543</v>
      </c>
      <c r="E170" s="58">
        <f>((+$D$149*$E$144*E139)+($D$150*$E$145*E139))/E56</f>
        <v>4.3258360828547993</v>
      </c>
      <c r="F170" s="58">
        <f>((+$D$149*$E$144*F139)+($D$150*$E$145*F139))/F56</f>
        <v>0</v>
      </c>
      <c r="G170" s="58">
        <f>((+$D$149*$E$144*G139)+($D$150*$E$145*G139))/G56</f>
        <v>0</v>
      </c>
      <c r="H170" s="58">
        <f>C170</f>
        <v>9.8221079988700986</v>
      </c>
      <c r="I170" s="58"/>
      <c r="J170" s="58"/>
    </row>
    <row r="171" spans="1:10" x14ac:dyDescent="0.6">
      <c r="A171" s="14"/>
      <c r="B171" s="37" t="s">
        <v>123</v>
      </c>
      <c r="C171" s="58">
        <f t="shared" ref="C171" si="38">C$139*$D149*$E144/SUM(C$49:C$52)</f>
        <v>8.3700043564590008</v>
      </c>
      <c r="D171" s="58">
        <f>D$139*$D149*$E144/SUM(D$49:D$52)</f>
        <v>4.3118083302001518</v>
      </c>
      <c r="E171" s="58">
        <f>E$139*$D149*$E144/SUM(E$49:E$52)</f>
        <v>5.7866442013129102</v>
      </c>
      <c r="F171" s="58">
        <f>F$139*$D149*$E144/SUM(F$49:F$52)</f>
        <v>0</v>
      </c>
      <c r="G171" s="58">
        <f>G$139*$D149*$E144/SUM(G$49:G$52)</f>
        <v>0</v>
      </c>
      <c r="H171" s="58">
        <f>C171</f>
        <v>8.3700043564590008</v>
      </c>
      <c r="I171" s="58"/>
      <c r="J171" s="58"/>
    </row>
    <row r="172" spans="1:10" x14ac:dyDescent="0.6">
      <c r="A172" s="14"/>
      <c r="B172" s="37" t="s">
        <v>124</v>
      </c>
      <c r="C172" s="58">
        <f t="shared" ref="C172" si="39">C$139*$D150*$E145/(SUM(C$44:C$48)+SUM(C$53:C$55))</f>
        <v>10.9694374595431</v>
      </c>
      <c r="D172" s="58">
        <f>D$139*$D150*$E145/(SUM(D$44:D$48)+SUM(D$53:D$55))</f>
        <v>3.6171448450459409</v>
      </c>
      <c r="E172" s="58">
        <f>E$139*$D150*$E145/(SUM(E$44:E$48)+SUM(E$53:E$55))</f>
        <v>3.7544329643366621</v>
      </c>
      <c r="F172" s="58">
        <f>F$139*$D150*$E145/(SUM(F$44:F$48)+SUM(F$53:F$55))</f>
        <v>0</v>
      </c>
      <c r="G172" s="58">
        <f>G$139*$D150*$E145/(SUM(G$44:G$48)+SUM(G$53:G$55))</f>
        <v>0</v>
      </c>
      <c r="H172" s="58">
        <f>C172</f>
        <v>10.9694374595431</v>
      </c>
      <c r="I172" s="58"/>
      <c r="J172" s="58"/>
    </row>
    <row r="173" spans="1:10" x14ac:dyDescent="0.6">
      <c r="A173" s="14"/>
      <c r="C173" s="63"/>
      <c r="D173" s="63"/>
      <c r="E173" s="63"/>
      <c r="F173" s="63"/>
      <c r="G173" s="63"/>
      <c r="H173" s="63"/>
      <c r="I173" s="58"/>
      <c r="J173" s="58"/>
    </row>
    <row r="174" spans="1:10" x14ac:dyDescent="0.6">
      <c r="A174" s="14"/>
      <c r="C174" s="82"/>
      <c r="D174" s="82"/>
      <c r="E174" s="82"/>
      <c r="F174" s="82"/>
      <c r="G174" s="82"/>
    </row>
    <row r="175" spans="1:10" x14ac:dyDescent="0.6">
      <c r="A175" s="54" t="s">
        <v>125</v>
      </c>
      <c r="B175" s="33" t="s">
        <v>126</v>
      </c>
    </row>
    <row r="176" spans="1:10" x14ac:dyDescent="0.6">
      <c r="A176" s="14"/>
      <c r="B176" s="33"/>
      <c r="C176" s="63"/>
      <c r="D176" s="63"/>
      <c r="E176" s="63"/>
      <c r="F176" s="63"/>
      <c r="G176" s="63"/>
    </row>
    <row r="177" spans="1:8" x14ac:dyDescent="0.6">
      <c r="A177" s="14"/>
      <c r="B177" s="13" t="s">
        <v>127</v>
      </c>
      <c r="C177" s="82"/>
      <c r="D177" s="82"/>
      <c r="E177" s="82"/>
      <c r="F177" s="82"/>
      <c r="G177" s="82"/>
    </row>
    <row r="178" spans="1:8" x14ac:dyDescent="0.6">
      <c r="A178" s="14"/>
      <c r="B178" s="12"/>
    </row>
    <row r="179" spans="1:8" x14ac:dyDescent="0.6">
      <c r="A179" s="14"/>
      <c r="C179" s="35" t="str">
        <f t="shared" ref="C179" si="40">+C6</f>
        <v>SC1</v>
      </c>
      <c r="D179" s="35" t="str">
        <f>+D6</f>
        <v>SC3</v>
      </c>
      <c r="E179" s="35" t="str">
        <f>+E6</f>
        <v>SC2 ND</v>
      </c>
      <c r="F179" s="35" t="str">
        <f>+F6</f>
        <v>SC4</v>
      </c>
      <c r="G179" s="35" t="str">
        <f>+G6</f>
        <v>SC6</v>
      </c>
      <c r="H179" s="35" t="str">
        <f>$I$24</f>
        <v>SC1 TOD</v>
      </c>
    </row>
    <row r="180" spans="1:8" x14ac:dyDescent="0.6">
      <c r="A180" s="14"/>
      <c r="C180" s="19"/>
      <c r="D180" s="58"/>
      <c r="E180" s="19"/>
      <c r="H180" s="58"/>
    </row>
    <row r="181" spans="1:8" x14ac:dyDescent="0.6">
      <c r="A181" s="14"/>
      <c r="B181" s="21" t="s">
        <v>64</v>
      </c>
      <c r="C181" s="83">
        <f t="shared" ref="C181" si="41">+C124+$D$161+C$167+C171</f>
        <v>93.060206045153578</v>
      </c>
      <c r="D181" s="58">
        <f>+D124+$D$161+D$167+D171</f>
        <v>77.026489152360853</v>
      </c>
      <c r="E181" s="58">
        <f>+E124+$D$161+E$167+E171</f>
        <v>79.365466383577498</v>
      </c>
      <c r="F181" s="58">
        <f>+F124+$D$161+F$167+F171</f>
        <v>64.264120478550282</v>
      </c>
      <c r="G181" s="58">
        <f>+G124+$D$161+G$167+G171</f>
        <v>64.133467716561839</v>
      </c>
      <c r="H181" s="58">
        <f>+I124+$D$161+C$167+C171</f>
        <v>93.060206045153578</v>
      </c>
    </row>
    <row r="182" spans="1:8" x14ac:dyDescent="0.6">
      <c r="A182" s="14"/>
      <c r="B182" s="60" t="s">
        <v>79</v>
      </c>
      <c r="C182" s="58"/>
      <c r="D182" s="83">
        <f>+D125+$D$161+D$167+(D171*M48/M49)</f>
        <v>92.84204172387112</v>
      </c>
      <c r="E182" s="58"/>
      <c r="F182" s="58"/>
      <c r="G182" s="58"/>
      <c r="H182" s="83">
        <f>+I125+$D$161+C$167+(C171*R48/R49)</f>
        <v>123.50712625562517</v>
      </c>
    </row>
    <row r="183" spans="1:8" x14ac:dyDescent="0.6">
      <c r="A183" s="14"/>
      <c r="B183" s="60" t="s">
        <v>80</v>
      </c>
      <c r="C183" s="58"/>
      <c r="D183" s="83">
        <f>+D126+$D$161+D$167</f>
        <v>65.78580839218057</v>
      </c>
      <c r="E183" s="58"/>
      <c r="F183" s="58"/>
      <c r="G183" s="58"/>
      <c r="H183" s="83">
        <f>+I126+$D$161+C$167</f>
        <v>79.457818637955242</v>
      </c>
    </row>
    <row r="184" spans="1:8" x14ac:dyDescent="0.6">
      <c r="A184" s="14"/>
      <c r="B184" s="37" t="s">
        <v>128</v>
      </c>
      <c r="C184" s="58">
        <f>(C181*SUM(C49:C52)-C158*10*E157*SUM(C49:C52))/SUM(C49:C52)</f>
        <v>57.832775045153561</v>
      </c>
      <c r="D184" s="58"/>
      <c r="E184" s="58"/>
      <c r="F184" s="58"/>
      <c r="G184" s="58"/>
      <c r="H184" s="58"/>
    </row>
    <row r="185" spans="1:8" x14ac:dyDescent="0.6">
      <c r="A185" s="14"/>
      <c r="B185" s="37" t="s">
        <v>129</v>
      </c>
      <c r="C185" s="58">
        <f>C184+C158*10</f>
        <v>119.60277504515355</v>
      </c>
      <c r="D185" s="58"/>
      <c r="E185" s="58"/>
      <c r="F185" s="58"/>
      <c r="G185" s="58"/>
      <c r="H185" s="58"/>
    </row>
    <row r="186" spans="1:8" x14ac:dyDescent="0.6">
      <c r="A186" s="14"/>
      <c r="B186" s="58"/>
      <c r="C186" s="58"/>
      <c r="D186" s="58"/>
      <c r="E186" s="58"/>
      <c r="F186" s="58"/>
      <c r="G186" s="58"/>
      <c r="H186" s="58"/>
    </row>
    <row r="187" spans="1:8" x14ac:dyDescent="0.6">
      <c r="A187" s="14"/>
      <c r="C187" s="58"/>
      <c r="D187" s="58"/>
      <c r="E187" s="58"/>
      <c r="F187" s="58"/>
      <c r="G187" s="58"/>
      <c r="H187" s="58"/>
    </row>
    <row r="188" spans="1:8" x14ac:dyDescent="0.6">
      <c r="A188" s="14"/>
      <c r="B188" s="21" t="s">
        <v>70</v>
      </c>
      <c r="C188" s="83">
        <f t="shared" ref="C188" si="42">+C128+$D$161+C$167+C172</f>
        <v>102.16333280072992</v>
      </c>
      <c r="D188" s="58">
        <f>+D128+$D$161+D$167+D172</f>
        <v>81.930070684577089</v>
      </c>
      <c r="E188" s="58">
        <f>+E128+$D$161+E$167+E172</f>
        <v>84.225247328050415</v>
      </c>
      <c r="F188" s="58">
        <f>+F128+$D$161+F$167+F172</f>
        <v>70.560240760971197</v>
      </c>
      <c r="G188" s="58">
        <f>+G128+$D$161+G$167+G172</f>
        <v>70.33883747809864</v>
      </c>
      <c r="H188" s="58">
        <f>+C128+$D$161+C$167+C172</f>
        <v>102.16333280072992</v>
      </c>
    </row>
    <row r="189" spans="1:8" x14ac:dyDescent="0.6">
      <c r="A189" s="14"/>
      <c r="B189" s="60" t="s">
        <v>79</v>
      </c>
      <c r="C189" s="58"/>
      <c r="D189" s="83">
        <f>+D129+$D$161+D$167+(D172*M44/M45)</f>
        <v>93.563841307509449</v>
      </c>
      <c r="E189" s="58"/>
      <c r="F189" s="58"/>
      <c r="G189" s="58"/>
      <c r="H189" s="83">
        <f>+I129+$D$161+C$167+(C172*R44/R45)</f>
        <v>142.43284348454918</v>
      </c>
    </row>
    <row r="190" spans="1:8" x14ac:dyDescent="0.6">
      <c r="A190" s="14"/>
      <c r="B190" s="60" t="s">
        <v>80</v>
      </c>
      <c r="C190" s="58"/>
      <c r="D190" s="83">
        <f>+D130+$D$161+D$167</f>
        <v>75.487677523628662</v>
      </c>
      <c r="E190" s="58"/>
      <c r="F190" s="58"/>
      <c r="G190" s="58"/>
      <c r="H190" s="83">
        <f>+I130+$D$161+C$167</f>
        <v>89.227049683011288</v>
      </c>
    </row>
    <row r="191" spans="1:8" x14ac:dyDescent="0.6">
      <c r="A191" s="14"/>
      <c r="C191" s="58"/>
      <c r="D191" s="58"/>
      <c r="E191" s="58"/>
      <c r="F191" s="58"/>
      <c r="G191" s="58"/>
      <c r="H191" s="58"/>
    </row>
    <row r="192" spans="1:8" x14ac:dyDescent="0.6">
      <c r="A192" s="14"/>
      <c r="B192" s="3" t="s">
        <v>130</v>
      </c>
      <c r="C192" s="83">
        <f t="shared" ref="C192" si="43">+C132+$D$161+C$167+C170</f>
        <v>98.145423857998608</v>
      </c>
      <c r="D192" s="58">
        <f>+D132+$D$161+D$167+D170</f>
        <v>80.283053891802496</v>
      </c>
      <c r="E192" s="58">
        <f>+E132+$D$161+E$167+E170</f>
        <v>82.858807690053624</v>
      </c>
      <c r="F192" s="58">
        <f>+F132+$D$161+F$167+F170</f>
        <v>68.789348663612344</v>
      </c>
      <c r="G192" s="58">
        <f>+G132+$D$161+G$167+G170</f>
        <v>68.560469314731392</v>
      </c>
      <c r="H192" s="58">
        <f>+I132+$D$161+C$167+C170</f>
        <v>98.145423857998608</v>
      </c>
    </row>
    <row r="193" spans="1:26" x14ac:dyDescent="0.6">
      <c r="A193" s="14"/>
      <c r="C193" s="58"/>
      <c r="D193" s="58"/>
      <c r="E193" s="58"/>
      <c r="F193" s="58"/>
      <c r="G193" s="58"/>
      <c r="H193" s="58"/>
    </row>
    <row r="194" spans="1:26" x14ac:dyDescent="0.6">
      <c r="A194" s="14"/>
      <c r="B194" s="13" t="s">
        <v>131</v>
      </c>
    </row>
    <row r="195" spans="1:26" x14ac:dyDescent="0.6">
      <c r="A195" s="14"/>
      <c r="B195" s="12"/>
    </row>
    <row r="196" spans="1:26" x14ac:dyDescent="0.6">
      <c r="A196" s="14"/>
      <c r="C196" s="35" t="str">
        <f>+H6</f>
        <v>SC2 Dem</v>
      </c>
      <c r="D196" s="19"/>
      <c r="F196" s="33" t="s">
        <v>132</v>
      </c>
    </row>
    <row r="197" spans="1:26" x14ac:dyDescent="0.6">
      <c r="A197" s="14"/>
      <c r="C197" s="19"/>
      <c r="E197" s="33"/>
    </row>
    <row r="198" spans="1:26" x14ac:dyDescent="0.6">
      <c r="A198" s="14"/>
      <c r="B198" s="21" t="s">
        <v>64</v>
      </c>
      <c r="C198" s="58">
        <f>+H124+$D$161</f>
        <v>64.699621785809441</v>
      </c>
      <c r="F198" s="84" t="s">
        <v>133</v>
      </c>
    </row>
    <row r="199" spans="1:26" x14ac:dyDescent="0.6">
      <c r="A199" s="14"/>
      <c r="B199" s="60"/>
      <c r="C199" s="58"/>
    </row>
    <row r="200" spans="1:26" x14ac:dyDescent="0.6">
      <c r="A200" s="14"/>
      <c r="B200" s="60"/>
      <c r="C200" s="58"/>
      <c r="G200" s="35"/>
      <c r="H200" s="85" t="s">
        <v>134</v>
      </c>
      <c r="I200" s="85" t="s">
        <v>135</v>
      </c>
    </row>
    <row r="201" spans="1:26" x14ac:dyDescent="0.6">
      <c r="A201" s="14"/>
      <c r="C201" s="58"/>
    </row>
    <row r="202" spans="1:26" x14ac:dyDescent="0.6">
      <c r="A202" s="14"/>
      <c r="B202" s="21" t="s">
        <v>70</v>
      </c>
      <c r="C202" s="58">
        <f>+H128+$D$161</f>
        <v>70.553929838348196</v>
      </c>
      <c r="F202" s="37" t="s">
        <v>98</v>
      </c>
      <c r="G202" s="86"/>
      <c r="H202" s="87">
        <f>H213</f>
        <v>1.679</v>
      </c>
      <c r="I202" s="87">
        <f>I213</f>
        <v>1.679</v>
      </c>
    </row>
    <row r="203" spans="1:26" x14ac:dyDescent="0.6">
      <c r="A203" s="14"/>
      <c r="B203" s="60"/>
      <c r="C203" s="58"/>
      <c r="F203" s="37" t="s">
        <v>104</v>
      </c>
      <c r="G203" s="86"/>
      <c r="H203" s="87">
        <f>H214</f>
        <v>1.633</v>
      </c>
      <c r="I203" s="87">
        <f>I214</f>
        <v>1.633</v>
      </c>
    </row>
    <row r="204" spans="1:26" x14ac:dyDescent="0.6">
      <c r="A204" s="14"/>
      <c r="B204" s="60"/>
      <c r="C204" s="58"/>
    </row>
    <row r="205" spans="1:26" x14ac:dyDescent="0.6">
      <c r="A205" s="14"/>
      <c r="B205" s="60"/>
      <c r="C205" s="58"/>
      <c r="F205" s="88" t="s">
        <v>136</v>
      </c>
      <c r="H205" s="74"/>
    </row>
    <row r="206" spans="1:26" x14ac:dyDescent="0.6">
      <c r="A206" s="14"/>
      <c r="B206" s="3" t="s">
        <v>137</v>
      </c>
      <c r="C206" s="58">
        <f>+H132+$D$161</f>
        <v>68.325588214492981</v>
      </c>
      <c r="F206" s="37" t="s">
        <v>138</v>
      </c>
      <c r="G206" s="62">
        <f>+C147/1000/12</f>
        <v>4.4805000000000001</v>
      </c>
      <c r="H206" s="74" t="s">
        <v>139</v>
      </c>
      <c r="P206" s="61"/>
    </row>
    <row r="207" spans="1:26" x14ac:dyDescent="0.6">
      <c r="A207" s="54" t="s">
        <v>125</v>
      </c>
      <c r="B207" s="89" t="s">
        <v>140</v>
      </c>
      <c r="C207" s="58"/>
      <c r="K207" s="90" t="s">
        <v>132</v>
      </c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x14ac:dyDescent="0.6">
      <c r="A208" s="54"/>
      <c r="C208" s="58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7" x14ac:dyDescent="0.6">
      <c r="A209" s="14"/>
      <c r="B209" s="92" t="s">
        <v>141</v>
      </c>
      <c r="C209" s="58"/>
      <c r="D209" s="58"/>
      <c r="F209" s="93" t="s">
        <v>133</v>
      </c>
      <c r="K209" s="94" t="s">
        <v>133</v>
      </c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7" x14ac:dyDescent="0.6">
      <c r="A210" s="14"/>
      <c r="B210" s="21" t="s">
        <v>64</v>
      </c>
      <c r="C210" s="83">
        <f>(C198*Q48+($H213*($M$223/4*H144))+($I213*($M$223/4*H144))+($G206*$H144*H141*1000))/Q48</f>
        <v>85.663516506762804</v>
      </c>
      <c r="D210" s="83"/>
      <c r="F210" s="48"/>
      <c r="K210" s="91"/>
      <c r="L210" s="91"/>
      <c r="M210" s="91"/>
      <c r="N210" s="91"/>
      <c r="O210" s="91"/>
      <c r="P210" s="91"/>
      <c r="Q210" s="91"/>
      <c r="R210" s="91"/>
      <c r="S210" s="91"/>
      <c r="T210" s="301" t="s">
        <v>142</v>
      </c>
      <c r="U210" s="301"/>
      <c r="V210" s="95"/>
      <c r="W210" s="95"/>
      <c r="X210" s="91"/>
      <c r="Y210" s="91"/>
      <c r="Z210" s="91" t="s">
        <v>143</v>
      </c>
      <c r="AA210" s="3">
        <v>3</v>
      </c>
    </row>
    <row r="211" spans="1:27" x14ac:dyDescent="0.6">
      <c r="A211" s="14"/>
      <c r="B211" s="60"/>
      <c r="C211" s="58"/>
      <c r="D211" s="58"/>
      <c r="F211" s="48"/>
      <c r="K211" s="91"/>
      <c r="L211" s="96" t="str">
        <f>H6</f>
        <v>SC2 Dem</v>
      </c>
      <c r="M211" s="97" t="s">
        <v>144</v>
      </c>
      <c r="N211" s="97" t="s">
        <v>135</v>
      </c>
      <c r="O211" s="91"/>
      <c r="P211" s="91" t="s">
        <v>145</v>
      </c>
      <c r="Q211" s="98" t="s">
        <v>144</v>
      </c>
      <c r="R211" s="98" t="s">
        <v>135</v>
      </c>
      <c r="S211" s="98" t="s">
        <v>146</v>
      </c>
      <c r="T211" s="91" t="s">
        <v>147</v>
      </c>
      <c r="U211" s="91" t="s">
        <v>148</v>
      </c>
      <c r="V211" s="91" t="s">
        <v>149</v>
      </c>
      <c r="W211" s="91" t="s">
        <v>150</v>
      </c>
      <c r="X211" s="99">
        <v>1</v>
      </c>
      <c r="Y211" s="91"/>
      <c r="Z211" s="91"/>
    </row>
    <row r="212" spans="1:27" x14ac:dyDescent="0.6">
      <c r="A212" s="14"/>
      <c r="B212" s="60"/>
      <c r="C212" s="58"/>
      <c r="D212" s="58"/>
      <c r="F212" s="48"/>
      <c r="G212" s="35"/>
      <c r="H212" s="85" t="s">
        <v>134</v>
      </c>
      <c r="I212" s="85" t="s">
        <v>135</v>
      </c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7" x14ac:dyDescent="0.6">
      <c r="A213" s="14"/>
      <c r="C213" s="58"/>
      <c r="D213" s="58"/>
      <c r="F213" s="48" t="s">
        <v>98</v>
      </c>
      <c r="G213" s="87"/>
      <c r="H213" s="87">
        <f>M213</f>
        <v>1.679</v>
      </c>
      <c r="I213" s="87">
        <f>N213</f>
        <v>1.679</v>
      </c>
      <c r="K213" s="98" t="s">
        <v>98</v>
      </c>
      <c r="L213" s="100">
        <f>ROUND(H139*D149*E144/$M$223,3)</f>
        <v>2.0390000000000001</v>
      </c>
      <c r="M213" s="80">
        <f>ROUND((P213-V213*(1-$X$211)*R213)/S213,$AA$210)</f>
        <v>1.679</v>
      </c>
      <c r="N213" s="80">
        <f>ROUND(M213+V213*(1-$X$211),$AA$210)</f>
        <v>1.679</v>
      </c>
      <c r="O213" s="91"/>
      <c r="P213" s="100">
        <f>H139*D149*E144</f>
        <v>700662.12840000016</v>
      </c>
      <c r="Q213" s="101">
        <f>$M$229</f>
        <v>73750.797420715971</v>
      </c>
      <c r="R213" s="101">
        <f>$M$223</f>
        <v>343655.70257928403</v>
      </c>
      <c r="S213" s="102">
        <f>Q213+R213</f>
        <v>417406.5</v>
      </c>
      <c r="T213" s="103">
        <v>0.5</v>
      </c>
      <c r="U213" s="103">
        <v>1.93</v>
      </c>
      <c r="V213" s="91">
        <f>U213-T213</f>
        <v>1.43</v>
      </c>
      <c r="W213" s="91"/>
      <c r="X213" s="91"/>
      <c r="Y213" s="91"/>
      <c r="Z213" s="61">
        <f>M213*Q213+N213*R213</f>
        <v>700825.51350000012</v>
      </c>
      <c r="AA213" s="61">
        <f>P213-Z213</f>
        <v>-163.38509999995586</v>
      </c>
    </row>
    <row r="214" spans="1:27" x14ac:dyDescent="0.6">
      <c r="A214" s="14"/>
      <c r="B214" s="21" t="s">
        <v>70</v>
      </c>
      <c r="C214" s="83">
        <f>(C202*Q44+($H214*($M$224/8*H145))+($I214*($M$224/8*H145))+($G206*$H145*H141*1000))/Q44</f>
        <v>93.880558472070717</v>
      </c>
      <c r="D214" s="83"/>
      <c r="F214" s="48" t="s">
        <v>104</v>
      </c>
      <c r="G214" s="87"/>
      <c r="H214" s="87">
        <f>M214</f>
        <v>1.633</v>
      </c>
      <c r="I214" s="87">
        <f>N214</f>
        <v>1.633</v>
      </c>
      <c r="K214" s="98" t="s">
        <v>104</v>
      </c>
      <c r="L214" s="100">
        <f>ROUND(H139*D150*E145/$M$224,3)</f>
        <v>2.0710000000000002</v>
      </c>
      <c r="M214" s="3">
        <f>ROUND((P214-V214*(1-$X$211)*R214)/S214,$AA$210)</f>
        <v>1.633</v>
      </c>
      <c r="N214" s="80">
        <f>ROUND(M214+V214*(1-$X$211),$AA$210)</f>
        <v>1.633</v>
      </c>
      <c r="O214" s="91"/>
      <c r="P214" s="100">
        <f>H139*D150*E145</f>
        <v>1162189.06758</v>
      </c>
      <c r="Q214" s="101">
        <f>$M$230</f>
        <v>150417.71312084363</v>
      </c>
      <c r="R214" s="101">
        <f>$M$224</f>
        <v>561224.88687915634</v>
      </c>
      <c r="S214" s="102">
        <f>Q214+R214</f>
        <v>711642.6</v>
      </c>
      <c r="T214" s="103">
        <v>0.63</v>
      </c>
      <c r="U214" s="103">
        <v>1.48</v>
      </c>
      <c r="V214" s="91">
        <f>U214-T214</f>
        <v>0.85</v>
      </c>
      <c r="W214" s="91"/>
      <c r="X214" s="91"/>
      <c r="Y214" s="91"/>
      <c r="Z214" s="91"/>
    </row>
    <row r="215" spans="1:27" x14ac:dyDescent="0.6">
      <c r="A215" s="14"/>
      <c r="B215" s="60"/>
      <c r="C215" s="58"/>
      <c r="G215" s="82"/>
      <c r="H215" s="82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7" x14ac:dyDescent="0.6">
      <c r="A216" s="14"/>
      <c r="B216" s="60"/>
      <c r="C216" s="58"/>
      <c r="K216" s="104" t="s">
        <v>136</v>
      </c>
      <c r="L216" s="91"/>
      <c r="M216" s="105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7" x14ac:dyDescent="0.6">
      <c r="A217" s="14"/>
      <c r="B217" s="60"/>
      <c r="C217" s="58"/>
      <c r="G217" s="63"/>
      <c r="H217" s="63"/>
      <c r="K217" s="98" t="s">
        <v>138</v>
      </c>
      <c r="L217" s="106">
        <f>+C147/1000/12</f>
        <v>4.4805000000000001</v>
      </c>
      <c r="M217" s="105" t="s">
        <v>139</v>
      </c>
      <c r="N217" s="91"/>
      <c r="O217" s="91"/>
      <c r="P217" s="107">
        <f>P213+P214</f>
        <v>1862851.1959800003</v>
      </c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7" x14ac:dyDescent="0.6">
      <c r="A218" s="14"/>
      <c r="B218" s="3" t="s">
        <v>151</v>
      </c>
      <c r="C218" s="83">
        <f>(C206*H56+($H213*($M$229/4*H144)+$H214*($M$230/8*H145)+$I213*($M$223/4*H144)+$I214*($M$224/8*H145))+($G206*$H146*H141*1000))/H56</f>
        <v>87.176744930121941</v>
      </c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7" x14ac:dyDescent="0.6">
      <c r="A219" s="14"/>
      <c r="C219" s="64"/>
      <c r="D219" s="64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</row>
    <row r="220" spans="1:27" ht="13.75" thickBot="1" x14ac:dyDescent="0.75">
      <c r="A220" s="14"/>
      <c r="B220" s="33" t="s">
        <v>152</v>
      </c>
      <c r="C220" s="58"/>
      <c r="D220" s="58"/>
    </row>
    <row r="221" spans="1:27" x14ac:dyDescent="0.6">
      <c r="A221" s="14"/>
      <c r="B221" s="37" t="s">
        <v>153</v>
      </c>
      <c r="C221" s="108">
        <f>(+SUMPRODUCT(C192:G192,C56:G56)+SUMPRODUCT(C218,H56))/1000</f>
        <v>96807.825934124718</v>
      </c>
      <c r="L221" s="109" t="s">
        <v>154</v>
      </c>
      <c r="M221" s="110"/>
    </row>
    <row r="222" spans="1:27" x14ac:dyDescent="0.6">
      <c r="A222" s="14"/>
      <c r="C222" s="37" t="s">
        <v>155</v>
      </c>
      <c r="D222" s="83">
        <f>+C221/SUM(C56:H56)*1000</f>
        <v>94.236769570434177</v>
      </c>
      <c r="E222" s="3" t="s">
        <v>156</v>
      </c>
      <c r="L222" s="111"/>
      <c r="M222" s="112" t="s">
        <v>157</v>
      </c>
    </row>
    <row r="223" spans="1:27" x14ac:dyDescent="0.6">
      <c r="A223" s="14"/>
      <c r="C223" s="37" t="s">
        <v>158</v>
      </c>
      <c r="D223" s="83">
        <f>+C221/SUMPRODUCT(C56:H56,C81:H81)*1000</f>
        <v>87.548981826848134</v>
      </c>
      <c r="E223" s="3" t="s">
        <v>159</v>
      </c>
      <c r="L223" s="111" t="s">
        <v>69</v>
      </c>
      <c r="M223" s="113">
        <v>343655.70257928403</v>
      </c>
    </row>
    <row r="224" spans="1:27" ht="13.75" thickBot="1" x14ac:dyDescent="0.75">
      <c r="A224" s="14"/>
      <c r="L224" s="114" t="s">
        <v>62</v>
      </c>
      <c r="M224" s="115">
        <v>561224.88687915634</v>
      </c>
    </row>
    <row r="225" spans="1:13" x14ac:dyDescent="0.6">
      <c r="A225" s="14"/>
      <c r="E225" s="116"/>
    </row>
    <row r="226" spans="1:13" ht="13.75" thickBot="1" x14ac:dyDescent="0.75">
      <c r="A226" s="54" t="s">
        <v>160</v>
      </c>
      <c r="B226" s="33" t="s">
        <v>161</v>
      </c>
    </row>
    <row r="227" spans="1:13" x14ac:dyDescent="0.6">
      <c r="A227" s="14"/>
      <c r="B227" s="33"/>
      <c r="L227" s="109" t="s">
        <v>154</v>
      </c>
      <c r="M227" s="110"/>
    </row>
    <row r="228" spans="1:13" x14ac:dyDescent="0.6">
      <c r="A228" s="14"/>
      <c r="B228" s="33" t="s">
        <v>162</v>
      </c>
      <c r="L228" s="111"/>
      <c r="M228" s="112" t="s">
        <v>163</v>
      </c>
    </row>
    <row r="229" spans="1:13" x14ac:dyDescent="0.6">
      <c r="A229" s="14"/>
      <c r="B229" s="12" t="s">
        <v>164</v>
      </c>
      <c r="L229" s="111" t="s">
        <v>69</v>
      </c>
      <c r="M229" s="113">
        <v>73750.797420715971</v>
      </c>
    </row>
    <row r="230" spans="1:13" ht="13.75" thickBot="1" x14ac:dyDescent="0.75">
      <c r="A230" s="14"/>
      <c r="B230" s="33"/>
      <c r="L230" s="114" t="s">
        <v>62</v>
      </c>
      <c r="M230" s="115">
        <v>150417.71312084363</v>
      </c>
    </row>
    <row r="231" spans="1:13" x14ac:dyDescent="0.6">
      <c r="A231" s="14"/>
      <c r="C231" s="35" t="str">
        <f t="shared" ref="C231" si="44">+C6</f>
        <v>SC1</v>
      </c>
      <c r="D231" s="35" t="str">
        <f>+D6</f>
        <v>SC3</v>
      </c>
      <c r="E231" s="35" t="str">
        <f>+E6</f>
        <v>SC2 ND</v>
      </c>
      <c r="F231" s="35" t="str">
        <f>+F6</f>
        <v>SC4</v>
      </c>
      <c r="G231" s="35" t="str">
        <f>+G6</f>
        <v>SC6</v>
      </c>
      <c r="H231" s="35" t="str">
        <f>$I$24</f>
        <v>SC1 TOD</v>
      </c>
    </row>
    <row r="232" spans="1:13" x14ac:dyDescent="0.6">
      <c r="A232" s="14"/>
      <c r="C232" s="19"/>
      <c r="D232" s="19"/>
      <c r="E232" s="19"/>
    </row>
    <row r="233" spans="1:13" x14ac:dyDescent="0.6">
      <c r="A233" s="14"/>
      <c r="B233" s="21" t="s">
        <v>64</v>
      </c>
      <c r="C233" s="117">
        <f>ROUND(+C181/$D$223,3)</f>
        <v>1.0629999999999999</v>
      </c>
      <c r="D233" s="118"/>
      <c r="E233" s="117">
        <f>ROUND(+E181/$D$223,3)</f>
        <v>0.90700000000000003</v>
      </c>
      <c r="F233" s="117">
        <f>ROUND(+F181/$D$223,3)</f>
        <v>0.73399999999999999</v>
      </c>
      <c r="G233" s="117">
        <f>ROUND(+G181/$D$223,3)</f>
        <v>0.73299999999999998</v>
      </c>
      <c r="H233" s="119"/>
      <c r="I233" s="119"/>
      <c r="J233" s="119"/>
    </row>
    <row r="234" spans="1:13" x14ac:dyDescent="0.6">
      <c r="A234" s="14"/>
      <c r="B234" s="60" t="s">
        <v>79</v>
      </c>
      <c r="C234" s="118"/>
      <c r="D234" s="117">
        <f>ROUND(+D182/$D$223,3)</f>
        <v>1.06</v>
      </c>
      <c r="E234" s="118"/>
      <c r="F234" s="118"/>
      <c r="G234" s="118"/>
      <c r="H234" s="117">
        <f>ROUND(+H182/$D$223,3)</f>
        <v>1.411</v>
      </c>
      <c r="I234" s="119"/>
      <c r="J234" s="119"/>
    </row>
    <row r="235" spans="1:13" x14ac:dyDescent="0.6">
      <c r="A235" s="14"/>
      <c r="B235" s="60" t="s">
        <v>80</v>
      </c>
      <c r="C235" s="118"/>
      <c r="D235" s="117">
        <f>ROUND(+D183/$D$223,3)</f>
        <v>0.751</v>
      </c>
      <c r="E235" s="118"/>
      <c r="F235" s="118"/>
      <c r="G235" s="118"/>
      <c r="H235" s="117">
        <f>ROUND(+H183/$D$223,3)</f>
        <v>0.90800000000000003</v>
      </c>
      <c r="I235" s="119"/>
      <c r="J235" s="119"/>
    </row>
    <row r="236" spans="1:13" x14ac:dyDescent="0.6">
      <c r="A236" s="14"/>
      <c r="B236" s="60"/>
      <c r="C236" s="118"/>
      <c r="D236" s="120"/>
      <c r="E236" s="118"/>
      <c r="F236" s="118"/>
      <c r="G236" s="118"/>
      <c r="H236" s="119"/>
      <c r="I236" s="119"/>
      <c r="J236" s="119"/>
    </row>
    <row r="237" spans="1:13" x14ac:dyDescent="0.6">
      <c r="A237" s="14"/>
      <c r="B237" s="85"/>
      <c r="D237" s="120"/>
      <c r="E237" s="118"/>
      <c r="F237" s="118"/>
      <c r="G237" s="118"/>
      <c r="H237" s="119"/>
      <c r="I237" s="119"/>
      <c r="J237" s="119"/>
    </row>
    <row r="238" spans="1:13" x14ac:dyDescent="0.6">
      <c r="A238" s="14"/>
      <c r="B238" s="121" t="s">
        <v>165</v>
      </c>
      <c r="C238" s="122">
        <f>C184-C181</f>
        <v>-35.227431000000017</v>
      </c>
      <c r="D238" s="120"/>
      <c r="E238" s="118"/>
      <c r="F238" s="118"/>
      <c r="G238" s="118"/>
      <c r="H238" s="119"/>
      <c r="I238" s="119"/>
      <c r="J238" s="119"/>
    </row>
    <row r="239" spans="1:13" x14ac:dyDescent="0.6">
      <c r="A239" s="14"/>
      <c r="B239" s="121" t="s">
        <v>166</v>
      </c>
      <c r="C239" s="122">
        <f>C185-C181</f>
        <v>26.542568999999972</v>
      </c>
      <c r="D239" s="120"/>
      <c r="E239" s="118"/>
      <c r="F239" s="118"/>
      <c r="G239" s="118"/>
      <c r="H239" s="119"/>
      <c r="I239" s="119"/>
      <c r="J239" s="119"/>
    </row>
    <row r="240" spans="1:13" x14ac:dyDescent="0.6">
      <c r="A240" s="14"/>
      <c r="B240" s="118"/>
      <c r="C240" s="118"/>
      <c r="D240" s="120"/>
      <c r="E240" s="118"/>
      <c r="F240" s="118"/>
      <c r="G240" s="118"/>
      <c r="H240" s="119"/>
      <c r="I240" s="119"/>
      <c r="J240" s="119"/>
    </row>
    <row r="241" spans="1:10" x14ac:dyDescent="0.6">
      <c r="A241" s="14"/>
      <c r="C241" s="118"/>
      <c r="D241" s="118"/>
      <c r="E241" s="118"/>
      <c r="F241" s="118"/>
      <c r="G241" s="118"/>
      <c r="H241" s="119"/>
      <c r="I241" s="119"/>
      <c r="J241" s="119"/>
    </row>
    <row r="242" spans="1:10" x14ac:dyDescent="0.6">
      <c r="A242" s="14"/>
      <c r="B242" s="21" t="s">
        <v>70</v>
      </c>
      <c r="C242" s="117">
        <f>ROUND(+C188/$D$223,3)</f>
        <v>1.167</v>
      </c>
      <c r="D242" s="123"/>
      <c r="E242" s="117">
        <f>ROUND(+E188/$D$223,3)</f>
        <v>0.96199999999999997</v>
      </c>
      <c r="F242" s="117">
        <f>ROUND(+F188/$D$223,3)</f>
        <v>0.80600000000000005</v>
      </c>
      <c r="G242" s="117">
        <f>ROUND(+G188/$D$223,3)</f>
        <v>0.80300000000000005</v>
      </c>
      <c r="H242" s="119"/>
      <c r="I242" s="119"/>
      <c r="J242" s="119"/>
    </row>
    <row r="243" spans="1:10" x14ac:dyDescent="0.6">
      <c r="A243" s="14"/>
      <c r="B243" s="60" t="s">
        <v>79</v>
      </c>
      <c r="C243" s="118"/>
      <c r="D243" s="117">
        <f>ROUND(+D189/$D$223,3)</f>
        <v>1.069</v>
      </c>
      <c r="E243" s="118"/>
      <c r="F243" s="118"/>
      <c r="G243" s="118"/>
      <c r="H243" s="124">
        <f>ROUND(+H189/$D$223,3)</f>
        <v>1.627</v>
      </c>
      <c r="I243" s="119"/>
      <c r="J243" s="119"/>
    </row>
    <row r="244" spans="1:10" x14ac:dyDescent="0.6">
      <c r="A244" s="14"/>
      <c r="B244" s="60" t="s">
        <v>80</v>
      </c>
      <c r="C244" s="118"/>
      <c r="D244" s="117">
        <f>ROUND(+D190/$D$223,3)</f>
        <v>0.86199999999999999</v>
      </c>
      <c r="E244" s="118"/>
      <c r="F244" s="118"/>
      <c r="G244" s="118"/>
      <c r="H244" s="124">
        <f>ROUND(+H190/$D$223,3)</f>
        <v>1.0189999999999999</v>
      </c>
      <c r="I244" s="119"/>
      <c r="J244" s="119"/>
    </row>
    <row r="245" spans="1:10" x14ac:dyDescent="0.6">
      <c r="A245" s="14"/>
      <c r="C245" s="119"/>
      <c r="D245" s="119"/>
      <c r="E245" s="119"/>
      <c r="F245" s="119"/>
      <c r="G245" s="119"/>
      <c r="H245" s="119"/>
      <c r="I245" s="119"/>
      <c r="J245" s="119"/>
    </row>
    <row r="246" spans="1:10" x14ac:dyDescent="0.6">
      <c r="A246" s="14"/>
      <c r="B246" s="3" t="s">
        <v>167</v>
      </c>
      <c r="C246" s="125">
        <f t="shared" ref="C246" si="45">ROUND(+C192/$D$223,3)</f>
        <v>1.121</v>
      </c>
      <c r="D246" s="125">
        <f>ROUND(+D192/$D$223,3)</f>
        <v>0.91700000000000004</v>
      </c>
      <c r="E246" s="125">
        <f>ROUND(+E192/$D$223,3)</f>
        <v>0.94599999999999995</v>
      </c>
      <c r="F246" s="125">
        <f>ROUND(+F192/$D$223,3)</f>
        <v>0.78600000000000003</v>
      </c>
      <c r="G246" s="125">
        <f>ROUND(+G192/$D$223,3)</f>
        <v>0.78300000000000003</v>
      </c>
      <c r="H246" s="124">
        <f>ROUND(+H192/$D$223,3)</f>
        <v>1.121</v>
      </c>
      <c r="I246" s="119"/>
      <c r="J246" s="119"/>
    </row>
    <row r="247" spans="1:10" x14ac:dyDescent="0.6">
      <c r="A247" s="14"/>
    </row>
    <row r="248" spans="1:10" x14ac:dyDescent="0.6">
      <c r="A248" s="54" t="s">
        <v>160</v>
      </c>
      <c r="B248" s="89" t="s">
        <v>140</v>
      </c>
    </row>
    <row r="249" spans="1:10" x14ac:dyDescent="0.6">
      <c r="A249" s="54"/>
      <c r="B249" s="89"/>
    </row>
    <row r="250" spans="1:10" x14ac:dyDescent="0.6">
      <c r="A250" s="14"/>
      <c r="B250" s="33" t="s">
        <v>168</v>
      </c>
    </row>
    <row r="251" spans="1:10" x14ac:dyDescent="0.6">
      <c r="A251" s="14"/>
      <c r="B251" s="12" t="s">
        <v>169</v>
      </c>
    </row>
    <row r="252" spans="1:10" x14ac:dyDescent="0.6">
      <c r="A252" s="14"/>
    </row>
    <row r="253" spans="1:10" x14ac:dyDescent="0.6">
      <c r="A253" s="14"/>
      <c r="C253" s="85" t="str">
        <f>+H6</f>
        <v>SC2 Dem</v>
      </c>
      <c r="D253" s="85" t="str">
        <f>+C253</f>
        <v>SC2 Dem</v>
      </c>
      <c r="E253" s="19"/>
      <c r="F253" s="19"/>
      <c r="G253" s="126" t="s">
        <v>132</v>
      </c>
    </row>
    <row r="254" spans="1:10" x14ac:dyDescent="0.6">
      <c r="A254" s="14"/>
      <c r="C254" s="35" t="s">
        <v>170</v>
      </c>
      <c r="D254" s="35" t="s">
        <v>171</v>
      </c>
      <c r="E254" s="19"/>
      <c r="F254" s="19"/>
      <c r="G254" s="48"/>
    </row>
    <row r="255" spans="1:10" x14ac:dyDescent="0.6">
      <c r="A255" s="14"/>
      <c r="B255" s="21" t="s">
        <v>64</v>
      </c>
      <c r="C255" s="117">
        <f>ROUND(+C210/$D$223,3)</f>
        <v>0.97799999999999998</v>
      </c>
      <c r="D255" s="127">
        <f>+C198-C210</f>
        <v>-20.963894720953363</v>
      </c>
      <c r="F255" s="61"/>
      <c r="G255" s="93" t="s">
        <v>133</v>
      </c>
    </row>
    <row r="256" spans="1:10" x14ac:dyDescent="0.6">
      <c r="A256" s="14"/>
      <c r="B256" s="128"/>
      <c r="C256" s="118"/>
      <c r="D256" s="33"/>
      <c r="E256" s="120"/>
      <c r="F256" s="129"/>
      <c r="G256" s="48"/>
    </row>
    <row r="257" spans="1:10" x14ac:dyDescent="0.6">
      <c r="A257" s="14"/>
      <c r="B257" s="60"/>
      <c r="C257" s="118"/>
      <c r="D257" s="33"/>
      <c r="E257" s="120"/>
      <c r="F257" s="129"/>
      <c r="G257" s="48"/>
      <c r="H257" s="35"/>
      <c r="I257" s="85" t="s">
        <v>134</v>
      </c>
      <c r="J257" s="85" t="s">
        <v>135</v>
      </c>
    </row>
    <row r="258" spans="1:10" x14ac:dyDescent="0.6">
      <c r="A258" s="14"/>
      <c r="C258" s="118"/>
      <c r="D258" s="33"/>
      <c r="E258" s="118"/>
      <c r="F258" s="129"/>
      <c r="G258" s="48"/>
    </row>
    <row r="259" spans="1:10" x14ac:dyDescent="0.6">
      <c r="A259" s="14"/>
      <c r="B259" s="21" t="s">
        <v>70</v>
      </c>
      <c r="C259" s="117">
        <f>ROUND(+C214/$D$223,3)</f>
        <v>1.0720000000000001</v>
      </c>
      <c r="D259" s="127">
        <f>+C202-C214</f>
        <v>-23.326628633722521</v>
      </c>
      <c r="E259" s="120"/>
      <c r="F259" s="129"/>
      <c r="G259" s="130" t="s">
        <v>98</v>
      </c>
      <c r="H259" s="86"/>
      <c r="I259" s="58">
        <f>M213</f>
        <v>1.679</v>
      </c>
      <c r="J259" s="58">
        <f>N213</f>
        <v>1.679</v>
      </c>
    </row>
    <row r="260" spans="1:10" x14ac:dyDescent="0.6">
      <c r="A260" s="14"/>
      <c r="B260" s="128"/>
      <c r="C260" s="118"/>
      <c r="E260" s="120"/>
      <c r="F260" s="129"/>
      <c r="G260" s="130" t="s">
        <v>104</v>
      </c>
      <c r="H260" s="86"/>
      <c r="I260" s="58">
        <f>M214</f>
        <v>1.633</v>
      </c>
      <c r="J260" s="58">
        <f>N214</f>
        <v>1.633</v>
      </c>
    </row>
    <row r="261" spans="1:10" x14ac:dyDescent="0.6">
      <c r="A261" s="14"/>
      <c r="B261" s="60"/>
      <c r="C261" s="118"/>
      <c r="E261" s="120"/>
      <c r="F261" s="129"/>
      <c r="G261" s="130"/>
      <c r="H261" s="58"/>
      <c r="I261" s="74"/>
    </row>
    <row r="262" spans="1:10" x14ac:dyDescent="0.6">
      <c r="A262" s="14"/>
      <c r="C262" s="119"/>
      <c r="E262" s="119"/>
      <c r="G262" s="131" t="s">
        <v>136</v>
      </c>
    </row>
    <row r="263" spans="1:10" x14ac:dyDescent="0.6">
      <c r="A263" s="14"/>
      <c r="B263" s="3" t="s">
        <v>151</v>
      </c>
      <c r="C263" s="125">
        <f>ROUND(+C218/$D$223,3)</f>
        <v>0.996</v>
      </c>
      <c r="E263" s="119"/>
      <c r="G263" s="130" t="s">
        <v>138</v>
      </c>
      <c r="H263" s="86">
        <f>+G206</f>
        <v>4.4805000000000001</v>
      </c>
      <c r="I263" s="74" t="s">
        <v>139</v>
      </c>
    </row>
    <row r="264" spans="1:10" x14ac:dyDescent="0.6">
      <c r="A264" s="14"/>
      <c r="C264" s="119"/>
      <c r="E264" s="119"/>
    </row>
    <row r="265" spans="1:10" x14ac:dyDescent="0.6">
      <c r="A265" s="14"/>
      <c r="C265" s="119"/>
      <c r="E265" s="119"/>
    </row>
    <row r="266" spans="1:10" x14ac:dyDescent="0.6">
      <c r="A266" s="54" t="s">
        <v>172</v>
      </c>
      <c r="B266" s="13" t="s">
        <v>173</v>
      </c>
    </row>
    <row r="267" spans="1:10" x14ac:dyDescent="0.6">
      <c r="A267" s="14"/>
      <c r="B267" s="33"/>
    </row>
    <row r="268" spans="1:10" x14ac:dyDescent="0.6">
      <c r="A268" s="14"/>
      <c r="B268" s="33" t="s">
        <v>162</v>
      </c>
    </row>
    <row r="269" spans="1:10" x14ac:dyDescent="0.6">
      <c r="A269" s="14"/>
      <c r="B269" s="8" t="s">
        <v>174</v>
      </c>
    </row>
    <row r="270" spans="1:10" x14ac:dyDescent="0.6">
      <c r="A270" s="14"/>
      <c r="B270" s="12" t="s">
        <v>61</v>
      </c>
    </row>
    <row r="271" spans="1:10" x14ac:dyDescent="0.6">
      <c r="A271" s="14"/>
      <c r="C271" s="35" t="str">
        <f t="shared" ref="C271" si="46">+C6</f>
        <v>SC1</v>
      </c>
      <c r="D271" s="35" t="str">
        <f>+D6</f>
        <v>SC3</v>
      </c>
      <c r="E271" s="35" t="str">
        <f>+E6</f>
        <v>SC2 ND</v>
      </c>
      <c r="F271" s="35" t="str">
        <f>+F6</f>
        <v>SC4</v>
      </c>
      <c r="G271" s="35" t="str">
        <f>+G6</f>
        <v>SC6</v>
      </c>
      <c r="H271" s="35" t="str">
        <f>$I$24</f>
        <v>SC1 TOD</v>
      </c>
    </row>
    <row r="272" spans="1:10" x14ac:dyDescent="0.6">
      <c r="A272" s="14"/>
      <c r="C272" s="19"/>
      <c r="D272" s="58"/>
      <c r="E272" s="19"/>
    </row>
    <row r="273" spans="1:9" x14ac:dyDescent="0.6">
      <c r="A273" s="14"/>
      <c r="B273" s="21" t="s">
        <v>64</v>
      </c>
      <c r="C273" s="83">
        <f t="shared" ref="C273" si="47">C181-C$167</f>
        <v>71.892471823988103</v>
      </c>
      <c r="D273" s="83">
        <f>D181-D$167</f>
        <v>68.827539685666167</v>
      </c>
      <c r="E273" s="83">
        <f>E181-E$167</f>
        <v>69.886213307285459</v>
      </c>
      <c r="F273" s="83">
        <f>F181-F$167</f>
        <v>64.264120478550282</v>
      </c>
      <c r="G273" s="83">
        <f>G181-G$167</f>
        <v>64.133467716561839</v>
      </c>
      <c r="H273" s="58">
        <f>H181-H$167</f>
        <v>71.892471823988103</v>
      </c>
    </row>
    <row r="274" spans="1:9" x14ac:dyDescent="0.6">
      <c r="A274" s="14"/>
      <c r="B274" s="60" t="s">
        <v>79</v>
      </c>
      <c r="C274" s="58"/>
      <c r="D274" s="83">
        <f>D182-D$167</f>
        <v>84.643092257176434</v>
      </c>
      <c r="E274" s="58"/>
      <c r="F274" s="58"/>
      <c r="G274" s="58"/>
      <c r="H274" s="61">
        <f>H182-H$167</f>
        <v>102.33939203445969</v>
      </c>
    </row>
    <row r="275" spans="1:9" x14ac:dyDescent="0.6">
      <c r="A275" s="14"/>
      <c r="B275" s="60" t="s">
        <v>80</v>
      </c>
      <c r="C275" s="58"/>
      <c r="D275" s="83">
        <f>D183-D$167</f>
        <v>57.586858925485885</v>
      </c>
      <c r="E275" s="58"/>
      <c r="F275" s="58"/>
      <c r="G275" s="58"/>
      <c r="H275" s="61">
        <f>H183-H$167</f>
        <v>58.290084416789767</v>
      </c>
    </row>
    <row r="276" spans="1:9" x14ac:dyDescent="0.6">
      <c r="A276" s="14"/>
      <c r="B276" s="37" t="s">
        <v>128</v>
      </c>
      <c r="C276" s="58">
        <f>(C273*SUM(C49:C52)-C158*10*E157*SUM(C49:C52))/SUM(C49:C52)</f>
        <v>36.6650408239881</v>
      </c>
      <c r="D276" s="83"/>
      <c r="E276" s="58"/>
      <c r="F276" s="58"/>
      <c r="G276" s="58"/>
    </row>
    <row r="277" spans="1:9" x14ac:dyDescent="0.6">
      <c r="A277" s="14"/>
      <c r="B277" s="37" t="s">
        <v>129</v>
      </c>
      <c r="C277" s="58">
        <f>C276+C158*10</f>
        <v>98.435040823988089</v>
      </c>
      <c r="D277" s="83"/>
      <c r="E277" s="58"/>
      <c r="F277" s="58"/>
      <c r="G277" s="58"/>
    </row>
    <row r="278" spans="1:9" x14ac:dyDescent="0.6">
      <c r="A278" s="14"/>
      <c r="B278" s="58"/>
      <c r="C278" s="58"/>
      <c r="D278" s="83"/>
      <c r="E278" s="58"/>
      <c r="F278" s="58"/>
      <c r="G278" s="58"/>
    </row>
    <row r="279" spans="1:9" x14ac:dyDescent="0.6">
      <c r="A279" s="14"/>
      <c r="C279" s="58"/>
      <c r="D279" s="58"/>
      <c r="E279" s="58"/>
      <c r="F279" s="58"/>
      <c r="G279" s="58"/>
    </row>
    <row r="280" spans="1:9" x14ac:dyDescent="0.6">
      <c r="A280" s="14"/>
      <c r="B280" s="21" t="s">
        <v>70</v>
      </c>
      <c r="C280" s="83">
        <f t="shared" ref="C280" si="48">C188-C$167</f>
        <v>80.995598579564444</v>
      </c>
      <c r="D280" s="83">
        <f>D188-D$167</f>
        <v>73.731121217882404</v>
      </c>
      <c r="E280" s="83">
        <f>E188-E$167</f>
        <v>74.745994251758376</v>
      </c>
      <c r="F280" s="83">
        <f>F188-F$167</f>
        <v>70.560240760971197</v>
      </c>
      <c r="G280" s="83">
        <f>G188-G$167</f>
        <v>70.33883747809864</v>
      </c>
      <c r="H280" s="58">
        <f>H188-H$167</f>
        <v>80.995598579564444</v>
      </c>
    </row>
    <row r="281" spans="1:9" x14ac:dyDescent="0.6">
      <c r="A281" s="14"/>
      <c r="B281" s="60" t="s">
        <v>79</v>
      </c>
      <c r="C281" s="58"/>
      <c r="D281" s="83">
        <f>D189-D$167</f>
        <v>85.364891840814764</v>
      </c>
      <c r="E281" s="58"/>
      <c r="F281" s="58"/>
      <c r="G281" s="58"/>
      <c r="H281" s="61">
        <f>H189-H$167</f>
        <v>121.26510926338371</v>
      </c>
    </row>
    <row r="282" spans="1:9" x14ac:dyDescent="0.6">
      <c r="A282" s="14"/>
      <c r="B282" s="60" t="s">
        <v>80</v>
      </c>
      <c r="C282" s="58"/>
      <c r="D282" s="83">
        <f>D190-D$167</f>
        <v>67.288728056933977</v>
      </c>
      <c r="E282" s="58"/>
      <c r="F282" s="58"/>
      <c r="G282" s="58"/>
      <c r="H282" s="61">
        <f>H190-H$167</f>
        <v>68.059315461845813</v>
      </c>
    </row>
    <row r="283" spans="1:9" x14ac:dyDescent="0.6">
      <c r="A283" s="14"/>
      <c r="C283" s="58"/>
      <c r="D283" s="58"/>
      <c r="E283" s="58"/>
      <c r="F283" s="58"/>
      <c r="G283" s="58"/>
    </row>
    <row r="284" spans="1:9" x14ac:dyDescent="0.6">
      <c r="A284" s="14"/>
      <c r="B284" s="3" t="s">
        <v>130</v>
      </c>
      <c r="C284" s="83">
        <f t="shared" ref="C284" si="49">C192-C$167</f>
        <v>76.977689636833134</v>
      </c>
      <c r="D284" s="83">
        <f>D192-D$167</f>
        <v>72.08410442510781</v>
      </c>
      <c r="E284" s="83">
        <f>E192-E$167</f>
        <v>73.379554613761584</v>
      </c>
      <c r="F284" s="83">
        <f>F192-F$167</f>
        <v>68.789348663612344</v>
      </c>
      <c r="G284" s="83">
        <f>G192-G$167</f>
        <v>68.560469314731392</v>
      </c>
      <c r="H284" s="58">
        <f>H192-H$167</f>
        <v>76.977689636833134</v>
      </c>
    </row>
    <row r="285" spans="1:9" x14ac:dyDescent="0.6">
      <c r="A285" s="14"/>
      <c r="C285" s="58"/>
      <c r="D285" s="58"/>
      <c r="E285" s="58"/>
      <c r="F285" s="58"/>
      <c r="G285" s="58"/>
      <c r="H285" s="58"/>
      <c r="I285" s="58"/>
    </row>
    <row r="286" spans="1:9" x14ac:dyDescent="0.6">
      <c r="A286" s="54" t="s">
        <v>172</v>
      </c>
      <c r="B286" s="89" t="s">
        <v>140</v>
      </c>
      <c r="C286" s="58"/>
      <c r="D286" s="58"/>
      <c r="E286" s="58"/>
      <c r="F286" s="58"/>
      <c r="G286" s="58"/>
      <c r="H286" s="58"/>
      <c r="I286" s="58"/>
    </row>
    <row r="287" spans="1:9" x14ac:dyDescent="0.6">
      <c r="A287" s="14"/>
      <c r="C287" s="58"/>
      <c r="D287" s="58"/>
      <c r="E287" s="58"/>
      <c r="F287" s="58"/>
      <c r="G287" s="58"/>
      <c r="H287" s="58"/>
      <c r="I287" s="58"/>
    </row>
    <row r="288" spans="1:9" x14ac:dyDescent="0.6">
      <c r="A288" s="14"/>
      <c r="B288" s="33" t="s">
        <v>168</v>
      </c>
    </row>
    <row r="289" spans="1:12" x14ac:dyDescent="0.6">
      <c r="A289" s="14"/>
      <c r="B289" s="8" t="s">
        <v>175</v>
      </c>
    </row>
    <row r="290" spans="1:12" x14ac:dyDescent="0.6">
      <c r="A290" s="14"/>
      <c r="B290" s="14" t="s">
        <v>176</v>
      </c>
    </row>
    <row r="291" spans="1:12" x14ac:dyDescent="0.6">
      <c r="A291" s="14"/>
      <c r="B291" s="14"/>
    </row>
    <row r="292" spans="1:12" x14ac:dyDescent="0.6">
      <c r="A292" s="14"/>
      <c r="C292" s="35" t="str">
        <f>+H6</f>
        <v>SC2 Dem</v>
      </c>
      <c r="D292" s="19"/>
      <c r="E292" s="19"/>
      <c r="G292" s="33" t="s">
        <v>132</v>
      </c>
    </row>
    <row r="293" spans="1:12" x14ac:dyDescent="0.6">
      <c r="A293" s="14"/>
      <c r="C293" s="19"/>
      <c r="D293" s="19"/>
      <c r="F293" s="33"/>
    </row>
    <row r="294" spans="1:12" x14ac:dyDescent="0.6">
      <c r="A294" s="14"/>
      <c r="B294" s="21" t="s">
        <v>64</v>
      </c>
      <c r="C294" s="58">
        <f>C198</f>
        <v>64.699621785809441</v>
      </c>
      <c r="D294" s="58"/>
      <c r="G294" s="84" t="s">
        <v>133</v>
      </c>
    </row>
    <row r="295" spans="1:12" x14ac:dyDescent="0.6">
      <c r="A295" s="14"/>
      <c r="B295" s="60"/>
      <c r="C295" s="58"/>
      <c r="D295" s="58"/>
    </row>
    <row r="296" spans="1:12" x14ac:dyDescent="0.6">
      <c r="A296" s="14"/>
      <c r="B296" s="60"/>
      <c r="C296" s="58"/>
      <c r="D296" s="58"/>
      <c r="H296" s="35"/>
      <c r="I296" s="35" t="str">
        <f t="shared" ref="I296:J296" si="50">I257</f>
        <v>&lt; 5 kW</v>
      </c>
      <c r="J296" s="35" t="str">
        <f t="shared" si="50"/>
        <v>&gt; 5 kW</v>
      </c>
    </row>
    <row r="297" spans="1:12" x14ac:dyDescent="0.6">
      <c r="A297" s="14"/>
      <c r="C297" s="58"/>
      <c r="D297" s="58"/>
    </row>
    <row r="298" spans="1:12" x14ac:dyDescent="0.6">
      <c r="A298" s="14"/>
      <c r="B298" s="21" t="s">
        <v>70</v>
      </c>
      <c r="C298" s="58">
        <f>C202</f>
        <v>70.553929838348196</v>
      </c>
      <c r="D298" s="58"/>
      <c r="G298" s="37" t="s">
        <v>98</v>
      </c>
      <c r="H298" s="86"/>
      <c r="I298" s="86">
        <f t="shared" ref="I298:J299" si="51">I259</f>
        <v>1.679</v>
      </c>
      <c r="J298" s="86">
        <f t="shared" si="51"/>
        <v>1.679</v>
      </c>
    </row>
    <row r="299" spans="1:12" x14ac:dyDescent="0.6">
      <c r="A299" s="14"/>
      <c r="B299" s="60"/>
      <c r="C299" s="58"/>
      <c r="D299" s="58"/>
      <c r="G299" s="37" t="s">
        <v>104</v>
      </c>
      <c r="H299" s="86"/>
      <c r="I299" s="86">
        <f t="shared" si="51"/>
        <v>1.633</v>
      </c>
      <c r="J299" s="86">
        <f t="shared" si="51"/>
        <v>1.633</v>
      </c>
    </row>
    <row r="300" spans="1:12" x14ac:dyDescent="0.6">
      <c r="A300" s="14"/>
      <c r="B300" s="60"/>
      <c r="C300" s="58"/>
      <c r="D300" s="58"/>
    </row>
    <row r="301" spans="1:12" x14ac:dyDescent="0.6">
      <c r="A301" s="14"/>
      <c r="B301" s="60"/>
      <c r="C301" s="58"/>
      <c r="D301" s="58"/>
      <c r="G301" s="88"/>
      <c r="I301" s="74"/>
    </row>
    <row r="302" spans="1:12" ht="13.75" thickBot="1" x14ac:dyDescent="0.75">
      <c r="A302" s="14"/>
      <c r="B302" s="3" t="s">
        <v>137</v>
      </c>
      <c r="C302" s="58">
        <f>C206</f>
        <v>68.325588214492981</v>
      </c>
      <c r="D302" s="58"/>
      <c r="G302" s="37"/>
      <c r="H302" s="62"/>
      <c r="I302" s="74"/>
    </row>
    <row r="303" spans="1:12" x14ac:dyDescent="0.6">
      <c r="A303" s="14"/>
      <c r="C303" s="58"/>
      <c r="D303" s="58"/>
      <c r="K303" s="109" t="s">
        <v>154</v>
      </c>
      <c r="L303" s="110"/>
    </row>
    <row r="304" spans="1:12" x14ac:dyDescent="0.6">
      <c r="A304" s="14"/>
      <c r="B304" s="132" t="s">
        <v>177</v>
      </c>
      <c r="C304" s="58"/>
      <c r="D304" s="58"/>
      <c r="E304" s="61"/>
      <c r="K304" s="111"/>
      <c r="L304" s="112" t="s">
        <v>157</v>
      </c>
    </row>
    <row r="305" spans="1:14" x14ac:dyDescent="0.6">
      <c r="A305" s="14"/>
      <c r="B305" s="21" t="s">
        <v>64</v>
      </c>
      <c r="C305" s="83">
        <f>(C294*Q48+($I298*($L$305/4*H144))+($J298*($L$305/4*H144)))/Q48</f>
        <v>74.345435353390542</v>
      </c>
      <c r="D305" s="83"/>
      <c r="E305" s="81"/>
      <c r="K305" s="111" t="s">
        <v>69</v>
      </c>
      <c r="L305" s="113">
        <v>343655.70257928403</v>
      </c>
    </row>
    <row r="306" spans="1:14" ht="13.75" thickBot="1" x14ac:dyDescent="0.75">
      <c r="A306" s="14"/>
      <c r="B306" s="60"/>
      <c r="C306" s="58"/>
      <c r="D306" s="83"/>
      <c r="K306" s="114" t="s">
        <v>62</v>
      </c>
      <c r="L306" s="115">
        <v>561224.88687915634</v>
      </c>
      <c r="N306" s="83"/>
    </row>
    <row r="307" spans="1:14" x14ac:dyDescent="0.6">
      <c r="A307" s="14"/>
      <c r="B307" s="60"/>
      <c r="C307" s="58"/>
      <c r="D307" s="83"/>
      <c r="N307" s="58"/>
    </row>
    <row r="308" spans="1:14" x14ac:dyDescent="0.6">
      <c r="A308" s="14"/>
      <c r="C308" s="58"/>
      <c r="D308" s="58"/>
      <c r="N308" s="58"/>
    </row>
    <row r="309" spans="1:14" x14ac:dyDescent="0.6">
      <c r="A309" s="14"/>
      <c r="B309" s="21" t="s">
        <v>70</v>
      </c>
      <c r="C309" s="83">
        <f>(C298*Q44+($I299*($L$306/8*H145))+($J299*($L$306/8*H145)))/Q44</f>
        <v>79.969480235537006</v>
      </c>
      <c r="D309" s="83"/>
      <c r="N309" s="58"/>
    </row>
    <row r="310" spans="1:14" x14ac:dyDescent="0.6">
      <c r="A310" s="14"/>
      <c r="B310" s="60"/>
      <c r="C310" s="58"/>
      <c r="D310" s="83"/>
      <c r="N310" s="83"/>
    </row>
    <row r="311" spans="1:14" x14ac:dyDescent="0.6">
      <c r="A311" s="14"/>
      <c r="B311" s="60"/>
      <c r="C311" s="58"/>
      <c r="D311" s="83"/>
      <c r="N311" s="58"/>
    </row>
    <row r="312" spans="1:14" x14ac:dyDescent="0.6">
      <c r="A312" s="14"/>
      <c r="B312" s="60"/>
      <c r="C312" s="58"/>
      <c r="D312" s="58"/>
      <c r="N312" s="58"/>
    </row>
    <row r="313" spans="1:14" x14ac:dyDescent="0.6">
      <c r="A313" s="14"/>
      <c r="B313" s="3" t="s">
        <v>151</v>
      </c>
      <c r="C313" s="83">
        <f>(C302*H56+($I298*($L$305/4*H144)+($J298*($L$305/4*H144))+($I299*($L$306/8*H145))+($J299*($L$306/8*H145))))/H56</f>
        <v>77.828784325303488</v>
      </c>
      <c r="D313" s="83"/>
      <c r="N313" s="58"/>
    </row>
    <row r="314" spans="1:14" x14ac:dyDescent="0.6">
      <c r="A314" s="14"/>
      <c r="C314" s="64"/>
      <c r="D314" s="64"/>
      <c r="N314" s="83"/>
    </row>
    <row r="315" spans="1:14" x14ac:dyDescent="0.6">
      <c r="A315" s="14"/>
      <c r="B315" s="33" t="s">
        <v>152</v>
      </c>
      <c r="C315" s="58"/>
      <c r="D315" s="58"/>
    </row>
    <row r="316" spans="1:14" x14ac:dyDescent="0.6">
      <c r="A316" s="14"/>
      <c r="B316" s="37" t="s">
        <v>153</v>
      </c>
      <c r="C316" s="108">
        <f>(+SUMPRODUCT(C284:G284,C56:G56)+SUMPRODUCT(C313,H56))/1000</f>
        <v>79196.006364633271</v>
      </c>
    </row>
    <row r="317" spans="1:14" x14ac:dyDescent="0.6">
      <c r="A317" s="14"/>
      <c r="C317" s="37" t="s">
        <v>155</v>
      </c>
      <c r="D317" s="83">
        <f>+C316/SUM(C56:H56)*1000</f>
        <v>77.092690912830619</v>
      </c>
      <c r="E317" s="3" t="s">
        <v>156</v>
      </c>
    </row>
    <row r="318" spans="1:14" x14ac:dyDescent="0.6">
      <c r="A318" s="14"/>
      <c r="C318" s="37" t="s">
        <v>178</v>
      </c>
      <c r="D318" s="83">
        <f>+C316/SUMPRODUCT(C56:H56,C81:H81)*1000</f>
        <v>71.621582811851596</v>
      </c>
      <c r="E318" s="3" t="s">
        <v>179</v>
      </c>
    </row>
    <row r="319" spans="1:14" x14ac:dyDescent="0.6">
      <c r="A319" s="14"/>
    </row>
    <row r="320" spans="1:14" x14ac:dyDescent="0.6">
      <c r="A320" s="54" t="s">
        <v>180</v>
      </c>
      <c r="B320" s="13" t="s">
        <v>181</v>
      </c>
    </row>
    <row r="321" spans="1:10" x14ac:dyDescent="0.6">
      <c r="A321" s="14"/>
      <c r="B321" s="33"/>
    </row>
    <row r="322" spans="1:10" x14ac:dyDescent="0.6">
      <c r="A322" s="14"/>
      <c r="B322" s="33" t="s">
        <v>162</v>
      </c>
    </row>
    <row r="323" spans="1:10" x14ac:dyDescent="0.6">
      <c r="A323" s="14"/>
      <c r="B323" s="12" t="s">
        <v>164</v>
      </c>
    </row>
    <row r="324" spans="1:10" x14ac:dyDescent="0.6">
      <c r="A324" s="14"/>
      <c r="B324" s="33"/>
    </row>
    <row r="325" spans="1:10" x14ac:dyDescent="0.6">
      <c r="A325" s="14"/>
      <c r="C325" s="35" t="str">
        <f t="shared" ref="C325" si="52">+C6</f>
        <v>SC1</v>
      </c>
      <c r="D325" s="35" t="str">
        <f>+D6</f>
        <v>SC3</v>
      </c>
      <c r="E325" s="35" t="str">
        <f>+E6</f>
        <v>SC2 ND</v>
      </c>
      <c r="F325" s="35" t="str">
        <f>+F6</f>
        <v>SC4</v>
      </c>
      <c r="G325" s="35" t="str">
        <f>+G6</f>
        <v>SC6</v>
      </c>
      <c r="H325" s="35" t="str">
        <f>$I$24</f>
        <v>SC1 TOD</v>
      </c>
    </row>
    <row r="326" spans="1:10" x14ac:dyDescent="0.6">
      <c r="A326" s="14"/>
      <c r="C326" s="19"/>
      <c r="D326" s="19"/>
      <c r="E326" s="19"/>
    </row>
    <row r="327" spans="1:10" x14ac:dyDescent="0.6">
      <c r="A327" s="14"/>
      <c r="B327" s="21" t="s">
        <v>64</v>
      </c>
      <c r="C327" s="117">
        <f>ROUND(+C273/$D$318,3)</f>
        <v>1.004</v>
      </c>
      <c r="D327" s="118"/>
      <c r="E327" s="117">
        <f>ROUND(+E273/$D$318,3)</f>
        <v>0.97599999999999998</v>
      </c>
      <c r="F327" s="117">
        <f>ROUND(+F273/$D$318,3)</f>
        <v>0.89700000000000002</v>
      </c>
      <c r="G327" s="117">
        <f>ROUND(+G273/$D$318,3)</f>
        <v>0.89500000000000002</v>
      </c>
      <c r="H327" s="133"/>
      <c r="I327" s="119"/>
      <c r="J327" s="119"/>
    </row>
    <row r="328" spans="1:10" x14ac:dyDescent="0.6">
      <c r="A328" s="14"/>
      <c r="B328" s="60" t="s">
        <v>79</v>
      </c>
      <c r="C328" s="118"/>
      <c r="D328" s="117">
        <f>ROUND(+D274/$D$318,3)</f>
        <v>1.1819999999999999</v>
      </c>
      <c r="E328" s="118"/>
      <c r="F328" s="118"/>
      <c r="G328" s="118"/>
      <c r="H328" s="134">
        <f>ROUND(+H274/$D$318,3)</f>
        <v>1.429</v>
      </c>
      <c r="I328" s="119"/>
      <c r="J328" s="119"/>
    </row>
    <row r="329" spans="1:10" x14ac:dyDescent="0.6">
      <c r="A329" s="14"/>
      <c r="B329" s="60" t="s">
        <v>80</v>
      </c>
      <c r="C329" s="118"/>
      <c r="D329" s="117">
        <f>ROUND(+D275/$D$318,3)</f>
        <v>0.80400000000000005</v>
      </c>
      <c r="E329" s="118"/>
      <c r="F329" s="118"/>
      <c r="G329" s="118"/>
      <c r="H329" s="134">
        <f>ROUND(+H275/$D$318,3)</f>
        <v>0.81399999999999995</v>
      </c>
      <c r="I329" s="119"/>
      <c r="J329" s="119"/>
    </row>
    <row r="330" spans="1:10" x14ac:dyDescent="0.6">
      <c r="A330" s="14"/>
      <c r="C330" s="118"/>
      <c r="D330" s="118"/>
      <c r="E330" s="118"/>
      <c r="F330" s="118"/>
      <c r="G330" s="118"/>
      <c r="H330" s="133"/>
      <c r="I330" s="119"/>
      <c r="J330" s="119"/>
    </row>
    <row r="331" spans="1:10" x14ac:dyDescent="0.6">
      <c r="A331" s="14"/>
      <c r="B331" s="85"/>
      <c r="D331" s="118"/>
      <c r="E331" s="118"/>
      <c r="F331" s="118"/>
      <c r="G331" s="118"/>
      <c r="H331" s="133"/>
      <c r="I331" s="119"/>
      <c r="J331" s="119"/>
    </row>
    <row r="332" spans="1:10" x14ac:dyDescent="0.6">
      <c r="A332" s="14"/>
      <c r="B332" s="121" t="s">
        <v>165</v>
      </c>
      <c r="C332" s="122">
        <f>C276-C273</f>
        <v>-35.227431000000003</v>
      </c>
      <c r="D332" s="118"/>
      <c r="E332" s="118"/>
      <c r="F332" s="118"/>
      <c r="G332" s="118"/>
      <c r="H332" s="133"/>
      <c r="I332" s="119"/>
      <c r="J332" s="119"/>
    </row>
    <row r="333" spans="1:10" x14ac:dyDescent="0.6">
      <c r="A333" s="14"/>
      <c r="B333" s="121" t="s">
        <v>166</v>
      </c>
      <c r="C333" s="122">
        <f>C277-C273</f>
        <v>26.542568999999986</v>
      </c>
      <c r="D333" s="118"/>
      <c r="E333" s="118"/>
      <c r="F333" s="118"/>
      <c r="G333" s="118"/>
      <c r="H333" s="133"/>
      <c r="I333" s="119"/>
      <c r="J333" s="119"/>
    </row>
    <row r="334" spans="1:10" x14ac:dyDescent="0.6">
      <c r="A334" s="14"/>
      <c r="B334" s="118"/>
      <c r="C334" s="118"/>
      <c r="D334" s="118"/>
      <c r="E334" s="118"/>
      <c r="F334" s="118"/>
      <c r="G334" s="118"/>
      <c r="H334" s="133"/>
      <c r="I334" s="119"/>
      <c r="J334" s="119"/>
    </row>
    <row r="335" spans="1:10" x14ac:dyDescent="0.6">
      <c r="A335" s="14"/>
      <c r="C335" s="118"/>
      <c r="D335" s="118"/>
      <c r="E335" s="118"/>
      <c r="F335" s="118"/>
      <c r="G335" s="118"/>
      <c r="H335" s="133"/>
      <c r="I335" s="119"/>
      <c r="J335" s="119"/>
    </row>
    <row r="336" spans="1:10" x14ac:dyDescent="0.6">
      <c r="A336" s="14"/>
      <c r="B336" s="21" t="s">
        <v>70</v>
      </c>
      <c r="C336" s="117">
        <f>ROUND(+C280/$D$318,3)</f>
        <v>1.131</v>
      </c>
      <c r="D336" s="123"/>
      <c r="E336" s="117">
        <f>ROUND(+E280/$D$318,3)</f>
        <v>1.044</v>
      </c>
      <c r="F336" s="117">
        <f>ROUND(+F280/$D$318,3)</f>
        <v>0.98499999999999999</v>
      </c>
      <c r="G336" s="117">
        <f>ROUND(+G280/$D$318,3)</f>
        <v>0.98199999999999998</v>
      </c>
      <c r="H336" s="133"/>
      <c r="I336" s="119"/>
      <c r="J336" s="119"/>
    </row>
    <row r="337" spans="1:10" x14ac:dyDescent="0.6">
      <c r="A337" s="14"/>
      <c r="B337" s="60" t="s">
        <v>79</v>
      </c>
      <c r="C337" s="118"/>
      <c r="D337" s="117">
        <f>ROUND(+D281/$D$318,3)</f>
        <v>1.1919999999999999</v>
      </c>
      <c r="E337" s="118"/>
      <c r="F337" s="118"/>
      <c r="G337" s="118"/>
      <c r="H337" s="134">
        <f>ROUND(+H281/$D$318,3)</f>
        <v>1.6930000000000001</v>
      </c>
      <c r="I337" s="119"/>
      <c r="J337" s="119"/>
    </row>
    <row r="338" spans="1:10" x14ac:dyDescent="0.6">
      <c r="A338" s="14"/>
      <c r="B338" s="60" t="s">
        <v>80</v>
      </c>
      <c r="C338" s="118"/>
      <c r="D338" s="117">
        <f>ROUND(+D282/$D$318,3)</f>
        <v>0.94</v>
      </c>
      <c r="E338" s="118"/>
      <c r="F338" s="118"/>
      <c r="G338" s="118"/>
      <c r="H338" s="134">
        <f>ROUND(+H282/$D$318,3)</f>
        <v>0.95</v>
      </c>
      <c r="I338" s="119"/>
      <c r="J338" s="119"/>
    </row>
    <row r="339" spans="1:10" x14ac:dyDescent="0.6">
      <c r="A339" s="14"/>
      <c r="C339" s="119"/>
      <c r="D339" s="119"/>
      <c r="E339" s="119"/>
      <c r="F339" s="119"/>
      <c r="G339" s="119"/>
      <c r="H339" s="125"/>
      <c r="I339" s="119"/>
      <c r="J339" s="119"/>
    </row>
    <row r="340" spans="1:10" x14ac:dyDescent="0.6">
      <c r="A340" s="14"/>
      <c r="B340" s="3" t="s">
        <v>167</v>
      </c>
      <c r="C340" s="123">
        <f>ROUND(+C284/$D$318,3)</f>
        <v>1.075</v>
      </c>
      <c r="D340" s="123">
        <f>ROUND(+D284/$D$318,3)</f>
        <v>1.006</v>
      </c>
      <c r="E340" s="123">
        <f>ROUND(,3)+E284/$D$318</f>
        <v>1.0245452799685835</v>
      </c>
      <c r="F340" s="123">
        <f>ROUND(+F284/$D$318,3)</f>
        <v>0.96</v>
      </c>
      <c r="G340" s="123">
        <f>ROUND(+G284/$D$318,3)</f>
        <v>0.95699999999999996</v>
      </c>
      <c r="H340" s="125">
        <f>ROUND(+H284/$D$318,3)</f>
        <v>1.075</v>
      </c>
      <c r="I340" s="119"/>
      <c r="J340" s="119"/>
    </row>
    <row r="341" spans="1:10" x14ac:dyDescent="0.6">
      <c r="A341" s="14"/>
    </row>
    <row r="342" spans="1:10" x14ac:dyDescent="0.6">
      <c r="A342" s="14"/>
    </row>
    <row r="343" spans="1:10" x14ac:dyDescent="0.6">
      <c r="A343" s="14"/>
      <c r="B343" s="33" t="s">
        <v>168</v>
      </c>
    </row>
    <row r="344" spans="1:10" x14ac:dyDescent="0.6">
      <c r="A344" s="14"/>
      <c r="B344" s="12" t="s">
        <v>182</v>
      </c>
    </row>
    <row r="345" spans="1:10" x14ac:dyDescent="0.6">
      <c r="A345" s="14"/>
    </row>
    <row r="346" spans="1:10" x14ac:dyDescent="0.6">
      <c r="A346" s="14"/>
      <c r="C346" s="85" t="str">
        <f>+H6</f>
        <v>SC2 Dem</v>
      </c>
      <c r="D346" s="85" t="str">
        <f>+C346</f>
        <v>SC2 Dem</v>
      </c>
      <c r="E346" s="19"/>
      <c r="F346" s="19"/>
      <c r="G346" s="126" t="s">
        <v>132</v>
      </c>
    </row>
    <row r="347" spans="1:10" x14ac:dyDescent="0.6">
      <c r="A347" s="14"/>
      <c r="C347" s="35" t="s">
        <v>170</v>
      </c>
      <c r="D347" s="135" t="s">
        <v>171</v>
      </c>
      <c r="E347" s="19"/>
      <c r="F347" s="19"/>
      <c r="G347" s="48"/>
    </row>
    <row r="348" spans="1:10" x14ac:dyDescent="0.6">
      <c r="A348" s="14"/>
      <c r="B348" s="21" t="s">
        <v>64</v>
      </c>
      <c r="C348" s="117">
        <f>ROUND(+C305/$D$318,3)</f>
        <v>1.038</v>
      </c>
      <c r="D348" s="136">
        <f>C294-C305</f>
        <v>-9.6458135675811008</v>
      </c>
      <c r="F348" s="61"/>
      <c r="G348" s="93" t="s">
        <v>133</v>
      </c>
    </row>
    <row r="349" spans="1:10" x14ac:dyDescent="0.6">
      <c r="A349" s="14"/>
      <c r="B349" s="60"/>
      <c r="C349" s="123"/>
      <c r="D349" s="136"/>
      <c r="E349" s="120"/>
      <c r="F349" s="129"/>
      <c r="G349" s="48"/>
    </row>
    <row r="350" spans="1:10" x14ac:dyDescent="0.6">
      <c r="A350" s="14"/>
      <c r="B350" s="60"/>
      <c r="C350" s="123"/>
      <c r="D350" s="136"/>
      <c r="E350" s="120"/>
      <c r="F350" s="129"/>
      <c r="G350" s="48"/>
      <c r="H350" s="35"/>
      <c r="I350" s="35" t="str">
        <f t="shared" ref="I350:J350" si="53">I296</f>
        <v>&lt; 5 kW</v>
      </c>
      <c r="J350" s="35" t="str">
        <f t="shared" si="53"/>
        <v>&gt; 5 kW</v>
      </c>
    </row>
    <row r="351" spans="1:10" x14ac:dyDescent="0.6">
      <c r="A351" s="14"/>
      <c r="C351" s="123"/>
      <c r="D351" s="136"/>
      <c r="E351" s="118"/>
      <c r="F351" s="129"/>
      <c r="G351" s="48"/>
    </row>
    <row r="352" spans="1:10" x14ac:dyDescent="0.6">
      <c r="A352" s="14"/>
      <c r="B352" s="21" t="s">
        <v>70</v>
      </c>
      <c r="C352" s="117">
        <f>ROUND(+C309/$D$318,3)</f>
        <v>1.117</v>
      </c>
      <c r="D352" s="136">
        <f>C298-C309</f>
        <v>-9.4155503971888095</v>
      </c>
      <c r="E352" s="120"/>
      <c r="F352" s="129"/>
      <c r="G352" s="130" t="s">
        <v>98</v>
      </c>
      <c r="H352" s="86"/>
      <c r="I352" s="86">
        <f t="shared" ref="I352:J353" si="54">I298</f>
        <v>1.679</v>
      </c>
      <c r="J352" s="86">
        <f t="shared" si="54"/>
        <v>1.679</v>
      </c>
    </row>
    <row r="353" spans="1:13" x14ac:dyDescent="0.6">
      <c r="A353" s="14"/>
      <c r="B353" s="60"/>
      <c r="C353" s="123"/>
      <c r="D353" s="137"/>
      <c r="E353" s="120"/>
      <c r="F353" s="129"/>
      <c r="G353" s="130" t="s">
        <v>104</v>
      </c>
      <c r="H353" s="86"/>
      <c r="I353" s="86">
        <f t="shared" si="54"/>
        <v>1.633</v>
      </c>
      <c r="J353" s="86">
        <f t="shared" si="54"/>
        <v>1.633</v>
      </c>
    </row>
    <row r="354" spans="1:13" x14ac:dyDescent="0.6">
      <c r="A354" s="14"/>
      <c r="B354" s="60"/>
      <c r="C354" s="123"/>
      <c r="D354" s="137"/>
      <c r="E354" s="120"/>
      <c r="F354" s="129"/>
      <c r="G354" s="130"/>
      <c r="H354" s="58"/>
      <c r="I354" s="74"/>
    </row>
    <row r="355" spans="1:13" x14ac:dyDescent="0.6">
      <c r="A355" s="14"/>
      <c r="C355" s="125"/>
      <c r="D355" s="137"/>
      <c r="E355" s="119"/>
      <c r="G355" s="131"/>
    </row>
    <row r="356" spans="1:13" x14ac:dyDescent="0.6">
      <c r="A356" s="14"/>
      <c r="B356" s="3" t="s">
        <v>151</v>
      </c>
      <c r="C356" s="117">
        <f>ROUND(+C313/$D$318,3)</f>
        <v>1.087</v>
      </c>
      <c r="D356" s="137"/>
      <c r="E356" s="119"/>
      <c r="G356" s="130"/>
      <c r="H356" s="58"/>
      <c r="I356" s="74"/>
    </row>
    <row r="357" spans="1:13" x14ac:dyDescent="0.6">
      <c r="A357" s="14"/>
    </row>
    <row r="358" spans="1:13" x14ac:dyDescent="0.6">
      <c r="A358" s="14"/>
      <c r="C358" s="119"/>
      <c r="E358" s="119"/>
    </row>
    <row r="359" spans="1:13" x14ac:dyDescent="0.6">
      <c r="A359" s="54" t="s">
        <v>183</v>
      </c>
      <c r="B359" s="33" t="s">
        <v>184</v>
      </c>
    </row>
    <row r="360" spans="1:13" x14ac:dyDescent="0.6">
      <c r="A360" s="14"/>
      <c r="B360" s="33"/>
    </row>
    <row r="361" spans="1:13" x14ac:dyDescent="0.6">
      <c r="A361" s="14"/>
      <c r="C361" s="35" t="str">
        <f t="shared" ref="C361:H361" si="55">C6</f>
        <v>SC1</v>
      </c>
      <c r="D361" s="35" t="str">
        <f t="shared" si="55"/>
        <v>SC3</v>
      </c>
      <c r="E361" s="35" t="str">
        <f t="shared" si="55"/>
        <v>SC2 ND</v>
      </c>
      <c r="F361" s="35" t="str">
        <f t="shared" si="55"/>
        <v>SC4</v>
      </c>
      <c r="G361" s="35" t="str">
        <f t="shared" si="55"/>
        <v>SC6</v>
      </c>
      <c r="H361" s="35" t="str">
        <f t="shared" si="55"/>
        <v>SC2 Dem</v>
      </c>
      <c r="I361" s="35" t="str">
        <f>$I$24</f>
        <v>SC1 TOD</v>
      </c>
      <c r="J361" s="19"/>
    </row>
    <row r="362" spans="1:13" x14ac:dyDescent="0.6">
      <c r="A362" s="14"/>
      <c r="B362" s="3" t="s">
        <v>185</v>
      </c>
      <c r="L362" s="61"/>
      <c r="M362" s="61"/>
    </row>
    <row r="363" spans="1:13" x14ac:dyDescent="0.6">
      <c r="A363" s="14"/>
      <c r="B363" s="55" t="s">
        <v>69</v>
      </c>
      <c r="C363" s="108">
        <f>(C184*SUM(C49:C52)*E156+C185*SUM(C49:C52)*E157)/1000</f>
        <v>28193.674058204524</v>
      </c>
      <c r="D363" s="65">
        <f>+D181*SUM(D49:D52)/1000</f>
        <v>17.135454240048741</v>
      </c>
      <c r="E363" s="65">
        <f>+E181*SUM(E49:E52)/1000</f>
        <v>326.43016323565422</v>
      </c>
      <c r="F363" s="65">
        <f>+F181*SUM(F49:F52)/1000</f>
        <v>114.96851153612646</v>
      </c>
      <c r="G363" s="65">
        <f>+G181*SUM(G49:G52)/1000</f>
        <v>90.428189480352188</v>
      </c>
      <c r="H363" s="108">
        <v>9761.0768156892591</v>
      </c>
      <c r="I363" s="108">
        <f>+H181*SUM(C49:C52)/1000</f>
        <v>28193.674058204528</v>
      </c>
      <c r="J363" s="65"/>
      <c r="L363" s="61"/>
      <c r="M363" s="61"/>
    </row>
    <row r="364" spans="1:13" x14ac:dyDescent="0.6">
      <c r="A364" s="14"/>
      <c r="B364" s="55" t="s">
        <v>62</v>
      </c>
      <c r="C364" s="108">
        <f t="shared" ref="C364" si="56">+C188*SUM(C44:C48,C53:C55)/1000</f>
        <v>39173.482920270391</v>
      </c>
      <c r="D364" s="65">
        <f>+D188*SUM(D44:D48,D53:D55)/1000</f>
        <v>36.037988040717828</v>
      </c>
      <c r="E364" s="65">
        <f>+E188*SUM(E44:E48,E53:E55)/1000</f>
        <v>885.62847565445009</v>
      </c>
      <c r="F364" s="65">
        <f>+F188*SUM(F44:F48,F53:F55)/1000</f>
        <v>322.56614063877987</v>
      </c>
      <c r="G364" s="65">
        <f>+G188*SUM(G44:G48,G53:G55)/1000</f>
        <v>246.88931954812622</v>
      </c>
      <c r="H364" s="108">
        <v>17536.680264586284</v>
      </c>
      <c r="I364" s="108">
        <f>+H188*SUM(C44:C48,C53:C55)/1000</f>
        <v>39173.482920270391</v>
      </c>
      <c r="J364" s="65"/>
    </row>
    <row r="365" spans="1:13" x14ac:dyDescent="0.6">
      <c r="A365" s="14"/>
      <c r="B365" s="55" t="s">
        <v>36</v>
      </c>
      <c r="C365" s="138">
        <f>+C364+C363</f>
        <v>67367.156978474915</v>
      </c>
      <c r="D365" s="63">
        <f t="shared" ref="D365:I365" si="57">+D364+D363</f>
        <v>53.173442280766565</v>
      </c>
      <c r="E365" s="63">
        <f t="shared" si="57"/>
        <v>1212.0586388901042</v>
      </c>
      <c r="F365" s="63">
        <f t="shared" si="57"/>
        <v>437.53465217490634</v>
      </c>
      <c r="G365" s="65">
        <f t="shared" si="57"/>
        <v>337.31750902847841</v>
      </c>
      <c r="H365" s="65">
        <f t="shared" si="57"/>
        <v>27297.757080275544</v>
      </c>
      <c r="I365" s="63">
        <f t="shared" si="57"/>
        <v>67367.156978474915</v>
      </c>
      <c r="J365" s="65"/>
    </row>
    <row r="366" spans="1:13" x14ac:dyDescent="0.6">
      <c r="A366" s="14"/>
      <c r="B366" s="55"/>
    </row>
    <row r="367" spans="1:13" x14ac:dyDescent="0.6">
      <c r="A367" s="14"/>
      <c r="B367" s="3" t="s">
        <v>186</v>
      </c>
    </row>
    <row r="368" spans="1:13" x14ac:dyDescent="0.6">
      <c r="A368" s="14"/>
      <c r="B368" s="55" t="s">
        <v>69</v>
      </c>
      <c r="C368" s="27">
        <f t="shared" ref="C368:I368" si="58">+C363/C365</f>
        <v>0.41850770201291021</v>
      </c>
      <c r="D368" s="27">
        <f t="shared" si="58"/>
        <v>0.32225587633710201</v>
      </c>
      <c r="E368" s="27">
        <f t="shared" si="58"/>
        <v>0.2693187876904784</v>
      </c>
      <c r="F368" s="27">
        <f t="shared" si="58"/>
        <v>0.26276435698210093</v>
      </c>
      <c r="G368" s="27">
        <f t="shared" si="58"/>
        <v>0.2680803310234266</v>
      </c>
      <c r="H368" s="27">
        <f t="shared" si="58"/>
        <v>0.35757797928175905</v>
      </c>
      <c r="I368" s="27">
        <f t="shared" si="58"/>
        <v>0.41850770201291027</v>
      </c>
      <c r="J368" s="27"/>
    </row>
    <row r="369" spans="1:14" x14ac:dyDescent="0.6">
      <c r="A369" s="14"/>
      <c r="B369" s="55" t="s">
        <v>62</v>
      </c>
      <c r="C369" s="27">
        <f t="shared" ref="C369:I369" si="59">+C364/C365</f>
        <v>0.58149229798708979</v>
      </c>
      <c r="D369" s="27">
        <f t="shared" si="59"/>
        <v>0.67774412366289805</v>
      </c>
      <c r="E369" s="27">
        <f t="shared" si="59"/>
        <v>0.73068121230952165</v>
      </c>
      <c r="F369" s="27">
        <f t="shared" si="59"/>
        <v>0.73723564301789901</v>
      </c>
      <c r="G369" s="27">
        <f t="shared" si="59"/>
        <v>0.73191966897657335</v>
      </c>
      <c r="H369" s="27">
        <f t="shared" si="59"/>
        <v>0.64242202071824095</v>
      </c>
      <c r="I369" s="27">
        <f t="shared" si="59"/>
        <v>0.58149229798708979</v>
      </c>
      <c r="J369" s="27"/>
    </row>
    <row r="370" spans="1:14" x14ac:dyDescent="0.6">
      <c r="A370" s="14"/>
    </row>
    <row r="371" spans="1:14" x14ac:dyDescent="0.6">
      <c r="A371" s="14"/>
      <c r="B371" s="3" t="s">
        <v>187</v>
      </c>
    </row>
    <row r="372" spans="1:14" x14ac:dyDescent="0.6">
      <c r="A372" s="14"/>
      <c r="B372" s="55" t="s">
        <v>69</v>
      </c>
      <c r="C372" s="139">
        <f>+SUM(C363:H363)</f>
        <v>38503.713192385971</v>
      </c>
    </row>
    <row r="373" spans="1:14" x14ac:dyDescent="0.6">
      <c r="A373" s="14"/>
      <c r="B373" s="55" t="s">
        <v>62</v>
      </c>
      <c r="C373" s="139">
        <f>+SUM(C364:H364)</f>
        <v>58201.285108738753</v>
      </c>
    </row>
    <row r="374" spans="1:14" x14ac:dyDescent="0.6">
      <c r="A374" s="14"/>
      <c r="B374" s="55" t="s">
        <v>36</v>
      </c>
      <c r="C374" s="63">
        <f>+C373+C372</f>
        <v>96704.998301124724</v>
      </c>
    </row>
    <row r="375" spans="1:14" x14ac:dyDescent="0.6">
      <c r="A375" s="14"/>
    </row>
    <row r="376" spans="1:14" x14ac:dyDescent="0.6">
      <c r="A376" s="14"/>
      <c r="B376" s="3" t="s">
        <v>188</v>
      </c>
      <c r="D376" s="3" t="s">
        <v>189</v>
      </c>
      <c r="I376" s="302" t="s">
        <v>190</v>
      </c>
      <c r="J376" s="302"/>
    </row>
    <row r="377" spans="1:14" x14ac:dyDescent="0.6">
      <c r="A377" s="14"/>
      <c r="B377" s="55" t="s">
        <v>69</v>
      </c>
      <c r="C377" s="27">
        <f>+C372/C374</f>
        <v>0.39815639179777695</v>
      </c>
      <c r="E377" s="83">
        <f>+C372/SUMPRODUCT(L48:Q48,C81:H81)*1000</f>
        <v>83.161256224010359</v>
      </c>
      <c r="F377" s="3" t="s">
        <v>191</v>
      </c>
      <c r="I377" s="55" t="s">
        <v>69</v>
      </c>
      <c r="J377" s="140">
        <f>ROUND(E377/$D$223,4)</f>
        <v>0.94989999999999997</v>
      </c>
      <c r="K377" s="140"/>
    </row>
    <row r="378" spans="1:14" x14ac:dyDescent="0.6">
      <c r="A378" s="14"/>
      <c r="B378" s="55" t="s">
        <v>62</v>
      </c>
      <c r="C378" s="27">
        <f>+C373/C374</f>
        <v>0.60184360820222305</v>
      </c>
      <c r="E378" s="83">
        <f>+C373/SUMPRODUCT(L44:Q44,C81:H81)*1000</f>
        <v>90.549643699542472</v>
      </c>
      <c r="F378" s="3" t="s">
        <v>191</v>
      </c>
      <c r="I378" s="55" t="s">
        <v>62</v>
      </c>
      <c r="J378" s="140">
        <f>ROUND(E378/$D$223,4)</f>
        <v>1.0343</v>
      </c>
      <c r="K378" s="140"/>
    </row>
    <row r="379" spans="1:14" x14ac:dyDescent="0.6">
      <c r="A379" s="14"/>
    </row>
    <row r="380" spans="1:14" x14ac:dyDescent="0.6">
      <c r="A380" s="14"/>
      <c r="C380" s="119"/>
      <c r="E380" s="119"/>
    </row>
    <row r="381" spans="1:14" ht="13.75" thickBot="1" x14ac:dyDescent="0.75">
      <c r="A381" s="54" t="s">
        <v>192</v>
      </c>
      <c r="B381" s="13" t="s">
        <v>193</v>
      </c>
    </row>
    <row r="382" spans="1:14" x14ac:dyDescent="0.6">
      <c r="A382" s="14"/>
      <c r="B382" s="33"/>
      <c r="K382" s="109" t="s">
        <v>154</v>
      </c>
      <c r="L382" s="110"/>
    </row>
    <row r="383" spans="1:14" x14ac:dyDescent="0.6">
      <c r="A383" s="14"/>
      <c r="C383" s="35" t="str">
        <f t="shared" ref="C383:H383" si="60">C6</f>
        <v>SC1</v>
      </c>
      <c r="D383" s="35" t="str">
        <f t="shared" si="60"/>
        <v>SC3</v>
      </c>
      <c r="E383" s="35" t="str">
        <f t="shared" si="60"/>
        <v>SC2 ND</v>
      </c>
      <c r="F383" s="35" t="str">
        <f t="shared" si="60"/>
        <v>SC4</v>
      </c>
      <c r="G383" s="35" t="str">
        <f t="shared" si="60"/>
        <v>SC6</v>
      </c>
      <c r="H383" s="35" t="str">
        <f t="shared" si="60"/>
        <v>SC2 Dem</v>
      </c>
      <c r="I383" s="35" t="str">
        <f>I24</f>
        <v>SC1 TOD</v>
      </c>
      <c r="J383" s="19"/>
      <c r="K383" s="111"/>
      <c r="L383" s="141" t="s">
        <v>163</v>
      </c>
    </row>
    <row r="384" spans="1:14" x14ac:dyDescent="0.6">
      <c r="A384" s="14"/>
      <c r="B384" s="3" t="s">
        <v>185</v>
      </c>
      <c r="K384" s="111" t="s">
        <v>69</v>
      </c>
      <c r="L384" s="113">
        <v>73750.797420715971</v>
      </c>
      <c r="N384" s="108">
        <v>8429.1397260492577</v>
      </c>
    </row>
    <row r="385" spans="1:14" ht="13.75" thickBot="1" x14ac:dyDescent="0.75">
      <c r="A385" s="14"/>
      <c r="B385" s="55" t="s">
        <v>69</v>
      </c>
      <c r="C385" s="108">
        <f>(C276*SUM(C49:C52)*E156+C277*SUM(C49:C52)*E157)/1000</f>
        <v>21780.662261382684</v>
      </c>
      <c r="D385" s="108">
        <f>+D273*SUM(D49:D52)/1000</f>
        <v>15.311500883884218</v>
      </c>
      <c r="E385" s="108">
        <f>+E273*SUM(E49:E52)/1000</f>
        <v>287.44199533286508</v>
      </c>
      <c r="F385" s="108">
        <f>+F273*SUM(F49:F52)/1000</f>
        <v>114.96851153612646</v>
      </c>
      <c r="G385" s="108">
        <f>+G273*SUM(G49:G52)/1000</f>
        <v>90.428189480352188</v>
      </c>
      <c r="H385" s="108">
        <f>(C294*SUM(H49:H52)/1000)+($I298*($L$384/4*H144)/1000)+($J298*($L$389/4*H144)/1000)</f>
        <v>8441.2918273559262</v>
      </c>
      <c r="I385" s="108">
        <f>H273*SUM(C49:C52)/1000</f>
        <v>21780.662261382688</v>
      </c>
      <c r="J385" s="108"/>
      <c r="K385" s="114" t="s">
        <v>62</v>
      </c>
      <c r="L385" s="115">
        <v>150417.71312084363</v>
      </c>
      <c r="N385" s="108">
        <v>15486.148409442889</v>
      </c>
    </row>
    <row r="386" spans="1:14" ht="13.75" thickBot="1" x14ac:dyDescent="0.75">
      <c r="A386" s="14"/>
      <c r="B386" s="55" t="s">
        <v>62</v>
      </c>
      <c r="C386" s="108">
        <f t="shared" ref="C386" si="61">+C280*SUM(C44:C48,C53:C55)/1000</f>
        <v>31056.932175092232</v>
      </c>
      <c r="D386" s="108">
        <f>+D280*SUM(D44:D48,D53:D55)/1000</f>
        <v>32.431575396882359</v>
      </c>
      <c r="E386" s="108">
        <f>+E280*SUM(E44:E48,E53:E55)/1000</f>
        <v>785.95412955723941</v>
      </c>
      <c r="F386" s="108">
        <f>+F280*SUM(F44:F48,F53:F55)/1000</f>
        <v>322.56614063877987</v>
      </c>
      <c r="G386" s="108">
        <f>+G280*SUM(G44:G48,G53:G55)/1000</f>
        <v>246.88931954812622</v>
      </c>
      <c r="H386" s="108">
        <f>(C298*SUM(H44:H48,H53:H55)/1000)+($I299*($L$385/8*H145)/1000)+($J299*($L$390/8*H145)/1000)</f>
        <v>14897.110287919617</v>
      </c>
      <c r="I386" s="108">
        <f>+H280*SUM(C44:C48,C53:C55)/1000</f>
        <v>31056.932175092232</v>
      </c>
      <c r="J386" s="108"/>
      <c r="N386" s="108">
        <v>23915.288135492148</v>
      </c>
    </row>
    <row r="387" spans="1:14" x14ac:dyDescent="0.6">
      <c r="A387" s="14"/>
      <c r="B387" s="55" t="s">
        <v>36</v>
      </c>
      <c r="C387" s="63">
        <f t="shared" ref="C387:I387" si="62">+C386+C385</f>
        <v>52837.594436474916</v>
      </c>
      <c r="D387" s="63">
        <f t="shared" si="62"/>
        <v>47.743076280766573</v>
      </c>
      <c r="E387" s="63">
        <f t="shared" si="62"/>
        <v>1073.3961248901046</v>
      </c>
      <c r="F387" s="63">
        <f t="shared" si="62"/>
        <v>437.53465217490634</v>
      </c>
      <c r="G387" s="65">
        <f t="shared" si="62"/>
        <v>337.31750902847841</v>
      </c>
      <c r="H387" s="65">
        <f t="shared" si="62"/>
        <v>23338.402115275545</v>
      </c>
      <c r="I387" s="65">
        <f t="shared" si="62"/>
        <v>52837.594436474916</v>
      </c>
      <c r="J387" s="65"/>
      <c r="K387" s="109" t="s">
        <v>154</v>
      </c>
      <c r="L387" s="110"/>
    </row>
    <row r="388" spans="1:14" x14ac:dyDescent="0.6">
      <c r="A388" s="14"/>
      <c r="B388" s="55"/>
      <c r="K388" s="111"/>
      <c r="L388" s="141" t="s">
        <v>157</v>
      </c>
    </row>
    <row r="389" spans="1:14" x14ac:dyDescent="0.6">
      <c r="A389" s="14"/>
      <c r="B389" s="3" t="s">
        <v>186</v>
      </c>
      <c r="K389" s="111" t="s">
        <v>69</v>
      </c>
      <c r="L389" s="113">
        <v>343655.70257928403</v>
      </c>
    </row>
    <row r="390" spans="1:14" ht="13.75" thickBot="1" x14ac:dyDescent="0.75">
      <c r="A390" s="14"/>
      <c r="B390" s="55" t="s">
        <v>69</v>
      </c>
      <c r="C390" s="27">
        <f t="shared" ref="C390:I390" si="63">+C385/C387</f>
        <v>0.41221903634483081</v>
      </c>
      <c r="D390" s="27">
        <f t="shared" si="63"/>
        <v>0.32070620656785154</v>
      </c>
      <c r="E390" s="27">
        <f t="shared" si="63"/>
        <v>0.26778743528843435</v>
      </c>
      <c r="F390" s="27">
        <f t="shared" si="63"/>
        <v>0.26276435698210093</v>
      </c>
      <c r="G390" s="27">
        <f t="shared" si="63"/>
        <v>0.2680803310234266</v>
      </c>
      <c r="H390" s="27">
        <f t="shared" si="63"/>
        <v>0.36169107832069181</v>
      </c>
      <c r="I390" s="27">
        <f t="shared" si="63"/>
        <v>0.41221903634483087</v>
      </c>
      <c r="J390" s="27"/>
      <c r="K390" s="114" t="s">
        <v>62</v>
      </c>
      <c r="L390" s="115">
        <v>561224.88687915634</v>
      </c>
    </row>
    <row r="391" spans="1:14" x14ac:dyDescent="0.6">
      <c r="A391" s="14"/>
      <c r="B391" s="55" t="s">
        <v>62</v>
      </c>
      <c r="C391" s="27">
        <f t="shared" ref="C391:I391" si="64">+C386/C387</f>
        <v>0.58778096365516919</v>
      </c>
      <c r="D391" s="27">
        <f t="shared" si="64"/>
        <v>0.67929379343214857</v>
      </c>
      <c r="E391" s="27">
        <f t="shared" si="64"/>
        <v>0.73221256471156559</v>
      </c>
      <c r="F391" s="27">
        <f t="shared" si="64"/>
        <v>0.73723564301789901</v>
      </c>
      <c r="G391" s="27">
        <f t="shared" si="64"/>
        <v>0.73191966897657335</v>
      </c>
      <c r="H391" s="27">
        <f t="shared" si="64"/>
        <v>0.63830892167930808</v>
      </c>
      <c r="I391" s="27">
        <f t="shared" si="64"/>
        <v>0.58778096365516919</v>
      </c>
      <c r="J391" s="27"/>
    </row>
    <row r="392" spans="1:14" x14ac:dyDescent="0.6">
      <c r="A392" s="14"/>
    </row>
    <row r="393" spans="1:14" x14ac:dyDescent="0.6">
      <c r="A393" s="14"/>
      <c r="B393" s="3" t="s">
        <v>187</v>
      </c>
    </row>
    <row r="394" spans="1:14" x14ac:dyDescent="0.6">
      <c r="A394" s="14"/>
      <c r="B394" s="55" t="s">
        <v>69</v>
      </c>
      <c r="C394" s="139">
        <f>+SUM(C385:H385)</f>
        <v>30730.10428597184</v>
      </c>
    </row>
    <row r="395" spans="1:14" x14ac:dyDescent="0.6">
      <c r="A395" s="14"/>
      <c r="B395" s="55" t="s">
        <v>62</v>
      </c>
      <c r="C395" s="139">
        <f>+SUM(C386:H386)</f>
        <v>47341.883628152878</v>
      </c>
    </row>
    <row r="396" spans="1:14" x14ac:dyDescent="0.6">
      <c r="A396" s="14"/>
      <c r="B396" s="55" t="s">
        <v>36</v>
      </c>
      <c r="C396" s="63">
        <f>+C395+C394</f>
        <v>78071.987914124722</v>
      </c>
    </row>
    <row r="397" spans="1:14" x14ac:dyDescent="0.6">
      <c r="A397" s="14"/>
    </row>
    <row r="398" spans="1:14" x14ac:dyDescent="0.6">
      <c r="A398" s="14"/>
      <c r="B398" s="3" t="s">
        <v>188</v>
      </c>
      <c r="D398" s="3" t="s">
        <v>189</v>
      </c>
      <c r="I398" s="302" t="s">
        <v>190</v>
      </c>
      <c r="J398" s="302"/>
    </row>
    <row r="399" spans="1:14" x14ac:dyDescent="0.6">
      <c r="A399" s="14"/>
      <c r="B399" s="55" t="s">
        <v>69</v>
      </c>
      <c r="C399" s="27">
        <f>+C394/C396</f>
        <v>0.39361242241933708</v>
      </c>
      <c r="E399" s="83">
        <f>+C394/SUMPRODUCT(L48:Q48,C81:H81)*1000</f>
        <v>66.371626641495411</v>
      </c>
      <c r="F399" s="3" t="s">
        <v>191</v>
      </c>
      <c r="I399" s="55" t="s">
        <v>69</v>
      </c>
      <c r="J399" s="140">
        <f>ROUND(E399/$D$318,4)</f>
        <v>0.92669999999999997</v>
      </c>
      <c r="K399" s="142"/>
    </row>
    <row r="400" spans="1:14" x14ac:dyDescent="0.6">
      <c r="A400" s="14"/>
      <c r="B400" s="55" t="s">
        <v>62</v>
      </c>
      <c r="C400" s="27">
        <f>+C395/C396</f>
        <v>0.60638757758066286</v>
      </c>
      <c r="E400" s="83">
        <f>+C395/SUMPRODUCT(L44:Q44,C81:H81)*1000</f>
        <v>73.65457114194885</v>
      </c>
      <c r="F400" s="3" t="s">
        <v>191</v>
      </c>
      <c r="I400" s="55" t="s">
        <v>62</v>
      </c>
      <c r="J400" s="140">
        <f>ROUND(E400/$D$318,4)</f>
        <v>1.0284</v>
      </c>
      <c r="K400" s="142"/>
    </row>
    <row r="401" spans="1:10" x14ac:dyDescent="0.6">
      <c r="A401" s="14"/>
    </row>
    <row r="402" spans="1:10" x14ac:dyDescent="0.6">
      <c r="C402" s="63"/>
      <c r="D402" s="63"/>
      <c r="E402" s="63"/>
      <c r="F402" s="63"/>
      <c r="G402" s="63"/>
      <c r="H402" s="63"/>
      <c r="I402" s="63"/>
      <c r="J402" s="63"/>
    </row>
    <row r="403" spans="1:10" x14ac:dyDescent="0.6">
      <c r="A403" s="54" t="s">
        <v>194</v>
      </c>
      <c r="B403" s="33" t="s">
        <v>195</v>
      </c>
    </row>
    <row r="404" spans="1:10" x14ac:dyDescent="0.6">
      <c r="A404" s="54"/>
    </row>
    <row r="405" spans="1:10" x14ac:dyDescent="0.6">
      <c r="A405" s="54"/>
      <c r="E405" s="47"/>
      <c r="F405" s="33" t="s">
        <v>196</v>
      </c>
      <c r="I405" s="13" t="s">
        <v>197</v>
      </c>
    </row>
    <row r="406" spans="1:10" x14ac:dyDescent="0.6">
      <c r="B406" s="13" t="s">
        <v>198</v>
      </c>
      <c r="E406" s="47"/>
      <c r="F406" s="33" t="s">
        <v>199</v>
      </c>
      <c r="I406" s="13" t="s">
        <v>200</v>
      </c>
    </row>
    <row r="407" spans="1:10" x14ac:dyDescent="0.6">
      <c r="A407" s="14"/>
      <c r="B407" s="12" t="s">
        <v>61</v>
      </c>
      <c r="C407" s="37"/>
      <c r="D407" s="85" t="s">
        <v>201</v>
      </c>
      <c r="E407" s="143"/>
      <c r="F407" s="12" t="s">
        <v>61</v>
      </c>
      <c r="I407" s="144" t="s">
        <v>202</v>
      </c>
    </row>
    <row r="408" spans="1:10" x14ac:dyDescent="0.6">
      <c r="A408" s="14"/>
      <c r="C408" s="35" t="s">
        <v>49</v>
      </c>
      <c r="D408" s="35" t="s">
        <v>203</v>
      </c>
      <c r="E408" s="145" t="s">
        <v>50</v>
      </c>
      <c r="F408" s="35" t="s">
        <v>49</v>
      </c>
      <c r="G408" s="35" t="s">
        <v>50</v>
      </c>
      <c r="I408" s="35" t="s">
        <v>49</v>
      </c>
      <c r="J408" s="35" t="s">
        <v>50</v>
      </c>
    </row>
    <row r="409" spans="1:10" x14ac:dyDescent="0.6">
      <c r="A409" s="14"/>
      <c r="B409" s="21" t="s">
        <v>13</v>
      </c>
      <c r="C409" s="51">
        <v>61.55</v>
      </c>
      <c r="D409" s="146">
        <v>0.81789999999999996</v>
      </c>
      <c r="E409" s="147">
        <f>ROUND(C409*D409,2)</f>
        <v>50.34</v>
      </c>
      <c r="F409" s="27">
        <v>0.91</v>
      </c>
      <c r="G409" s="27">
        <v>0.94</v>
      </c>
      <c r="I409" s="51">
        <f t="shared" ref="I409:I420" si="65">ROUND(C409*F409,2)</f>
        <v>56.01</v>
      </c>
      <c r="J409" s="51">
        <f t="shared" ref="J409:J420" si="66">ROUND(E409*G409,2)</f>
        <v>47.32</v>
      </c>
    </row>
    <row r="410" spans="1:10" x14ac:dyDescent="0.6">
      <c r="A410" s="14"/>
      <c r="B410" s="21" t="s">
        <v>14</v>
      </c>
      <c r="C410" s="51">
        <v>55.7</v>
      </c>
      <c r="D410" s="146">
        <f>D409</f>
        <v>0.81789999999999996</v>
      </c>
      <c r="E410" s="147">
        <f>ROUND(C410*D410,2)</f>
        <v>45.56</v>
      </c>
      <c r="F410" s="27">
        <v>0.91</v>
      </c>
      <c r="G410" s="27">
        <v>0.94</v>
      </c>
      <c r="I410" s="51">
        <f t="shared" si="65"/>
        <v>50.69</v>
      </c>
      <c r="J410" s="51">
        <f t="shared" si="66"/>
        <v>42.83</v>
      </c>
    </row>
    <row r="411" spans="1:10" x14ac:dyDescent="0.6">
      <c r="A411" s="14"/>
      <c r="B411" s="21" t="s">
        <v>15</v>
      </c>
      <c r="C411" s="51">
        <v>48.2</v>
      </c>
      <c r="D411" s="146">
        <f>D409</f>
        <v>0.81789999999999996</v>
      </c>
      <c r="E411" s="147">
        <f t="shared" ref="E411:E420" si="67">ROUND(C411*D411,2)</f>
        <v>39.42</v>
      </c>
      <c r="F411" s="27">
        <v>0.91</v>
      </c>
      <c r="G411" s="27">
        <v>0.94</v>
      </c>
      <c r="I411" s="51">
        <f t="shared" si="65"/>
        <v>43.86</v>
      </c>
      <c r="J411" s="51">
        <f t="shared" si="66"/>
        <v>37.049999999999997</v>
      </c>
    </row>
    <row r="412" spans="1:10" x14ac:dyDescent="0.6">
      <c r="A412" s="14"/>
      <c r="B412" s="21" t="s">
        <v>16</v>
      </c>
      <c r="C412" s="51">
        <v>45.5</v>
      </c>
      <c r="D412" s="146">
        <f>D409</f>
        <v>0.81789999999999996</v>
      </c>
      <c r="E412" s="147">
        <f t="shared" si="67"/>
        <v>37.21</v>
      </c>
      <c r="F412" s="27">
        <v>0.91</v>
      </c>
      <c r="G412" s="27">
        <v>0.94</v>
      </c>
      <c r="I412" s="51">
        <f t="shared" si="65"/>
        <v>41.41</v>
      </c>
      <c r="J412" s="51">
        <f t="shared" si="66"/>
        <v>34.979999999999997</v>
      </c>
    </row>
    <row r="413" spans="1:10" x14ac:dyDescent="0.6">
      <c r="A413" s="14"/>
      <c r="B413" s="21" t="s">
        <v>17</v>
      </c>
      <c r="C413" s="51">
        <v>47.9</v>
      </c>
      <c r="D413" s="146">
        <f>D409</f>
        <v>0.81789999999999996</v>
      </c>
      <c r="E413" s="147">
        <f t="shared" si="67"/>
        <v>39.18</v>
      </c>
      <c r="F413" s="27">
        <v>0.91</v>
      </c>
      <c r="G413" s="27">
        <v>0.94</v>
      </c>
      <c r="I413" s="51">
        <f t="shared" si="65"/>
        <v>43.59</v>
      </c>
      <c r="J413" s="51">
        <f t="shared" si="66"/>
        <v>36.83</v>
      </c>
    </row>
    <row r="414" spans="1:10" x14ac:dyDescent="0.6">
      <c r="A414" s="14"/>
      <c r="B414" s="21" t="s">
        <v>18</v>
      </c>
      <c r="C414" s="51">
        <v>45.25</v>
      </c>
      <c r="D414" s="146">
        <v>0.62460000000000004</v>
      </c>
      <c r="E414" s="147">
        <f t="shared" si="67"/>
        <v>28.26</v>
      </c>
      <c r="F414" s="27">
        <v>0.88</v>
      </c>
      <c r="G414" s="27">
        <v>0.92</v>
      </c>
      <c r="I414" s="51">
        <f t="shared" si="65"/>
        <v>39.82</v>
      </c>
      <c r="J414" s="51">
        <f t="shared" si="66"/>
        <v>26</v>
      </c>
    </row>
    <row r="415" spans="1:10" x14ac:dyDescent="0.6">
      <c r="A415" s="14"/>
      <c r="B415" s="21" t="s">
        <v>19</v>
      </c>
      <c r="C415" s="51">
        <v>59.8</v>
      </c>
      <c r="D415" s="146">
        <f>D414</f>
        <v>0.62460000000000004</v>
      </c>
      <c r="E415" s="147">
        <f t="shared" si="67"/>
        <v>37.35</v>
      </c>
      <c r="F415" s="148">
        <v>0.88</v>
      </c>
      <c r="G415" s="27">
        <v>0.92</v>
      </c>
      <c r="I415" s="51">
        <f t="shared" si="65"/>
        <v>52.62</v>
      </c>
      <c r="J415" s="51">
        <f t="shared" si="66"/>
        <v>34.36</v>
      </c>
    </row>
    <row r="416" spans="1:10" x14ac:dyDescent="0.6">
      <c r="A416" s="14"/>
      <c r="B416" s="21" t="s">
        <v>20</v>
      </c>
      <c r="C416" s="51">
        <v>53.9</v>
      </c>
      <c r="D416" s="146">
        <f>D414</f>
        <v>0.62460000000000004</v>
      </c>
      <c r="E416" s="147">
        <f t="shared" si="67"/>
        <v>33.67</v>
      </c>
      <c r="F416" s="148">
        <v>0.88</v>
      </c>
      <c r="G416" s="27">
        <v>0.92</v>
      </c>
      <c r="I416" s="51">
        <f t="shared" si="65"/>
        <v>47.43</v>
      </c>
      <c r="J416" s="51">
        <f t="shared" si="66"/>
        <v>30.98</v>
      </c>
    </row>
    <row r="417" spans="1:19" x14ac:dyDescent="0.6">
      <c r="A417" s="14"/>
      <c r="B417" s="21" t="s">
        <v>21</v>
      </c>
      <c r="C417" s="51">
        <v>46.2</v>
      </c>
      <c r="D417" s="146">
        <f>D414</f>
        <v>0.62460000000000004</v>
      </c>
      <c r="E417" s="147">
        <f t="shared" si="67"/>
        <v>28.86</v>
      </c>
      <c r="F417" s="148">
        <v>0.88</v>
      </c>
      <c r="G417" s="27">
        <v>0.92</v>
      </c>
      <c r="I417" s="51">
        <f t="shared" si="65"/>
        <v>40.659999999999997</v>
      </c>
      <c r="J417" s="51">
        <f t="shared" si="66"/>
        <v>26.55</v>
      </c>
    </row>
    <row r="418" spans="1:19" x14ac:dyDescent="0.6">
      <c r="A418" s="14"/>
      <c r="B418" s="21" t="s">
        <v>22</v>
      </c>
      <c r="C418" s="51">
        <v>44.45</v>
      </c>
      <c r="D418" s="146">
        <f>D409</f>
        <v>0.81789999999999996</v>
      </c>
      <c r="E418" s="147">
        <f t="shared" si="67"/>
        <v>36.36</v>
      </c>
      <c r="F418" s="148">
        <f>F409</f>
        <v>0.91</v>
      </c>
      <c r="G418" s="148">
        <f>G409</f>
        <v>0.94</v>
      </c>
      <c r="I418" s="51">
        <f t="shared" si="65"/>
        <v>40.450000000000003</v>
      </c>
      <c r="J418" s="51">
        <f t="shared" si="66"/>
        <v>34.18</v>
      </c>
    </row>
    <row r="419" spans="1:19" x14ac:dyDescent="0.6">
      <c r="A419" s="14"/>
      <c r="B419" s="21" t="s">
        <v>23</v>
      </c>
      <c r="C419" s="51">
        <v>45.95</v>
      </c>
      <c r="D419" s="146">
        <f>D409</f>
        <v>0.81789999999999996</v>
      </c>
      <c r="E419" s="147">
        <f t="shared" si="67"/>
        <v>37.58</v>
      </c>
      <c r="F419" s="148">
        <f t="shared" ref="F419:G420" si="68">F410</f>
        <v>0.91</v>
      </c>
      <c r="G419" s="148">
        <f t="shared" si="68"/>
        <v>0.94</v>
      </c>
      <c r="I419" s="51">
        <f t="shared" si="65"/>
        <v>41.81</v>
      </c>
      <c r="J419" s="51">
        <f t="shared" si="66"/>
        <v>35.33</v>
      </c>
    </row>
    <row r="420" spans="1:19" x14ac:dyDescent="0.6">
      <c r="A420" s="14"/>
      <c r="B420" s="21" t="s">
        <v>24</v>
      </c>
      <c r="C420" s="51">
        <v>52.15</v>
      </c>
      <c r="D420" s="146">
        <f>D409</f>
        <v>0.81789999999999996</v>
      </c>
      <c r="E420" s="147">
        <f t="shared" si="67"/>
        <v>42.65</v>
      </c>
      <c r="F420" s="148">
        <f t="shared" si="68"/>
        <v>0.91</v>
      </c>
      <c r="G420" s="148">
        <f t="shared" si="68"/>
        <v>0.94</v>
      </c>
      <c r="I420" s="51">
        <f t="shared" si="65"/>
        <v>47.46</v>
      </c>
      <c r="J420" s="51">
        <f t="shared" si="66"/>
        <v>40.090000000000003</v>
      </c>
    </row>
    <row r="421" spans="1:19" x14ac:dyDescent="0.6">
      <c r="A421" s="14"/>
      <c r="B421" s="21"/>
      <c r="C421" s="51"/>
      <c r="D421" s="51"/>
      <c r="E421" s="47"/>
      <c r="K421" s="27"/>
    </row>
    <row r="422" spans="1:19" x14ac:dyDescent="0.6">
      <c r="A422" s="14"/>
      <c r="B422" s="21"/>
      <c r="C422" s="51"/>
      <c r="D422" s="51"/>
      <c r="K422" s="27"/>
    </row>
    <row r="423" spans="1:19" x14ac:dyDescent="0.6">
      <c r="A423" s="14"/>
      <c r="B423" s="21"/>
      <c r="C423" s="51"/>
      <c r="D423" s="51"/>
      <c r="K423" s="27"/>
    </row>
    <row r="424" spans="1:19" x14ac:dyDescent="0.6">
      <c r="B424" s="33" t="s">
        <v>204</v>
      </c>
      <c r="F424" s="144" t="s">
        <v>205</v>
      </c>
    </row>
    <row r="425" spans="1:19" x14ac:dyDescent="0.6">
      <c r="B425" s="12" t="s">
        <v>61</v>
      </c>
      <c r="F425" s="13" t="str">
        <f>"system ("&amp;TEXT(D447*100,"0.0")&amp;"% PJM - "&amp;TEXT(E447*100,"0.0")&amp;"% NYISO)"</f>
        <v>system (90.0% PJM - 10.0% NYISO)</v>
      </c>
    </row>
    <row r="426" spans="1:19" x14ac:dyDescent="0.6">
      <c r="B426" s="12"/>
      <c r="F426" s="12" t="s">
        <v>61</v>
      </c>
    </row>
    <row r="427" spans="1:19" x14ac:dyDescent="0.6">
      <c r="C427" s="35" t="s">
        <v>49</v>
      </c>
      <c r="D427" s="35" t="s">
        <v>50</v>
      </c>
      <c r="G427" s="35" t="s">
        <v>49</v>
      </c>
      <c r="H427" s="35" t="s">
        <v>50</v>
      </c>
    </row>
    <row r="428" spans="1:19" x14ac:dyDescent="0.6">
      <c r="B428" s="21" t="s">
        <v>13</v>
      </c>
      <c r="C428" s="51">
        <v>89.5</v>
      </c>
      <c r="D428" s="51">
        <v>72.099999999999994</v>
      </c>
      <c r="F428" s="21" t="s">
        <v>13</v>
      </c>
      <c r="G428" s="51">
        <f t="shared" ref="G428:H439" si="69">ROUND($K$428*I409+$K$429*C428,2)</f>
        <v>59.36</v>
      </c>
      <c r="H428" s="51">
        <f t="shared" si="69"/>
        <v>49.8</v>
      </c>
      <c r="K428" s="149">
        <f>D447</f>
        <v>0.90009000900090008</v>
      </c>
      <c r="L428" s="3" t="s">
        <v>206</v>
      </c>
      <c r="Q428" s="51">
        <f>AVERAGE(G433:G436)</f>
        <v>45.452499999999993</v>
      </c>
      <c r="R428" s="51">
        <f>AVERAGE(H433:H436)</f>
        <v>30.017499999999998</v>
      </c>
    </row>
    <row r="429" spans="1:19" x14ac:dyDescent="0.6">
      <c r="B429" s="21" t="s">
        <v>14</v>
      </c>
      <c r="C429" s="51">
        <v>90.25</v>
      </c>
      <c r="D429" s="51">
        <v>70.7</v>
      </c>
      <c r="F429" s="21" t="s">
        <v>14</v>
      </c>
      <c r="G429" s="51">
        <f t="shared" si="69"/>
        <v>54.64</v>
      </c>
      <c r="H429" s="51">
        <f t="shared" si="69"/>
        <v>45.61</v>
      </c>
      <c r="K429" s="149">
        <f>E447</f>
        <v>9.9909990999099918E-2</v>
      </c>
      <c r="L429" s="3" t="s">
        <v>207</v>
      </c>
      <c r="Q429" s="51">
        <f>AVERAGE(G428:G432,G437:G439)</f>
        <v>47.007500000000007</v>
      </c>
      <c r="R429" s="51">
        <f>AVERAGE(H428:H432,H437:H439)</f>
        <v>39.616249999999994</v>
      </c>
    </row>
    <row r="430" spans="1:19" x14ac:dyDescent="0.6">
      <c r="B430" s="21" t="s">
        <v>15</v>
      </c>
      <c r="C430" s="51">
        <v>54.05</v>
      </c>
      <c r="D430" s="51">
        <v>47.9</v>
      </c>
      <c r="F430" s="21" t="s">
        <v>15</v>
      </c>
      <c r="G430" s="51">
        <f t="shared" si="69"/>
        <v>44.88</v>
      </c>
      <c r="H430" s="51">
        <f t="shared" si="69"/>
        <v>38.130000000000003</v>
      </c>
      <c r="Q430" s="3">
        <f>Q428/Q429</f>
        <v>0.96692017231292848</v>
      </c>
      <c r="R430" s="3">
        <f>R428/R429</f>
        <v>0.75770674912441238</v>
      </c>
    </row>
    <row r="431" spans="1:19" x14ac:dyDescent="0.6">
      <c r="B431" s="21" t="s">
        <v>16</v>
      </c>
      <c r="C431" s="51">
        <v>40.549999999999997</v>
      </c>
      <c r="D431" s="51">
        <v>31.9</v>
      </c>
      <c r="F431" s="21" t="s">
        <v>16</v>
      </c>
      <c r="G431" s="51">
        <f t="shared" si="69"/>
        <v>41.32</v>
      </c>
      <c r="H431" s="51">
        <f t="shared" si="69"/>
        <v>34.67</v>
      </c>
    </row>
    <row r="432" spans="1:19" x14ac:dyDescent="0.6">
      <c r="B432" s="21" t="s">
        <v>17</v>
      </c>
      <c r="C432" s="51">
        <v>42.55</v>
      </c>
      <c r="D432" s="51">
        <v>33.6</v>
      </c>
      <c r="F432" s="21" t="s">
        <v>17</v>
      </c>
      <c r="G432" s="51">
        <f t="shared" si="69"/>
        <v>43.49</v>
      </c>
      <c r="H432" s="51">
        <f t="shared" si="69"/>
        <v>36.51</v>
      </c>
      <c r="Q432" s="51">
        <f>AVERAGE(G428:G439)</f>
        <v>46.489166666666669</v>
      </c>
      <c r="R432" s="51">
        <f>AVERAGE(H428:H439)</f>
        <v>36.416666666666664</v>
      </c>
      <c r="S432" s="3">
        <f>Q432/R432</f>
        <v>1.2765903890160184</v>
      </c>
    </row>
    <row r="433" spans="1:19" x14ac:dyDescent="0.6">
      <c r="B433" s="21" t="s">
        <v>18</v>
      </c>
      <c r="C433" s="51">
        <v>42.15</v>
      </c>
      <c r="D433" s="51">
        <v>32.25</v>
      </c>
      <c r="F433" s="21" t="s">
        <v>18</v>
      </c>
      <c r="G433" s="51">
        <f t="shared" si="69"/>
        <v>40.049999999999997</v>
      </c>
      <c r="H433" s="51">
        <f t="shared" si="69"/>
        <v>26.62</v>
      </c>
    </row>
    <row r="434" spans="1:19" x14ac:dyDescent="0.6">
      <c r="B434" s="21" t="s">
        <v>19</v>
      </c>
      <c r="C434" s="51">
        <v>60.45</v>
      </c>
      <c r="D434" s="51">
        <v>43.5</v>
      </c>
      <c r="F434" s="21" t="s">
        <v>19</v>
      </c>
      <c r="G434" s="51">
        <f t="shared" si="69"/>
        <v>53.4</v>
      </c>
      <c r="H434" s="51">
        <f t="shared" si="69"/>
        <v>35.270000000000003</v>
      </c>
    </row>
    <row r="435" spans="1:19" x14ac:dyDescent="0.6">
      <c r="B435" s="21" t="s">
        <v>20</v>
      </c>
      <c r="C435" s="51">
        <v>51.35</v>
      </c>
      <c r="D435" s="51">
        <v>33.299999999999997</v>
      </c>
      <c r="F435" s="21" t="s">
        <v>20</v>
      </c>
      <c r="G435" s="51">
        <f t="shared" si="69"/>
        <v>47.82</v>
      </c>
      <c r="H435" s="51">
        <f t="shared" si="69"/>
        <v>31.21</v>
      </c>
    </row>
    <row r="436" spans="1:19" x14ac:dyDescent="0.6">
      <c r="B436" s="21" t="s">
        <v>21</v>
      </c>
      <c r="C436" s="51">
        <v>39.5</v>
      </c>
      <c r="D436" s="51">
        <v>30.75</v>
      </c>
      <c r="F436" s="21" t="s">
        <v>21</v>
      </c>
      <c r="G436" s="51">
        <f t="shared" si="69"/>
        <v>40.54</v>
      </c>
      <c r="H436" s="51">
        <f t="shared" si="69"/>
        <v>26.97</v>
      </c>
    </row>
    <row r="437" spans="1:19" x14ac:dyDescent="0.6">
      <c r="B437" s="21" t="s">
        <v>22</v>
      </c>
      <c r="C437" s="51">
        <v>39.4</v>
      </c>
      <c r="D437" s="51">
        <v>32.1</v>
      </c>
      <c r="F437" s="21" t="s">
        <v>22</v>
      </c>
      <c r="G437" s="51">
        <f t="shared" si="69"/>
        <v>40.35</v>
      </c>
      <c r="H437" s="51">
        <f t="shared" si="69"/>
        <v>33.97</v>
      </c>
    </row>
    <row r="438" spans="1:19" x14ac:dyDescent="0.6">
      <c r="B438" s="21" t="s">
        <v>23</v>
      </c>
      <c r="C438" s="51">
        <v>49.85</v>
      </c>
      <c r="D438" s="51">
        <v>41.85</v>
      </c>
      <c r="F438" s="21" t="s">
        <v>23</v>
      </c>
      <c r="G438" s="51">
        <f t="shared" si="69"/>
        <v>42.61</v>
      </c>
      <c r="H438" s="51">
        <f t="shared" si="69"/>
        <v>35.979999999999997</v>
      </c>
    </row>
    <row r="439" spans="1:19" x14ac:dyDescent="0.6">
      <c r="B439" s="21" t="s">
        <v>24</v>
      </c>
      <c r="C439" s="51">
        <v>66.95</v>
      </c>
      <c r="D439" s="51">
        <v>61.85</v>
      </c>
      <c r="F439" s="21" t="s">
        <v>24</v>
      </c>
      <c r="G439" s="51">
        <f t="shared" si="69"/>
        <v>49.41</v>
      </c>
      <c r="H439" s="51">
        <f t="shared" si="69"/>
        <v>42.26</v>
      </c>
    </row>
    <row r="443" spans="1:19" x14ac:dyDescent="0.6">
      <c r="A443" s="54" t="s">
        <v>208</v>
      </c>
      <c r="B443" s="13" t="s">
        <v>209</v>
      </c>
    </row>
    <row r="446" spans="1:19" x14ac:dyDescent="0.6">
      <c r="C446" s="55" t="s">
        <v>210</v>
      </c>
      <c r="D446" s="37" t="s">
        <v>206</v>
      </c>
      <c r="E446" s="37" t="s">
        <v>207</v>
      </c>
      <c r="F446" s="37" t="s">
        <v>211</v>
      </c>
    </row>
    <row r="447" spans="1:19" x14ac:dyDescent="0.6">
      <c r="C447" s="150" t="s">
        <v>212</v>
      </c>
      <c r="D447" s="151">
        <f>4/(4+M466)</f>
        <v>0.90009000900090008</v>
      </c>
      <c r="E447" s="151">
        <f>M466/(4+M466)</f>
        <v>9.9909990999099918E-2</v>
      </c>
      <c r="F447" s="152" t="s">
        <v>213</v>
      </c>
    </row>
    <row r="448" spans="1:19" x14ac:dyDescent="0.6">
      <c r="Q448" s="77" t="s">
        <v>214</v>
      </c>
      <c r="R448" s="3" t="s">
        <v>215</v>
      </c>
      <c r="S448" s="3" t="s">
        <v>216</v>
      </c>
    </row>
    <row r="449" spans="1:19" x14ac:dyDescent="0.6">
      <c r="B449" s="37" t="s">
        <v>69</v>
      </c>
      <c r="C449" s="153">
        <v>50.34</v>
      </c>
      <c r="D449" s="76">
        <f>C449</f>
        <v>50.34</v>
      </c>
      <c r="E449" s="76">
        <v>249.0741304347826</v>
      </c>
      <c r="F449" s="81">
        <f>ROUND(D449*D$447+E449*E$447,2)</f>
        <v>70.2</v>
      </c>
      <c r="H449" s="81"/>
      <c r="P449" s="3" t="s">
        <v>217</v>
      </c>
      <c r="Q449" s="3">
        <v>2.25</v>
      </c>
      <c r="R449" s="3">
        <f>Q449*1000</f>
        <v>2250</v>
      </c>
      <c r="S449" s="3">
        <v>31</v>
      </c>
    </row>
    <row r="450" spans="1:19" x14ac:dyDescent="0.6">
      <c r="B450" s="37"/>
      <c r="C450" s="37"/>
      <c r="D450" s="76"/>
      <c r="E450" s="76"/>
      <c r="F450" s="81"/>
      <c r="P450" s="3" t="s">
        <v>218</v>
      </c>
      <c r="Q450" s="3">
        <v>1.25</v>
      </c>
      <c r="R450" s="3">
        <f>Q450*1000</f>
        <v>1250</v>
      </c>
      <c r="S450" s="3">
        <v>30</v>
      </c>
    </row>
    <row r="451" spans="1:19" x14ac:dyDescent="0.6">
      <c r="B451" s="37" t="s">
        <v>62</v>
      </c>
      <c r="C451" s="76">
        <f>C449</f>
        <v>50.34</v>
      </c>
      <c r="D451" s="76">
        <f>C451</f>
        <v>50.34</v>
      </c>
      <c r="E451" s="154">
        <v>131.66165745856352</v>
      </c>
      <c r="F451" s="81">
        <f>ROUND(D451*D$447+E451*E$447,2)</f>
        <v>58.46</v>
      </c>
      <c r="I451" s="77"/>
      <c r="P451" s="3" t="s">
        <v>219</v>
      </c>
      <c r="Q451" s="3">
        <v>1.25</v>
      </c>
      <c r="R451" s="3">
        <f t="shared" ref="Q451:R456" si="70">Q451*1000</f>
        <v>1250</v>
      </c>
      <c r="S451" s="3">
        <v>31</v>
      </c>
    </row>
    <row r="452" spans="1:19" x14ac:dyDescent="0.6">
      <c r="O452" s="3" t="s">
        <v>220</v>
      </c>
      <c r="P452" s="3">
        <v>1.25</v>
      </c>
      <c r="Q452" s="3">
        <f t="shared" si="70"/>
        <v>1250</v>
      </c>
      <c r="R452" s="3">
        <v>30</v>
      </c>
    </row>
    <row r="453" spans="1:19" x14ac:dyDescent="0.6">
      <c r="O453" s="3" t="s">
        <v>221</v>
      </c>
      <c r="P453" s="3">
        <v>1.25</v>
      </c>
      <c r="Q453" s="3">
        <f t="shared" si="70"/>
        <v>1250</v>
      </c>
      <c r="R453" s="3">
        <v>28</v>
      </c>
    </row>
    <row r="454" spans="1:19" x14ac:dyDescent="0.6">
      <c r="O454" s="3" t="s">
        <v>222</v>
      </c>
      <c r="P454" s="3">
        <v>1.25</v>
      </c>
      <c r="Q454" s="3">
        <f t="shared" si="70"/>
        <v>1250</v>
      </c>
      <c r="R454" s="3">
        <v>31</v>
      </c>
    </row>
    <row r="455" spans="1:19" x14ac:dyDescent="0.6">
      <c r="A455" s="54" t="s">
        <v>223</v>
      </c>
      <c r="B455" s="13" t="s">
        <v>115</v>
      </c>
      <c r="O455" s="3" t="s">
        <v>224</v>
      </c>
      <c r="P455" s="3">
        <v>1.25</v>
      </c>
      <c r="Q455" s="3">
        <f t="shared" si="70"/>
        <v>1250</v>
      </c>
      <c r="R455" s="3">
        <v>30</v>
      </c>
    </row>
    <row r="456" spans="1:19" x14ac:dyDescent="0.6">
      <c r="O456" s="3" t="s">
        <v>17</v>
      </c>
      <c r="P456" s="3">
        <v>2</v>
      </c>
      <c r="Q456" s="3">
        <f t="shared" si="70"/>
        <v>2000</v>
      </c>
      <c r="R456" s="3">
        <v>31</v>
      </c>
    </row>
    <row r="457" spans="1:19" x14ac:dyDescent="0.6">
      <c r="P457" s="3">
        <f>SUM(P449:P456)</f>
        <v>7</v>
      </c>
      <c r="Q457" s="3">
        <f>SUM(Q449:Q456)</f>
        <v>7004.75</v>
      </c>
      <c r="R457" s="3">
        <f>SUM(R449:R456)</f>
        <v>4900</v>
      </c>
      <c r="S457" s="3">
        <f>Q457/R457</f>
        <v>1.4295408163265306</v>
      </c>
    </row>
    <row r="458" spans="1:19" x14ac:dyDescent="0.6">
      <c r="C458" s="37" t="s">
        <v>225</v>
      </c>
      <c r="D458" s="37" t="s">
        <v>226</v>
      </c>
      <c r="E458" s="37" t="s">
        <v>227</v>
      </c>
      <c r="F458" s="37" t="s">
        <v>206</v>
      </c>
      <c r="G458" s="37" t="s">
        <v>207</v>
      </c>
      <c r="H458" s="37" t="s">
        <v>211</v>
      </c>
    </row>
    <row r="459" spans="1:19" x14ac:dyDescent="0.6">
      <c r="C459" s="152" t="s">
        <v>228</v>
      </c>
      <c r="D459" s="152" t="s">
        <v>228</v>
      </c>
      <c r="E459" s="152" t="s">
        <v>229</v>
      </c>
      <c r="F459" s="151">
        <f>D447</f>
        <v>0.90009000900090008</v>
      </c>
      <c r="G459" s="151">
        <f>E447</f>
        <v>9.9909990999099918E-2</v>
      </c>
      <c r="H459" s="152" t="s">
        <v>213</v>
      </c>
    </row>
    <row r="461" spans="1:19" x14ac:dyDescent="0.6">
      <c r="B461" s="37"/>
      <c r="C461" s="155">
        <v>2</v>
      </c>
      <c r="D461" s="155">
        <v>2.62</v>
      </c>
      <c r="E461" s="155">
        <v>20.88</v>
      </c>
      <c r="F461" s="155">
        <f>C461+E461</f>
        <v>22.88</v>
      </c>
      <c r="G461" s="155">
        <f>E461+D461</f>
        <v>23.5</v>
      </c>
      <c r="H461" s="155">
        <f>ROUND(F461*F$459+G461*G$459,2)</f>
        <v>22.94</v>
      </c>
    </row>
    <row r="462" spans="1:19" x14ac:dyDescent="0.6">
      <c r="B462" s="37"/>
      <c r="C462" s="155"/>
      <c r="D462" s="155"/>
      <c r="E462" s="155"/>
    </row>
    <row r="463" spans="1:19" ht="13.75" thickBot="1" x14ac:dyDescent="0.75">
      <c r="A463" s="33" t="s">
        <v>230</v>
      </c>
      <c r="E463" s="62"/>
    </row>
    <row r="464" spans="1:19" x14ac:dyDescent="0.6">
      <c r="A464" s="14"/>
      <c r="B464" s="37" t="s">
        <v>231</v>
      </c>
      <c r="C464" s="81">
        <f>F449</f>
        <v>70.2</v>
      </c>
      <c r="D464" s="74" t="s">
        <v>232</v>
      </c>
      <c r="L464" s="156" t="s">
        <v>233</v>
      </c>
      <c r="M464" s="157">
        <v>42.26</v>
      </c>
      <c r="N464" s="110"/>
    </row>
    <row r="465" spans="1:19" x14ac:dyDescent="0.6">
      <c r="A465" s="14"/>
      <c r="B465" s="37"/>
      <c r="C465" s="81">
        <f>+F451</f>
        <v>58.46</v>
      </c>
      <c r="D465" s="74" t="s">
        <v>234</v>
      </c>
      <c r="L465" s="158" t="s">
        <v>235</v>
      </c>
      <c r="M465" s="159">
        <v>95.142499999999998</v>
      </c>
      <c r="N465" s="112"/>
      <c r="S465" s="159">
        <v>95.142499999999998</v>
      </c>
    </row>
    <row r="466" spans="1:19" x14ac:dyDescent="0.6">
      <c r="A466" s="14"/>
      <c r="B466" s="37" t="s">
        <v>236</v>
      </c>
      <c r="C466" s="63">
        <f>+C147</f>
        <v>53766</v>
      </c>
      <c r="D466" s="74" t="s">
        <v>96</v>
      </c>
      <c r="E466" s="65"/>
      <c r="L466" s="158" t="s">
        <v>237</v>
      </c>
      <c r="M466" s="3">
        <f>ROUND(M464/M465,3)</f>
        <v>0.44400000000000001</v>
      </c>
      <c r="N466" s="112"/>
    </row>
    <row r="467" spans="1:19" x14ac:dyDescent="0.6">
      <c r="A467" s="14"/>
      <c r="B467" s="37" t="s">
        <v>238</v>
      </c>
      <c r="C467" s="160">
        <f>+H144</f>
        <v>4</v>
      </c>
      <c r="D467" s="3" t="s">
        <v>239</v>
      </c>
      <c r="E467" s="65"/>
      <c r="L467" s="111"/>
      <c r="N467" s="112"/>
    </row>
    <row r="468" spans="1:19" x14ac:dyDescent="0.6">
      <c r="A468" s="14"/>
      <c r="B468" s="37"/>
      <c r="C468" s="160">
        <f>+H145</f>
        <v>8</v>
      </c>
      <c r="D468" s="3" t="s">
        <v>240</v>
      </c>
      <c r="E468" s="65"/>
      <c r="L468" s="158" t="s">
        <v>241</v>
      </c>
      <c r="M468" s="61">
        <f>D223-D318</f>
        <v>15.927399014996539</v>
      </c>
      <c r="N468" s="112" t="s">
        <v>242</v>
      </c>
    </row>
    <row r="469" spans="1:19" x14ac:dyDescent="0.6">
      <c r="A469" s="14"/>
      <c r="B469" s="37" t="s">
        <v>243</v>
      </c>
      <c r="C469" s="61">
        <f>+D161</f>
        <v>22.94</v>
      </c>
      <c r="D469" s="77" t="s">
        <v>117</v>
      </c>
      <c r="L469" s="158" t="s">
        <v>244</v>
      </c>
      <c r="M469" s="161">
        <f>ROUND(M466/(4+M466)*M468,2)</f>
        <v>1.59</v>
      </c>
      <c r="N469" s="112" t="s">
        <v>242</v>
      </c>
    </row>
    <row r="470" spans="1:19" ht="13.75" thickBot="1" x14ac:dyDescent="0.75">
      <c r="A470" s="14"/>
      <c r="B470" s="37" t="s">
        <v>245</v>
      </c>
      <c r="C470" s="77" t="s">
        <v>404</v>
      </c>
      <c r="L470" s="162" t="s">
        <v>246</v>
      </c>
      <c r="M470" s="163">
        <f>M468-M469</f>
        <v>14.337399014996539</v>
      </c>
      <c r="N470" s="164" t="s">
        <v>242</v>
      </c>
    </row>
    <row r="471" spans="1:19" x14ac:dyDescent="0.6">
      <c r="A471" s="14"/>
      <c r="B471" s="37"/>
      <c r="C471" s="77" t="s">
        <v>405</v>
      </c>
      <c r="L471" s="165"/>
      <c r="M471" s="159"/>
    </row>
    <row r="472" spans="1:19" x14ac:dyDescent="0.6">
      <c r="A472" s="14"/>
      <c r="B472" s="37" t="s">
        <v>247</v>
      </c>
      <c r="C472" s="77" t="str">
        <f>"Forecasted " &amp;M1-1 &amp;" energy use by class, PJM on/off % from " &amp;M1-2 &amp;" class load profiles,"</f>
        <v>Forecasted 2023 energy use by class, PJM on/off % from 2022 class load profiles,</v>
      </c>
    </row>
    <row r="473" spans="1:19" x14ac:dyDescent="0.6">
      <c r="A473" s="14"/>
      <c r="B473" s="37"/>
      <c r="C473" s="77" t="str">
        <f>"RECO billing on/off % from " &amp;TEXT(DATE(M1-2,6,1),"m/yy") &amp;" to 5/" &amp;TEXT(DATE(M1-1,5,1),"yy") &amp;" actual data"</f>
        <v>RECO billing on/off % from 6/22 to 5/23 actual data</v>
      </c>
    </row>
    <row r="474" spans="1:19" x14ac:dyDescent="0.6">
      <c r="A474" s="14"/>
      <c r="B474" s="37" t="s">
        <v>248</v>
      </c>
      <c r="C474" s="77" t="str">
        <f>"Class totals for " &amp;M1-1</f>
        <v>Class totals for 2023</v>
      </c>
    </row>
    <row r="475" spans="1:19" x14ac:dyDescent="0.6">
      <c r="A475" s="14"/>
      <c r="B475" s="37" t="s">
        <v>249</v>
      </c>
      <c r="C475" s="3" t="s">
        <v>250</v>
      </c>
    </row>
    <row r="476" spans="1:19" x14ac:dyDescent="0.6">
      <c r="A476" s="14"/>
      <c r="B476" s="37" t="s">
        <v>251</v>
      </c>
      <c r="C476" s="3" t="s">
        <v>252</v>
      </c>
      <c r="L476" s="27"/>
    </row>
    <row r="477" spans="1:19" x14ac:dyDescent="0.6">
      <c r="C477" s="3" t="s">
        <v>253</v>
      </c>
    </row>
    <row r="478" spans="1:19" x14ac:dyDescent="0.6">
      <c r="B478" s="39" t="s">
        <v>254</v>
      </c>
      <c r="C478" s="3" t="s">
        <v>255</v>
      </c>
    </row>
    <row r="479" spans="1:19" x14ac:dyDescent="0.6">
      <c r="A479" s="14"/>
      <c r="C479" s="119"/>
      <c r="E479" s="119"/>
    </row>
    <row r="481" spans="1:9" x14ac:dyDescent="0.6">
      <c r="A481" s="166" t="s">
        <v>256</v>
      </c>
      <c r="B481" s="167"/>
      <c r="C481" s="167"/>
      <c r="D481" s="167"/>
    </row>
    <row r="482" spans="1:9" x14ac:dyDescent="0.6">
      <c r="A482" s="54" t="s">
        <v>257</v>
      </c>
      <c r="B482" s="13" t="s">
        <v>258</v>
      </c>
    </row>
    <row r="483" spans="1:9" x14ac:dyDescent="0.6">
      <c r="D483" s="168"/>
    </row>
    <row r="484" spans="1:9" x14ac:dyDescent="0.6">
      <c r="B484" s="1" t="s">
        <v>259</v>
      </c>
      <c r="D484" s="168">
        <f>D223</f>
        <v>87.548981826848134</v>
      </c>
      <c r="E484" s="77" t="s">
        <v>117</v>
      </c>
      <c r="F484" s="77" t="s">
        <v>260</v>
      </c>
    </row>
    <row r="485" spans="1:9" x14ac:dyDescent="0.6">
      <c r="B485" s="1" t="s">
        <v>261</v>
      </c>
      <c r="D485" s="169">
        <f>-M470</f>
        <v>-14.337399014996539</v>
      </c>
      <c r="E485" s="77" t="s">
        <v>117</v>
      </c>
      <c r="F485" s="3" t="s">
        <v>262</v>
      </c>
    </row>
    <row r="486" spans="1:9" x14ac:dyDescent="0.6">
      <c r="B486" s="1" t="s">
        <v>263</v>
      </c>
      <c r="D486" s="61">
        <f>D484+D485</f>
        <v>73.211582811851599</v>
      </c>
      <c r="E486" s="77" t="s">
        <v>117</v>
      </c>
      <c r="F486" s="3" t="str">
        <f>"** RECO average transmission rate of "&amp;TEXT(D223-D318,"0.00")&amp;" minus"</f>
        <v>** RECO average transmission rate of 15.93 minus</v>
      </c>
    </row>
    <row r="487" spans="1:9" x14ac:dyDescent="0.6">
      <c r="F487" s="3" t="s">
        <v>264</v>
      </c>
    </row>
    <row r="488" spans="1:9" x14ac:dyDescent="0.6">
      <c r="D488" s="170"/>
      <c r="F488" s="3" t="str">
        <f>"average rate "&amp;TEXT(M466,"0.000")&amp;"/"&amp;TEXT(4+M466,"0.000")&amp;" *$"&amp;TEXT(M468,"0.00")&amp;" per MWh)."</f>
        <v>average rate 0.444/4.444 *$15.93 per MWh).</v>
      </c>
      <c r="I488" s="171"/>
    </row>
    <row r="489" spans="1:9" x14ac:dyDescent="0.6">
      <c r="B489" s="84" t="s">
        <v>265</v>
      </c>
    </row>
    <row r="491" spans="1:9" x14ac:dyDescent="0.6">
      <c r="C491" s="19" t="str">
        <f t="shared" ref="C491" si="71">C6</f>
        <v>SC1</v>
      </c>
      <c r="D491" s="19" t="str">
        <f>D6</f>
        <v>SC3</v>
      </c>
      <c r="E491" s="19" t="str">
        <f>E6</f>
        <v>SC2 ND</v>
      </c>
      <c r="F491" s="19" t="str">
        <f>F6</f>
        <v>SC4</v>
      </c>
      <c r="G491" s="19" t="str">
        <f>G6</f>
        <v>SC6</v>
      </c>
      <c r="H491" s="19" t="str">
        <f>H6</f>
        <v>SC2 Dem</v>
      </c>
      <c r="I491" s="19" t="str">
        <f>I24</f>
        <v>SC1 TOD</v>
      </c>
    </row>
    <row r="492" spans="1:9" x14ac:dyDescent="0.6">
      <c r="B492" s="172" t="s">
        <v>69</v>
      </c>
    </row>
    <row r="493" spans="1:9" x14ac:dyDescent="0.6">
      <c r="B493" s="39" t="s">
        <v>266</v>
      </c>
      <c r="C493" s="39">
        <f>ROUND(($D$486*C327)/10,3)</f>
        <v>7.35</v>
      </c>
      <c r="E493" s="80">
        <f>ROUND(E327*$D$486/10,3)</f>
        <v>7.1449999999999996</v>
      </c>
      <c r="F493" s="80">
        <f>ROUND(F327*$D$486/10,3)</f>
        <v>6.5670000000000002</v>
      </c>
      <c r="G493" s="80">
        <f>ROUND(G327*$D$486/10,3)</f>
        <v>6.5519999999999996</v>
      </c>
      <c r="H493" s="80">
        <f>ROUND((C348*$D$486+D348)/10,3)</f>
        <v>6.6349999999999998</v>
      </c>
      <c r="I493" s="80"/>
    </row>
    <row r="494" spans="1:9" x14ac:dyDescent="0.6">
      <c r="B494" s="39" t="s">
        <v>267</v>
      </c>
      <c r="D494" s="80">
        <f>ROUND(D328*$D$486/10,3)</f>
        <v>8.6539999999999999</v>
      </c>
      <c r="I494" s="80">
        <f>ROUND(H328*$D$486/10,3)</f>
        <v>10.462</v>
      </c>
    </row>
    <row r="495" spans="1:9" x14ac:dyDescent="0.6">
      <c r="B495" s="39" t="s">
        <v>268</v>
      </c>
      <c r="D495" s="80">
        <f>ROUND(D329*$D$486/10,3)</f>
        <v>5.8860000000000001</v>
      </c>
      <c r="I495" s="80">
        <f>ROUND(H329*$D$486/10,3)</f>
        <v>5.9589999999999996</v>
      </c>
    </row>
    <row r="496" spans="1:9" x14ac:dyDescent="0.6">
      <c r="B496" s="37" t="s">
        <v>41</v>
      </c>
      <c r="C496" s="39">
        <f>ROUND(($D$486*C327+C332)/10,3)</f>
        <v>3.8279999999999998</v>
      </c>
      <c r="D496" s="80"/>
      <c r="I496" s="80"/>
    </row>
    <row r="497" spans="2:10" x14ac:dyDescent="0.6">
      <c r="B497" s="39" t="s">
        <v>42</v>
      </c>
      <c r="C497" s="3">
        <f>ROUND(($D$486*C327+C333)/10,3)</f>
        <v>10.005000000000001</v>
      </c>
      <c r="D497" s="80"/>
      <c r="I497" s="80"/>
    </row>
    <row r="498" spans="2:10" x14ac:dyDescent="0.6">
      <c r="D498" s="80"/>
      <c r="I498" s="80"/>
    </row>
    <row r="500" spans="2:10" x14ac:dyDescent="0.6">
      <c r="B500" s="37" t="s">
        <v>269</v>
      </c>
      <c r="H500" s="66">
        <f>I352</f>
        <v>1.679</v>
      </c>
      <c r="I500" s="66"/>
    </row>
    <row r="501" spans="2:10" x14ac:dyDescent="0.6">
      <c r="B501" s="37" t="s">
        <v>270</v>
      </c>
      <c r="H501" s="66">
        <f>J352</f>
        <v>1.679</v>
      </c>
      <c r="I501" s="66"/>
    </row>
    <row r="503" spans="2:10" x14ac:dyDescent="0.6">
      <c r="B503" s="172" t="s">
        <v>62</v>
      </c>
    </row>
    <row r="504" spans="2:10" x14ac:dyDescent="0.6">
      <c r="B504" s="39" t="s">
        <v>266</v>
      </c>
      <c r="C504" s="80">
        <f>ROUND(C336*$D$486/10,3)</f>
        <v>8.2799999999999994</v>
      </c>
      <c r="E504" s="80">
        <f>ROUND(E336*$D$486/10,3)</f>
        <v>7.6429999999999998</v>
      </c>
      <c r="F504" s="80">
        <f>ROUND(F336*$D$486/10,3)</f>
        <v>7.2110000000000003</v>
      </c>
      <c r="G504" s="80">
        <f>ROUND(G336*$D$486/10,3)</f>
        <v>7.1890000000000001</v>
      </c>
      <c r="H504" s="80">
        <f>ROUND((C352*$D$486+D352)/10,3)</f>
        <v>7.2359999999999998</v>
      </c>
    </row>
    <row r="505" spans="2:10" x14ac:dyDescent="0.6">
      <c r="B505" s="39" t="s">
        <v>267</v>
      </c>
      <c r="D505" s="80">
        <f>ROUND(D337*$D$486/10,3)</f>
        <v>8.7270000000000003</v>
      </c>
      <c r="I505" s="80">
        <f>ROUND(H337*$D$486/10,3)</f>
        <v>12.395</v>
      </c>
    </row>
    <row r="506" spans="2:10" x14ac:dyDescent="0.6">
      <c r="B506" s="39" t="s">
        <v>268</v>
      </c>
      <c r="D506" s="80">
        <f>ROUND(D338*$D$486/10,3)</f>
        <v>6.8819999999999997</v>
      </c>
      <c r="I506" s="80">
        <f>ROUND(H338*$D$486/10,3)</f>
        <v>6.9550000000000001</v>
      </c>
    </row>
    <row r="508" spans="2:10" x14ac:dyDescent="0.6">
      <c r="B508" s="37" t="s">
        <v>269</v>
      </c>
      <c r="H508" s="66">
        <f>I353</f>
        <v>1.633</v>
      </c>
      <c r="I508" s="66"/>
    </row>
    <row r="509" spans="2:10" x14ac:dyDescent="0.6">
      <c r="B509" s="37" t="s">
        <v>270</v>
      </c>
      <c r="H509" s="66">
        <f>J353</f>
        <v>1.633</v>
      </c>
      <c r="I509" s="66"/>
    </row>
    <row r="510" spans="2:10" x14ac:dyDescent="0.6">
      <c r="B510" s="37"/>
      <c r="I510" s="66"/>
      <c r="J510" s="66"/>
    </row>
    <row r="511" spans="2:10" x14ac:dyDescent="0.6">
      <c r="B511" s="84" t="s">
        <v>271</v>
      </c>
      <c r="D511" s="3" t="s">
        <v>272</v>
      </c>
      <c r="E511" s="173">
        <v>6.6250000000000003E-2</v>
      </c>
      <c r="J511" s="66"/>
    </row>
    <row r="512" spans="2:10" x14ac:dyDescent="0.6">
      <c r="J512" s="66"/>
    </row>
    <row r="513" spans="2:9" x14ac:dyDescent="0.6">
      <c r="C513" s="19" t="s">
        <v>7</v>
      </c>
      <c r="D513" s="19" t="s">
        <v>8</v>
      </c>
      <c r="E513" s="19" t="s">
        <v>9</v>
      </c>
      <c r="F513" s="19" t="s">
        <v>10</v>
      </c>
      <c r="G513" s="19" t="s">
        <v>11</v>
      </c>
      <c r="H513" s="19" t="s">
        <v>12</v>
      </c>
      <c r="I513" s="19" t="str">
        <f>I24</f>
        <v>SC1 TOD</v>
      </c>
    </row>
    <row r="514" spans="2:9" x14ac:dyDescent="0.6">
      <c r="B514" s="172" t="s">
        <v>69</v>
      </c>
      <c r="I514" s="66"/>
    </row>
    <row r="515" spans="2:9" x14ac:dyDescent="0.6">
      <c r="B515" s="39" t="s">
        <v>266</v>
      </c>
      <c r="C515" s="39"/>
      <c r="E515" s="39">
        <f>ROUND(E493*(1+$E$511),3)</f>
        <v>7.6180000000000003</v>
      </c>
      <c r="F515" s="39">
        <f>ROUND(F493*(1+$E$511),3)</f>
        <v>7.0019999999999998</v>
      </c>
      <c r="G515" s="39">
        <f>ROUND(G493*(1+$E$511),3)</f>
        <v>6.9859999999999998</v>
      </c>
      <c r="H515" s="39">
        <f>ROUND(H493*(1+$E$511),3)</f>
        <v>7.0750000000000002</v>
      </c>
      <c r="I515" s="66"/>
    </row>
    <row r="516" spans="2:9" x14ac:dyDescent="0.6">
      <c r="B516" s="39" t="s">
        <v>267</v>
      </c>
      <c r="D516" s="39">
        <f>ROUND(D494*(1+$E$511),3)</f>
        <v>9.2270000000000003</v>
      </c>
      <c r="I516" s="174">
        <f>ROUND(I494*(1+$E$511),3)</f>
        <v>11.154999999999999</v>
      </c>
    </row>
    <row r="517" spans="2:9" x14ac:dyDescent="0.6">
      <c r="B517" s="39" t="s">
        <v>268</v>
      </c>
      <c r="D517" s="39">
        <f>ROUND(D495*(1+$E$511),3)</f>
        <v>6.2759999999999998</v>
      </c>
      <c r="I517" s="174">
        <f>ROUND(I495*(1+$E$511),3)</f>
        <v>6.3540000000000001</v>
      </c>
    </row>
    <row r="518" spans="2:9" x14ac:dyDescent="0.6">
      <c r="B518" s="37" t="s">
        <v>41</v>
      </c>
      <c r="C518" s="175">
        <f>ROUND(C496*(1+$E$511),3)</f>
        <v>4.0819999999999999</v>
      </c>
      <c r="D518" s="80"/>
      <c r="I518" s="66"/>
    </row>
    <row r="519" spans="2:9" x14ac:dyDescent="0.6">
      <c r="B519" s="39" t="s">
        <v>42</v>
      </c>
      <c r="C519" s="175">
        <f>ROUND(C497*(1+$E$511),3)</f>
        <v>10.667999999999999</v>
      </c>
      <c r="D519" s="80"/>
      <c r="I519" s="66"/>
    </row>
    <row r="520" spans="2:9" x14ac:dyDescent="0.6">
      <c r="D520" s="80"/>
      <c r="I520" s="66"/>
    </row>
    <row r="521" spans="2:9" x14ac:dyDescent="0.6">
      <c r="I521" s="66"/>
    </row>
    <row r="522" spans="2:9" x14ac:dyDescent="0.6">
      <c r="B522" s="37" t="s">
        <v>269</v>
      </c>
      <c r="H522" s="176">
        <f>ROUND(H500*(1+$E$511),3)</f>
        <v>1.79</v>
      </c>
      <c r="I522" s="66"/>
    </row>
    <row r="523" spans="2:9" x14ac:dyDescent="0.6">
      <c r="B523" s="37" t="s">
        <v>270</v>
      </c>
      <c r="H523" s="176">
        <f>ROUND(H501*(1+$E$511),3)</f>
        <v>1.79</v>
      </c>
      <c r="I523" s="66"/>
    </row>
    <row r="524" spans="2:9" x14ac:dyDescent="0.6">
      <c r="B524" s="37"/>
      <c r="H524" s="176"/>
      <c r="I524" s="66"/>
    </row>
    <row r="525" spans="2:9" x14ac:dyDescent="0.6">
      <c r="B525" s="172" t="s">
        <v>62</v>
      </c>
      <c r="I525" s="66"/>
    </row>
    <row r="526" spans="2:9" x14ac:dyDescent="0.6">
      <c r="B526" s="39" t="s">
        <v>266</v>
      </c>
      <c r="C526" s="39">
        <f>ROUND(C504*(1+$E$511),3)</f>
        <v>8.8290000000000006</v>
      </c>
      <c r="E526" s="39">
        <f>ROUND(E504*(1+$E$511),3)</f>
        <v>8.1489999999999991</v>
      </c>
      <c r="F526" s="39">
        <f>ROUND(F504*(1+$E$511),3)</f>
        <v>7.6890000000000001</v>
      </c>
      <c r="G526" s="39">
        <f>ROUND(G504*(1+$E$511),3)</f>
        <v>7.665</v>
      </c>
      <c r="H526" s="39">
        <f>ROUND(H504*(1+$E$511),3)</f>
        <v>7.7149999999999999</v>
      </c>
      <c r="I526" s="66"/>
    </row>
    <row r="527" spans="2:9" x14ac:dyDescent="0.6">
      <c r="B527" s="39" t="s">
        <v>267</v>
      </c>
      <c r="D527" s="39">
        <f>ROUND(D505*(1+$E$511),3)</f>
        <v>9.3049999999999997</v>
      </c>
      <c r="I527" s="174">
        <f>ROUND(I505*(1+$E$511),3)</f>
        <v>13.215999999999999</v>
      </c>
    </row>
    <row r="528" spans="2:9" x14ac:dyDescent="0.6">
      <c r="B528" s="39" t="s">
        <v>268</v>
      </c>
      <c r="D528" s="39">
        <f>ROUND(D506*(1+$E$511),3)</f>
        <v>7.3380000000000001</v>
      </c>
      <c r="I528" s="66">
        <f>ROUND(I506*(1+$E$511),3)</f>
        <v>7.4160000000000004</v>
      </c>
    </row>
    <row r="529" spans="1:10" x14ac:dyDescent="0.6">
      <c r="I529" s="66"/>
    </row>
    <row r="530" spans="1:10" x14ac:dyDescent="0.6">
      <c r="B530" s="37" t="s">
        <v>269</v>
      </c>
      <c r="H530" s="176">
        <f>ROUND(H508*(1+$E$511),3)</f>
        <v>1.7410000000000001</v>
      </c>
      <c r="I530" s="66"/>
    </row>
    <row r="531" spans="1:10" x14ac:dyDescent="0.6">
      <c r="B531" s="37" t="s">
        <v>270</v>
      </c>
      <c r="H531" s="176">
        <f>ROUND(H509*(1+$E$511),3)</f>
        <v>1.7410000000000001</v>
      </c>
      <c r="I531" s="66"/>
    </row>
    <row r="532" spans="1:10" x14ac:dyDescent="0.6">
      <c r="B532" s="37"/>
      <c r="I532" s="66"/>
      <c r="J532" s="66"/>
    </row>
    <row r="533" spans="1:10" x14ac:dyDescent="0.6">
      <c r="B533" s="37"/>
      <c r="I533" s="66"/>
      <c r="J533" s="66"/>
    </row>
    <row r="534" spans="1:10" x14ac:dyDescent="0.6">
      <c r="A534" s="54" t="s">
        <v>273</v>
      </c>
      <c r="B534" s="13" t="s">
        <v>274</v>
      </c>
      <c r="J534" s="66"/>
    </row>
    <row r="535" spans="1:10" x14ac:dyDescent="0.6">
      <c r="A535" s="54"/>
      <c r="B535" s="13"/>
      <c r="J535" s="66"/>
    </row>
    <row r="536" spans="1:10" x14ac:dyDescent="0.6">
      <c r="A536" s="54"/>
      <c r="B536" s="84" t="s">
        <v>275</v>
      </c>
      <c r="J536" s="66"/>
    </row>
    <row r="537" spans="1:10" x14ac:dyDescent="0.6">
      <c r="A537" s="54"/>
      <c r="B537" s="1"/>
      <c r="C537" s="19" t="str">
        <f t="shared" ref="C537" si="72">C491</f>
        <v>SC1</v>
      </c>
      <c r="D537" s="19" t="str">
        <f>D491</f>
        <v>SC3</v>
      </c>
      <c r="E537" s="19" t="str">
        <f>E491</f>
        <v>SC2 ND</v>
      </c>
      <c r="F537" s="19" t="str">
        <f>F491</f>
        <v>SC4</v>
      </c>
      <c r="G537" s="19" t="str">
        <f>G491</f>
        <v>SC6</v>
      </c>
      <c r="H537" s="19" t="str">
        <f>H491</f>
        <v>SC2 Dem</v>
      </c>
      <c r="I537" s="19" t="str">
        <f>I24</f>
        <v>SC1 TOD</v>
      </c>
    </row>
    <row r="538" spans="1:10" x14ac:dyDescent="0.6">
      <c r="A538" s="54"/>
      <c r="B538" s="1" t="s">
        <v>276</v>
      </c>
      <c r="C538" s="68">
        <v>1.421</v>
      </c>
      <c r="D538" s="68">
        <v>1.421</v>
      </c>
      <c r="E538" s="68">
        <v>0.52300000000000002</v>
      </c>
      <c r="F538" s="68">
        <v>1.147</v>
      </c>
      <c r="G538" s="68">
        <v>1.147</v>
      </c>
      <c r="H538" s="68">
        <v>0.52300000000000002</v>
      </c>
      <c r="I538" s="174">
        <f>C538</f>
        <v>1.421</v>
      </c>
    </row>
    <row r="539" spans="1:10" x14ac:dyDescent="0.6">
      <c r="A539" s="54"/>
      <c r="B539" s="1" t="s">
        <v>277</v>
      </c>
      <c r="H539" s="161">
        <v>1.1100000000000001</v>
      </c>
      <c r="I539" s="174"/>
    </row>
    <row r="540" spans="1:10" x14ac:dyDescent="0.6">
      <c r="B540" s="1" t="s">
        <v>278</v>
      </c>
      <c r="H540" s="161">
        <v>1.1100000000000001</v>
      </c>
      <c r="I540" s="66"/>
    </row>
    <row r="541" spans="1:10" x14ac:dyDescent="0.6">
      <c r="I541" s="66"/>
    </row>
    <row r="542" spans="1:10" x14ac:dyDescent="0.6">
      <c r="I542" s="66"/>
    </row>
    <row r="543" spans="1:10" x14ac:dyDescent="0.6">
      <c r="B543" s="84" t="s">
        <v>279</v>
      </c>
      <c r="I543" s="66"/>
    </row>
    <row r="544" spans="1:10" x14ac:dyDescent="0.6">
      <c r="I544" s="66"/>
    </row>
    <row r="545" spans="2:9" x14ac:dyDescent="0.6">
      <c r="I545" s="66"/>
    </row>
    <row r="546" spans="2:9" x14ac:dyDescent="0.6">
      <c r="B546" s="172" t="s">
        <v>69</v>
      </c>
      <c r="I546" s="66"/>
    </row>
    <row r="547" spans="2:9" x14ac:dyDescent="0.6">
      <c r="B547" s="39" t="s">
        <v>266</v>
      </c>
      <c r="C547" s="80">
        <f t="shared" ref="C547:H554" si="73">IF(C493&gt;0,C493+C$538,"")</f>
        <v>8.770999999999999</v>
      </c>
      <c r="D547" s="80" t="str">
        <f t="shared" si="73"/>
        <v/>
      </c>
      <c r="E547" s="80">
        <f t="shared" si="73"/>
        <v>7.6679999999999993</v>
      </c>
      <c r="F547" s="80">
        <f t="shared" si="73"/>
        <v>7.7140000000000004</v>
      </c>
      <c r="G547" s="80">
        <f t="shared" si="73"/>
        <v>7.6989999999999998</v>
      </c>
      <c r="H547" s="80">
        <f t="shared" si="73"/>
        <v>7.1579999999999995</v>
      </c>
      <c r="I547" s="66"/>
    </row>
    <row r="548" spans="2:9" x14ac:dyDescent="0.6">
      <c r="B548" s="39" t="s">
        <v>267</v>
      </c>
      <c r="C548" s="80" t="str">
        <f t="shared" si="73"/>
        <v/>
      </c>
      <c r="D548" s="80">
        <f>IF(D494&gt;0,D494+D$538,"")</f>
        <v>10.074999999999999</v>
      </c>
      <c r="E548" s="80" t="str">
        <f t="shared" si="73"/>
        <v/>
      </c>
      <c r="F548" s="80" t="str">
        <f t="shared" si="73"/>
        <v/>
      </c>
      <c r="G548" s="80" t="str">
        <f t="shared" si="73"/>
        <v/>
      </c>
      <c r="H548" s="80" t="str">
        <f t="shared" si="73"/>
        <v/>
      </c>
      <c r="I548" s="174">
        <f>IF(I494&gt;0,I494+I$538,"")</f>
        <v>11.882999999999999</v>
      </c>
    </row>
    <row r="549" spans="2:9" x14ac:dyDescent="0.6">
      <c r="B549" s="39" t="s">
        <v>268</v>
      </c>
      <c r="C549" s="80" t="str">
        <f t="shared" si="73"/>
        <v/>
      </c>
      <c r="D549" s="80">
        <f>IF(D495&gt;0,D495+D$538,"")</f>
        <v>7.3070000000000004</v>
      </c>
      <c r="E549" s="80" t="str">
        <f t="shared" si="73"/>
        <v/>
      </c>
      <c r="F549" s="80" t="str">
        <f t="shared" si="73"/>
        <v/>
      </c>
      <c r="G549" s="80" t="str">
        <f t="shared" si="73"/>
        <v/>
      </c>
      <c r="H549" s="80" t="str">
        <f t="shared" si="73"/>
        <v/>
      </c>
      <c r="I549" s="174">
        <f>IF(I495&gt;0,I495+I$538,"")</f>
        <v>7.38</v>
      </c>
    </row>
    <row r="550" spans="2:9" x14ac:dyDescent="0.6">
      <c r="B550" s="37" t="s">
        <v>41</v>
      </c>
      <c r="C550" s="80">
        <f t="shared" si="73"/>
        <v>5.2489999999999997</v>
      </c>
      <c r="D550" s="80" t="str">
        <f t="shared" si="73"/>
        <v/>
      </c>
      <c r="E550" s="80" t="str">
        <f t="shared" si="73"/>
        <v/>
      </c>
      <c r="F550" s="80" t="str">
        <f t="shared" si="73"/>
        <v/>
      </c>
      <c r="G550" s="80" t="str">
        <f t="shared" si="73"/>
        <v/>
      </c>
      <c r="H550" s="80" t="str">
        <f t="shared" si="73"/>
        <v/>
      </c>
      <c r="I550" s="66"/>
    </row>
    <row r="551" spans="2:9" x14ac:dyDescent="0.6">
      <c r="B551" s="39" t="s">
        <v>42</v>
      </c>
      <c r="C551" s="80">
        <f t="shared" si="73"/>
        <v>11.426</v>
      </c>
      <c r="D551" s="80" t="str">
        <f t="shared" si="73"/>
        <v/>
      </c>
      <c r="E551" s="80" t="str">
        <f t="shared" si="73"/>
        <v/>
      </c>
      <c r="F551" s="80" t="str">
        <f t="shared" si="73"/>
        <v/>
      </c>
      <c r="G551" s="80" t="str">
        <f t="shared" si="73"/>
        <v/>
      </c>
      <c r="H551" s="80" t="str">
        <f t="shared" si="73"/>
        <v/>
      </c>
      <c r="I551" s="66"/>
    </row>
    <row r="552" spans="2:9" x14ac:dyDescent="0.6">
      <c r="B552" s="80"/>
      <c r="C552" s="80"/>
      <c r="D552" s="80" t="str">
        <f t="shared" si="73"/>
        <v/>
      </c>
      <c r="E552" s="80" t="str">
        <f t="shared" si="73"/>
        <v/>
      </c>
      <c r="F552" s="80" t="str">
        <f t="shared" si="73"/>
        <v/>
      </c>
      <c r="G552" s="80" t="str">
        <f t="shared" si="73"/>
        <v/>
      </c>
      <c r="H552" s="80" t="str">
        <f t="shared" si="73"/>
        <v/>
      </c>
      <c r="I552" s="66"/>
    </row>
    <row r="553" spans="2:9" x14ac:dyDescent="0.6">
      <c r="C553" s="80" t="str">
        <f t="shared" si="73"/>
        <v/>
      </c>
      <c r="D553" s="80" t="str">
        <f t="shared" si="73"/>
        <v/>
      </c>
      <c r="E553" s="80" t="str">
        <f t="shared" si="73"/>
        <v/>
      </c>
      <c r="F553" s="80" t="str">
        <f t="shared" si="73"/>
        <v/>
      </c>
      <c r="G553" s="80" t="str">
        <f t="shared" si="73"/>
        <v/>
      </c>
      <c r="H553" s="80" t="str">
        <f t="shared" si="73"/>
        <v/>
      </c>
      <c r="I553" s="66"/>
    </row>
    <row r="554" spans="2:9" x14ac:dyDescent="0.6">
      <c r="B554" s="37" t="s">
        <v>280</v>
      </c>
      <c r="C554" s="80" t="str">
        <f t="shared" si="73"/>
        <v/>
      </c>
      <c r="D554" s="80" t="str">
        <f>IF(D500&gt;0,D500+D$538,"")</f>
        <v/>
      </c>
      <c r="E554" s="80" t="str">
        <f>IF(E500&gt;0,E500+E$538,"")</f>
        <v/>
      </c>
      <c r="F554" s="80" t="str">
        <f>IF(F500&gt;0,F500+F$538,"")</f>
        <v/>
      </c>
      <c r="G554" s="80" t="str">
        <f>IF(G500&gt;0,G500+G$538,"")</f>
        <v/>
      </c>
      <c r="H554" s="80">
        <f>IF(H500&gt;0,H500+H$539,"")</f>
        <v>2.7890000000000001</v>
      </c>
      <c r="I554" s="66"/>
    </row>
    <row r="555" spans="2:9" x14ac:dyDescent="0.6">
      <c r="I555" s="66"/>
    </row>
    <row r="556" spans="2:9" x14ac:dyDescent="0.6">
      <c r="B556" s="172" t="s">
        <v>62</v>
      </c>
      <c r="I556" s="66"/>
    </row>
    <row r="557" spans="2:9" x14ac:dyDescent="0.6">
      <c r="B557" s="39" t="s">
        <v>266</v>
      </c>
      <c r="C557" s="80">
        <f t="shared" ref="C557:H561" si="74">IF(C504&gt;0,C504+C$538,"")</f>
        <v>9.7009999999999987</v>
      </c>
      <c r="D557" s="80" t="str">
        <f t="shared" si="74"/>
        <v/>
      </c>
      <c r="E557" s="80">
        <f t="shared" si="74"/>
        <v>8.1660000000000004</v>
      </c>
      <c r="F557" s="80">
        <f t="shared" si="74"/>
        <v>8.3580000000000005</v>
      </c>
      <c r="G557" s="80">
        <f t="shared" si="74"/>
        <v>8.3360000000000003</v>
      </c>
      <c r="H557" s="80">
        <f t="shared" si="74"/>
        <v>7.7589999999999995</v>
      </c>
      <c r="I557" s="66"/>
    </row>
    <row r="558" spans="2:9" x14ac:dyDescent="0.6">
      <c r="B558" s="39" t="s">
        <v>267</v>
      </c>
      <c r="C558" s="80" t="str">
        <f t="shared" si="74"/>
        <v/>
      </c>
      <c r="D558" s="80">
        <f>IF(D505&gt;0,D505+D$538,"")</f>
        <v>10.148</v>
      </c>
      <c r="E558" s="80" t="str">
        <f t="shared" si="74"/>
        <v/>
      </c>
      <c r="F558" s="80" t="str">
        <f t="shared" si="74"/>
        <v/>
      </c>
      <c r="G558" s="80" t="str">
        <f t="shared" si="74"/>
        <v/>
      </c>
      <c r="H558" s="80" t="str">
        <f t="shared" si="74"/>
        <v/>
      </c>
      <c r="I558" s="174">
        <f>IF(I505&gt;0,I505+I$538,"")</f>
        <v>13.815999999999999</v>
      </c>
    </row>
    <row r="559" spans="2:9" x14ac:dyDescent="0.6">
      <c r="B559" s="39" t="s">
        <v>268</v>
      </c>
      <c r="C559" s="80" t="str">
        <f t="shared" si="74"/>
        <v/>
      </c>
      <c r="D559" s="80">
        <f>IF(D506&gt;0,D506+D$538,"")</f>
        <v>8.302999999999999</v>
      </c>
      <c r="E559" s="80" t="str">
        <f t="shared" si="74"/>
        <v/>
      </c>
      <c r="F559" s="80" t="str">
        <f t="shared" si="74"/>
        <v/>
      </c>
      <c r="G559" s="80" t="str">
        <f t="shared" si="74"/>
        <v/>
      </c>
      <c r="H559" s="80" t="str">
        <f t="shared" si="74"/>
        <v/>
      </c>
      <c r="I559" s="174">
        <f>IF(I506&gt;0,I506+I$538,"")</f>
        <v>8.3759999999999994</v>
      </c>
    </row>
    <row r="560" spans="2:9" x14ac:dyDescent="0.6">
      <c r="C560" s="80" t="str">
        <f t="shared" si="74"/>
        <v/>
      </c>
      <c r="D560" s="80" t="str">
        <f>IF(E507&gt;0,E507+D$538,"")</f>
        <v/>
      </c>
      <c r="E560" s="80" t="str">
        <f>IF(F507&gt;0,F507+E$538,"")</f>
        <v/>
      </c>
      <c r="F560" s="80" t="str">
        <f>IF(G507&gt;0,G507+F$538,"")</f>
        <v/>
      </c>
      <c r="G560" s="80" t="str">
        <f>IF(H507&gt;0,H507+G$538,"")</f>
        <v/>
      </c>
      <c r="H560" s="80" t="str">
        <f>IF(I507&gt;0,I507+H$538,"")</f>
        <v/>
      </c>
      <c r="I560" s="66"/>
    </row>
    <row r="561" spans="1:10" x14ac:dyDescent="0.6">
      <c r="B561" s="37" t="s">
        <v>280</v>
      </c>
      <c r="C561" s="80" t="str">
        <f t="shared" si="74"/>
        <v/>
      </c>
      <c r="D561" s="80" t="str">
        <f>IF(D508&gt;0,D508+D$538,"")</f>
        <v/>
      </c>
      <c r="E561" s="80" t="str">
        <f>IF(E508&gt;0,E508+E$538,"")</f>
        <v/>
      </c>
      <c r="F561" s="80" t="str">
        <f>IF(F508&gt;0,F508+F$538,"")</f>
        <v/>
      </c>
      <c r="G561" s="80" t="str">
        <f>IF(G508&gt;0,G508+G$538,"")</f>
        <v/>
      </c>
      <c r="H561" s="80">
        <f>IF(H508&gt;0,H508+H$540,"")</f>
        <v>2.7430000000000003</v>
      </c>
      <c r="I561" s="66"/>
    </row>
    <row r="562" spans="1:10" x14ac:dyDescent="0.6">
      <c r="B562" s="37"/>
      <c r="I562" s="66"/>
      <c r="J562" s="66"/>
    </row>
    <row r="563" spans="1:10" x14ac:dyDescent="0.6">
      <c r="B563" s="37"/>
      <c r="I563" s="66"/>
      <c r="J563" s="66"/>
    </row>
    <row r="565" spans="1:10" x14ac:dyDescent="0.6">
      <c r="A565" s="14"/>
      <c r="C565" s="119"/>
      <c r="E565" s="119"/>
    </row>
    <row r="566" spans="1:10" x14ac:dyDescent="0.6">
      <c r="A566" s="54" t="s">
        <v>281</v>
      </c>
      <c r="B566" s="33" t="s">
        <v>282</v>
      </c>
      <c r="C566" s="119"/>
      <c r="E566" s="119"/>
    </row>
    <row r="567" spans="1:10" x14ac:dyDescent="0.6">
      <c r="A567" s="14"/>
      <c r="C567" s="119"/>
      <c r="E567" s="119"/>
    </row>
    <row r="568" spans="1:10" x14ac:dyDescent="0.6">
      <c r="A568" s="14"/>
      <c r="B568" s="37" t="s">
        <v>283</v>
      </c>
      <c r="C568" s="58">
        <f>+D223</f>
        <v>87.548981826848134</v>
      </c>
      <c r="E568" s="119"/>
    </row>
    <row r="569" spans="1:10" x14ac:dyDescent="0.6">
      <c r="A569" s="14"/>
      <c r="B569" s="37" t="s">
        <v>284</v>
      </c>
      <c r="C569" s="177">
        <f>+J377</f>
        <v>0.94989999999999997</v>
      </c>
      <c r="E569" s="119"/>
    </row>
    <row r="570" spans="1:10" x14ac:dyDescent="0.6">
      <c r="A570" s="14"/>
      <c r="B570" s="37" t="s">
        <v>285</v>
      </c>
      <c r="C570" s="177">
        <f>+J378</f>
        <v>1.0343</v>
      </c>
      <c r="E570" s="119"/>
    </row>
    <row r="571" spans="1:10" x14ac:dyDescent="0.6">
      <c r="A571" s="14"/>
      <c r="B571" s="39" t="s">
        <v>286</v>
      </c>
      <c r="C571" s="178">
        <f>ROUND(C568*C569,4)</f>
        <v>83.162800000000004</v>
      </c>
      <c r="E571" s="119"/>
    </row>
    <row r="572" spans="1:10" x14ac:dyDescent="0.6">
      <c r="A572" s="14"/>
      <c r="B572" s="39" t="s">
        <v>287</v>
      </c>
      <c r="C572" s="178">
        <f>ROUND(C568*C570,4)</f>
        <v>90.551900000000003</v>
      </c>
      <c r="E572" s="119"/>
    </row>
    <row r="573" spans="1:10" x14ac:dyDescent="0.6">
      <c r="A573" s="14"/>
      <c r="B573" s="37"/>
      <c r="C573" s="119"/>
      <c r="E573" s="119"/>
    </row>
    <row r="574" spans="1:10" x14ac:dyDescent="0.6">
      <c r="A574" s="14"/>
      <c r="C574" s="119"/>
      <c r="E574" s="119"/>
    </row>
    <row r="575" spans="1:10" x14ac:dyDescent="0.6">
      <c r="A575" s="14"/>
      <c r="C575" s="19" t="str">
        <f t="shared" ref="C575" si="75">C6</f>
        <v>SC1</v>
      </c>
      <c r="D575" s="19" t="str">
        <f>D6</f>
        <v>SC3</v>
      </c>
      <c r="E575" s="19" t="str">
        <f>E6</f>
        <v>SC2 ND</v>
      </c>
      <c r="F575" s="19" t="str">
        <f>F6</f>
        <v>SC4</v>
      </c>
      <c r="G575" s="19" t="str">
        <f>G6</f>
        <v>SC6</v>
      </c>
      <c r="H575" s="19" t="str">
        <f>H6</f>
        <v>SC2 Dem</v>
      </c>
      <c r="I575" s="19" t="str">
        <f>$I$24</f>
        <v>SC1 TOD</v>
      </c>
    </row>
    <row r="576" spans="1:10" x14ac:dyDescent="0.6">
      <c r="A576" s="14"/>
      <c r="B576" s="77" t="s">
        <v>288</v>
      </c>
    </row>
    <row r="577" spans="1:11" x14ac:dyDescent="0.6">
      <c r="A577" s="14"/>
      <c r="B577" s="55" t="s">
        <v>69</v>
      </c>
      <c r="C577" s="65">
        <f>ROUND((C493*L48)/100,0)</f>
        <v>22268</v>
      </c>
      <c r="D577" s="64">
        <f>ROUND((D494*M49+D495*M50)/100,0)</f>
        <v>16</v>
      </c>
      <c r="E577" s="65">
        <f>ROUND(E493*N48/100,0)</f>
        <v>294</v>
      </c>
      <c r="F577" s="65">
        <f>ROUND(F493*O48/100,0)</f>
        <v>117</v>
      </c>
      <c r="G577" s="65">
        <f>ROUND(G493*P48/100,0)</f>
        <v>92</v>
      </c>
      <c r="H577" s="64">
        <v>8510</v>
      </c>
      <c r="I577" s="64">
        <f>ROUND((I494*R49+I495*R50)/100,0)</f>
        <v>22263</v>
      </c>
    </row>
    <row r="578" spans="1:11" x14ac:dyDescent="0.6">
      <c r="A578" s="14"/>
      <c r="B578" s="55" t="s">
        <v>62</v>
      </c>
      <c r="C578" s="179">
        <f>ROUND(C504*L44/100,0)</f>
        <v>31749</v>
      </c>
      <c r="D578" s="180">
        <f>ROUND((D505*M45+D506*M46)/100,0)</f>
        <v>33</v>
      </c>
      <c r="E578" s="179">
        <f>ROUND(E504*N44/100,0)</f>
        <v>804</v>
      </c>
      <c r="F578" s="179">
        <f>ROUND(F504*O44/100,0)</f>
        <v>330</v>
      </c>
      <c r="G578" s="179">
        <f>ROUND(G504*P44/100,0)</f>
        <v>252</v>
      </c>
      <c r="H578" s="180">
        <v>14995</v>
      </c>
      <c r="I578" s="180">
        <f>ROUND((I505*R45+I506*R46)/100,0)</f>
        <v>31738</v>
      </c>
    </row>
    <row r="579" spans="1:11" x14ac:dyDescent="0.6">
      <c r="A579" s="14"/>
      <c r="B579" s="55" t="s">
        <v>36</v>
      </c>
      <c r="C579" s="63">
        <f>+C578+C577</f>
        <v>54017</v>
      </c>
      <c r="D579" s="63">
        <f t="shared" ref="D579:I579" si="76">+D578+D577</f>
        <v>49</v>
      </c>
      <c r="E579" s="63">
        <f t="shared" si="76"/>
        <v>1098</v>
      </c>
      <c r="F579" s="63">
        <f t="shared" si="76"/>
        <v>447</v>
      </c>
      <c r="G579" s="63">
        <f t="shared" si="76"/>
        <v>344</v>
      </c>
      <c r="H579" s="63">
        <f t="shared" si="76"/>
        <v>23505</v>
      </c>
      <c r="I579" s="63">
        <f t="shared" si="76"/>
        <v>54001</v>
      </c>
    </row>
    <row r="580" spans="1:11" x14ac:dyDescent="0.6">
      <c r="A580" s="14"/>
      <c r="B580" s="55"/>
      <c r="C580" s="63"/>
      <c r="D580" s="63"/>
      <c r="E580" s="63"/>
      <c r="F580" s="63"/>
      <c r="G580" s="63"/>
      <c r="H580" s="63"/>
      <c r="I580" s="63"/>
    </row>
    <row r="581" spans="1:11" x14ac:dyDescent="0.6">
      <c r="A581" s="14"/>
      <c r="B581" s="55" t="s">
        <v>36</v>
      </c>
      <c r="C581" s="63"/>
      <c r="D581" s="63"/>
      <c r="E581" s="63"/>
      <c r="F581" s="63"/>
      <c r="G581" s="63"/>
      <c r="H581" s="63"/>
      <c r="I581" s="63"/>
    </row>
    <row r="582" spans="1:11" x14ac:dyDescent="0.6">
      <c r="A582" s="14"/>
      <c r="B582" s="55" t="s">
        <v>69</v>
      </c>
      <c r="C582" s="63">
        <f>SUM(C577:H577)</f>
        <v>31297</v>
      </c>
      <c r="D582" s="63"/>
      <c r="E582" s="63"/>
      <c r="F582" s="63"/>
      <c r="G582" s="63"/>
      <c r="H582" s="63"/>
      <c r="I582" s="63"/>
      <c r="K582" s="75"/>
    </row>
    <row r="583" spans="1:11" x14ac:dyDescent="0.6">
      <c r="A583" s="14"/>
      <c r="B583" s="55" t="s">
        <v>62</v>
      </c>
      <c r="C583" s="181">
        <f>SUM(C578:H578)</f>
        <v>48163</v>
      </c>
      <c r="D583" s="119"/>
      <c r="E583" s="63"/>
      <c r="F583" s="63"/>
    </row>
    <row r="584" spans="1:11" x14ac:dyDescent="0.6">
      <c r="A584" s="14"/>
      <c r="B584" s="55" t="s">
        <v>36</v>
      </c>
      <c r="C584" s="182">
        <f>+C583+C582</f>
        <v>79460</v>
      </c>
      <c r="D584" s="119"/>
      <c r="E584" s="182"/>
      <c r="F584" s="182"/>
    </row>
    <row r="585" spans="1:11" x14ac:dyDescent="0.6">
      <c r="A585" s="14"/>
      <c r="B585" s="55"/>
      <c r="C585" s="63"/>
      <c r="D585" s="119"/>
    </row>
    <row r="586" spans="1:11" x14ac:dyDescent="0.6">
      <c r="A586" s="14"/>
      <c r="C586" s="19" t="str">
        <f t="shared" ref="C586" si="77">C6</f>
        <v>SC1</v>
      </c>
      <c r="D586" s="19" t="str">
        <f>D6</f>
        <v>SC3</v>
      </c>
      <c r="E586" s="19" t="str">
        <f>E6</f>
        <v>SC2 ND</v>
      </c>
      <c r="F586" s="19" t="str">
        <f>F6</f>
        <v>SC4</v>
      </c>
      <c r="G586" s="19" t="str">
        <f>G6</f>
        <v>SC6</v>
      </c>
      <c r="H586" s="19" t="str">
        <f>H6</f>
        <v>SC2 Dem</v>
      </c>
      <c r="I586" s="19" t="str">
        <f>$I$24</f>
        <v>SC1 TOD</v>
      </c>
    </row>
    <row r="587" spans="1:11" x14ac:dyDescent="0.6">
      <c r="A587" s="14"/>
      <c r="B587" s="3" t="s">
        <v>289</v>
      </c>
    </row>
    <row r="588" spans="1:11" x14ac:dyDescent="0.6">
      <c r="A588" s="14"/>
      <c r="B588" s="55" t="s">
        <v>69</v>
      </c>
      <c r="C588" s="65">
        <f t="shared" ref="C588:H588" si="78">+$C571*L48*C78/1000</f>
        <v>27377.643246190633</v>
      </c>
      <c r="D588" s="65">
        <f>+$C571*M48*D78/1000</f>
        <v>20.103140751220828</v>
      </c>
      <c r="E588" s="65">
        <f t="shared" si="78"/>
        <v>371.6782131758838</v>
      </c>
      <c r="F588" s="65">
        <f t="shared" si="78"/>
        <v>161.10311089630844</v>
      </c>
      <c r="G588" s="65">
        <f t="shared" si="78"/>
        <v>126.97338533470926</v>
      </c>
      <c r="H588" s="65">
        <f t="shared" si="78"/>
        <v>10811.196926868528</v>
      </c>
      <c r="I588" s="65">
        <f>+$C571*R48*C78/1000</f>
        <v>27377.643246190633</v>
      </c>
    </row>
    <row r="589" spans="1:11" x14ac:dyDescent="0.6">
      <c r="A589" s="14"/>
      <c r="B589" s="55" t="s">
        <v>62</v>
      </c>
      <c r="C589" s="179">
        <f t="shared" ref="C589:H589" si="79">+$C572*L44*C78/1000</f>
        <v>37728.886986734789</v>
      </c>
      <c r="D589" s="179">
        <f t="shared" si="79"/>
        <v>43.280679106990029</v>
      </c>
      <c r="E589" s="179">
        <f t="shared" si="79"/>
        <v>1034.632547430997</v>
      </c>
      <c r="F589" s="179">
        <f t="shared" si="79"/>
        <v>448.25049149982061</v>
      </c>
      <c r="G589" s="179">
        <f t="shared" si="79"/>
        <v>344.16695289606702</v>
      </c>
      <c r="H589" s="179">
        <f t="shared" si="79"/>
        <v>19155.092276607735</v>
      </c>
      <c r="I589" s="179">
        <f>+$C572*R44*C78/1000</f>
        <v>37728.886986734789</v>
      </c>
    </row>
    <row r="590" spans="1:11" x14ac:dyDescent="0.6">
      <c r="A590" s="14"/>
      <c r="B590" s="55" t="s">
        <v>36</v>
      </c>
      <c r="C590" s="63">
        <f t="shared" ref="C590:I590" si="80">+C589+C588</f>
        <v>65106.530232925419</v>
      </c>
      <c r="D590" s="63">
        <f t="shared" si="80"/>
        <v>63.383819858210856</v>
      </c>
      <c r="E590" s="63">
        <f t="shared" si="80"/>
        <v>1406.3107606068806</v>
      </c>
      <c r="F590" s="63">
        <f t="shared" si="80"/>
        <v>609.35360239612908</v>
      </c>
      <c r="G590" s="65">
        <f t="shared" si="80"/>
        <v>471.14033823077625</v>
      </c>
      <c r="H590" s="65">
        <f t="shared" si="80"/>
        <v>29966.289203476263</v>
      </c>
      <c r="I590" s="63">
        <f t="shared" si="80"/>
        <v>65106.530232925419</v>
      </c>
    </row>
    <row r="591" spans="1:11" x14ac:dyDescent="0.6">
      <c r="A591" s="14"/>
      <c r="C591" s="119"/>
      <c r="D591" s="119"/>
      <c r="E591" s="119"/>
      <c r="F591" s="119"/>
      <c r="G591" s="119"/>
      <c r="H591" s="119"/>
      <c r="I591" s="119"/>
      <c r="J591" s="119"/>
    </row>
    <row r="592" spans="1:11" x14ac:dyDescent="0.6">
      <c r="A592" s="14"/>
      <c r="B592" s="55" t="s">
        <v>36</v>
      </c>
      <c r="C592" s="73"/>
      <c r="D592" s="119"/>
      <c r="E592" s="119"/>
      <c r="F592" s="119"/>
      <c r="G592" s="119"/>
      <c r="H592" s="119"/>
      <c r="I592" s="119"/>
      <c r="J592" s="119"/>
    </row>
    <row r="593" spans="1:7" x14ac:dyDescent="0.6">
      <c r="A593" s="14"/>
      <c r="B593" s="55" t="s">
        <v>69</v>
      </c>
      <c r="C593" s="63">
        <f>SUM(C588:H588)</f>
        <v>38868.698023217279</v>
      </c>
      <c r="G593" s="63"/>
    </row>
    <row r="594" spans="1:7" x14ac:dyDescent="0.6">
      <c r="A594" s="14"/>
      <c r="B594" s="55" t="s">
        <v>62</v>
      </c>
      <c r="C594" s="181">
        <f>SUM(C589:H589)</f>
        <v>58754.309934276404</v>
      </c>
      <c r="G594" s="63"/>
    </row>
    <row r="595" spans="1:7" x14ac:dyDescent="0.6">
      <c r="A595" s="14"/>
      <c r="B595" s="55" t="s">
        <v>36</v>
      </c>
      <c r="C595" s="63">
        <f>+C594+C593</f>
        <v>97623.007957493683</v>
      </c>
      <c r="G595" s="63"/>
    </row>
    <row r="596" spans="1:7" x14ac:dyDescent="0.6">
      <c r="A596" s="14"/>
      <c r="C596" s="119"/>
      <c r="D596" s="183"/>
      <c r="E596" s="119"/>
      <c r="F596" s="170"/>
    </row>
    <row r="597" spans="1:7" x14ac:dyDescent="0.6">
      <c r="B597" s="1" t="s">
        <v>290</v>
      </c>
      <c r="C597" s="63"/>
    </row>
    <row r="598" spans="1:7" x14ac:dyDescent="0.6">
      <c r="B598" s="55" t="s">
        <v>69</v>
      </c>
      <c r="C598" s="138">
        <f>ROUND($C$147*SUM($C$141:$H$141)/12*H$144/1000*D447,0)</f>
        <v>5621</v>
      </c>
    </row>
    <row r="599" spans="1:7" x14ac:dyDescent="0.6">
      <c r="B599" s="55" t="s">
        <v>62</v>
      </c>
      <c r="C599" s="184">
        <f>ROUND($C$147*SUM($C$141:$H$141)/12*H$145/1000*D447,0)</f>
        <v>11243</v>
      </c>
    </row>
    <row r="600" spans="1:7" x14ac:dyDescent="0.6">
      <c r="B600" s="55" t="s">
        <v>36</v>
      </c>
      <c r="C600" s="63">
        <f>SUM(C598:C599)</f>
        <v>16864</v>
      </c>
    </row>
    <row r="602" spans="1:7" x14ac:dyDescent="0.6">
      <c r="B602" s="3" t="s">
        <v>291</v>
      </c>
    </row>
    <row r="603" spans="1:7" x14ac:dyDescent="0.6">
      <c r="B603" s="55" t="s">
        <v>69</v>
      </c>
      <c r="C603" s="63">
        <f>C593-C598</f>
        <v>33247.698023217279</v>
      </c>
    </row>
    <row r="604" spans="1:7" x14ac:dyDescent="0.6">
      <c r="B604" s="55" t="s">
        <v>62</v>
      </c>
      <c r="C604" s="181">
        <f>C594-C599</f>
        <v>47511.309934276404</v>
      </c>
    </row>
    <row r="605" spans="1:7" x14ac:dyDescent="0.6">
      <c r="B605" s="55" t="s">
        <v>36</v>
      </c>
      <c r="C605" s="182">
        <f>SUM(C603:C604)</f>
        <v>80759.007957493683</v>
      </c>
    </row>
    <row r="607" spans="1:7" x14ac:dyDescent="0.6">
      <c r="B607" s="3" t="s">
        <v>292</v>
      </c>
    </row>
    <row r="608" spans="1:7" x14ac:dyDescent="0.6">
      <c r="B608" s="55" t="s">
        <v>69</v>
      </c>
      <c r="C608" s="63">
        <f>C603-C582</f>
        <v>1950.6980232172791</v>
      </c>
    </row>
    <row r="609" spans="2:3" x14ac:dyDescent="0.6">
      <c r="B609" s="55" t="s">
        <v>62</v>
      </c>
      <c r="C609" s="181">
        <f>C604-C583</f>
        <v>-651.69006572359649</v>
      </c>
    </row>
    <row r="610" spans="2:3" x14ac:dyDescent="0.6">
      <c r="B610" s="55" t="s">
        <v>36</v>
      </c>
      <c r="C610" s="63">
        <f>SUM(C608:C609)</f>
        <v>1299.0079574936826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5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CA49-F512-45D4-B4DB-3F58052188F5}">
  <sheetPr codeName="Sheet5">
    <pageSetUpPr fitToPage="1"/>
  </sheetPr>
  <dimension ref="A1:N51"/>
  <sheetViews>
    <sheetView workbookViewId="0"/>
  </sheetViews>
  <sheetFormatPr defaultColWidth="9.1328125" defaultRowHeight="13" x14ac:dyDescent="0.6"/>
  <cols>
    <col min="1" max="1" width="9.1328125" style="3"/>
    <col min="2" max="2" width="4.7265625" style="3" customWidth="1"/>
    <col min="3" max="3" width="30.86328125" style="3" customWidth="1"/>
    <col min="4" max="6" width="9.54296875" style="3" customWidth="1"/>
    <col min="7" max="7" width="9.86328125" style="3" customWidth="1"/>
    <col min="8" max="8" width="2.40625" style="3" customWidth="1"/>
    <col min="9" max="13" width="9.1328125" style="3"/>
    <col min="14" max="14" width="12.86328125" style="3" customWidth="1"/>
    <col min="15" max="17" width="9.1328125" style="3"/>
    <col min="18" max="18" width="13.1328125" style="3" customWidth="1"/>
    <col min="19" max="16384" width="9.1328125" style="3"/>
  </cols>
  <sheetData>
    <row r="1" spans="1:9" x14ac:dyDescent="0.6">
      <c r="A1" s="57" t="s">
        <v>293</v>
      </c>
    </row>
    <row r="2" spans="1:9" x14ac:dyDescent="0.6">
      <c r="A2" s="33" t="str">
        <f>'BGS Cost &amp; Bid Factors'!M1&amp;" BGS Auction"</f>
        <v>2024 BGS Auction</v>
      </c>
    </row>
    <row r="4" spans="1:9" s="165" customFormat="1" x14ac:dyDescent="0.6">
      <c r="A4" s="33" t="s">
        <v>294</v>
      </c>
      <c r="B4" s="33" t="s">
        <v>295</v>
      </c>
    </row>
    <row r="5" spans="1:9" s="165" customFormat="1" ht="10.5" x14ac:dyDescent="0.5"/>
    <row r="6" spans="1:9" s="165" customFormat="1" ht="10.5" x14ac:dyDescent="0.5">
      <c r="D6" s="185">
        <f>F6-2</f>
        <v>2022</v>
      </c>
      <c r="E6" s="185">
        <f>F6-1</f>
        <v>2023</v>
      </c>
      <c r="F6" s="185">
        <v>2024</v>
      </c>
    </row>
    <row r="7" spans="1:9" s="165" customFormat="1" ht="10.5" x14ac:dyDescent="0.5">
      <c r="D7" s="185" t="s">
        <v>296</v>
      </c>
      <c r="E7" s="185" t="s">
        <v>296</v>
      </c>
      <c r="F7" s="185" t="s">
        <v>296</v>
      </c>
    </row>
    <row r="8" spans="1:9" s="165" customFormat="1" ht="10.5" x14ac:dyDescent="0.5">
      <c r="B8" s="186" t="s">
        <v>297</v>
      </c>
      <c r="C8" s="186" t="s">
        <v>298</v>
      </c>
      <c r="D8" s="187" t="s">
        <v>299</v>
      </c>
      <c r="E8" s="187" t="s">
        <v>299</v>
      </c>
      <c r="F8" s="187" t="s">
        <v>299</v>
      </c>
      <c r="G8" s="188" t="s">
        <v>36</v>
      </c>
      <c r="I8" s="186" t="s">
        <v>300</v>
      </c>
    </row>
    <row r="9" spans="1:9" s="165" customFormat="1" ht="10.5" x14ac:dyDescent="0.5">
      <c r="B9" s="185">
        <v>1</v>
      </c>
      <c r="C9" s="165" t="s">
        <v>301</v>
      </c>
      <c r="D9" s="165">
        <v>1</v>
      </c>
      <c r="E9" s="165">
        <v>2</v>
      </c>
      <c r="F9" s="165">
        <v>1</v>
      </c>
      <c r="G9" s="165">
        <f>SUM(D9:F9)</f>
        <v>4</v>
      </c>
      <c r="I9" s="165" t="s">
        <v>302</v>
      </c>
    </row>
    <row r="10" spans="1:9" s="165" customFormat="1" ht="10.5" x14ac:dyDescent="0.5">
      <c r="B10" s="185" t="s">
        <v>303</v>
      </c>
      <c r="C10" s="189" t="s">
        <v>304</v>
      </c>
      <c r="D10" s="190">
        <v>8.2059999999999995</v>
      </c>
      <c r="E10" s="190">
        <v>9.6479999999999997</v>
      </c>
      <c r="F10" s="190">
        <v>9.6479999999999997</v>
      </c>
    </row>
    <row r="11" spans="1:9" s="165" customFormat="1" ht="10.5" x14ac:dyDescent="0.5">
      <c r="B11" s="185" t="s">
        <v>305</v>
      </c>
      <c r="C11" s="189" t="s">
        <v>306</v>
      </c>
      <c r="D11" s="190">
        <v>-0.44600000000000001</v>
      </c>
      <c r="E11" s="190">
        <v>-0.158</v>
      </c>
      <c r="F11" s="190">
        <v>0</v>
      </c>
      <c r="I11" s="165" t="s">
        <v>307</v>
      </c>
    </row>
    <row r="12" spans="1:9" s="165" customFormat="1" ht="10.5" hidden="1" x14ac:dyDescent="0.5">
      <c r="B12" s="185" t="s">
        <v>308</v>
      </c>
      <c r="C12" s="189" t="s">
        <v>304</v>
      </c>
      <c r="D12" s="190">
        <f>D11+D10</f>
        <v>7.76</v>
      </c>
      <c r="E12" s="190">
        <f t="shared" ref="E12:F12" si="0">E11+E10</f>
        <v>9.49</v>
      </c>
      <c r="F12" s="190">
        <f t="shared" si="0"/>
        <v>9.6479999999999997</v>
      </c>
      <c r="I12" s="165" t="s">
        <v>309</v>
      </c>
    </row>
    <row r="13" spans="1:9" s="165" customFormat="1" ht="10.5" hidden="1" x14ac:dyDescent="0.5">
      <c r="B13" s="185">
        <v>3</v>
      </c>
      <c r="C13" s="189" t="s">
        <v>310</v>
      </c>
      <c r="D13" s="190">
        <v>0</v>
      </c>
      <c r="E13" s="190">
        <v>0</v>
      </c>
      <c r="F13" s="190">
        <v>0</v>
      </c>
      <c r="I13" s="165" t="s">
        <v>311</v>
      </c>
    </row>
    <row r="14" spans="1:9" s="165" customFormat="1" ht="10.5" x14ac:dyDescent="0.5">
      <c r="B14" s="185">
        <v>3</v>
      </c>
      <c r="C14" s="189" t="s">
        <v>312</v>
      </c>
      <c r="D14" s="190">
        <f>D10+D11</f>
        <v>7.76</v>
      </c>
      <c r="E14" s="190">
        <f t="shared" ref="E14:F14" si="1">E10+E11</f>
        <v>9.49</v>
      </c>
      <c r="F14" s="190">
        <f t="shared" si="1"/>
        <v>9.6479999999999997</v>
      </c>
      <c r="G14" s="190"/>
      <c r="I14" s="189" t="s">
        <v>313</v>
      </c>
    </row>
    <row r="15" spans="1:9" s="165" customFormat="1" ht="10.5" x14ac:dyDescent="0.5">
      <c r="B15" s="185">
        <v>4</v>
      </c>
      <c r="C15" s="189" t="s">
        <v>314</v>
      </c>
      <c r="D15" s="190">
        <f>D9/$G$9*D14</f>
        <v>1.94</v>
      </c>
      <c r="E15" s="190">
        <f>E9/$G$9*E14</f>
        <v>4.7450000000000001</v>
      </c>
      <c r="F15" s="190">
        <f>F9/$G$9*F14</f>
        <v>2.4119999999999999</v>
      </c>
      <c r="G15" s="190">
        <f>SUM(D15:F15)</f>
        <v>9.0970000000000013</v>
      </c>
      <c r="I15" s="189" t="s">
        <v>315</v>
      </c>
    </row>
    <row r="16" spans="1:9" s="165" customFormat="1" ht="10.5" hidden="1" x14ac:dyDescent="0.5">
      <c r="B16" s="185">
        <v>5</v>
      </c>
      <c r="C16" s="189" t="s">
        <v>316</v>
      </c>
      <c r="D16" s="190">
        <f>D9/$G$9*D13</f>
        <v>0</v>
      </c>
      <c r="E16" s="190">
        <f>E9/$G$9*E13</f>
        <v>0</v>
      </c>
      <c r="F16" s="190">
        <f>F9/$G$9*F13</f>
        <v>0</v>
      </c>
      <c r="G16" s="190">
        <f>SUM(D16:F16)</f>
        <v>0</v>
      </c>
      <c r="I16" s="189" t="s">
        <v>315</v>
      </c>
    </row>
    <row r="17" spans="2:14" s="165" customFormat="1" ht="10.5" x14ac:dyDescent="0.5">
      <c r="B17" s="185">
        <v>5</v>
      </c>
      <c r="C17" s="189" t="s">
        <v>317</v>
      </c>
      <c r="G17" s="191">
        <f>G15+G16</f>
        <v>9.0970000000000013</v>
      </c>
    </row>
    <row r="18" spans="2:14" s="165" customFormat="1" ht="10.5" x14ac:dyDescent="0.5">
      <c r="B18" s="185"/>
    </row>
    <row r="19" spans="2:14" s="165" customFormat="1" ht="10.5" x14ac:dyDescent="0.5">
      <c r="B19" s="185"/>
      <c r="C19" s="186" t="s">
        <v>318</v>
      </c>
    </row>
    <row r="20" spans="2:14" s="165" customFormat="1" ht="10.5" x14ac:dyDescent="0.5">
      <c r="B20" s="185">
        <v>6</v>
      </c>
      <c r="C20" s="192" t="s">
        <v>319</v>
      </c>
      <c r="D20" s="193">
        <v>1</v>
      </c>
      <c r="E20" s="193">
        <v>1</v>
      </c>
      <c r="F20" s="193">
        <f>IF('BGS Cost &amp; Bid Factors'!J377&lt;1,1,'BGS Cost &amp; Bid Factors'!J377)</f>
        <v>1</v>
      </c>
      <c r="G20" s="165" t="s">
        <v>320</v>
      </c>
      <c r="I20" s="189" t="s">
        <v>321</v>
      </c>
    </row>
    <row r="21" spans="2:14" s="165" customFormat="1" ht="10.5" x14ac:dyDescent="0.5">
      <c r="B21" s="185">
        <v>7</v>
      </c>
      <c r="C21" s="192" t="s">
        <v>322</v>
      </c>
      <c r="D21" s="193">
        <v>1</v>
      </c>
      <c r="E21" s="193">
        <v>1</v>
      </c>
      <c r="F21" s="193">
        <f>IF('BGS Cost &amp; Bid Factors'!J378&gt;1,1,'BGS Cost &amp; Bid Factors'!J378)</f>
        <v>1</v>
      </c>
      <c r="G21" s="165" t="s">
        <v>320</v>
      </c>
      <c r="I21" s="189" t="s">
        <v>321</v>
      </c>
    </row>
    <row r="22" spans="2:14" s="165" customFormat="1" ht="10.5" x14ac:dyDescent="0.5">
      <c r="B22" s="185"/>
      <c r="D22" s="193"/>
      <c r="E22" s="193"/>
      <c r="F22" s="193"/>
    </row>
    <row r="23" spans="2:14" s="165" customFormat="1" ht="10.5" x14ac:dyDescent="0.5">
      <c r="B23" s="185"/>
      <c r="C23" s="186" t="s">
        <v>323</v>
      </c>
      <c r="F23" s="185" t="s">
        <v>324</v>
      </c>
    </row>
    <row r="24" spans="2:14" s="165" customFormat="1" ht="10.5" x14ac:dyDescent="0.5">
      <c r="B24" s="185">
        <v>8</v>
      </c>
      <c r="C24" s="194" t="s">
        <v>325</v>
      </c>
      <c r="D24" s="195">
        <f>'Rate Calculations'!$D$251</f>
        <v>416741.70849071519</v>
      </c>
      <c r="I24" s="189" t="s">
        <v>321</v>
      </c>
      <c r="N24" s="195"/>
    </row>
    <row r="25" spans="2:14" s="165" customFormat="1" ht="10.5" x14ac:dyDescent="0.5">
      <c r="B25" s="185">
        <v>9</v>
      </c>
      <c r="C25" s="194" t="s">
        <v>326</v>
      </c>
      <c r="D25" s="196">
        <f>'Rate Calculations'!$D$252</f>
        <v>578537.16994844726</v>
      </c>
      <c r="I25" s="189" t="s">
        <v>321</v>
      </c>
      <c r="N25" s="195"/>
    </row>
    <row r="26" spans="2:14" s="165" customFormat="1" ht="10.5" x14ac:dyDescent="0.5">
      <c r="B26" s="185">
        <v>10</v>
      </c>
      <c r="D26" s="195">
        <f>SUM(D24:D25)</f>
        <v>995278.87843916239</v>
      </c>
      <c r="N26" s="195"/>
    </row>
    <row r="27" spans="2:14" s="165" customFormat="1" ht="10.5" x14ac:dyDescent="0.5">
      <c r="B27" s="185"/>
    </row>
    <row r="28" spans="2:14" s="165" customFormat="1" ht="10.5" x14ac:dyDescent="0.5">
      <c r="B28" s="185"/>
      <c r="C28" s="186" t="s">
        <v>327</v>
      </c>
    </row>
    <row r="29" spans="2:14" s="165" customFormat="1" ht="10.5" x14ac:dyDescent="0.5">
      <c r="B29" s="185">
        <v>11</v>
      </c>
      <c r="C29" s="194" t="s">
        <v>69</v>
      </c>
      <c r="D29" s="195">
        <f>ROUND(D$9/$G$9*(D$14)/100*D$20*$D$24*1000,0)</f>
        <v>8084789</v>
      </c>
      <c r="E29" s="195">
        <f>ROUND(E$9/$G$9*(E$14)/100*E$20*$D$24*1000,0)</f>
        <v>19774394</v>
      </c>
      <c r="F29" s="195">
        <f>ROUND(F$9/$G$9*(F$14)/100*F$20*$D$24*1000,0)</f>
        <v>10051810</v>
      </c>
      <c r="G29" s="195">
        <f>SUM(D29:F29)</f>
        <v>37910993</v>
      </c>
      <c r="I29" s="189" t="s">
        <v>328</v>
      </c>
    </row>
    <row r="30" spans="2:14" s="165" customFormat="1" ht="10.5" x14ac:dyDescent="0.5">
      <c r="B30" s="185">
        <v>12</v>
      </c>
      <c r="C30" s="194" t="s">
        <v>62</v>
      </c>
      <c r="D30" s="196">
        <f>ROUND(D$9/$G$9*(D$14)/100*D$21*$D$25*1000,0)</f>
        <v>11223621</v>
      </c>
      <c r="E30" s="196">
        <f>ROUND(E$9/$G$9*(E$14)/100*E$21*$D$25*1000,0)</f>
        <v>27451589</v>
      </c>
      <c r="F30" s="196">
        <f>ROUND(F$9/$G$9*(F$14)/100*F$21*$D$25*1000,0)</f>
        <v>13954317</v>
      </c>
      <c r="G30" s="196">
        <f>SUM(D30:F30)</f>
        <v>52629527</v>
      </c>
      <c r="I30" s="189" t="s">
        <v>329</v>
      </c>
    </row>
    <row r="31" spans="2:14" s="165" customFormat="1" ht="10.5" x14ac:dyDescent="0.5">
      <c r="B31" s="185">
        <v>13</v>
      </c>
      <c r="C31" s="194" t="s">
        <v>36</v>
      </c>
      <c r="D31" s="195">
        <f>SUM(D29:D30)</f>
        <v>19308410</v>
      </c>
      <c r="E31" s="195">
        <f>SUM(E29:E30)</f>
        <v>47225983</v>
      </c>
      <c r="F31" s="195">
        <f>SUM(F29:F30)</f>
        <v>24006127</v>
      </c>
      <c r="G31" s="195">
        <f>SUM(G29:G30)</f>
        <v>90540520</v>
      </c>
      <c r="I31" s="189" t="s">
        <v>330</v>
      </c>
    </row>
    <row r="32" spans="2:14" s="165" customFormat="1" ht="10.5" x14ac:dyDescent="0.5">
      <c r="B32" s="185"/>
    </row>
    <row r="33" spans="2:11" s="165" customFormat="1" ht="10.5" x14ac:dyDescent="0.5">
      <c r="B33" s="185"/>
      <c r="C33" s="197" t="s">
        <v>331</v>
      </c>
    </row>
    <row r="34" spans="2:11" s="165" customFormat="1" ht="10.5" x14ac:dyDescent="0.5">
      <c r="B34" s="185">
        <v>14</v>
      </c>
      <c r="C34" s="194" t="s">
        <v>69</v>
      </c>
      <c r="D34" s="190">
        <f>ROUND(G29/D24/1000*100,3)</f>
        <v>9.0969999999999995</v>
      </c>
      <c r="E34" s="165" t="s">
        <v>111</v>
      </c>
      <c r="I34" s="189" t="s">
        <v>332</v>
      </c>
    </row>
    <row r="35" spans="2:11" s="165" customFormat="1" ht="10.5" x14ac:dyDescent="0.5">
      <c r="B35" s="185">
        <v>15</v>
      </c>
      <c r="C35" s="194" t="s">
        <v>62</v>
      </c>
      <c r="D35" s="190">
        <f>ROUND(G30/D25/1000*100,3)</f>
        <v>9.0969999999999995</v>
      </c>
      <c r="E35" s="165" t="s">
        <v>111</v>
      </c>
      <c r="I35" s="189" t="s">
        <v>333</v>
      </c>
    </row>
    <row r="36" spans="2:11" s="165" customFormat="1" ht="10.5" x14ac:dyDescent="0.5">
      <c r="B36" s="185">
        <v>16</v>
      </c>
      <c r="C36" s="194" t="s">
        <v>36</v>
      </c>
      <c r="D36" s="191">
        <f>ROUND(G31/D26/1000*100,3)</f>
        <v>9.0969999999999995</v>
      </c>
      <c r="E36" s="165" t="s">
        <v>111</v>
      </c>
      <c r="I36" s="189" t="s">
        <v>334</v>
      </c>
    </row>
    <row r="37" spans="2:11" s="165" customFormat="1" ht="10.5" x14ac:dyDescent="0.5">
      <c r="B37" s="185"/>
      <c r="C37" s="195"/>
    </row>
    <row r="38" spans="2:11" s="165" customFormat="1" ht="10.5" x14ac:dyDescent="0.5">
      <c r="B38" s="185"/>
      <c r="C38" s="186" t="s">
        <v>335</v>
      </c>
    </row>
    <row r="39" spans="2:11" s="165" customFormat="1" ht="10.5" x14ac:dyDescent="0.5">
      <c r="B39" s="185"/>
      <c r="D39" s="194" t="s">
        <v>336</v>
      </c>
      <c r="E39" s="194" t="s">
        <v>337</v>
      </c>
    </row>
    <row r="40" spans="2:11" s="165" customFormat="1" ht="10.5" x14ac:dyDescent="0.5">
      <c r="B40" s="185"/>
      <c r="D40" s="188" t="s">
        <v>296</v>
      </c>
      <c r="E40" s="188" t="s">
        <v>338</v>
      </c>
      <c r="F40" s="198"/>
      <c r="G40" s="188" t="s">
        <v>36</v>
      </c>
    </row>
    <row r="41" spans="2:11" s="165" customFormat="1" ht="10.5" x14ac:dyDescent="0.5">
      <c r="B41" s="185">
        <v>17</v>
      </c>
      <c r="C41" s="165" t="s">
        <v>301</v>
      </c>
      <c r="D41" s="165">
        <f>SUM(D9:F9)</f>
        <v>4</v>
      </c>
      <c r="E41" s="165">
        <f>'BGS Cost &amp; Bid Factors'!M466</f>
        <v>0.44400000000000001</v>
      </c>
      <c r="G41" s="165">
        <f>SUM(D41:E41)</f>
        <v>4.444</v>
      </c>
      <c r="I41" s="165" t="s">
        <v>339</v>
      </c>
    </row>
    <row r="42" spans="2:11" s="165" customFormat="1" ht="10.5" x14ac:dyDescent="0.5">
      <c r="B42" s="185">
        <v>18</v>
      </c>
      <c r="C42" s="165" t="s">
        <v>340</v>
      </c>
      <c r="D42" s="190">
        <f>D36</f>
        <v>9.0969999999999995</v>
      </c>
      <c r="E42" s="190">
        <f>'Rate Calculations'!$D$286*(100/1000)</f>
        <v>8.26</v>
      </c>
      <c r="F42" s="190"/>
      <c r="I42" s="165" t="str">
        <f>"BGS Auction from (16)"</f>
        <v>BGS Auction from (16)</v>
      </c>
      <c r="K42" s="165" t="str">
        <f>"Note "&amp;$E$42&amp;"¢ for RFP is illustrative"</f>
        <v>Note 8.26¢ for RFP is illustrative</v>
      </c>
    </row>
    <row r="43" spans="2:11" s="165" customFormat="1" ht="10.5" x14ac:dyDescent="0.5">
      <c r="B43" s="185"/>
      <c r="D43" s="190"/>
      <c r="E43" s="191"/>
      <c r="F43" s="190"/>
    </row>
    <row r="44" spans="2:11" s="165" customFormat="1" ht="10.5" hidden="1" x14ac:dyDescent="0.5">
      <c r="B44" s="185">
        <v>19</v>
      </c>
      <c r="C44" s="165" t="s">
        <v>341</v>
      </c>
      <c r="D44" s="190">
        <f>F13</f>
        <v>0</v>
      </c>
      <c r="E44" s="190">
        <v>0</v>
      </c>
    </row>
    <row r="45" spans="2:11" s="165" customFormat="1" ht="10.5" hidden="1" x14ac:dyDescent="0.5">
      <c r="B45" s="185">
        <v>20</v>
      </c>
      <c r="C45" s="165" t="s">
        <v>336</v>
      </c>
      <c r="D45" s="190">
        <f>D42-D44</f>
        <v>9.0969999999999995</v>
      </c>
      <c r="E45" s="165">
        <f>E42-E44</f>
        <v>8.26</v>
      </c>
      <c r="I45" s="189" t="s">
        <v>342</v>
      </c>
    </row>
    <row r="46" spans="2:11" s="165" customFormat="1" ht="11.25" thickBot="1" x14ac:dyDescent="0.65">
      <c r="B46" s="185">
        <v>19</v>
      </c>
      <c r="C46" s="189" t="s">
        <v>314</v>
      </c>
      <c r="D46" s="190">
        <f>D41/$G$41*D42</f>
        <v>8.1881188118811874</v>
      </c>
      <c r="E46" s="190">
        <f>E41/$G$41*E42</f>
        <v>0.82525652565256535</v>
      </c>
      <c r="F46" s="190"/>
      <c r="G46" s="190">
        <f>SUM(D46:E46)</f>
        <v>9.013375337533752</v>
      </c>
      <c r="I46" s="189" t="s">
        <v>343</v>
      </c>
    </row>
    <row r="47" spans="2:11" s="165" customFormat="1" ht="11.25" hidden="1" thickBot="1" x14ac:dyDescent="0.65">
      <c r="B47" s="185">
        <v>22</v>
      </c>
      <c r="C47" s="189" t="s">
        <v>316</v>
      </c>
      <c r="D47" s="190">
        <f>D41/$G$41*D44</f>
        <v>0</v>
      </c>
      <c r="E47" s="190">
        <f>E41/$G$41*E44</f>
        <v>0</v>
      </c>
      <c r="F47" s="190"/>
      <c r="G47" s="190">
        <f>SUM(D47:E47)</f>
        <v>0</v>
      </c>
      <c r="I47" s="189" t="s">
        <v>344</v>
      </c>
    </row>
    <row r="48" spans="2:11" s="165" customFormat="1" ht="11.25" thickBot="1" x14ac:dyDescent="0.65">
      <c r="B48" s="185">
        <v>20</v>
      </c>
      <c r="C48" s="199" t="s">
        <v>345</v>
      </c>
      <c r="G48" s="200">
        <f>ROUND(G46,3)</f>
        <v>9.0129999999999999</v>
      </c>
      <c r="I48" s="189" t="s">
        <v>346</v>
      </c>
    </row>
    <row r="50" spans="3:3" x14ac:dyDescent="0.6">
      <c r="C50" s="201" t="s">
        <v>347</v>
      </c>
    </row>
    <row r="51" spans="3:3" x14ac:dyDescent="0.6">
      <c r="C51" s="201" t="s">
        <v>348</v>
      </c>
    </row>
  </sheetData>
  <printOptions horizontalCentered="1"/>
  <pageMargins left="0.5" right="0.5" top="0.5" bottom="0.5" header="0.5" footer="0.5"/>
  <pageSetup scale="89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598EF-D857-45F3-B9D8-25F129359EFB}">
  <sheetPr codeName="Sheet6"/>
  <dimension ref="A1:AJ286"/>
  <sheetViews>
    <sheetView workbookViewId="0"/>
  </sheetViews>
  <sheetFormatPr defaultColWidth="9.1328125" defaultRowHeight="13" x14ac:dyDescent="0.6"/>
  <cols>
    <col min="1" max="1" width="9.54296875" style="209" customWidth="1"/>
    <col min="2" max="2" width="27.86328125" customWidth="1"/>
    <col min="3" max="3" width="14.1328125" customWidth="1"/>
    <col min="4" max="4" width="14.86328125" customWidth="1"/>
    <col min="5" max="5" width="12.7265625" customWidth="1"/>
    <col min="6" max="7" width="13.40625" customWidth="1"/>
    <col min="8" max="8" width="12.7265625" customWidth="1"/>
    <col min="9" max="9" width="11.86328125" customWidth="1"/>
    <col min="10" max="10" width="12.54296875" customWidth="1"/>
    <col min="11" max="11" width="10.7265625" customWidth="1"/>
    <col min="12" max="12" width="11.7265625" customWidth="1"/>
    <col min="13" max="14" width="9.40625" customWidth="1"/>
    <col min="15" max="15" width="11.7265625" customWidth="1"/>
    <col min="16" max="17" width="9.40625" customWidth="1"/>
    <col min="18" max="18" width="11.54296875" customWidth="1"/>
    <col min="19" max="19" width="8.7265625" customWidth="1"/>
    <col min="20" max="20" width="12.7265625" customWidth="1"/>
    <col min="21" max="21" width="10.1328125" customWidth="1"/>
    <col min="22" max="26" width="8.7265625" customWidth="1"/>
    <col min="27" max="27" width="18.40625" customWidth="1"/>
    <col min="28" max="28" width="19.26953125" customWidth="1"/>
    <col min="29" max="29" width="21" customWidth="1"/>
    <col min="30" max="37" width="9.40625" customWidth="1"/>
  </cols>
  <sheetData>
    <row r="1" spans="1:10" x14ac:dyDescent="0.6">
      <c r="A1" s="57" t="s">
        <v>293</v>
      </c>
    </row>
    <row r="2" spans="1:10" x14ac:dyDescent="0.6">
      <c r="A2" s="33" t="str">
        <f>'BGS Cost &amp; Bid Factors'!M1 &amp;" BGS Auction"</f>
        <v>2024 BGS Auction</v>
      </c>
    </row>
    <row r="3" spans="1:10" x14ac:dyDescent="0.6">
      <c r="A3" s="33"/>
    </row>
    <row r="4" spans="1:10" x14ac:dyDescent="0.6">
      <c r="A4" s="33"/>
    </row>
    <row r="6" spans="1:10" x14ac:dyDescent="0.6">
      <c r="A6" s="144" t="s">
        <v>349</v>
      </c>
      <c r="B6" s="13" t="s">
        <v>181</v>
      </c>
      <c r="H6" s="3"/>
    </row>
    <row r="7" spans="1:10" x14ac:dyDescent="0.6">
      <c r="A7" s="54"/>
      <c r="B7" s="77" t="s">
        <v>350</v>
      </c>
      <c r="H7" s="3"/>
    </row>
    <row r="8" spans="1:10" x14ac:dyDescent="0.6">
      <c r="A8" s="14"/>
      <c r="B8" s="3"/>
    </row>
    <row r="9" spans="1:10" x14ac:dyDescent="0.6">
      <c r="A9" s="14"/>
      <c r="B9" s="33" t="s">
        <v>162</v>
      </c>
    </row>
    <row r="10" spans="1:10" x14ac:dyDescent="0.6">
      <c r="A10" s="14"/>
      <c r="B10" s="12" t="s">
        <v>351</v>
      </c>
    </row>
    <row r="11" spans="1:10" x14ac:dyDescent="0.6">
      <c r="A11" s="14"/>
      <c r="B11" s="33"/>
    </row>
    <row r="12" spans="1:10" x14ac:dyDescent="0.6">
      <c r="A12" s="14"/>
      <c r="C12" s="35" t="str">
        <f>'BGS Cost &amp; Bid Factors'!C$6</f>
        <v>SC1</v>
      </c>
      <c r="D12" s="35" t="str">
        <f>'BGS Cost &amp; Bid Factors'!D$6</f>
        <v>SC3</v>
      </c>
      <c r="E12" s="35" t="str">
        <f>'BGS Cost &amp; Bid Factors'!E$6</f>
        <v>SC2 ND</v>
      </c>
      <c r="F12" s="35" t="str">
        <f>'BGS Cost &amp; Bid Factors'!F$6</f>
        <v>SC4</v>
      </c>
      <c r="G12" s="35" t="str">
        <f>'BGS Cost &amp; Bid Factors'!G$6</f>
        <v>SC6</v>
      </c>
      <c r="H12" s="35" t="str">
        <f>'BGS Cost &amp; Bid Factors'!I$24</f>
        <v>SC1 TOD</v>
      </c>
    </row>
    <row r="13" spans="1:10" x14ac:dyDescent="0.6">
      <c r="A13" s="14"/>
      <c r="C13" s="19"/>
      <c r="D13" s="19"/>
      <c r="E13" s="19"/>
      <c r="H13" s="19"/>
    </row>
    <row r="14" spans="1:10" x14ac:dyDescent="0.6">
      <c r="A14" s="14"/>
      <c r="B14" s="202" t="s">
        <v>64</v>
      </c>
      <c r="C14" s="117">
        <f>'BGS Cost &amp; Bid Factors'!C327</f>
        <v>1.004</v>
      </c>
      <c r="D14" s="118"/>
      <c r="E14" s="117">
        <f>'BGS Cost &amp; Bid Factors'!E327</f>
        <v>0.97599999999999998</v>
      </c>
      <c r="F14" s="117">
        <f>'BGS Cost &amp; Bid Factors'!F327</f>
        <v>0.89700000000000002</v>
      </c>
      <c r="G14" s="117">
        <f>'BGS Cost &amp; Bid Factors'!G327</f>
        <v>0.89500000000000002</v>
      </c>
      <c r="H14" s="118"/>
      <c r="I14" s="119"/>
      <c r="J14" s="119"/>
    </row>
    <row r="15" spans="1:10" x14ac:dyDescent="0.6">
      <c r="A15" s="14"/>
      <c r="B15" s="203" t="s">
        <v>79</v>
      </c>
      <c r="C15" s="118"/>
      <c r="D15" s="117">
        <f>'BGS Cost &amp; Bid Factors'!D328</f>
        <v>1.1819999999999999</v>
      </c>
      <c r="E15" s="118"/>
      <c r="F15" s="118"/>
      <c r="G15" s="118"/>
      <c r="H15" s="117">
        <f>'BGS Cost &amp; Bid Factors'!H328</f>
        <v>1.429</v>
      </c>
      <c r="I15" s="119"/>
      <c r="J15" s="119"/>
    </row>
    <row r="16" spans="1:10" x14ac:dyDescent="0.6">
      <c r="A16" s="14"/>
      <c r="B16" s="203" t="s">
        <v>80</v>
      </c>
      <c r="C16" s="118"/>
      <c r="D16" s="117">
        <f>'BGS Cost &amp; Bid Factors'!D329</f>
        <v>0.80400000000000005</v>
      </c>
      <c r="E16" s="118"/>
      <c r="F16" s="118"/>
      <c r="G16" s="118"/>
      <c r="H16" s="117">
        <f>'BGS Cost &amp; Bid Factors'!H329</f>
        <v>0.81399999999999995</v>
      </c>
      <c r="I16" s="119"/>
      <c r="J16" s="119"/>
    </row>
    <row r="17" spans="1:10" x14ac:dyDescent="0.6">
      <c r="A17" s="14"/>
      <c r="B17" s="3"/>
      <c r="C17" s="118"/>
      <c r="D17" s="118"/>
      <c r="E17" s="118"/>
      <c r="F17" s="118"/>
      <c r="G17" s="118"/>
      <c r="H17" s="118"/>
      <c r="I17" s="119"/>
      <c r="J17" s="119"/>
    </row>
    <row r="18" spans="1:10" x14ac:dyDescent="0.6">
      <c r="A18" s="14"/>
      <c r="B18" s="85"/>
      <c r="C18" s="3"/>
      <c r="D18" s="118"/>
      <c r="E18" s="118"/>
      <c r="F18" s="118"/>
      <c r="G18" s="118"/>
      <c r="H18" s="118"/>
      <c r="I18" s="119"/>
      <c r="J18" s="119"/>
    </row>
    <row r="19" spans="1:10" x14ac:dyDescent="0.6">
      <c r="A19" s="14"/>
      <c r="B19" s="121" t="s">
        <v>165</v>
      </c>
      <c r="C19" s="122">
        <f>'BGS Cost &amp; Bid Factors'!C332</f>
        <v>-35.227431000000003</v>
      </c>
      <c r="D19" s="118"/>
      <c r="E19" s="118"/>
      <c r="F19" s="118"/>
      <c r="G19" s="118"/>
      <c r="H19" s="118"/>
      <c r="I19" s="119"/>
      <c r="J19" s="119"/>
    </row>
    <row r="20" spans="1:10" x14ac:dyDescent="0.6">
      <c r="A20" s="14"/>
      <c r="B20" s="121" t="s">
        <v>166</v>
      </c>
      <c r="C20" s="122">
        <f>'BGS Cost &amp; Bid Factors'!C333</f>
        <v>26.542568999999986</v>
      </c>
      <c r="D20" s="118"/>
      <c r="E20" s="118"/>
      <c r="F20" s="118"/>
      <c r="G20" s="118"/>
      <c r="H20" s="118"/>
      <c r="I20" s="119"/>
      <c r="J20" s="119"/>
    </row>
    <row r="21" spans="1:10" x14ac:dyDescent="0.6">
      <c r="A21" s="14"/>
      <c r="B21" s="118"/>
      <c r="C21" s="118"/>
      <c r="D21" s="118"/>
      <c r="E21" s="118"/>
      <c r="F21" s="118"/>
      <c r="G21" s="118"/>
      <c r="H21" s="118"/>
      <c r="I21" s="119"/>
      <c r="J21" s="119"/>
    </row>
    <row r="22" spans="1:10" x14ac:dyDescent="0.6">
      <c r="A22" s="14"/>
      <c r="B22" s="3"/>
      <c r="C22" s="118"/>
      <c r="D22" s="118"/>
      <c r="E22" s="118"/>
      <c r="F22" s="118"/>
      <c r="G22" s="118"/>
      <c r="H22" s="118"/>
      <c r="I22" s="119"/>
      <c r="J22" s="119"/>
    </row>
    <row r="23" spans="1:10" x14ac:dyDescent="0.6">
      <c r="A23" s="14"/>
      <c r="B23" s="202" t="s">
        <v>70</v>
      </c>
      <c r="C23" s="117">
        <f>'BGS Cost &amp; Bid Factors'!C336</f>
        <v>1.131</v>
      </c>
      <c r="D23" s="118"/>
      <c r="E23" s="117">
        <f>'BGS Cost &amp; Bid Factors'!E336</f>
        <v>1.044</v>
      </c>
      <c r="F23" s="117">
        <f>'BGS Cost &amp; Bid Factors'!F336</f>
        <v>0.98499999999999999</v>
      </c>
      <c r="G23" s="117">
        <f>'BGS Cost &amp; Bid Factors'!G336</f>
        <v>0.98199999999999998</v>
      </c>
      <c r="H23" s="118"/>
      <c r="I23" s="119"/>
      <c r="J23" s="119"/>
    </row>
    <row r="24" spans="1:10" x14ac:dyDescent="0.6">
      <c r="A24" s="14"/>
      <c r="B24" s="203" t="s">
        <v>79</v>
      </c>
      <c r="C24" s="118"/>
      <c r="D24" s="117">
        <f>'BGS Cost &amp; Bid Factors'!D337</f>
        <v>1.1919999999999999</v>
      </c>
      <c r="E24" s="118"/>
      <c r="F24" s="118"/>
      <c r="G24" s="118"/>
      <c r="H24" s="117">
        <f>'BGS Cost &amp; Bid Factors'!H337</f>
        <v>1.6930000000000001</v>
      </c>
      <c r="I24" s="119"/>
      <c r="J24" s="119"/>
    </row>
    <row r="25" spans="1:10" x14ac:dyDescent="0.6">
      <c r="A25" s="14"/>
      <c r="B25" s="203" t="s">
        <v>80</v>
      </c>
      <c r="C25" s="118"/>
      <c r="D25" s="117">
        <f>'BGS Cost &amp; Bid Factors'!D338</f>
        <v>0.94</v>
      </c>
      <c r="E25" s="118"/>
      <c r="F25" s="118"/>
      <c r="G25" s="118"/>
      <c r="H25" s="117">
        <f>'BGS Cost &amp; Bid Factors'!H338</f>
        <v>0.95</v>
      </c>
      <c r="I25" s="119"/>
      <c r="J25" s="119"/>
    </row>
    <row r="26" spans="1:10" x14ac:dyDescent="0.6">
      <c r="A26" s="14"/>
      <c r="C26" s="119"/>
      <c r="D26" s="119"/>
      <c r="E26" s="119"/>
      <c r="F26" s="119"/>
      <c r="G26" s="119"/>
      <c r="H26" s="119"/>
      <c r="I26" s="119"/>
      <c r="J26" s="119"/>
    </row>
    <row r="27" spans="1:10" x14ac:dyDescent="0.6">
      <c r="A27" s="14"/>
      <c r="B27" t="s">
        <v>167</v>
      </c>
      <c r="C27" s="123">
        <f>'BGS Cost &amp; Bid Factors'!C340</f>
        <v>1.075</v>
      </c>
      <c r="D27" s="123">
        <f>'BGS Cost &amp; Bid Factors'!D340</f>
        <v>1.006</v>
      </c>
      <c r="E27" s="123">
        <f>'BGS Cost &amp; Bid Factors'!E340</f>
        <v>1.0245452799685835</v>
      </c>
      <c r="F27" s="123">
        <f>'BGS Cost &amp; Bid Factors'!F340</f>
        <v>0.96</v>
      </c>
      <c r="G27" s="123">
        <f>'BGS Cost &amp; Bid Factors'!G340</f>
        <v>0.95699999999999996</v>
      </c>
      <c r="H27" s="123">
        <f>'BGS Cost &amp; Bid Factors'!H340</f>
        <v>1.075</v>
      </c>
      <c r="I27" s="119"/>
      <c r="J27" s="119"/>
    </row>
    <row r="28" spans="1:10" x14ac:dyDescent="0.6">
      <c r="A28" s="14"/>
    </row>
    <row r="29" spans="1:10" x14ac:dyDescent="0.6">
      <c r="A29" s="14"/>
    </row>
    <row r="30" spans="1:10" x14ac:dyDescent="0.6">
      <c r="A30" s="14"/>
      <c r="B30" s="33" t="s">
        <v>168</v>
      </c>
    </row>
    <row r="31" spans="1:10" x14ac:dyDescent="0.6">
      <c r="A31" s="14"/>
      <c r="B31" s="12" t="s">
        <v>182</v>
      </c>
    </row>
    <row r="32" spans="1:10" x14ac:dyDescent="0.6">
      <c r="A32" s="14"/>
      <c r="B32" s="3"/>
    </row>
    <row r="33" spans="1:12" x14ac:dyDescent="0.6">
      <c r="A33" s="14"/>
      <c r="C33" s="85" t="str">
        <f>'BGS Cost &amp; Bid Factors'!H6</f>
        <v>SC2 Dem</v>
      </c>
      <c r="D33" s="85" t="str">
        <f>+C33</f>
        <v>SC2 Dem</v>
      </c>
      <c r="E33" s="19"/>
      <c r="F33" s="19"/>
      <c r="G33" s="126" t="s">
        <v>132</v>
      </c>
    </row>
    <row r="34" spans="1:12" x14ac:dyDescent="0.6">
      <c r="A34" s="14"/>
      <c r="C34" s="35" t="s">
        <v>170</v>
      </c>
      <c r="D34" s="135" t="s">
        <v>171</v>
      </c>
      <c r="E34" s="19"/>
      <c r="F34" s="19"/>
      <c r="G34" s="204"/>
    </row>
    <row r="35" spans="1:12" x14ac:dyDescent="0.6">
      <c r="A35" s="14"/>
      <c r="B35" s="202" t="s">
        <v>64</v>
      </c>
      <c r="C35" s="117">
        <f>'BGS Cost &amp; Bid Factors'!C348</f>
        <v>1.038</v>
      </c>
      <c r="D35" s="117">
        <f>'BGS Cost &amp; Bid Factors'!D348</f>
        <v>-9.6458135675811008</v>
      </c>
      <c r="F35" s="205"/>
      <c r="G35" s="93" t="s">
        <v>133</v>
      </c>
    </row>
    <row r="36" spans="1:12" x14ac:dyDescent="0.6">
      <c r="A36" s="14"/>
      <c r="B36" s="203"/>
      <c r="C36" s="123"/>
      <c r="D36" s="136"/>
      <c r="E36" s="120"/>
      <c r="F36" s="129"/>
      <c r="G36" s="204"/>
    </row>
    <row r="37" spans="1:12" x14ac:dyDescent="0.6">
      <c r="A37" s="14"/>
      <c r="B37" s="203"/>
      <c r="C37" s="123"/>
      <c r="D37" s="136"/>
      <c r="E37" s="120"/>
      <c r="F37" s="129"/>
      <c r="G37" s="204"/>
      <c r="H37" s="35">
        <f>'BGS Cost &amp; Bid Factors'!G212</f>
        <v>0</v>
      </c>
      <c r="I37" s="35" t="str">
        <f>'BGS Cost &amp; Bid Factors'!H212</f>
        <v>&lt; 5 kW</v>
      </c>
      <c r="J37" s="35" t="str">
        <f>'BGS Cost &amp; Bid Factors'!I212</f>
        <v>&gt; 5 kW</v>
      </c>
      <c r="K37" s="35"/>
    </row>
    <row r="38" spans="1:12" x14ac:dyDescent="0.6">
      <c r="A38" s="14"/>
      <c r="C38" s="123"/>
      <c r="D38" s="136"/>
      <c r="E38" s="118"/>
      <c r="F38" s="129"/>
      <c r="G38" s="204"/>
    </row>
    <row r="39" spans="1:12" x14ac:dyDescent="0.6">
      <c r="A39" s="14"/>
      <c r="B39" s="202" t="s">
        <v>70</v>
      </c>
      <c r="C39" s="117">
        <f>'BGS Cost &amp; Bid Factors'!C352</f>
        <v>1.117</v>
      </c>
      <c r="D39" s="117">
        <f>'BGS Cost &amp; Bid Factors'!D352</f>
        <v>-9.4155503971888095</v>
      </c>
      <c r="E39" s="120"/>
      <c r="F39" s="129"/>
      <c r="G39" s="206" t="s">
        <v>98</v>
      </c>
      <c r="H39" s="86">
        <f>'BGS Cost &amp; Bid Factors'!H352</f>
        <v>0</v>
      </c>
      <c r="I39" s="86">
        <f>'BGS Cost &amp; Bid Factors'!I352</f>
        <v>1.679</v>
      </c>
      <c r="J39" s="86">
        <f>'BGS Cost &amp; Bid Factors'!J352</f>
        <v>1.679</v>
      </c>
    </row>
    <row r="40" spans="1:12" x14ac:dyDescent="0.6">
      <c r="A40" s="14"/>
      <c r="B40" s="203"/>
      <c r="C40" s="123"/>
      <c r="D40" s="207"/>
      <c r="E40" s="120"/>
      <c r="F40" s="129"/>
      <c r="G40" s="206" t="s">
        <v>104</v>
      </c>
      <c r="H40" s="86">
        <f>'BGS Cost &amp; Bid Factors'!H353</f>
        <v>0</v>
      </c>
      <c r="I40" s="86">
        <f>'BGS Cost &amp; Bid Factors'!I353</f>
        <v>1.633</v>
      </c>
      <c r="J40" s="86">
        <f>'BGS Cost &amp; Bid Factors'!J353</f>
        <v>1.633</v>
      </c>
    </row>
    <row r="41" spans="1:12" x14ac:dyDescent="0.6">
      <c r="A41" s="14"/>
      <c r="B41" s="203"/>
      <c r="C41" s="123"/>
      <c r="D41" s="207"/>
      <c r="E41" s="120"/>
      <c r="F41" s="129"/>
      <c r="G41" s="206"/>
      <c r="H41" s="58"/>
      <c r="I41" s="208"/>
    </row>
    <row r="42" spans="1:12" x14ac:dyDescent="0.6">
      <c r="A42" s="14"/>
      <c r="C42" s="125"/>
      <c r="D42" s="207"/>
      <c r="E42" s="119"/>
      <c r="G42" s="131"/>
    </row>
    <row r="43" spans="1:12" x14ac:dyDescent="0.6">
      <c r="A43" s="14"/>
      <c r="B43" t="s">
        <v>151</v>
      </c>
      <c r="C43" s="117">
        <f>'BGS Cost &amp; Bid Factors'!C356</f>
        <v>1.087</v>
      </c>
      <c r="D43" s="207"/>
      <c r="E43" s="119"/>
      <c r="G43" s="206"/>
      <c r="H43" s="58"/>
      <c r="I43" s="208"/>
    </row>
    <row r="44" spans="1:12" x14ac:dyDescent="0.6">
      <c r="A44" s="14"/>
    </row>
    <row r="46" spans="1:12" x14ac:dyDescent="0.6">
      <c r="A46" s="144" t="s">
        <v>352</v>
      </c>
      <c r="B46" s="13" t="s">
        <v>353</v>
      </c>
    </row>
    <row r="48" spans="1:12" x14ac:dyDescent="0.6">
      <c r="B48" s="209" t="s">
        <v>354</v>
      </c>
      <c r="D48" s="210">
        <f>'Weighted Avg Price Calc'!G48*10</f>
        <v>90.13</v>
      </c>
      <c r="E48" s="211" t="s">
        <v>355</v>
      </c>
      <c r="F48" s="211" t="s">
        <v>260</v>
      </c>
      <c r="K48" s="165" t="s">
        <v>233</v>
      </c>
      <c r="L48" s="159">
        <f>'BGS Cost &amp; Bid Factors'!M464</f>
        <v>42.26</v>
      </c>
    </row>
    <row r="49" spans="2:13" x14ac:dyDescent="0.6">
      <c r="B49" s="209" t="s">
        <v>261</v>
      </c>
      <c r="D49" s="169">
        <v>0</v>
      </c>
      <c r="E49" s="211" t="s">
        <v>356</v>
      </c>
      <c r="F49" t="s">
        <v>262</v>
      </c>
      <c r="K49" s="165" t="s">
        <v>235</v>
      </c>
      <c r="L49" s="159">
        <f>'BGS Cost &amp; Bid Factors'!M465</f>
        <v>95.142499999999998</v>
      </c>
    </row>
    <row r="50" spans="2:13" x14ac:dyDescent="0.6">
      <c r="B50" s="209" t="s">
        <v>263</v>
      </c>
      <c r="D50" s="205">
        <f>D48+D49</f>
        <v>90.13</v>
      </c>
      <c r="E50" s="211" t="s">
        <v>117</v>
      </c>
      <c r="K50" s="165" t="s">
        <v>237</v>
      </c>
      <c r="L50">
        <f>ROUND(L48/L49,3)</f>
        <v>0.44400000000000001</v>
      </c>
    </row>
    <row r="51" spans="2:13" x14ac:dyDescent="0.6">
      <c r="L51" s="212"/>
    </row>
    <row r="52" spans="2:13" x14ac:dyDescent="0.6">
      <c r="D52" s="170"/>
      <c r="K52" s="165" t="s">
        <v>241</v>
      </c>
      <c r="L52" s="212">
        <f>'BGS Cost &amp; Bid Factors'!D223-'BGS Cost &amp; Bid Factors'!D318</f>
        <v>15.927399014996539</v>
      </c>
      <c r="M52" t="s">
        <v>242</v>
      </c>
    </row>
    <row r="53" spans="2:13" x14ac:dyDescent="0.6">
      <c r="B53" s="84" t="s">
        <v>265</v>
      </c>
      <c r="K53" s="165" t="s">
        <v>244</v>
      </c>
      <c r="L53" s="212">
        <f>L55</f>
        <v>1.59</v>
      </c>
      <c r="M53" t="s">
        <v>242</v>
      </c>
    </row>
    <row r="54" spans="2:13" x14ac:dyDescent="0.6">
      <c r="K54" s="165" t="s">
        <v>246</v>
      </c>
      <c r="L54" s="213">
        <f>L52-L53</f>
        <v>14.337399014996539</v>
      </c>
      <c r="M54" t="s">
        <v>242</v>
      </c>
    </row>
    <row r="55" spans="2:13" x14ac:dyDescent="0.6">
      <c r="C55" s="35" t="str">
        <f>'BGS Cost &amp; Bid Factors'!C$6</f>
        <v>SC1</v>
      </c>
      <c r="D55" s="35" t="str">
        <f>'BGS Cost &amp; Bid Factors'!D$6</f>
        <v>SC3</v>
      </c>
      <c r="E55" s="35" t="str">
        <f>'BGS Cost &amp; Bid Factors'!E$6</f>
        <v>SC2 ND</v>
      </c>
      <c r="F55" s="35" t="str">
        <f>'BGS Cost &amp; Bid Factors'!F$6</f>
        <v>SC4</v>
      </c>
      <c r="G55" s="35" t="str">
        <f>'BGS Cost &amp; Bid Factors'!G$6</f>
        <v>SC6</v>
      </c>
      <c r="H55" s="35" t="str">
        <f>'BGS Cost &amp; Bid Factors'!H$6</f>
        <v>SC2 Dem</v>
      </c>
      <c r="I55" s="35" t="str">
        <f>'BGS Cost &amp; Bid Factors'!I$24</f>
        <v>SC1 TOD</v>
      </c>
      <c r="L55" s="214">
        <f>ROUND(L50/(4+L50)*L52,2)</f>
        <v>1.59</v>
      </c>
    </row>
    <row r="56" spans="2:13" x14ac:dyDescent="0.6">
      <c r="B56" s="172" t="s">
        <v>69</v>
      </c>
    </row>
    <row r="57" spans="2:13" x14ac:dyDescent="0.6">
      <c r="B57" s="215" t="s">
        <v>266</v>
      </c>
      <c r="C57" s="216">
        <f>ROUND(($D$50*C14)/10,3)</f>
        <v>9.0489999999999995</v>
      </c>
      <c r="D57" s="217"/>
      <c r="E57" s="217">
        <f>ROUND(E14*$D$50/10,3)</f>
        <v>8.7970000000000006</v>
      </c>
      <c r="F57" s="217">
        <f>ROUND(F14*$D$50/10,3)</f>
        <v>8.0850000000000009</v>
      </c>
      <c r="G57" s="217">
        <f>ROUND(G14*$D$50/10,3)</f>
        <v>8.0670000000000002</v>
      </c>
      <c r="H57" s="217">
        <f>ROUND((C35*$D$50+D35)/10,3)</f>
        <v>8.391</v>
      </c>
      <c r="I57" s="217"/>
    </row>
    <row r="58" spans="2:13" x14ac:dyDescent="0.6">
      <c r="B58" s="215" t="s">
        <v>267</v>
      </c>
      <c r="C58" s="217"/>
      <c r="D58" s="217">
        <f>ROUND(D15*$D$50/10,3)</f>
        <v>10.653</v>
      </c>
      <c r="E58" s="217"/>
      <c r="F58" s="217"/>
      <c r="G58" s="217"/>
      <c r="H58" s="217"/>
      <c r="I58" s="217">
        <f>ROUND(H15*$D$50/10,3)</f>
        <v>12.88</v>
      </c>
    </row>
    <row r="59" spans="2:13" x14ac:dyDescent="0.6">
      <c r="B59" s="215" t="s">
        <v>268</v>
      </c>
      <c r="C59" s="217"/>
      <c r="D59" s="217">
        <f>ROUND(D16*$D$50/10,3)</f>
        <v>7.2460000000000004</v>
      </c>
      <c r="E59" s="217"/>
      <c r="F59" s="217"/>
      <c r="G59" s="217"/>
      <c r="H59" s="217"/>
      <c r="I59" s="217">
        <f>ROUND(H16*$D$50/10,3)</f>
        <v>7.3369999999999997</v>
      </c>
    </row>
    <row r="60" spans="2:13" x14ac:dyDescent="0.6">
      <c r="B60" s="37" t="s">
        <v>41</v>
      </c>
      <c r="C60" s="175">
        <f>ROUND(($D$50*C14+C19)/10,3)</f>
        <v>5.5259999999999998</v>
      </c>
      <c r="D60" s="80"/>
      <c r="E60" s="217"/>
      <c r="F60" s="217"/>
      <c r="G60" s="217"/>
      <c r="H60" s="217"/>
      <c r="I60" s="217"/>
    </row>
    <row r="61" spans="2:13" x14ac:dyDescent="0.6">
      <c r="B61" s="39" t="s">
        <v>42</v>
      </c>
      <c r="C61" s="80">
        <f>ROUND(($D$50*C14+C20)/10,3)</f>
        <v>11.702999999999999</v>
      </c>
      <c r="D61" s="80"/>
      <c r="E61" s="217"/>
      <c r="F61" s="217"/>
      <c r="G61" s="217"/>
      <c r="H61" s="217"/>
      <c r="I61" s="217"/>
    </row>
    <row r="62" spans="2:13" x14ac:dyDescent="0.6">
      <c r="B62" s="217"/>
      <c r="C62" s="217"/>
      <c r="D62" s="80"/>
      <c r="E62" s="217"/>
      <c r="F62" s="217"/>
      <c r="G62" s="217"/>
      <c r="H62" s="217"/>
      <c r="I62" s="217"/>
    </row>
    <row r="63" spans="2:13" x14ac:dyDescent="0.6">
      <c r="C63" s="217"/>
      <c r="D63" s="217"/>
      <c r="E63" s="217"/>
      <c r="F63" s="217"/>
      <c r="G63" s="217"/>
      <c r="H63" s="217"/>
      <c r="I63" s="217"/>
    </row>
    <row r="64" spans="2:13" x14ac:dyDescent="0.6">
      <c r="B64" s="218" t="s">
        <v>269</v>
      </c>
      <c r="C64" s="217"/>
      <c r="D64" s="217"/>
      <c r="E64" s="217"/>
      <c r="F64" s="217"/>
      <c r="G64" s="217"/>
      <c r="H64" s="217">
        <f>'BGS Cost &amp; Bid Factors'!H213</f>
        <v>1.679</v>
      </c>
      <c r="I64" s="217"/>
    </row>
    <row r="65" spans="1:12" x14ac:dyDescent="0.6">
      <c r="B65" s="218" t="s">
        <v>357</v>
      </c>
      <c r="C65" s="217"/>
      <c r="D65" s="217"/>
      <c r="E65" s="217"/>
      <c r="F65" s="217"/>
      <c r="G65" s="217"/>
      <c r="H65" s="217">
        <f>'BGS Cost &amp; Bid Factors'!I213</f>
        <v>1.679</v>
      </c>
      <c r="I65" s="217"/>
    </row>
    <row r="66" spans="1:12" x14ac:dyDescent="0.6">
      <c r="C66" s="217"/>
      <c r="D66" s="217"/>
      <c r="E66" s="217"/>
      <c r="F66" s="217"/>
      <c r="G66" s="217"/>
      <c r="H66" s="217"/>
      <c r="I66" s="217"/>
    </row>
    <row r="67" spans="1:12" x14ac:dyDescent="0.6">
      <c r="B67" s="172" t="s">
        <v>62</v>
      </c>
      <c r="C67" s="217"/>
      <c r="D67" s="217"/>
      <c r="E67" s="217"/>
      <c r="F67" s="217"/>
      <c r="G67" s="217"/>
      <c r="H67" s="217"/>
      <c r="I67" s="217"/>
    </row>
    <row r="68" spans="1:12" x14ac:dyDescent="0.6">
      <c r="B68" s="215" t="s">
        <v>266</v>
      </c>
      <c r="C68" s="217">
        <f>ROUND(C23*$D$50/10,3)</f>
        <v>10.194000000000001</v>
      </c>
      <c r="D68" s="217"/>
      <c r="E68" s="217">
        <f>ROUND(E23*$D$50/10,3)</f>
        <v>9.41</v>
      </c>
      <c r="F68" s="217">
        <f>ROUND(F23*$D$50/10,3)</f>
        <v>8.8780000000000001</v>
      </c>
      <c r="G68" s="217">
        <f>ROUND(G23*$D$50/10,3)</f>
        <v>8.8510000000000009</v>
      </c>
      <c r="H68" s="217">
        <f>ROUND((C39*$D$50+D39)/10,3)</f>
        <v>9.1259999999999994</v>
      </c>
      <c r="I68" s="217"/>
    </row>
    <row r="69" spans="1:12" x14ac:dyDescent="0.6">
      <c r="B69" s="215" t="s">
        <v>267</v>
      </c>
      <c r="C69" s="217"/>
      <c r="D69" s="217">
        <f>ROUND(D24*$D$50/10,3)</f>
        <v>10.743</v>
      </c>
      <c r="E69" s="217"/>
      <c r="F69" s="217"/>
      <c r="G69" s="217"/>
      <c r="H69" s="217"/>
      <c r="I69" s="217">
        <f>ROUND(H24*$D$50/10,3)</f>
        <v>15.259</v>
      </c>
    </row>
    <row r="70" spans="1:12" x14ac:dyDescent="0.6">
      <c r="B70" s="215" t="s">
        <v>268</v>
      </c>
      <c r="C70" s="217"/>
      <c r="D70" s="217">
        <f>ROUND(D25*$D$50/10,3)</f>
        <v>8.4719999999999995</v>
      </c>
      <c r="E70" s="217"/>
      <c r="F70" s="217"/>
      <c r="G70" s="217"/>
      <c r="H70" s="217"/>
      <c r="I70" s="217">
        <f>ROUND(H25*$D$50/10,3)</f>
        <v>8.5619999999999994</v>
      </c>
    </row>
    <row r="71" spans="1:12" x14ac:dyDescent="0.6">
      <c r="C71" s="217"/>
      <c r="D71" s="217"/>
      <c r="E71" s="217"/>
      <c r="F71" s="217"/>
      <c r="G71" s="217"/>
      <c r="H71" s="217"/>
      <c r="I71" s="217"/>
    </row>
    <row r="72" spans="1:12" x14ac:dyDescent="0.6">
      <c r="B72" s="218" t="s">
        <v>269</v>
      </c>
      <c r="C72" s="217"/>
      <c r="D72" s="217"/>
      <c r="E72" s="217"/>
      <c r="F72" s="217"/>
      <c r="G72" s="217"/>
      <c r="H72" s="217">
        <f>'BGS Cost &amp; Bid Factors'!H214</f>
        <v>1.633</v>
      </c>
      <c r="I72" s="217"/>
    </row>
    <row r="73" spans="1:12" x14ac:dyDescent="0.6">
      <c r="B73" s="218" t="s">
        <v>270</v>
      </c>
      <c r="C73" s="217"/>
      <c r="D73" s="217"/>
      <c r="E73" s="217"/>
      <c r="F73" s="217"/>
      <c r="G73" s="217"/>
      <c r="H73" s="217">
        <f>'BGS Cost &amp; Bid Factors'!I214</f>
        <v>1.633</v>
      </c>
      <c r="I73" s="217"/>
    </row>
    <row r="74" spans="1:12" x14ac:dyDescent="0.6">
      <c r="B74" s="218"/>
      <c r="C74" s="217"/>
      <c r="D74" s="217"/>
      <c r="E74" s="217"/>
      <c r="F74" s="217"/>
      <c r="G74" s="217"/>
      <c r="H74" s="217"/>
      <c r="I74" s="217"/>
    </row>
    <row r="75" spans="1:12" x14ac:dyDescent="0.6">
      <c r="B75" s="218"/>
      <c r="H75" s="219"/>
      <c r="I75" s="219"/>
    </row>
    <row r="76" spans="1:12" x14ac:dyDescent="0.6">
      <c r="A76" s="144" t="s">
        <v>358</v>
      </c>
      <c r="B76" s="13" t="s">
        <v>359</v>
      </c>
      <c r="H76" s="219"/>
      <c r="I76" s="219"/>
    </row>
    <row r="77" spans="1:12" ht="13.75" thickBot="1" x14ac:dyDescent="0.75">
      <c r="B77" s="218"/>
      <c r="H77" s="219"/>
      <c r="I77" s="219"/>
    </row>
    <row r="78" spans="1:12" x14ac:dyDescent="0.6">
      <c r="C78" s="35" t="str">
        <f>'BGS Cost &amp; Bid Factors'!C$6</f>
        <v>SC1</v>
      </c>
      <c r="D78" s="35" t="str">
        <f>'BGS Cost &amp; Bid Factors'!D$6</f>
        <v>SC3</v>
      </c>
      <c r="E78" s="35" t="str">
        <f>'BGS Cost &amp; Bid Factors'!E$6</f>
        <v>SC2 ND</v>
      </c>
      <c r="F78" s="35" t="str">
        <f>'BGS Cost &amp; Bid Factors'!F$6</f>
        <v>SC4</v>
      </c>
      <c r="G78" s="35" t="str">
        <f>'BGS Cost &amp; Bid Factors'!G$6</f>
        <v>SC6</v>
      </c>
      <c r="H78" s="35" t="str">
        <f>'BGS Cost &amp; Bid Factors'!H$6</f>
        <v>SC2 Dem</v>
      </c>
      <c r="I78" s="35" t="str">
        <f>'BGS Cost &amp; Bid Factors'!I$24</f>
        <v>SC1 TOD</v>
      </c>
      <c r="J78" s="66"/>
      <c r="K78" s="220" t="s">
        <v>154</v>
      </c>
      <c r="L78" s="221"/>
    </row>
    <row r="79" spans="1:12" x14ac:dyDescent="0.6">
      <c r="B79" s="211" t="s">
        <v>288</v>
      </c>
      <c r="E79" s="3"/>
      <c r="F79" s="3"/>
      <c r="G79" s="3"/>
      <c r="H79" s="3"/>
      <c r="I79" s="3"/>
      <c r="J79" s="66"/>
      <c r="K79" s="222"/>
      <c r="L79" s="223" t="s">
        <v>157</v>
      </c>
    </row>
    <row r="80" spans="1:12" x14ac:dyDescent="0.6">
      <c r="B80" s="224" t="s">
        <v>69</v>
      </c>
      <c r="C80" s="225">
        <f>ROUND((C57*'BGS Cost &amp; Bid Factors'!L$48)/100,0)</f>
        <v>27415</v>
      </c>
      <c r="D80" s="226">
        <f>ROUND((D58*'BGS Cost &amp; Bid Factors'!M$49+D59*'BGS Cost &amp; Bid Factors'!M$50)/100,0)</f>
        <v>19</v>
      </c>
      <c r="E80" s="65">
        <f>ROUND((E57*'BGS Cost &amp; Bid Factors'!N$48)/100,0)</f>
        <v>362</v>
      </c>
      <c r="F80" s="65">
        <f>ROUND((F57*'BGS Cost &amp; Bid Factors'!O$48)/100,0)</f>
        <v>145</v>
      </c>
      <c r="G80" s="65">
        <f>ROUND((G57*'BGS Cost &amp; Bid Factors'!P$48)/100,0)</f>
        <v>114</v>
      </c>
      <c r="H80" s="64">
        <f>ROUND(H57*'BGS Cost &amp; Bid Factors'!Q$48/100+(H64*($L$80/4*'BGS Cost &amp; Bid Factors'!H$144)+H65*($L$80/4*'BGS Cost &amp; Bid Factors'!H$144))/1000,0)</f>
        <v>11193</v>
      </c>
      <c r="I80" s="64">
        <f>ROUND((I58*'BGS Cost &amp; Bid Factors'!R$49+I59*'BGS Cost &amp; Bid Factors'!R$50)/100,0)</f>
        <v>27409</v>
      </c>
      <c r="J80" s="66"/>
      <c r="K80" s="222" t="s">
        <v>69</v>
      </c>
      <c r="L80" s="227">
        <v>343655.70257928403</v>
      </c>
    </row>
    <row r="81" spans="2:12" ht="13.75" thickBot="1" x14ac:dyDescent="0.75">
      <c r="B81" s="224" t="s">
        <v>62</v>
      </c>
      <c r="C81" s="179">
        <f>ROUND(C68*'BGS Cost &amp; Bid Factors'!L$44/100,0)</f>
        <v>39088</v>
      </c>
      <c r="D81" s="180">
        <f>ROUND((D69*'BGS Cost &amp; Bid Factors'!M$45+D70*'BGS Cost &amp; Bid Factors'!M$46)/100,0)</f>
        <v>41</v>
      </c>
      <c r="E81" s="179">
        <f>ROUND(E68*'BGS Cost &amp; Bid Factors'!N$44/100,0)</f>
        <v>989</v>
      </c>
      <c r="F81" s="179">
        <f>ROUND(F68*'BGS Cost &amp; Bid Factors'!O$44/100,0)</f>
        <v>406</v>
      </c>
      <c r="G81" s="179">
        <f>ROUND(G68*'BGS Cost &amp; Bid Factors'!P$44/100,0)</f>
        <v>311</v>
      </c>
      <c r="H81" s="180">
        <f>ROUND(H68*'BGS Cost &amp; Bid Factors'!Q$44/100+(H72*($L$81/8*'BGS Cost &amp; Bid Factors'!H$145)++H73*($L$81/8*'BGS Cost &amp; Bid Factors'!H$145))/1000,0)</f>
        <v>19599</v>
      </c>
      <c r="I81" s="180">
        <f>ROUND((I69*'BGS Cost &amp; Bid Factors'!R$45+I70*'BGS Cost &amp; Bid Factors'!R$46)/100,0)</f>
        <v>39072</v>
      </c>
      <c r="J81" s="66"/>
      <c r="K81" s="228" t="s">
        <v>62</v>
      </c>
      <c r="L81" s="229">
        <v>561224.88687915634</v>
      </c>
    </row>
    <row r="82" spans="2:12" x14ac:dyDescent="0.6">
      <c r="B82" s="224" t="s">
        <v>36</v>
      </c>
      <c r="C82" s="230">
        <f t="shared" ref="C82:I82" si="0">+C81+C80</f>
        <v>66503</v>
      </c>
      <c r="D82" s="230">
        <f t="shared" si="0"/>
        <v>60</v>
      </c>
      <c r="E82" s="63">
        <f t="shared" si="0"/>
        <v>1351</v>
      </c>
      <c r="F82" s="63">
        <f t="shared" si="0"/>
        <v>551</v>
      </c>
      <c r="G82" s="63">
        <f t="shared" si="0"/>
        <v>425</v>
      </c>
      <c r="H82" s="63">
        <f t="shared" si="0"/>
        <v>30792</v>
      </c>
      <c r="I82" s="63">
        <f t="shared" si="0"/>
        <v>66481</v>
      </c>
      <c r="J82" s="66"/>
    </row>
    <row r="83" spans="2:12" x14ac:dyDescent="0.6">
      <c r="B83" s="224"/>
      <c r="C83" s="230"/>
      <c r="D83" s="230"/>
      <c r="E83" s="63"/>
      <c r="F83" s="63"/>
      <c r="G83" s="63"/>
      <c r="H83" s="63"/>
      <c r="I83" s="66"/>
      <c r="J83" s="3"/>
    </row>
    <row r="84" spans="2:12" x14ac:dyDescent="0.6">
      <c r="B84" s="224" t="s">
        <v>36</v>
      </c>
      <c r="C84" s="230"/>
      <c r="D84" s="230"/>
      <c r="E84" s="63"/>
      <c r="F84" s="63"/>
      <c r="G84" s="63"/>
      <c r="H84" s="63"/>
      <c r="I84" s="66"/>
      <c r="J84" s="3"/>
    </row>
    <row r="85" spans="2:12" x14ac:dyDescent="0.6">
      <c r="B85" s="224" t="s">
        <v>69</v>
      </c>
      <c r="C85" s="230">
        <f>SUM(C80:H80)</f>
        <v>39248</v>
      </c>
      <c r="D85" s="230"/>
      <c r="E85" s="230"/>
      <c r="G85" s="230"/>
      <c r="H85" s="230"/>
      <c r="I85" s="219"/>
    </row>
    <row r="86" spans="2:12" x14ac:dyDescent="0.6">
      <c r="B86" s="224" t="s">
        <v>62</v>
      </c>
      <c r="C86" s="181">
        <f>SUM(C81:H81)</f>
        <v>60434</v>
      </c>
      <c r="D86" s="119"/>
      <c r="I86" s="219"/>
    </row>
    <row r="87" spans="2:12" x14ac:dyDescent="0.6">
      <c r="B87" s="224" t="s">
        <v>36</v>
      </c>
      <c r="C87" s="230">
        <f>+C86+C85</f>
        <v>99682</v>
      </c>
      <c r="D87" s="119"/>
      <c r="I87" s="219"/>
    </row>
    <row r="88" spans="2:12" x14ac:dyDescent="0.6">
      <c r="B88" s="224"/>
      <c r="C88" s="230"/>
      <c r="E88" s="119"/>
      <c r="J88" s="219"/>
    </row>
    <row r="89" spans="2:12" x14ac:dyDescent="0.6">
      <c r="C89" s="119"/>
      <c r="D89" s="119"/>
      <c r="E89" s="119"/>
      <c r="F89" s="119"/>
      <c r="G89" s="119"/>
      <c r="H89" s="119"/>
      <c r="I89" s="119"/>
      <c r="J89" s="219"/>
    </row>
    <row r="90" spans="2:12" x14ac:dyDescent="0.6">
      <c r="B90" s="172" t="s">
        <v>360</v>
      </c>
      <c r="C90" s="119"/>
      <c r="D90" s="119"/>
      <c r="E90" s="119"/>
      <c r="F90" s="119"/>
      <c r="G90" s="119"/>
      <c r="H90" s="119"/>
      <c r="I90" s="119"/>
      <c r="J90" s="219"/>
    </row>
    <row r="91" spans="2:12" x14ac:dyDescent="0.6">
      <c r="C91" s="119"/>
      <c r="D91" s="119"/>
      <c r="E91" s="119"/>
      <c r="F91" s="119"/>
      <c r="G91" s="119"/>
      <c r="H91" s="119"/>
      <c r="I91" s="119"/>
      <c r="J91" s="219"/>
    </row>
    <row r="92" spans="2:12" ht="15.25" x14ac:dyDescent="1.05">
      <c r="B92" t="s">
        <v>361</v>
      </c>
      <c r="C92" s="231" t="s">
        <v>36</v>
      </c>
      <c r="D92" s="231" t="s">
        <v>341</v>
      </c>
      <c r="E92" s="231" t="s">
        <v>362</v>
      </c>
      <c r="F92" s="119"/>
      <c r="G92" s="232"/>
      <c r="H92" s="119"/>
      <c r="I92" s="119"/>
      <c r="J92" s="219"/>
    </row>
    <row r="93" spans="2:12" x14ac:dyDescent="0.6">
      <c r="B93" s="224" t="s">
        <v>69</v>
      </c>
      <c r="C93" s="230">
        <f>'Weighted Avg Price Calc'!G$29/1000</f>
        <v>37910.993000000002</v>
      </c>
      <c r="D93" s="233"/>
      <c r="E93" s="230">
        <f>C93-D93</f>
        <v>37910.993000000002</v>
      </c>
      <c r="F93" s="119"/>
      <c r="G93" s="232">
        <f>ROUND('BGS Cost &amp; Bid Factors'!$C$147*SUM('BGS Cost &amp; Bid Factors'!$C$141:$H$141)/12*'BGS Cost &amp; Bid Factors'!H$144/1000*'BGS Cost &amp; Bid Factors'!D447,0)</f>
        <v>5621</v>
      </c>
      <c r="H93" s="119"/>
      <c r="I93" s="119"/>
      <c r="J93" s="219"/>
    </row>
    <row r="94" spans="2:12" ht="15.25" x14ac:dyDescent="1.05">
      <c r="B94" s="224" t="s">
        <v>62</v>
      </c>
      <c r="C94" s="234">
        <f>'Weighted Avg Price Calc'!G$30/1000</f>
        <v>52629.527000000002</v>
      </c>
      <c r="D94" s="234"/>
      <c r="E94" s="234">
        <f>C94-D94</f>
        <v>52629.527000000002</v>
      </c>
      <c r="F94" s="119"/>
      <c r="G94" s="232">
        <f>ROUND('BGS Cost &amp; Bid Factors'!$C$147*SUM('BGS Cost &amp; Bid Factors'!$C$141:$H$141)/12*'BGS Cost &amp; Bid Factors'!H$145/1000*'BGS Cost &amp; Bid Factors'!F459,0)</f>
        <v>11243</v>
      </c>
      <c r="H94" s="119"/>
      <c r="I94" s="119"/>
      <c r="J94" s="219"/>
    </row>
    <row r="95" spans="2:12" x14ac:dyDescent="0.6">
      <c r="B95" s="224" t="s">
        <v>36</v>
      </c>
      <c r="C95" s="63">
        <f>+C94+C93</f>
        <v>90540.52</v>
      </c>
      <c r="D95" s="230">
        <f>D93+D94</f>
        <v>0</v>
      </c>
      <c r="E95" s="230">
        <f>E93+E94</f>
        <v>90540.52</v>
      </c>
      <c r="F95" s="119"/>
      <c r="G95" s="232"/>
      <c r="H95" s="119"/>
      <c r="I95" s="119"/>
      <c r="J95" s="219"/>
    </row>
    <row r="96" spans="2:12" x14ac:dyDescent="0.6">
      <c r="C96" s="119"/>
      <c r="D96" s="119"/>
      <c r="E96" s="119"/>
      <c r="F96" s="119"/>
      <c r="G96" s="235"/>
      <c r="H96" s="119"/>
      <c r="I96" s="119"/>
      <c r="J96" s="219"/>
    </row>
    <row r="97" spans="2:10" ht="15.25" x14ac:dyDescent="1.05">
      <c r="B97" t="s">
        <v>363</v>
      </c>
      <c r="C97" s="231" t="s">
        <v>36</v>
      </c>
      <c r="D97" s="231" t="s">
        <v>341</v>
      </c>
      <c r="E97" s="231" t="s">
        <v>362</v>
      </c>
      <c r="F97" s="119"/>
      <c r="G97" s="119"/>
      <c r="H97" s="119"/>
      <c r="I97" s="119"/>
      <c r="J97" s="219"/>
    </row>
    <row r="98" spans="2:10" x14ac:dyDescent="0.6">
      <c r="B98" s="224" t="s">
        <v>69</v>
      </c>
      <c r="C98" s="230">
        <f>ROUND($E$251*1000*'Weighted Avg Price Calc'!E42/100/1000,0)</f>
        <v>3857</v>
      </c>
      <c r="D98" s="230">
        <v>0</v>
      </c>
      <c r="E98" s="230">
        <f>C98-D98</f>
        <v>3857</v>
      </c>
      <c r="F98" s="119"/>
      <c r="G98" s="119"/>
      <c r="H98" s="119"/>
      <c r="I98" s="119"/>
      <c r="J98" s="219"/>
    </row>
    <row r="99" spans="2:10" ht="15.25" x14ac:dyDescent="1.05">
      <c r="B99" s="224" t="s">
        <v>62</v>
      </c>
      <c r="C99" s="234">
        <f>ROUND($E$252*1000*'Weighted Avg Price Calc'!E42/100/1000,0)</f>
        <v>5304</v>
      </c>
      <c r="D99" s="234">
        <v>0</v>
      </c>
      <c r="E99" s="234">
        <f>C99-D99</f>
        <v>5304</v>
      </c>
      <c r="F99" s="119"/>
      <c r="G99" s="119"/>
      <c r="H99" s="119"/>
      <c r="I99" s="119"/>
      <c r="J99" s="219"/>
    </row>
    <row r="100" spans="2:10" x14ac:dyDescent="0.6">
      <c r="B100" s="224" t="s">
        <v>36</v>
      </c>
      <c r="C100" s="63">
        <f>+C99+C98</f>
        <v>9161</v>
      </c>
      <c r="D100" s="230">
        <f>D98+D99</f>
        <v>0</v>
      </c>
      <c r="E100" s="230">
        <f>E98+E99</f>
        <v>9161</v>
      </c>
      <c r="F100" s="119"/>
      <c r="G100" s="119"/>
      <c r="H100" s="119"/>
      <c r="I100" s="119"/>
      <c r="J100" s="219"/>
    </row>
    <row r="101" spans="2:10" x14ac:dyDescent="0.6">
      <c r="C101" s="119"/>
      <c r="D101" s="119"/>
      <c r="E101" s="119"/>
      <c r="F101" s="119"/>
      <c r="G101" s="119"/>
      <c r="H101" s="119"/>
      <c r="I101" s="119"/>
      <c r="J101" s="219"/>
    </row>
    <row r="102" spans="2:10" ht="15.25" x14ac:dyDescent="1.05">
      <c r="B102" t="s">
        <v>364</v>
      </c>
      <c r="C102" s="231" t="s">
        <v>36</v>
      </c>
      <c r="D102" s="231" t="s">
        <v>341</v>
      </c>
      <c r="E102" s="231" t="s">
        <v>362</v>
      </c>
      <c r="F102" s="119"/>
      <c r="G102" s="119"/>
      <c r="H102" s="119"/>
      <c r="I102" s="119"/>
      <c r="J102" s="219"/>
    </row>
    <row r="103" spans="2:10" x14ac:dyDescent="0.6">
      <c r="B103" s="224" t="s">
        <v>69</v>
      </c>
      <c r="C103" s="230">
        <f>C93+C98</f>
        <v>41767.993000000002</v>
      </c>
      <c r="D103" s="230">
        <f>D93+D98</f>
        <v>0</v>
      </c>
      <c r="E103" s="230">
        <f>C103-D103</f>
        <v>41767.993000000002</v>
      </c>
      <c r="J103" s="219"/>
    </row>
    <row r="104" spans="2:10" ht="15.25" x14ac:dyDescent="1.05">
      <c r="B104" s="224" t="s">
        <v>62</v>
      </c>
      <c r="C104" s="234">
        <f>C94+C99</f>
        <v>57933.527000000002</v>
      </c>
      <c r="D104" s="234">
        <f>D94+D99</f>
        <v>0</v>
      </c>
      <c r="E104" s="234">
        <f>C104-D104</f>
        <v>57933.527000000002</v>
      </c>
      <c r="J104" s="219"/>
    </row>
    <row r="105" spans="2:10" x14ac:dyDescent="0.6">
      <c r="B105" s="224" t="s">
        <v>36</v>
      </c>
      <c r="C105" s="63">
        <f>+C104+C103</f>
        <v>99701.52</v>
      </c>
      <c r="D105" s="63">
        <f>+D104+D103</f>
        <v>0</v>
      </c>
      <c r="E105" s="230">
        <f>E103+E104</f>
        <v>99701.52</v>
      </c>
      <c r="J105" s="219"/>
    </row>
    <row r="106" spans="2:10" x14ac:dyDescent="0.6">
      <c r="C106" s="119"/>
      <c r="D106" s="183"/>
      <c r="E106" s="119"/>
      <c r="F106" s="170"/>
      <c r="G106" s="218" t="s">
        <v>365</v>
      </c>
      <c r="J106" s="219"/>
    </row>
    <row r="107" spans="2:10" x14ac:dyDescent="0.6">
      <c r="B107" t="s">
        <v>292</v>
      </c>
      <c r="C107" s="218" t="s">
        <v>336</v>
      </c>
      <c r="D107" s="218" t="s">
        <v>336</v>
      </c>
      <c r="E107" s="218"/>
      <c r="G107" s="218" t="s">
        <v>366</v>
      </c>
      <c r="J107" s="219"/>
    </row>
    <row r="108" spans="2:10" x14ac:dyDescent="0.6">
      <c r="B108" s="218"/>
      <c r="C108" s="152" t="s">
        <v>367</v>
      </c>
      <c r="D108" s="152" t="s">
        <v>368</v>
      </c>
      <c r="E108" s="152" t="s">
        <v>369</v>
      </c>
      <c r="G108" s="152" t="s">
        <v>370</v>
      </c>
      <c r="I108" s="219"/>
      <c r="J108" s="219"/>
    </row>
    <row r="109" spans="2:10" x14ac:dyDescent="0.6">
      <c r="B109" s="224" t="s">
        <v>69</v>
      </c>
      <c r="C109" s="230">
        <f>C85</f>
        <v>39248</v>
      </c>
      <c r="D109" s="230">
        <f>E103</f>
        <v>41767.993000000002</v>
      </c>
      <c r="E109" s="230">
        <f>D109-C109</f>
        <v>2519.9930000000022</v>
      </c>
      <c r="G109" s="33">
        <f>ROUND(1+E109/C85,5)</f>
        <v>1.0642100000000001</v>
      </c>
      <c r="I109" s="219"/>
      <c r="J109" s="219"/>
    </row>
    <row r="110" spans="2:10" x14ac:dyDescent="0.6">
      <c r="B110" s="224" t="s">
        <v>62</v>
      </c>
      <c r="C110" s="181">
        <f>C86</f>
        <v>60434</v>
      </c>
      <c r="D110" s="181">
        <f>E104</f>
        <v>57933.527000000002</v>
      </c>
      <c r="E110" s="181">
        <f>D110-C110</f>
        <v>-2500.4729999999981</v>
      </c>
      <c r="G110" s="33">
        <f>ROUND(1+E110/C86,5)</f>
        <v>0.95862000000000003</v>
      </c>
      <c r="I110" s="219"/>
      <c r="J110" s="219"/>
    </row>
    <row r="111" spans="2:10" x14ac:dyDescent="0.6">
      <c r="B111" s="224" t="s">
        <v>36</v>
      </c>
      <c r="C111" s="230">
        <f>+C110+C109</f>
        <v>99682</v>
      </c>
      <c r="D111" s="230">
        <f>+D110+D109</f>
        <v>99701.52</v>
      </c>
      <c r="E111" s="230">
        <f>+E110+E109</f>
        <v>19.520000000004075</v>
      </c>
      <c r="I111" s="219"/>
      <c r="J111" s="219"/>
    </row>
    <row r="112" spans="2:10" x14ac:dyDescent="0.6">
      <c r="B112" s="218"/>
      <c r="I112" s="219"/>
      <c r="J112" s="219"/>
    </row>
    <row r="113" spans="1:36" x14ac:dyDescent="0.6">
      <c r="A113" s="144" t="s">
        <v>371</v>
      </c>
      <c r="B113" s="13" t="s">
        <v>372</v>
      </c>
    </row>
    <row r="114" spans="1:36" x14ac:dyDescent="0.6">
      <c r="A114" s="144"/>
      <c r="B114" s="13"/>
    </row>
    <row r="115" spans="1:36" x14ac:dyDescent="0.6">
      <c r="A115" s="144"/>
      <c r="B115" s="13"/>
    </row>
    <row r="116" spans="1:36" x14ac:dyDescent="0.6">
      <c r="B116" s="57" t="s">
        <v>373</v>
      </c>
      <c r="K116" s="57" t="s">
        <v>374</v>
      </c>
      <c r="T116" s="57" t="s">
        <v>369</v>
      </c>
      <c r="AC116" s="57" t="s">
        <v>369</v>
      </c>
    </row>
    <row r="117" spans="1:36" x14ac:dyDescent="0.6">
      <c r="B117" s="33"/>
      <c r="K117" s="33"/>
      <c r="T117" s="33"/>
      <c r="AC117" s="33"/>
    </row>
    <row r="118" spans="1:36" x14ac:dyDescent="0.6">
      <c r="C118" s="35" t="str">
        <f>'BGS Cost &amp; Bid Factors'!C$6</f>
        <v>SC1</v>
      </c>
      <c r="D118" s="35" t="str">
        <f>'BGS Cost &amp; Bid Factors'!D$6</f>
        <v>SC3</v>
      </c>
      <c r="E118" s="35" t="str">
        <f>'BGS Cost &amp; Bid Factors'!E$6</f>
        <v>SC2 ND</v>
      </c>
      <c r="F118" s="35" t="str">
        <f>'BGS Cost &amp; Bid Factors'!F$6</f>
        <v>SC4</v>
      </c>
      <c r="G118" s="35" t="str">
        <f>'BGS Cost &amp; Bid Factors'!G$6</f>
        <v>SC6</v>
      </c>
      <c r="H118" s="35" t="str">
        <f>'BGS Cost &amp; Bid Factors'!H$6</f>
        <v>SC2 Dem</v>
      </c>
      <c r="I118" s="35" t="str">
        <f>'BGS Cost &amp; Bid Factors'!I$24</f>
        <v>SC1 TOD</v>
      </c>
      <c r="J118" s="19"/>
      <c r="L118" s="35" t="s">
        <v>7</v>
      </c>
      <c r="M118" s="35" t="s">
        <v>8</v>
      </c>
      <c r="N118" s="35" t="s">
        <v>9</v>
      </c>
      <c r="O118" s="35" t="s">
        <v>10</v>
      </c>
      <c r="P118" s="35" t="s">
        <v>11</v>
      </c>
      <c r="Q118" s="35" t="s">
        <v>12</v>
      </c>
      <c r="T118" s="35" t="s">
        <v>7</v>
      </c>
      <c r="U118" s="35" t="s">
        <v>8</v>
      </c>
      <c r="V118" s="35" t="s">
        <v>9</v>
      </c>
      <c r="W118" s="35" t="s">
        <v>10</v>
      </c>
      <c r="X118" s="35" t="s">
        <v>11</v>
      </c>
      <c r="Y118" s="35" t="s">
        <v>12</v>
      </c>
      <c r="AB118" s="35" t="s">
        <v>7</v>
      </c>
      <c r="AC118" s="35"/>
      <c r="AD118" s="35" t="s">
        <v>8</v>
      </c>
      <c r="AE118" s="35" t="s">
        <v>9</v>
      </c>
      <c r="AF118" s="35" t="s">
        <v>10</v>
      </c>
      <c r="AG118" s="35" t="s">
        <v>11</v>
      </c>
      <c r="AH118" s="35" t="s">
        <v>12</v>
      </c>
      <c r="AI118" s="35"/>
      <c r="AJ118" s="35"/>
    </row>
    <row r="119" spans="1:36" x14ac:dyDescent="0.6">
      <c r="C119" s="19"/>
      <c r="D119" s="19"/>
      <c r="E119" s="19"/>
      <c r="F119" s="19"/>
      <c r="G119" s="19"/>
      <c r="H119" s="19"/>
      <c r="I119" s="19"/>
      <c r="J119" s="19"/>
      <c r="L119" s="19"/>
      <c r="M119" s="19"/>
      <c r="N119" s="19"/>
      <c r="O119" s="19"/>
      <c r="P119" s="19"/>
      <c r="Q119" s="19"/>
      <c r="T119" s="19"/>
      <c r="U119" s="19"/>
      <c r="V119" s="19"/>
      <c r="W119" s="19"/>
      <c r="X119" s="19"/>
      <c r="Y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:36" x14ac:dyDescent="0.6">
      <c r="B120" s="172" t="s">
        <v>69</v>
      </c>
      <c r="K120" s="172" t="s">
        <v>69</v>
      </c>
      <c r="S120" s="172" t="s">
        <v>69</v>
      </c>
      <c r="AA120" s="172" t="s">
        <v>69</v>
      </c>
    </row>
    <row r="121" spans="1:36" x14ac:dyDescent="0.6">
      <c r="B121" s="215" t="s">
        <v>266</v>
      </c>
      <c r="C121" s="236">
        <f>ROUND(C57*$G$109,3)</f>
        <v>9.6300000000000008</v>
      </c>
      <c r="D121" s="237"/>
      <c r="E121" s="236">
        <f>ROUND(E57*$G$109,3)</f>
        <v>9.3620000000000001</v>
      </c>
      <c r="F121" s="236">
        <f>ROUND(F57*$G$109,3)</f>
        <v>8.6039999999999992</v>
      </c>
      <c r="G121" s="236">
        <f>ROUND(G57*$G$109,3)</f>
        <v>8.5850000000000009</v>
      </c>
      <c r="H121" s="236">
        <f>ROUND(H57*$G$109,3)</f>
        <v>8.93</v>
      </c>
      <c r="I121" s="236"/>
      <c r="J121" s="217"/>
      <c r="K121" s="211" t="s">
        <v>266</v>
      </c>
      <c r="L121" s="236">
        <v>9.5500000000000007</v>
      </c>
      <c r="M121" s="237"/>
      <c r="N121" s="236">
        <v>9.7089999999999996</v>
      </c>
      <c r="O121" s="236">
        <v>5.8860000000000001</v>
      </c>
      <c r="P121" s="236">
        <v>5.8860000000000001</v>
      </c>
      <c r="Q121" s="236">
        <v>7.4980000000000002</v>
      </c>
      <c r="S121" s="211" t="s">
        <v>266</v>
      </c>
      <c r="T121" s="236">
        <f>C121-L121</f>
        <v>8.0000000000000071E-2</v>
      </c>
      <c r="U121" s="237"/>
      <c r="V121" s="236">
        <f>E121-N121</f>
        <v>-0.34699999999999953</v>
      </c>
      <c r="W121" s="236">
        <f>F121-O121</f>
        <v>2.7179999999999991</v>
      </c>
      <c r="X121" s="236">
        <f>G121-P121</f>
        <v>2.6990000000000007</v>
      </c>
      <c r="Y121" s="236">
        <f>H121-Q121</f>
        <v>1.4319999999999995</v>
      </c>
      <c r="AA121" s="211" t="s">
        <v>266</v>
      </c>
      <c r="AB121" s="238">
        <f>T121/L121</f>
        <v>8.3769633507853464E-3</v>
      </c>
      <c r="AC121" s="237"/>
      <c r="AD121" s="238">
        <f>V121/N121</f>
        <v>-3.5740035019054442E-2</v>
      </c>
      <c r="AE121" s="238">
        <f>W121/O121</f>
        <v>0.46177370030581022</v>
      </c>
      <c r="AF121" s="238">
        <f>X121/P121</f>
        <v>0.45854570166496783</v>
      </c>
      <c r="AG121" s="238">
        <f>Y121/Q121</f>
        <v>0.19098426246999192</v>
      </c>
      <c r="AH121" s="238"/>
      <c r="AI121" s="238"/>
      <c r="AJ121" s="238"/>
    </row>
    <row r="122" spans="1:36" x14ac:dyDescent="0.6">
      <c r="B122" s="215" t="s">
        <v>267</v>
      </c>
      <c r="C122" s="237"/>
      <c r="D122" s="236">
        <f>ROUND(D58*$G$109,3)</f>
        <v>11.337</v>
      </c>
      <c r="E122" s="237"/>
      <c r="F122" s="237"/>
      <c r="G122" s="237"/>
      <c r="H122" s="237"/>
      <c r="I122" s="236">
        <f>ROUND(I58*$G$109,3)</f>
        <v>13.707000000000001</v>
      </c>
      <c r="J122" s="217"/>
      <c r="K122" s="211" t="s">
        <v>267</v>
      </c>
      <c r="L122" s="237"/>
      <c r="M122" s="236">
        <v>14.58</v>
      </c>
      <c r="N122" s="237"/>
      <c r="O122" s="237"/>
      <c r="P122" s="237"/>
      <c r="Q122" s="237"/>
      <c r="S122" s="211" t="s">
        <v>267</v>
      </c>
      <c r="T122" s="237"/>
      <c r="U122" s="236">
        <f>D122-M122</f>
        <v>-3.2430000000000003</v>
      </c>
      <c r="V122" s="237"/>
      <c r="W122" s="237"/>
      <c r="X122" s="237"/>
      <c r="Y122" s="237"/>
      <c r="AA122" s="211" t="s">
        <v>267</v>
      </c>
      <c r="AB122" s="237"/>
      <c r="AC122" s="238">
        <f>U122/M122</f>
        <v>-0.22242798353909468</v>
      </c>
      <c r="AD122" s="237"/>
      <c r="AE122" s="237"/>
      <c r="AF122" s="237"/>
      <c r="AG122" s="237"/>
      <c r="AH122" s="237"/>
      <c r="AI122" s="237"/>
      <c r="AJ122" s="237"/>
    </row>
    <row r="123" spans="1:36" x14ac:dyDescent="0.6">
      <c r="B123" s="215" t="s">
        <v>268</v>
      </c>
      <c r="C123" s="237"/>
      <c r="D123" s="236">
        <f>ROUND(D59*$G$109,3)</f>
        <v>7.7110000000000003</v>
      </c>
      <c r="E123" s="237"/>
      <c r="F123" s="237"/>
      <c r="G123" s="237"/>
      <c r="H123" s="237"/>
      <c r="I123" s="236">
        <f>ROUND(I59*$G$109,3)</f>
        <v>7.8079999999999998</v>
      </c>
      <c r="J123" s="217"/>
      <c r="K123" s="211" t="s">
        <v>268</v>
      </c>
      <c r="L123" s="237"/>
      <c r="M123" s="236">
        <v>5.7709999999999999</v>
      </c>
      <c r="N123" s="237"/>
      <c r="O123" s="237"/>
      <c r="P123" s="237"/>
      <c r="Q123" s="237"/>
      <c r="S123" s="211" t="s">
        <v>268</v>
      </c>
      <c r="T123" s="237"/>
      <c r="U123" s="236">
        <f>D123-M123</f>
        <v>1.9400000000000004</v>
      </c>
      <c r="V123" s="237"/>
      <c r="W123" s="237"/>
      <c r="X123" s="237"/>
      <c r="Y123" s="237"/>
      <c r="AA123" s="211" t="s">
        <v>268</v>
      </c>
      <c r="AB123" s="237"/>
      <c r="AC123" s="238">
        <f>U123/M123</f>
        <v>0.33616357650320577</v>
      </c>
      <c r="AD123" s="237"/>
      <c r="AE123" s="237"/>
      <c r="AF123" s="237"/>
      <c r="AG123" s="237"/>
      <c r="AH123" s="237"/>
      <c r="AI123" s="237"/>
      <c r="AJ123" s="237"/>
    </row>
    <row r="124" spans="1:36" x14ac:dyDescent="0.6">
      <c r="B124" s="37" t="s">
        <v>41</v>
      </c>
      <c r="C124" s="236">
        <f>ROUND(C60*$G$109,3)</f>
        <v>5.8810000000000002</v>
      </c>
      <c r="D124" s="174"/>
      <c r="E124" s="237"/>
      <c r="F124" s="237"/>
      <c r="G124" s="237"/>
      <c r="H124" s="237"/>
      <c r="I124" s="237"/>
      <c r="J124" s="217"/>
      <c r="K124" s="1" t="s">
        <v>41</v>
      </c>
      <c r="L124" s="236">
        <v>8.4120000000000008</v>
      </c>
      <c r="M124" s="174"/>
      <c r="N124" s="237"/>
      <c r="O124" s="237"/>
      <c r="P124" s="237"/>
      <c r="Q124" s="237"/>
      <c r="S124" s="1" t="s">
        <v>41</v>
      </c>
      <c r="T124" s="236">
        <f>C124-L124</f>
        <v>-2.5310000000000006</v>
      </c>
      <c r="U124" s="174"/>
      <c r="V124" s="237"/>
      <c r="W124" s="237"/>
      <c r="X124" s="237"/>
      <c r="Y124" s="237"/>
      <c r="AA124" s="1" t="s">
        <v>41</v>
      </c>
      <c r="AB124" s="238">
        <f>T124/L124</f>
        <v>-0.30087969567284834</v>
      </c>
      <c r="AC124" s="174"/>
      <c r="AD124" s="237"/>
      <c r="AE124" s="237"/>
      <c r="AF124" s="237"/>
      <c r="AG124" s="237"/>
      <c r="AH124" s="237"/>
      <c r="AI124" s="237"/>
      <c r="AJ124" s="237"/>
    </row>
    <row r="125" spans="1:36" x14ac:dyDescent="0.6">
      <c r="B125" s="39" t="s">
        <v>42</v>
      </c>
      <c r="C125" s="236">
        <f>ROUND(C61*$G$109,3)</f>
        <v>12.454000000000001</v>
      </c>
      <c r="D125" s="174"/>
      <c r="E125" s="237"/>
      <c r="F125" s="237"/>
      <c r="G125" s="237"/>
      <c r="H125" s="237"/>
      <c r="I125" s="237"/>
      <c r="J125" s="217"/>
      <c r="K125" s="77" t="s">
        <v>42</v>
      </c>
      <c r="L125" s="236">
        <v>9.8390000000000004</v>
      </c>
      <c r="M125" s="174"/>
      <c r="N125" s="237"/>
      <c r="O125" s="237"/>
      <c r="P125" s="237"/>
      <c r="Q125" s="237"/>
      <c r="S125" s="77" t="s">
        <v>42</v>
      </c>
      <c r="T125" s="236">
        <f>C125-L125</f>
        <v>2.6150000000000002</v>
      </c>
      <c r="U125" s="174"/>
      <c r="V125" s="237"/>
      <c r="W125" s="237"/>
      <c r="X125" s="237"/>
      <c r="Y125" s="237"/>
      <c r="AA125" s="77" t="s">
        <v>42</v>
      </c>
      <c r="AB125" s="238">
        <f>T125/L125</f>
        <v>0.26577904258562862</v>
      </c>
      <c r="AC125" s="174"/>
      <c r="AD125" s="237"/>
      <c r="AE125" s="237"/>
      <c r="AF125" s="237"/>
      <c r="AG125" s="237"/>
      <c r="AH125" s="237"/>
      <c r="AI125" s="237"/>
      <c r="AJ125" s="237"/>
    </row>
    <row r="126" spans="1:36" x14ac:dyDescent="0.6">
      <c r="B126" s="237"/>
      <c r="C126" s="237"/>
      <c r="D126" s="174"/>
      <c r="E126" s="237"/>
      <c r="F126" s="237"/>
      <c r="G126" s="237"/>
      <c r="H126" s="237"/>
      <c r="I126" s="237"/>
      <c r="J126" s="217"/>
      <c r="K126" s="77" t="s">
        <v>43</v>
      </c>
      <c r="L126" s="239" t="s">
        <v>375</v>
      </c>
      <c r="M126" s="174"/>
      <c r="N126" s="237"/>
      <c r="O126" s="237"/>
      <c r="P126" s="237"/>
      <c r="Q126" s="237"/>
      <c r="S126" s="77" t="s">
        <v>43</v>
      </c>
      <c r="T126" s="239" t="s">
        <v>375</v>
      </c>
      <c r="U126" s="174"/>
      <c r="V126" s="237"/>
      <c r="W126" s="237"/>
      <c r="X126" s="237"/>
      <c r="Y126" s="237"/>
      <c r="AA126" s="77" t="s">
        <v>43</v>
      </c>
      <c r="AB126" s="239" t="s">
        <v>375</v>
      </c>
      <c r="AC126" s="174"/>
      <c r="AD126" s="237"/>
      <c r="AE126" s="237"/>
      <c r="AF126" s="237"/>
      <c r="AG126" s="237"/>
      <c r="AH126" s="237"/>
      <c r="AI126" s="237"/>
      <c r="AJ126" s="237"/>
    </row>
    <row r="127" spans="1:36" x14ac:dyDescent="0.6">
      <c r="C127" s="237"/>
      <c r="D127" s="237"/>
      <c r="E127" s="237"/>
      <c r="F127" s="237"/>
      <c r="G127" s="237"/>
      <c r="H127" s="237"/>
      <c r="I127" s="237"/>
      <c r="L127" s="237"/>
      <c r="M127" s="237"/>
      <c r="N127" s="237"/>
      <c r="O127" s="237"/>
      <c r="P127" s="237"/>
      <c r="Q127" s="237"/>
      <c r="T127" s="237"/>
      <c r="U127" s="237"/>
      <c r="V127" s="237"/>
      <c r="W127" s="237"/>
      <c r="X127" s="237"/>
      <c r="Y127" s="237"/>
      <c r="AA127" s="209"/>
      <c r="AB127" s="237"/>
      <c r="AC127" s="237"/>
      <c r="AD127" s="237"/>
      <c r="AE127" s="237"/>
      <c r="AF127" s="237"/>
      <c r="AG127" s="237"/>
      <c r="AH127" s="237"/>
      <c r="AI127" s="237"/>
      <c r="AJ127" s="237"/>
    </row>
    <row r="128" spans="1:36" x14ac:dyDescent="0.6">
      <c r="B128" s="218" t="s">
        <v>269</v>
      </c>
      <c r="C128" s="237"/>
      <c r="D128" s="237"/>
      <c r="E128" s="237"/>
      <c r="F128" s="237"/>
      <c r="G128" s="237"/>
      <c r="H128" s="236">
        <f>ROUND(H64*$G$109,3)</f>
        <v>1.7869999999999999</v>
      </c>
      <c r="I128" s="236"/>
      <c r="J128" s="219"/>
      <c r="K128" s="209" t="s">
        <v>280</v>
      </c>
      <c r="L128" s="237"/>
      <c r="M128" s="237"/>
      <c r="N128" s="237"/>
      <c r="O128" s="237"/>
      <c r="P128" s="237"/>
      <c r="Q128" s="236">
        <v>5.4420000000000002</v>
      </c>
      <c r="S128" s="209" t="s">
        <v>280</v>
      </c>
      <c r="T128" s="237"/>
      <c r="U128" s="237"/>
      <c r="V128" s="237"/>
      <c r="W128" s="237"/>
      <c r="X128" s="237"/>
      <c r="Y128" s="236">
        <f>H128-Q128</f>
        <v>-3.6550000000000002</v>
      </c>
      <c r="AA128" s="209" t="s">
        <v>280</v>
      </c>
      <c r="AB128" s="237"/>
      <c r="AC128" s="237"/>
      <c r="AD128" s="237"/>
      <c r="AE128" s="237"/>
      <c r="AF128" s="237"/>
      <c r="AG128" s="238">
        <f>Y128/Q128</f>
        <v>-0.67162807791253221</v>
      </c>
      <c r="AH128" s="238"/>
      <c r="AI128" s="238"/>
      <c r="AJ128" s="238"/>
    </row>
    <row r="129" spans="2:36" x14ac:dyDescent="0.6">
      <c r="B129" s="218" t="s">
        <v>270</v>
      </c>
      <c r="C129" s="237"/>
      <c r="D129" s="237"/>
      <c r="E129" s="237"/>
      <c r="F129" s="237"/>
      <c r="G129" s="237"/>
      <c r="H129" s="236">
        <f>ROUND(H65*$G$109,3)</f>
        <v>1.7869999999999999</v>
      </c>
      <c r="I129" s="236"/>
      <c r="J129" s="219"/>
      <c r="L129" s="237"/>
      <c r="M129" s="237"/>
      <c r="N129" s="237"/>
      <c r="O129" s="237"/>
      <c r="P129" s="237"/>
      <c r="Q129" s="237"/>
      <c r="T129" s="237"/>
      <c r="U129" s="237"/>
      <c r="V129" s="237"/>
      <c r="W129" s="237"/>
      <c r="X129" s="237"/>
      <c r="Y129" s="237"/>
      <c r="AA129" s="209"/>
      <c r="AB129" s="237"/>
      <c r="AC129" s="237"/>
      <c r="AD129" s="237"/>
      <c r="AE129" s="237"/>
      <c r="AF129" s="237"/>
      <c r="AG129" s="237"/>
      <c r="AH129" s="237"/>
      <c r="AI129" s="237"/>
      <c r="AJ129" s="237"/>
    </row>
    <row r="130" spans="2:36" x14ac:dyDescent="0.6">
      <c r="C130" s="237"/>
      <c r="D130" s="237"/>
      <c r="E130" s="237"/>
      <c r="F130" s="237"/>
      <c r="G130" s="237"/>
      <c r="H130" s="237"/>
      <c r="I130" s="237"/>
      <c r="K130" s="172" t="s">
        <v>62</v>
      </c>
      <c r="L130" s="237"/>
      <c r="M130" s="237"/>
      <c r="N130" s="237"/>
      <c r="O130" s="237"/>
      <c r="P130" s="237"/>
      <c r="Q130" s="237"/>
      <c r="S130" s="172" t="s">
        <v>62</v>
      </c>
      <c r="T130" s="237"/>
      <c r="U130" s="237"/>
      <c r="V130" s="237"/>
      <c r="W130" s="237"/>
      <c r="X130" s="237"/>
      <c r="Y130" s="237"/>
      <c r="AA130" s="88" t="s">
        <v>62</v>
      </c>
      <c r="AB130" s="237"/>
      <c r="AC130" s="237"/>
      <c r="AD130" s="237"/>
      <c r="AE130" s="237"/>
      <c r="AF130" s="237"/>
      <c r="AG130" s="237"/>
      <c r="AH130" s="237"/>
      <c r="AI130" s="237"/>
      <c r="AJ130" s="237"/>
    </row>
    <row r="131" spans="2:36" x14ac:dyDescent="0.6">
      <c r="B131" s="172" t="s">
        <v>62</v>
      </c>
      <c r="C131" s="237"/>
      <c r="D131" s="237"/>
      <c r="E131" s="237"/>
      <c r="F131" s="237"/>
      <c r="G131" s="237"/>
      <c r="H131" s="237"/>
      <c r="I131" s="237"/>
      <c r="K131" s="211" t="s">
        <v>266</v>
      </c>
      <c r="L131" s="236">
        <v>9.7379999999999995</v>
      </c>
      <c r="M131" s="237"/>
      <c r="N131" s="236">
        <v>8.1769999999999996</v>
      </c>
      <c r="O131" s="236">
        <v>5.8460000000000001</v>
      </c>
      <c r="P131" s="236">
        <v>5.8209999999999997</v>
      </c>
      <c r="Q131" s="236">
        <v>6.7539999999999996</v>
      </c>
      <c r="S131" s="211" t="s">
        <v>266</v>
      </c>
      <c r="T131" s="236">
        <f>C132-L131</f>
        <v>3.4000000000000696E-2</v>
      </c>
      <c r="U131" s="237"/>
      <c r="V131" s="236">
        <f>E132-N131</f>
        <v>0.84400000000000119</v>
      </c>
      <c r="W131" s="236">
        <f>F132-O131</f>
        <v>2.6649999999999991</v>
      </c>
      <c r="X131" s="236">
        <f>G132-P131</f>
        <v>2.6639999999999997</v>
      </c>
      <c r="Y131" s="236">
        <f>H132-Q131</f>
        <v>1.9939999999999998</v>
      </c>
      <c r="AA131" s="211" t="s">
        <v>266</v>
      </c>
      <c r="AB131" s="238">
        <f>T131/L131</f>
        <v>3.4914766892586461E-3</v>
      </c>
      <c r="AC131" s="237"/>
      <c r="AD131" s="238">
        <f>V131/N131</f>
        <v>0.10321633851045631</v>
      </c>
      <c r="AE131" s="238">
        <f>W131/O131</f>
        <v>0.45586725966472785</v>
      </c>
      <c r="AF131" s="238">
        <f>X131/P131</f>
        <v>0.4576533241711046</v>
      </c>
      <c r="AG131" s="238">
        <f>Y131/Q131</f>
        <v>0.29523245484157534</v>
      </c>
      <c r="AH131" s="238"/>
      <c r="AI131" s="238"/>
      <c r="AJ131" s="238"/>
    </row>
    <row r="132" spans="2:36" x14ac:dyDescent="0.6">
      <c r="B132" s="215" t="s">
        <v>266</v>
      </c>
      <c r="C132" s="236">
        <f>ROUND(C68*$G$110,3)</f>
        <v>9.7720000000000002</v>
      </c>
      <c r="D132" s="237"/>
      <c r="E132" s="236">
        <f>ROUND(E68*$G$110,3)</f>
        <v>9.0210000000000008</v>
      </c>
      <c r="F132" s="236">
        <f>ROUND(F68*$G$110,3)</f>
        <v>8.5109999999999992</v>
      </c>
      <c r="G132" s="236">
        <f>ROUND(G68*$G$110,3)</f>
        <v>8.4849999999999994</v>
      </c>
      <c r="H132" s="236">
        <f>ROUND(H68*$G$110,3)</f>
        <v>8.7479999999999993</v>
      </c>
      <c r="I132" s="236"/>
      <c r="K132" s="211" t="s">
        <v>267</v>
      </c>
      <c r="L132" s="237"/>
      <c r="M132" s="236">
        <v>12.37</v>
      </c>
      <c r="N132" s="237"/>
      <c r="O132" s="237"/>
      <c r="P132" s="237"/>
      <c r="Q132" s="237"/>
      <c r="S132" s="211" t="s">
        <v>267</v>
      </c>
      <c r="T132" s="237"/>
      <c r="U132" s="236">
        <f>D133-M132</f>
        <v>-2.0719999999999992</v>
      </c>
      <c r="V132" s="237"/>
      <c r="W132" s="237"/>
      <c r="X132" s="237"/>
      <c r="Y132" s="237"/>
      <c r="AA132" s="211" t="s">
        <v>267</v>
      </c>
      <c r="AB132" s="237"/>
      <c r="AC132" s="238">
        <f>U132/M132</f>
        <v>-0.16750202101859332</v>
      </c>
      <c r="AD132" s="237"/>
      <c r="AE132" s="237"/>
      <c r="AF132" s="237"/>
      <c r="AG132" s="237"/>
      <c r="AH132" s="237"/>
      <c r="AI132" s="237"/>
      <c r="AJ132" s="237"/>
    </row>
    <row r="133" spans="2:36" x14ac:dyDescent="0.6">
      <c r="B133" s="215" t="s">
        <v>267</v>
      </c>
      <c r="C133" s="237"/>
      <c r="D133" s="236">
        <f>ROUND(D69*$G$110,3)</f>
        <v>10.298</v>
      </c>
      <c r="E133" s="237"/>
      <c r="F133" s="237"/>
      <c r="G133" s="237"/>
      <c r="H133" s="237"/>
      <c r="I133" s="236">
        <f>ROUND(I69*$G$110,3)</f>
        <v>14.628</v>
      </c>
      <c r="J133" s="217"/>
      <c r="K133" s="211" t="s">
        <v>268</v>
      </c>
      <c r="L133" s="237"/>
      <c r="M133" s="236">
        <v>5.6959999999999997</v>
      </c>
      <c r="N133" s="237"/>
      <c r="O133" s="237"/>
      <c r="P133" s="237"/>
      <c r="Q133" s="237"/>
      <c r="S133" s="211" t="s">
        <v>268</v>
      </c>
      <c r="T133" s="237"/>
      <c r="U133" s="236">
        <f>D134-M133</f>
        <v>2.4250000000000007</v>
      </c>
      <c r="V133" s="237"/>
      <c r="W133" s="237"/>
      <c r="X133" s="237"/>
      <c r="Y133" s="237"/>
      <c r="AA133" s="211" t="s">
        <v>268</v>
      </c>
      <c r="AB133" s="237"/>
      <c r="AC133" s="238">
        <f>U133/M133</f>
        <v>0.42573735955056197</v>
      </c>
      <c r="AD133" s="237"/>
      <c r="AE133" s="237"/>
      <c r="AF133" s="237"/>
      <c r="AG133" s="237"/>
      <c r="AH133" s="237"/>
      <c r="AI133" s="237"/>
      <c r="AJ133" s="237"/>
    </row>
    <row r="134" spans="2:36" x14ac:dyDescent="0.6">
      <c r="B134" s="215" t="s">
        <v>268</v>
      </c>
      <c r="C134" s="237"/>
      <c r="D134" s="236">
        <f>ROUND(D70*$G$110,3)</f>
        <v>8.1210000000000004</v>
      </c>
      <c r="E134" s="237"/>
      <c r="F134" s="237"/>
      <c r="G134" s="237"/>
      <c r="H134" s="237"/>
      <c r="I134" s="236">
        <f>ROUND(I70*$G$110,3)</f>
        <v>8.2080000000000002</v>
      </c>
      <c r="J134" s="217"/>
      <c r="K134" s="209"/>
      <c r="L134" s="237"/>
      <c r="M134" s="237"/>
      <c r="N134" s="237"/>
      <c r="O134" s="237"/>
      <c r="P134" s="237"/>
      <c r="Q134" s="237"/>
      <c r="S134" s="209"/>
      <c r="T134" s="237"/>
      <c r="U134" s="237"/>
      <c r="V134" s="237"/>
      <c r="W134" s="237"/>
      <c r="X134" s="237"/>
      <c r="Y134" s="237"/>
      <c r="AA134" s="209"/>
      <c r="AB134" s="237"/>
      <c r="AC134" s="237"/>
      <c r="AD134" s="237"/>
      <c r="AE134" s="237"/>
      <c r="AF134" s="237"/>
      <c r="AG134" s="237"/>
      <c r="AH134" s="237"/>
      <c r="AI134" s="237"/>
      <c r="AJ134" s="237"/>
    </row>
    <row r="135" spans="2:36" x14ac:dyDescent="0.6">
      <c r="C135" s="237"/>
      <c r="D135" s="237"/>
      <c r="E135" s="237"/>
      <c r="F135" s="237"/>
      <c r="G135" s="237"/>
      <c r="H135" s="237"/>
      <c r="I135" s="237"/>
      <c r="K135" s="209" t="s">
        <v>280</v>
      </c>
      <c r="L135" s="237"/>
      <c r="M135" s="237"/>
      <c r="N135" s="237"/>
      <c r="O135" s="237"/>
      <c r="P135" s="237"/>
      <c r="Q135" s="236">
        <v>5.4</v>
      </c>
      <c r="S135" s="209" t="s">
        <v>280</v>
      </c>
      <c r="T135" s="237"/>
      <c r="U135" s="237"/>
      <c r="V135" s="237"/>
      <c r="W135" s="237"/>
      <c r="X135" s="237"/>
      <c r="Y135" s="236">
        <f>H136-Q135</f>
        <v>-3.8350000000000004</v>
      </c>
      <c r="AA135" s="209" t="s">
        <v>280</v>
      </c>
      <c r="AB135" s="237"/>
      <c r="AC135" s="237"/>
      <c r="AD135" s="237"/>
      <c r="AE135" s="237"/>
      <c r="AF135" s="237"/>
      <c r="AG135" s="238">
        <f>Y135/Q135</f>
        <v>-0.71018518518518525</v>
      </c>
      <c r="AH135" s="238"/>
      <c r="AI135" s="238"/>
      <c r="AJ135" s="238"/>
    </row>
    <row r="136" spans="2:36" x14ac:dyDescent="0.6">
      <c r="B136" s="218" t="s">
        <v>269</v>
      </c>
      <c r="C136" s="237"/>
      <c r="D136" s="237"/>
      <c r="E136" s="237"/>
      <c r="F136" s="237"/>
      <c r="G136" s="237"/>
      <c r="H136" s="236">
        <f>ROUND(H72*$G$110,3)</f>
        <v>1.5649999999999999</v>
      </c>
      <c r="I136" s="236"/>
      <c r="J136" s="219"/>
    </row>
    <row r="137" spans="2:36" x14ac:dyDescent="0.6">
      <c r="B137" s="218" t="s">
        <v>270</v>
      </c>
      <c r="C137" s="237"/>
      <c r="D137" s="237"/>
      <c r="E137" s="174"/>
      <c r="F137" s="237"/>
      <c r="G137" s="237"/>
      <c r="H137" s="236">
        <f>ROUND(H73*$G$110,3)</f>
        <v>1.5649999999999999</v>
      </c>
      <c r="I137" s="236"/>
      <c r="J137" s="219"/>
    </row>
    <row r="138" spans="2:36" x14ac:dyDescent="0.6">
      <c r="B138" s="218"/>
      <c r="E138" s="3"/>
      <c r="I138" s="216"/>
      <c r="J138" s="219"/>
    </row>
    <row r="139" spans="2:36" x14ac:dyDescent="0.6">
      <c r="B139" s="57" t="s">
        <v>376</v>
      </c>
      <c r="D139" t="s">
        <v>272</v>
      </c>
      <c r="E139" s="173">
        <v>6.6250000000000003E-2</v>
      </c>
      <c r="J139" s="219"/>
    </row>
    <row r="140" spans="2:36" x14ac:dyDescent="0.6">
      <c r="E140" s="3"/>
      <c r="J140" s="219"/>
    </row>
    <row r="141" spans="2:36" x14ac:dyDescent="0.6">
      <c r="C141" s="35" t="s">
        <v>7</v>
      </c>
      <c r="D141" s="35" t="s">
        <v>8</v>
      </c>
      <c r="E141" s="35" t="s">
        <v>9</v>
      </c>
      <c r="F141" s="35" t="s">
        <v>10</v>
      </c>
      <c r="G141" s="35" t="s">
        <v>11</v>
      </c>
      <c r="H141" s="35" t="s">
        <v>12</v>
      </c>
      <c r="I141" s="35" t="str">
        <f>'BGS Cost &amp; Bid Factors'!I$24</f>
        <v>SC1 TOD</v>
      </c>
    </row>
    <row r="142" spans="2:36" x14ac:dyDescent="0.6">
      <c r="B142" s="172" t="s">
        <v>69</v>
      </c>
      <c r="E142" s="3"/>
      <c r="I142" s="219"/>
    </row>
    <row r="143" spans="2:36" x14ac:dyDescent="0.6">
      <c r="B143" s="215" t="s">
        <v>266</v>
      </c>
      <c r="C143" s="215"/>
      <c r="E143" s="216">
        <f>ROUND(E121*(1+$E$139),3)</f>
        <v>9.9819999999999993</v>
      </c>
      <c r="F143" s="216">
        <f>ROUND(F121*(1+$E$139),3)</f>
        <v>9.1739999999999995</v>
      </c>
      <c r="G143" s="216">
        <f>ROUND(G121*(1+$E$139),3)</f>
        <v>9.1539999999999999</v>
      </c>
      <c r="H143" s="216">
        <f>ROUND(H121*(1+$E$139),3)</f>
        <v>9.5220000000000002</v>
      </c>
      <c r="I143" s="219"/>
    </row>
    <row r="144" spans="2:36" x14ac:dyDescent="0.6">
      <c r="B144" s="215" t="s">
        <v>267</v>
      </c>
      <c r="D144" s="216">
        <f>ROUND(D122*(1+$E$139),3)</f>
        <v>12.087999999999999</v>
      </c>
      <c r="I144" s="216">
        <f>ROUND(I122*(1+$E$139),3)</f>
        <v>14.615</v>
      </c>
    </row>
    <row r="145" spans="2:10" x14ac:dyDescent="0.6">
      <c r="B145" s="215" t="s">
        <v>268</v>
      </c>
      <c r="D145" s="216">
        <f>ROUND(D123*(1+$E$139),3)</f>
        <v>8.2219999999999995</v>
      </c>
      <c r="I145" s="216">
        <f>ROUND(I123*(1+$E$139),3)</f>
        <v>8.3249999999999993</v>
      </c>
    </row>
    <row r="146" spans="2:10" x14ac:dyDescent="0.6">
      <c r="B146" s="37" t="s">
        <v>41</v>
      </c>
      <c r="C146" s="216">
        <f>ROUND(C124*(1+$E$139),3)</f>
        <v>6.2709999999999999</v>
      </c>
      <c r="D146" s="80"/>
      <c r="I146" s="219"/>
    </row>
    <row r="147" spans="2:10" x14ac:dyDescent="0.6">
      <c r="B147" s="39" t="s">
        <v>42</v>
      </c>
      <c r="C147" s="216">
        <f>ROUND(C125*(1+$E$139),3)</f>
        <v>13.279</v>
      </c>
      <c r="D147" s="80"/>
      <c r="I147" s="219"/>
    </row>
    <row r="148" spans="2:10" x14ac:dyDescent="0.6">
      <c r="B148" s="80"/>
      <c r="C148" s="80"/>
      <c r="D148" s="80"/>
      <c r="I148" s="219"/>
    </row>
    <row r="149" spans="2:10" x14ac:dyDescent="0.6">
      <c r="I149" s="219"/>
    </row>
    <row r="150" spans="2:10" x14ac:dyDescent="0.6">
      <c r="B150" s="218" t="s">
        <v>269</v>
      </c>
      <c r="H150" s="240">
        <f>ROUND(H128*(1+$E$139),2)</f>
        <v>1.91</v>
      </c>
      <c r="I150" s="219"/>
    </row>
    <row r="151" spans="2:10" x14ac:dyDescent="0.6">
      <c r="B151" s="218" t="s">
        <v>357</v>
      </c>
      <c r="H151" s="240">
        <f>ROUND(H129*(1+$E$139),2)</f>
        <v>1.91</v>
      </c>
      <c r="I151" s="219"/>
      <c r="J151" s="213"/>
    </row>
    <row r="152" spans="2:10" x14ac:dyDescent="0.6">
      <c r="I152" s="219"/>
    </row>
    <row r="153" spans="2:10" x14ac:dyDescent="0.6">
      <c r="B153" s="172" t="s">
        <v>62</v>
      </c>
      <c r="I153" s="219"/>
    </row>
    <row r="154" spans="2:10" x14ac:dyDescent="0.6">
      <c r="B154" s="215" t="s">
        <v>266</v>
      </c>
      <c r="C154" s="216">
        <f>ROUND(C132*(1+$E$139),3)</f>
        <v>10.419</v>
      </c>
      <c r="E154" s="216">
        <f>ROUND(E132*(1+$E$139),3)</f>
        <v>9.6189999999999998</v>
      </c>
      <c r="F154" s="216">
        <f>ROUND(F132*(1+$E$139),3)</f>
        <v>9.0749999999999993</v>
      </c>
      <c r="G154" s="216">
        <f>ROUND(G132*(1+$E$139),3)</f>
        <v>9.0470000000000006</v>
      </c>
      <c r="H154" s="216">
        <f>ROUND(H132*(1+$E$139),3)</f>
        <v>9.3279999999999994</v>
      </c>
      <c r="I154" s="219"/>
    </row>
    <row r="155" spans="2:10" x14ac:dyDescent="0.6">
      <c r="B155" s="215" t="s">
        <v>267</v>
      </c>
      <c r="D155" s="216">
        <f>ROUND(D133*(1+$E$139),3)</f>
        <v>10.98</v>
      </c>
      <c r="I155" s="216">
        <f>ROUND(I133*(1+$E$139),3)</f>
        <v>15.597</v>
      </c>
    </row>
    <row r="156" spans="2:10" x14ac:dyDescent="0.6">
      <c r="B156" s="215" t="s">
        <v>268</v>
      </c>
      <c r="D156" s="216">
        <f>ROUND(D134*(1+$E$139),3)</f>
        <v>8.6590000000000007</v>
      </c>
      <c r="I156" s="216">
        <f>ROUND(I134*(1+$E$139),3)</f>
        <v>8.7520000000000007</v>
      </c>
    </row>
    <row r="157" spans="2:10" x14ac:dyDescent="0.6">
      <c r="I157" s="219"/>
    </row>
    <row r="158" spans="2:10" x14ac:dyDescent="0.6">
      <c r="B158" s="218" t="s">
        <v>269</v>
      </c>
      <c r="H158" s="240">
        <f>ROUND(H136*(1+$E$139),2)</f>
        <v>1.67</v>
      </c>
      <c r="I158" s="219"/>
    </row>
    <row r="159" spans="2:10" x14ac:dyDescent="0.6">
      <c r="B159" s="218" t="s">
        <v>270</v>
      </c>
      <c r="H159" s="240">
        <f>ROUND(H137*(1+$E$139),2)</f>
        <v>1.67</v>
      </c>
      <c r="I159" s="219"/>
    </row>
    <row r="160" spans="2:10" x14ac:dyDescent="0.6">
      <c r="B160" s="218"/>
      <c r="H160" s="216"/>
      <c r="I160" s="219"/>
    </row>
    <row r="161" spans="1:12" x14ac:dyDescent="0.6">
      <c r="B161" s="218"/>
      <c r="H161" s="219"/>
      <c r="I161" s="219"/>
    </row>
    <row r="162" spans="1:12" x14ac:dyDescent="0.6">
      <c r="A162" s="144" t="s">
        <v>377</v>
      </c>
      <c r="B162" s="144" t="s">
        <v>378</v>
      </c>
      <c r="H162" s="219"/>
      <c r="I162" s="219"/>
    </row>
    <row r="163" spans="1:12" x14ac:dyDescent="0.6">
      <c r="B163" s="144"/>
      <c r="H163" s="219"/>
      <c r="I163" s="219"/>
    </row>
    <row r="164" spans="1:12" x14ac:dyDescent="0.6">
      <c r="B164" s="144"/>
      <c r="H164" s="219"/>
      <c r="I164" s="219"/>
    </row>
    <row r="165" spans="1:12" x14ac:dyDescent="0.6">
      <c r="B165" s="84" t="s">
        <v>288</v>
      </c>
      <c r="H165" s="219"/>
      <c r="I165" s="219"/>
    </row>
    <row r="166" spans="1:12" ht="13.75" thickBot="1" x14ac:dyDescent="0.75">
      <c r="B166" s="84"/>
      <c r="H166" s="219"/>
      <c r="I166" s="219"/>
    </row>
    <row r="167" spans="1:12" x14ac:dyDescent="0.6">
      <c r="C167" s="35" t="str">
        <f>'BGS Cost &amp; Bid Factors'!C$6</f>
        <v>SC1</v>
      </c>
      <c r="D167" s="35" t="str">
        <f>'BGS Cost &amp; Bid Factors'!D$6</f>
        <v>SC3</v>
      </c>
      <c r="E167" s="35" t="str">
        <f>'BGS Cost &amp; Bid Factors'!E$6</f>
        <v>SC2 ND</v>
      </c>
      <c r="F167" s="35" t="str">
        <f>'BGS Cost &amp; Bid Factors'!F$6</f>
        <v>SC4</v>
      </c>
      <c r="G167" s="35" t="str">
        <f>'BGS Cost &amp; Bid Factors'!G$6</f>
        <v>SC6</v>
      </c>
      <c r="H167" s="35" t="str">
        <f>'BGS Cost &amp; Bid Factors'!H$6</f>
        <v>SC2 Dem</v>
      </c>
      <c r="I167" s="35"/>
      <c r="J167" s="219"/>
      <c r="K167" s="220" t="s">
        <v>154</v>
      </c>
      <c r="L167" s="221"/>
    </row>
    <row r="168" spans="1:12" x14ac:dyDescent="0.6">
      <c r="B168" s="84"/>
      <c r="J168" s="219"/>
      <c r="K168" s="222"/>
      <c r="L168" s="223" t="s">
        <v>157</v>
      </c>
    </row>
    <row r="169" spans="1:12" x14ac:dyDescent="0.6">
      <c r="B169" s="224" t="s">
        <v>69</v>
      </c>
      <c r="C169" s="225">
        <f>ROUND((C121*'BGS Cost &amp; Bid Factors'!L$48)/100,0)</f>
        <v>29175</v>
      </c>
      <c r="D169" s="226">
        <f>ROUND((D122*'BGS Cost &amp; Bid Factors'!M$49+D123*'BGS Cost &amp; Bid Factors'!M$50)/100,0)</f>
        <v>21</v>
      </c>
      <c r="E169" s="225">
        <f>ROUND((E121*'BGS Cost &amp; Bid Factors'!N$48)/100,0)</f>
        <v>385</v>
      </c>
      <c r="F169" s="225">
        <f>ROUND((F121*'BGS Cost &amp; Bid Factors'!O$48)/100,0)</f>
        <v>154</v>
      </c>
      <c r="G169" s="225">
        <f>ROUND((G121*'BGS Cost &amp; Bid Factors'!P$48)/100,0)</f>
        <v>121</v>
      </c>
      <c r="H169" s="226">
        <f>ROUND(H121*'BGS Cost &amp; Bid Factors'!Q$48/100+(H128*($L$169/4*'BGS Cost &amp; Bid Factors'!H$144)+H129*($L$169/4*'BGS Cost &amp; Bid Factors'!H$144))/1000,0)</f>
        <v>11912</v>
      </c>
      <c r="I169" s="226"/>
      <c r="J169" s="219"/>
      <c r="K169" s="222" t="s">
        <v>69</v>
      </c>
      <c r="L169" s="227">
        <v>343655.70257928403</v>
      </c>
    </row>
    <row r="170" spans="1:12" ht="13.75" thickBot="1" x14ac:dyDescent="0.75">
      <c r="B170" s="224" t="s">
        <v>62</v>
      </c>
      <c r="C170" s="179">
        <f>ROUND(C132*'BGS Cost &amp; Bid Factors'!L$44/100,0)</f>
        <v>37470</v>
      </c>
      <c r="D170" s="180">
        <f>ROUND((D133*'BGS Cost &amp; Bid Factors'!M$45+D134*'BGS Cost &amp; Bid Factors'!M$46)/100,0)</f>
        <v>39</v>
      </c>
      <c r="E170" s="179">
        <f>ROUND(E132*'BGS Cost &amp; Bid Factors'!N$44/100,0)</f>
        <v>949</v>
      </c>
      <c r="F170" s="179">
        <f>ROUND(F132*'BGS Cost &amp; Bid Factors'!O$44/100,0)</f>
        <v>389</v>
      </c>
      <c r="G170" s="179">
        <f>ROUND(G132*'BGS Cost &amp; Bid Factors'!P$44/100,0)</f>
        <v>298</v>
      </c>
      <c r="H170" s="180">
        <f>ROUND(H132*'BGS Cost &amp; Bid Factors'!Q$44/100+(H136*($L$170/8*'BGS Cost &amp; Bid Factors'!H$145)+H137*($L$170/8*'BGS Cost &amp; Bid Factors'!H$145))/1000,0)</f>
        <v>18787</v>
      </c>
      <c r="I170" s="180"/>
      <c r="J170" s="219"/>
      <c r="K170" s="228" t="s">
        <v>62</v>
      </c>
      <c r="L170" s="229">
        <v>561224.88687915634</v>
      </c>
    </row>
    <row r="171" spans="1:12" x14ac:dyDescent="0.6">
      <c r="B171" s="224" t="s">
        <v>36</v>
      </c>
      <c r="C171" s="230">
        <f t="shared" ref="C171:H171" si="1">+C170+C169</f>
        <v>66645</v>
      </c>
      <c r="D171" s="230">
        <f t="shared" si="1"/>
        <v>60</v>
      </c>
      <c r="E171" s="230">
        <f t="shared" si="1"/>
        <v>1334</v>
      </c>
      <c r="F171" s="230">
        <f t="shared" si="1"/>
        <v>543</v>
      </c>
      <c r="G171" s="230">
        <f t="shared" si="1"/>
        <v>419</v>
      </c>
      <c r="H171" s="230">
        <f t="shared" si="1"/>
        <v>30699</v>
      </c>
      <c r="I171" s="219"/>
    </row>
    <row r="172" spans="1:12" x14ac:dyDescent="0.6">
      <c r="B172" s="224"/>
      <c r="C172" s="230"/>
      <c r="D172" s="230"/>
      <c r="E172" s="230"/>
      <c r="F172" s="230"/>
      <c r="G172" s="230"/>
      <c r="H172" s="230"/>
      <c r="I172" s="219"/>
    </row>
    <row r="173" spans="1:12" x14ac:dyDescent="0.6">
      <c r="B173" s="224" t="s">
        <v>36</v>
      </c>
      <c r="C173" s="230"/>
      <c r="D173" s="230"/>
      <c r="E173" s="230"/>
      <c r="F173" s="230"/>
      <c r="G173" s="230"/>
      <c r="H173" s="230"/>
      <c r="I173" s="219"/>
    </row>
    <row r="174" spans="1:12" x14ac:dyDescent="0.6">
      <c r="B174" s="224" t="s">
        <v>69</v>
      </c>
      <c r="C174" s="230">
        <f>SUM(C169:H169)</f>
        <v>41768</v>
      </c>
      <c r="D174" s="230"/>
      <c r="E174" s="230"/>
      <c r="F174" s="230"/>
      <c r="G174" s="230"/>
      <c r="H174" s="230"/>
      <c r="I174" s="219"/>
    </row>
    <row r="175" spans="1:12" x14ac:dyDescent="0.6">
      <c r="B175" s="224" t="s">
        <v>62</v>
      </c>
      <c r="C175" s="181">
        <f>SUM(C170:H170)</f>
        <v>57932</v>
      </c>
      <c r="D175" s="119"/>
      <c r="I175" s="219"/>
    </row>
    <row r="176" spans="1:12" x14ac:dyDescent="0.6">
      <c r="B176" s="224" t="s">
        <v>36</v>
      </c>
      <c r="C176" s="230">
        <f>+C175+C174</f>
        <v>99700</v>
      </c>
      <c r="D176" s="119"/>
      <c r="H176" s="226"/>
      <c r="I176" s="219"/>
    </row>
    <row r="177" spans="2:10" x14ac:dyDescent="0.6">
      <c r="B177" s="224"/>
      <c r="C177" s="230"/>
      <c r="E177" s="119"/>
      <c r="I177" s="180"/>
      <c r="J177" s="219"/>
    </row>
    <row r="178" spans="2:10" x14ac:dyDescent="0.6">
      <c r="B178" s="172" t="s">
        <v>379</v>
      </c>
      <c r="C178" s="19"/>
      <c r="D178" s="19"/>
      <c r="E178" s="19"/>
      <c r="F178" s="19"/>
      <c r="G178" s="19"/>
      <c r="H178" s="19"/>
      <c r="I178" s="230"/>
      <c r="J178" s="219"/>
    </row>
    <row r="179" spans="2:10" x14ac:dyDescent="0.6">
      <c r="C179" s="19"/>
      <c r="D179" s="19"/>
      <c r="E179" s="19"/>
      <c r="F179" s="19"/>
    </row>
    <row r="180" spans="2:10" x14ac:dyDescent="0.6">
      <c r="B180" t="s">
        <v>361</v>
      </c>
      <c r="C180" s="119"/>
      <c r="D180" s="119"/>
      <c r="E180" s="119"/>
      <c r="F180" s="19"/>
    </row>
    <row r="181" spans="2:10" ht="15.25" x14ac:dyDescent="1.05">
      <c r="C181" s="231" t="s">
        <v>36</v>
      </c>
      <c r="D181" s="231" t="s">
        <v>341</v>
      </c>
      <c r="E181" s="231" t="s">
        <v>362</v>
      </c>
      <c r="F181" s="19"/>
      <c r="G181" s="241"/>
    </row>
    <row r="182" spans="2:10" x14ac:dyDescent="0.6">
      <c r="B182" s="224" t="s">
        <v>69</v>
      </c>
      <c r="C182" s="230">
        <f>'Weighted Avg Price Calc'!G$29/1000</f>
        <v>37910.993000000002</v>
      </c>
      <c r="D182" s="233">
        <v>0</v>
      </c>
      <c r="E182" s="230">
        <f>C182-D182</f>
        <v>37910.993000000002</v>
      </c>
      <c r="F182" s="19"/>
      <c r="G182" s="241">
        <f>ROUND('BGS Cost &amp; Bid Factors'!$C$147*SUM('BGS Cost &amp; Bid Factors'!$C$141:$H$141)/12*'BGS Cost &amp; Bid Factors'!H$144/1000*'BGS Cost &amp; Bid Factors'!D447,0)</f>
        <v>5621</v>
      </c>
    </row>
    <row r="183" spans="2:10" ht="15.25" x14ac:dyDescent="1.05">
      <c r="B183" s="224" t="s">
        <v>62</v>
      </c>
      <c r="C183" s="234">
        <f>'Weighted Avg Price Calc'!G$30/1000</f>
        <v>52629.527000000002</v>
      </c>
      <c r="D183" s="234">
        <v>0</v>
      </c>
      <c r="E183" s="234">
        <f>C183-D183</f>
        <v>52629.527000000002</v>
      </c>
      <c r="F183" s="19"/>
      <c r="G183" s="241">
        <f>ROUND('BGS Cost &amp; Bid Factors'!$C$147*SUM('BGS Cost &amp; Bid Factors'!$C$141:$H$141)/12*'BGS Cost &amp; Bid Factors'!H$145/1000*'BGS Cost &amp; Bid Factors'!D447,0)</f>
        <v>11243</v>
      </c>
    </row>
    <row r="184" spans="2:10" x14ac:dyDescent="0.6">
      <c r="B184" s="224" t="s">
        <v>36</v>
      </c>
      <c r="C184" s="63">
        <f>+C183+C182</f>
        <v>90540.52</v>
      </c>
      <c r="D184" s="230">
        <f>D182+D183</f>
        <v>0</v>
      </c>
      <c r="E184" s="230">
        <f>E182+E183</f>
        <v>90540.52</v>
      </c>
      <c r="F184" s="19"/>
      <c r="G184" s="241"/>
    </row>
    <row r="185" spans="2:10" x14ac:dyDescent="0.6">
      <c r="C185" s="119"/>
      <c r="D185" s="119"/>
      <c r="E185" s="119"/>
      <c r="F185" s="19"/>
      <c r="G185" s="241"/>
    </row>
    <row r="186" spans="2:10" x14ac:dyDescent="0.6">
      <c r="B186" t="s">
        <v>363</v>
      </c>
      <c r="C186" s="119"/>
      <c r="D186" s="119"/>
      <c r="E186" s="119"/>
      <c r="F186" s="19"/>
    </row>
    <row r="187" spans="2:10" ht="15.25" x14ac:dyDescent="1.05">
      <c r="C187" s="231" t="s">
        <v>36</v>
      </c>
      <c r="D187" s="231" t="s">
        <v>341</v>
      </c>
      <c r="E187" s="231" t="s">
        <v>362</v>
      </c>
      <c r="F187" s="19"/>
    </row>
    <row r="188" spans="2:10" x14ac:dyDescent="0.6">
      <c r="B188" s="224" t="s">
        <v>69</v>
      </c>
      <c r="C188" s="230">
        <f>ROUND($E$251*1000*'Weighted Avg Price Calc'!E42/100/1000,0)</f>
        <v>3857</v>
      </c>
      <c r="D188" s="230">
        <v>0</v>
      </c>
      <c r="E188" s="230">
        <f>C188-D188</f>
        <v>3857</v>
      </c>
      <c r="F188" s="19"/>
    </row>
    <row r="189" spans="2:10" ht="15.25" x14ac:dyDescent="1.05">
      <c r="B189" s="224" t="s">
        <v>62</v>
      </c>
      <c r="C189" s="234">
        <f>ROUND($E$252*1000*'Weighted Avg Price Calc'!E42/100/1000,0)</f>
        <v>5304</v>
      </c>
      <c r="D189" s="234">
        <v>0</v>
      </c>
      <c r="E189" s="234">
        <f>C189-D189</f>
        <v>5304</v>
      </c>
      <c r="F189" s="19"/>
    </row>
    <row r="190" spans="2:10" x14ac:dyDescent="0.6">
      <c r="B190" s="224" t="s">
        <v>36</v>
      </c>
      <c r="C190" s="63">
        <f>+C189+C188</f>
        <v>9161</v>
      </c>
      <c r="D190" s="230">
        <f>D188+D189</f>
        <v>0</v>
      </c>
      <c r="E190" s="230">
        <f>E188+E189</f>
        <v>9161</v>
      </c>
      <c r="F190" s="19"/>
    </row>
    <row r="191" spans="2:10" x14ac:dyDescent="0.6">
      <c r="C191" s="119"/>
      <c r="D191" s="119"/>
      <c r="E191" s="119"/>
      <c r="F191" s="19"/>
    </row>
    <row r="192" spans="2:10" x14ac:dyDescent="0.6">
      <c r="B192" t="s">
        <v>364</v>
      </c>
      <c r="C192" s="19"/>
      <c r="D192" s="19"/>
      <c r="E192" s="19"/>
      <c r="F192" s="19"/>
    </row>
    <row r="193" spans="1:10" ht="15.25" x14ac:dyDescent="1.05">
      <c r="C193" s="231" t="s">
        <v>36</v>
      </c>
      <c r="D193" s="231" t="s">
        <v>341</v>
      </c>
      <c r="E193" s="231" t="s">
        <v>362</v>
      </c>
      <c r="F193" s="119"/>
    </row>
    <row r="194" spans="1:10" x14ac:dyDescent="0.6">
      <c r="B194" s="224" t="s">
        <v>69</v>
      </c>
      <c r="C194" s="230">
        <f>C182+C188</f>
        <v>41767.993000000002</v>
      </c>
      <c r="D194" s="230">
        <f>D182+D188</f>
        <v>0</v>
      </c>
      <c r="E194" s="230">
        <f>C194-D194</f>
        <v>41767.993000000002</v>
      </c>
    </row>
    <row r="195" spans="1:10" ht="15.25" x14ac:dyDescent="1.05">
      <c r="B195" s="224" t="s">
        <v>62</v>
      </c>
      <c r="C195" s="234">
        <f>C183+C189</f>
        <v>57933.527000000002</v>
      </c>
      <c r="D195" s="234">
        <f>D183+D189</f>
        <v>0</v>
      </c>
      <c r="E195" s="234">
        <f>C195-D195</f>
        <v>57933.527000000002</v>
      </c>
      <c r="J195" s="219"/>
    </row>
    <row r="196" spans="1:10" x14ac:dyDescent="0.6">
      <c r="B196" s="224" t="s">
        <v>36</v>
      </c>
      <c r="C196" s="63">
        <f>+C195+C194</f>
        <v>99701.52</v>
      </c>
      <c r="D196" s="230">
        <f>D194+D195</f>
        <v>0</v>
      </c>
      <c r="E196" s="230">
        <f>E194+E195</f>
        <v>99701.52</v>
      </c>
      <c r="J196" s="219"/>
    </row>
    <row r="197" spans="1:10" x14ac:dyDescent="0.6">
      <c r="C197" s="119"/>
      <c r="D197" s="183"/>
      <c r="E197" s="119"/>
      <c r="F197" s="170"/>
      <c r="J197" s="219"/>
    </row>
    <row r="198" spans="1:10" x14ac:dyDescent="0.6">
      <c r="B198" t="s">
        <v>292</v>
      </c>
      <c r="G198" s="218"/>
      <c r="J198" s="219"/>
    </row>
    <row r="199" spans="1:10" x14ac:dyDescent="0.6">
      <c r="C199" s="218" t="s">
        <v>336</v>
      </c>
      <c r="D199" s="218" t="s">
        <v>336</v>
      </c>
      <c r="E199" s="218"/>
      <c r="G199" s="218"/>
      <c r="J199" s="219"/>
    </row>
    <row r="200" spans="1:10" x14ac:dyDescent="0.6">
      <c r="B200" s="218"/>
      <c r="C200" s="152" t="s">
        <v>367</v>
      </c>
      <c r="D200" s="152" t="s">
        <v>368</v>
      </c>
      <c r="E200" s="152" t="s">
        <v>369</v>
      </c>
      <c r="G200" s="152"/>
      <c r="I200" s="219"/>
      <c r="J200" s="219"/>
    </row>
    <row r="201" spans="1:10" x14ac:dyDescent="0.6">
      <c r="B201" s="224" t="s">
        <v>69</v>
      </c>
      <c r="C201" s="230">
        <f>C174</f>
        <v>41768</v>
      </c>
      <c r="D201" s="230">
        <f>E194</f>
        <v>41767.993000000002</v>
      </c>
      <c r="E201" s="230">
        <f>D201-C201</f>
        <v>-6.9999999977881089E-3</v>
      </c>
      <c r="I201" s="219"/>
      <c r="J201" s="219"/>
    </row>
    <row r="202" spans="1:10" x14ac:dyDescent="0.6">
      <c r="B202" s="224" t="s">
        <v>62</v>
      </c>
      <c r="C202" s="181">
        <f>C175</f>
        <v>57932</v>
      </c>
      <c r="D202" s="181">
        <f>E195</f>
        <v>57933.527000000002</v>
      </c>
      <c r="E202" s="181">
        <f>D202-C202</f>
        <v>1.5270000000018626</v>
      </c>
      <c r="I202" s="219"/>
      <c r="J202" s="219"/>
    </row>
    <row r="203" spans="1:10" x14ac:dyDescent="0.6">
      <c r="B203" s="224" t="s">
        <v>36</v>
      </c>
      <c r="C203" s="230">
        <f>+C202+C201</f>
        <v>99700</v>
      </c>
      <c r="D203" s="230">
        <f>+D202+D201</f>
        <v>99701.52</v>
      </c>
      <c r="E203" s="230">
        <f>+E202+E201</f>
        <v>1.5200000000040745</v>
      </c>
      <c r="I203" s="219"/>
      <c r="J203" s="219"/>
    </row>
    <row r="204" spans="1:10" x14ac:dyDescent="0.6">
      <c r="B204" s="218"/>
      <c r="I204" s="219"/>
      <c r="J204" s="219"/>
    </row>
    <row r="205" spans="1:10" x14ac:dyDescent="0.6">
      <c r="A205" s="54"/>
      <c r="B205" s="13" t="s">
        <v>274</v>
      </c>
      <c r="J205" s="219"/>
    </row>
    <row r="206" spans="1:10" x14ac:dyDescent="0.6">
      <c r="A206" s="54"/>
      <c r="B206" s="13"/>
      <c r="J206" s="219"/>
    </row>
    <row r="207" spans="1:10" x14ac:dyDescent="0.6">
      <c r="A207" s="54"/>
      <c r="B207" s="84" t="s">
        <v>275</v>
      </c>
      <c r="J207" s="219"/>
    </row>
    <row r="208" spans="1:10" x14ac:dyDescent="0.6">
      <c r="A208" s="54"/>
      <c r="B208" s="1"/>
      <c r="C208" s="19" t="str">
        <f t="shared" ref="C208" si="2">C55</f>
        <v>SC1</v>
      </c>
      <c r="D208" s="19" t="str">
        <f>D55</f>
        <v>SC3</v>
      </c>
      <c r="E208" s="19" t="str">
        <f>E55</f>
        <v>SC2 ND</v>
      </c>
      <c r="F208" s="19" t="str">
        <f>F55</f>
        <v>SC4</v>
      </c>
      <c r="G208" s="19" t="str">
        <f>G55</f>
        <v>SC6</v>
      </c>
      <c r="H208" s="19" t="str">
        <f>H55</f>
        <v>SC2 Dem</v>
      </c>
      <c r="I208" s="19" t="str">
        <f t="shared" ref="I208" si="3">I55</f>
        <v>SC1 TOD</v>
      </c>
      <c r="J208" s="19"/>
    </row>
    <row r="209" spans="1:9" x14ac:dyDescent="0.6">
      <c r="A209" s="54"/>
      <c r="B209" s="1" t="s">
        <v>276</v>
      </c>
      <c r="C209" s="242">
        <f>'BGS Cost &amp; Bid Factors'!C538</f>
        <v>1.421</v>
      </c>
      <c r="D209" s="242">
        <f>'BGS Cost &amp; Bid Factors'!D538</f>
        <v>1.421</v>
      </c>
      <c r="E209" s="242">
        <f>'BGS Cost &amp; Bid Factors'!E538</f>
        <v>0.52300000000000002</v>
      </c>
      <c r="F209" s="242">
        <f>'BGS Cost &amp; Bid Factors'!F538</f>
        <v>1.147</v>
      </c>
      <c r="G209" s="242">
        <f>'BGS Cost &amp; Bid Factors'!G538</f>
        <v>1.147</v>
      </c>
      <c r="H209" s="242">
        <f>'BGS Cost &amp; Bid Factors'!H538</f>
        <v>0.52300000000000002</v>
      </c>
      <c r="I209" s="219">
        <f>C209</f>
        <v>1.421</v>
      </c>
    </row>
    <row r="210" spans="1:9" x14ac:dyDescent="0.6">
      <c r="A210" s="54"/>
      <c r="B210" s="1" t="s">
        <v>380</v>
      </c>
      <c r="H210" s="243">
        <f>'BGS Cost &amp; Bid Factors'!H539</f>
        <v>1.1100000000000001</v>
      </c>
      <c r="I210" s="219"/>
    </row>
    <row r="211" spans="1:9" x14ac:dyDescent="0.6">
      <c r="H211" s="243">
        <f>'BGS Cost &amp; Bid Factors'!H540</f>
        <v>1.1100000000000001</v>
      </c>
      <c r="I211" s="219"/>
    </row>
    <row r="212" spans="1:9" x14ac:dyDescent="0.6">
      <c r="I212" s="219"/>
    </row>
    <row r="213" spans="1:9" x14ac:dyDescent="0.6">
      <c r="I213" s="219"/>
    </row>
    <row r="214" spans="1:9" x14ac:dyDescent="0.6">
      <c r="B214" s="84" t="s">
        <v>279</v>
      </c>
      <c r="I214" s="219"/>
    </row>
    <row r="215" spans="1:9" x14ac:dyDescent="0.6">
      <c r="I215" s="219"/>
    </row>
    <row r="216" spans="1:9" x14ac:dyDescent="0.6">
      <c r="I216" s="219"/>
    </row>
    <row r="217" spans="1:9" x14ac:dyDescent="0.6">
      <c r="B217" s="172" t="s">
        <v>69</v>
      </c>
      <c r="I217" s="219"/>
    </row>
    <row r="218" spans="1:9" x14ac:dyDescent="0.6">
      <c r="B218" s="215" t="s">
        <v>266</v>
      </c>
      <c r="C218" s="217">
        <f t="shared" ref="C218:I225" si="4">IF(C121&gt;0,C121+C$209,"")</f>
        <v>11.051</v>
      </c>
      <c r="D218" s="217" t="str">
        <f t="shared" si="4"/>
        <v/>
      </c>
      <c r="E218" s="217">
        <f t="shared" si="4"/>
        <v>9.8849999999999998</v>
      </c>
      <c r="F218" s="217">
        <f t="shared" si="4"/>
        <v>9.7509999999999994</v>
      </c>
      <c r="G218" s="217">
        <f t="shared" si="4"/>
        <v>9.7320000000000011</v>
      </c>
      <c r="H218" s="217">
        <f t="shared" si="4"/>
        <v>9.4529999999999994</v>
      </c>
      <c r="I218" s="219"/>
    </row>
    <row r="219" spans="1:9" x14ac:dyDescent="0.6">
      <c r="B219" s="215" t="s">
        <v>267</v>
      </c>
      <c r="C219" s="217" t="str">
        <f t="shared" si="4"/>
        <v/>
      </c>
      <c r="D219" s="217">
        <f t="shared" si="4"/>
        <v>12.757999999999999</v>
      </c>
      <c r="E219" s="217" t="str">
        <f t="shared" si="4"/>
        <v/>
      </c>
      <c r="F219" s="217" t="str">
        <f t="shared" si="4"/>
        <v/>
      </c>
      <c r="G219" s="217" t="str">
        <f t="shared" si="4"/>
        <v/>
      </c>
      <c r="H219" s="217" t="str">
        <f t="shared" si="4"/>
        <v/>
      </c>
      <c r="I219" s="217">
        <f t="shared" si="4"/>
        <v>15.128</v>
      </c>
    </row>
    <row r="220" spans="1:9" x14ac:dyDescent="0.6">
      <c r="B220" s="215" t="s">
        <v>268</v>
      </c>
      <c r="C220" s="217" t="str">
        <f t="shared" si="4"/>
        <v/>
      </c>
      <c r="D220" s="217">
        <f t="shared" si="4"/>
        <v>9.1319999999999997</v>
      </c>
      <c r="E220" s="217" t="str">
        <f t="shared" si="4"/>
        <v/>
      </c>
      <c r="F220" s="217" t="str">
        <f t="shared" si="4"/>
        <v/>
      </c>
      <c r="G220" s="217" t="str">
        <f t="shared" si="4"/>
        <v/>
      </c>
      <c r="H220" s="217" t="str">
        <f t="shared" si="4"/>
        <v/>
      </c>
      <c r="I220" s="217">
        <f t="shared" si="4"/>
        <v>9.2289999999999992</v>
      </c>
    </row>
    <row r="221" spans="1:9" x14ac:dyDescent="0.6">
      <c r="B221" s="218" t="s">
        <v>41</v>
      </c>
      <c r="C221" s="217">
        <f t="shared" si="4"/>
        <v>7.3020000000000005</v>
      </c>
      <c r="D221" s="217" t="str">
        <f t="shared" si="4"/>
        <v/>
      </c>
      <c r="E221" s="217" t="str">
        <f t="shared" si="4"/>
        <v/>
      </c>
      <c r="F221" s="217" t="str">
        <f t="shared" si="4"/>
        <v/>
      </c>
      <c r="G221" s="217" t="str">
        <f t="shared" si="4"/>
        <v/>
      </c>
      <c r="H221" s="217" t="str">
        <f t="shared" si="4"/>
        <v/>
      </c>
      <c r="I221" s="219"/>
    </row>
    <row r="222" spans="1:9" x14ac:dyDescent="0.6">
      <c r="B222" s="215" t="s">
        <v>42</v>
      </c>
      <c r="C222" s="217">
        <f t="shared" si="4"/>
        <v>13.875</v>
      </c>
      <c r="D222" s="217" t="str">
        <f t="shared" si="4"/>
        <v/>
      </c>
      <c r="E222" s="217" t="str">
        <f t="shared" si="4"/>
        <v/>
      </c>
      <c r="F222" s="217" t="str">
        <f t="shared" si="4"/>
        <v/>
      </c>
      <c r="G222" s="217" t="str">
        <f t="shared" si="4"/>
        <v/>
      </c>
      <c r="H222" s="217" t="str">
        <f t="shared" si="4"/>
        <v/>
      </c>
      <c r="I222" s="219"/>
    </row>
    <row r="223" spans="1:9" x14ac:dyDescent="0.6">
      <c r="B223" s="217"/>
      <c r="C223" s="217"/>
      <c r="D223" s="217" t="str">
        <f t="shared" si="4"/>
        <v/>
      </c>
      <c r="E223" s="217" t="str">
        <f t="shared" si="4"/>
        <v/>
      </c>
      <c r="F223" s="217" t="str">
        <f t="shared" si="4"/>
        <v/>
      </c>
      <c r="G223" s="217" t="str">
        <f t="shared" si="4"/>
        <v/>
      </c>
      <c r="H223" s="217" t="str">
        <f t="shared" si="4"/>
        <v/>
      </c>
      <c r="I223" s="219"/>
    </row>
    <row r="224" spans="1:9" x14ac:dyDescent="0.6">
      <c r="C224" s="217" t="str">
        <f t="shared" si="4"/>
        <v/>
      </c>
      <c r="D224" s="217" t="str">
        <f t="shared" si="4"/>
        <v/>
      </c>
      <c r="E224" s="217" t="str">
        <f t="shared" si="4"/>
        <v/>
      </c>
      <c r="F224" s="217" t="str">
        <f t="shared" si="4"/>
        <v/>
      </c>
      <c r="G224" s="217" t="str">
        <f t="shared" si="4"/>
        <v/>
      </c>
      <c r="H224" s="217" t="str">
        <f t="shared" si="4"/>
        <v/>
      </c>
      <c r="I224" s="219"/>
    </row>
    <row r="225" spans="1:22" x14ac:dyDescent="0.6">
      <c r="B225" s="218" t="s">
        <v>269</v>
      </c>
      <c r="C225" s="217" t="str">
        <f t="shared" si="4"/>
        <v/>
      </c>
      <c r="D225" s="217" t="str">
        <f>IF(D128&gt;0,D128+D$209,"")</f>
        <v/>
      </c>
      <c r="E225" s="217" t="str">
        <f>IF(E128&gt;0,E128+E$209,"")</f>
        <v/>
      </c>
      <c r="F225" s="217" t="str">
        <f>IF(F128&gt;0,F128+F$209,"")</f>
        <v/>
      </c>
      <c r="G225" s="217" t="str">
        <f>IF(G128&gt;0,G128+G$209,"")</f>
        <v/>
      </c>
      <c r="H225" s="217">
        <f>IF(H128&gt;0,H128+H$210,"")</f>
        <v>2.8970000000000002</v>
      </c>
      <c r="I225" s="219"/>
    </row>
    <row r="226" spans="1:22" x14ac:dyDescent="0.6">
      <c r="B226" s="218" t="s">
        <v>270</v>
      </c>
      <c r="H226" s="217">
        <f>IF(H129&gt;0,H129+H$210,"")</f>
        <v>2.8970000000000002</v>
      </c>
      <c r="I226" s="219"/>
    </row>
    <row r="227" spans="1:22" x14ac:dyDescent="0.6">
      <c r="B227" s="218"/>
      <c r="I227" s="219"/>
    </row>
    <row r="228" spans="1:22" x14ac:dyDescent="0.6">
      <c r="B228" s="172" t="s">
        <v>62</v>
      </c>
      <c r="I228" s="219"/>
    </row>
    <row r="229" spans="1:22" x14ac:dyDescent="0.6">
      <c r="B229" s="215" t="s">
        <v>266</v>
      </c>
      <c r="C229" s="217">
        <f t="shared" ref="C229:I233" si="5">IF(C132&gt;0,C132+C$209,"")</f>
        <v>11.193</v>
      </c>
      <c r="D229" s="217" t="str">
        <f t="shared" si="5"/>
        <v/>
      </c>
      <c r="E229" s="217">
        <f t="shared" si="5"/>
        <v>9.5440000000000005</v>
      </c>
      <c r="F229" s="217">
        <f t="shared" si="5"/>
        <v>9.6579999999999995</v>
      </c>
      <c r="G229" s="217">
        <f t="shared" si="5"/>
        <v>9.6319999999999997</v>
      </c>
      <c r="H229" s="217">
        <f t="shared" si="5"/>
        <v>9.270999999999999</v>
      </c>
      <c r="I229" s="219"/>
    </row>
    <row r="230" spans="1:22" x14ac:dyDescent="0.6">
      <c r="B230" s="215" t="s">
        <v>267</v>
      </c>
      <c r="C230" s="217" t="str">
        <f t="shared" si="5"/>
        <v/>
      </c>
      <c r="D230" s="217">
        <f t="shared" si="5"/>
        <v>11.718999999999999</v>
      </c>
      <c r="E230" s="217" t="str">
        <f t="shared" si="5"/>
        <v/>
      </c>
      <c r="F230" s="217" t="str">
        <f t="shared" si="5"/>
        <v/>
      </c>
      <c r="G230" s="217" t="str">
        <f t="shared" si="5"/>
        <v/>
      </c>
      <c r="H230" s="217" t="str">
        <f t="shared" si="5"/>
        <v/>
      </c>
      <c r="I230" s="217">
        <f t="shared" si="5"/>
        <v>16.048999999999999</v>
      </c>
    </row>
    <row r="231" spans="1:22" x14ac:dyDescent="0.6">
      <c r="B231" s="215" t="s">
        <v>268</v>
      </c>
      <c r="C231" s="217" t="str">
        <f t="shared" si="5"/>
        <v/>
      </c>
      <c r="D231" s="217">
        <f t="shared" si="5"/>
        <v>9.5419999999999998</v>
      </c>
      <c r="E231" s="217" t="str">
        <f t="shared" si="5"/>
        <v/>
      </c>
      <c r="F231" s="217" t="str">
        <f t="shared" si="5"/>
        <v/>
      </c>
      <c r="G231" s="217" t="str">
        <f t="shared" si="5"/>
        <v/>
      </c>
      <c r="H231" s="217" t="str">
        <f t="shared" si="5"/>
        <v/>
      </c>
      <c r="I231" s="217">
        <f t="shared" si="5"/>
        <v>9.6289999999999996</v>
      </c>
    </row>
    <row r="232" spans="1:22" x14ac:dyDescent="0.6">
      <c r="C232" s="217" t="str">
        <f t="shared" si="5"/>
        <v/>
      </c>
      <c r="D232" s="217" t="str">
        <f t="shared" si="5"/>
        <v/>
      </c>
      <c r="E232" s="217" t="str">
        <f t="shared" si="5"/>
        <v/>
      </c>
      <c r="F232" s="217" t="str">
        <f t="shared" si="5"/>
        <v/>
      </c>
      <c r="G232" s="217" t="str">
        <f t="shared" si="5"/>
        <v/>
      </c>
      <c r="H232" s="217" t="str">
        <f t="shared" si="5"/>
        <v/>
      </c>
      <c r="I232" s="219"/>
    </row>
    <row r="233" spans="1:22" x14ac:dyDescent="0.6">
      <c r="B233" s="218" t="s">
        <v>269</v>
      </c>
      <c r="C233" s="217" t="str">
        <f t="shared" si="5"/>
        <v/>
      </c>
      <c r="D233" s="217" t="str">
        <f>IF(D136&gt;0,D136+D$209,"")</f>
        <v/>
      </c>
      <c r="E233" s="217" t="str">
        <f>IF(E136&gt;0,E136+E$209,"")</f>
        <v/>
      </c>
      <c r="F233" s="217" t="str">
        <f>IF(F136&gt;0,F136+F$209,"")</f>
        <v/>
      </c>
      <c r="G233" s="217" t="str">
        <f>IF(G136&gt;0,G136+G$209,"")</f>
        <v/>
      </c>
      <c r="H233" s="217">
        <f>IF(H136&gt;0,H136+H$211,"")</f>
        <v>2.6749999999999998</v>
      </c>
      <c r="I233" s="219"/>
    </row>
    <row r="234" spans="1:22" x14ac:dyDescent="0.6">
      <c r="B234" s="218" t="s">
        <v>270</v>
      </c>
      <c r="H234" s="217">
        <f>IF(H137&gt;0,H137+H$211,"")</f>
        <v>2.6749999999999998</v>
      </c>
      <c r="I234" s="219"/>
    </row>
    <row r="235" spans="1:22" x14ac:dyDescent="0.6">
      <c r="B235" s="218"/>
      <c r="I235" s="219"/>
      <c r="J235" s="219"/>
    </row>
    <row r="236" spans="1:22" ht="13.75" thickBot="1" x14ac:dyDescent="0.75"/>
    <row r="237" spans="1:22" ht="13.75" thickBot="1" x14ac:dyDescent="0.75">
      <c r="A237" s="244" t="s">
        <v>381</v>
      </c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6"/>
    </row>
    <row r="238" spans="1:22" ht="13.75" thickBot="1" x14ac:dyDescent="0.75"/>
    <row r="239" spans="1:22" x14ac:dyDescent="0.6">
      <c r="B239" s="247" t="s">
        <v>382</v>
      </c>
      <c r="C239" s="248"/>
      <c r="D239" s="248"/>
      <c r="E239" s="249"/>
      <c r="F239" s="221"/>
    </row>
    <row r="240" spans="1:22" x14ac:dyDescent="0.6">
      <c r="B240" s="250"/>
      <c r="C240" s="19"/>
      <c r="D240" s="19"/>
      <c r="E240" s="219"/>
      <c r="F240" s="223"/>
    </row>
    <row r="241" spans="2:6" x14ac:dyDescent="0.6">
      <c r="B241" s="251" t="s">
        <v>383</v>
      </c>
      <c r="C241" s="19"/>
      <c r="D241" s="19"/>
      <c r="E241" s="219"/>
      <c r="F241" s="223"/>
    </row>
    <row r="242" spans="2:6" x14ac:dyDescent="0.6">
      <c r="B242" s="250"/>
      <c r="C242" s="19"/>
      <c r="D242" s="18" t="s">
        <v>384</v>
      </c>
      <c r="E242" s="252" t="s">
        <v>385</v>
      </c>
      <c r="F242" s="253" t="s">
        <v>36</v>
      </c>
    </row>
    <row r="243" spans="2:6" x14ac:dyDescent="0.6">
      <c r="B243" s="250"/>
      <c r="C243" s="19"/>
      <c r="D243" s="19"/>
      <c r="E243" s="219"/>
      <c r="F243" s="223"/>
    </row>
    <row r="244" spans="2:6" x14ac:dyDescent="0.6">
      <c r="B244" s="250"/>
      <c r="C244" s="19" t="s">
        <v>69</v>
      </c>
      <c r="D244" s="254">
        <v>387158</v>
      </c>
      <c r="E244" s="254">
        <v>42975</v>
      </c>
      <c r="F244" s="255">
        <f>SUM(D244:E244)</f>
        <v>430133</v>
      </c>
    </row>
    <row r="245" spans="2:6" x14ac:dyDescent="0.6">
      <c r="B245" s="250"/>
      <c r="C245" s="19" t="s">
        <v>62</v>
      </c>
      <c r="D245" s="254">
        <v>537488</v>
      </c>
      <c r="E245" s="254">
        <v>59662</v>
      </c>
      <c r="F245" s="255">
        <f>SUM(D245:E245)</f>
        <v>597150</v>
      </c>
    </row>
    <row r="246" spans="2:6" x14ac:dyDescent="0.6">
      <c r="B246" s="250"/>
      <c r="C246" s="256" t="s">
        <v>36</v>
      </c>
      <c r="D246" s="257">
        <f>SUM(D244:D245)</f>
        <v>924646</v>
      </c>
      <c r="E246" s="257">
        <f t="shared" ref="E246:F246" si="6">SUM(E244:E245)</f>
        <v>102637</v>
      </c>
      <c r="F246" s="257">
        <f t="shared" si="6"/>
        <v>1027283</v>
      </c>
    </row>
    <row r="247" spans="2:6" x14ac:dyDescent="0.6">
      <c r="B247" s="250"/>
      <c r="C247" s="19"/>
      <c r="D247" s="19"/>
      <c r="E247" s="219"/>
      <c r="F247" s="223"/>
    </row>
    <row r="248" spans="2:6" x14ac:dyDescent="0.6">
      <c r="B248" s="251" t="s">
        <v>386</v>
      </c>
      <c r="C248" s="19"/>
      <c r="D248" s="19"/>
      <c r="E248" s="219"/>
      <c r="F248" s="223"/>
    </row>
    <row r="249" spans="2:6" x14ac:dyDescent="0.6">
      <c r="B249" s="250"/>
      <c r="C249" s="19"/>
      <c r="D249" s="18" t="s">
        <v>384</v>
      </c>
      <c r="E249" s="252" t="s">
        <v>385</v>
      </c>
      <c r="F249" s="253" t="s">
        <v>36</v>
      </c>
    </row>
    <row r="250" spans="2:6" x14ac:dyDescent="0.6">
      <c r="B250" s="250"/>
      <c r="C250" s="19"/>
      <c r="D250" s="19"/>
      <c r="E250" s="219"/>
      <c r="F250" s="223"/>
    </row>
    <row r="251" spans="2:6" x14ac:dyDescent="0.6">
      <c r="B251" s="250"/>
      <c r="C251" s="19" t="s">
        <v>69</v>
      </c>
      <c r="D251" s="254">
        <v>416741.70849071519</v>
      </c>
      <c r="E251" s="254">
        <v>46696.455569270096</v>
      </c>
      <c r="F251" s="255">
        <f>SUM(D251:E251)</f>
        <v>463438.16405998531</v>
      </c>
    </row>
    <row r="252" spans="2:6" x14ac:dyDescent="0.6">
      <c r="B252" s="250"/>
      <c r="C252" s="19" t="s">
        <v>62</v>
      </c>
      <c r="D252" s="254">
        <v>578537.16994844726</v>
      </c>
      <c r="E252" s="254">
        <v>64218.516936780885</v>
      </c>
      <c r="F252" s="255">
        <f>SUM(D252:E252)</f>
        <v>642755.68688522815</v>
      </c>
    </row>
    <row r="253" spans="2:6" x14ac:dyDescent="0.6">
      <c r="B253" s="258"/>
      <c r="C253" s="256" t="s">
        <v>36</v>
      </c>
      <c r="D253" s="257">
        <f>SUM(D251:D252)</f>
        <v>995278.87843916239</v>
      </c>
      <c r="E253" s="257">
        <f t="shared" ref="E253:F253" si="7">SUM(E251:E252)</f>
        <v>110914.97250605098</v>
      </c>
      <c r="F253" s="257">
        <f t="shared" si="7"/>
        <v>1106193.8509452133</v>
      </c>
    </row>
    <row r="254" spans="2:6" ht="13.75" thickBot="1" x14ac:dyDescent="0.75">
      <c r="B254" s="228"/>
      <c r="C254" s="259"/>
      <c r="D254" s="259"/>
      <c r="E254" s="260"/>
      <c r="F254" s="261"/>
    </row>
    <row r="256" spans="2:6" ht="13.75" thickBot="1" x14ac:dyDescent="0.75"/>
    <row r="257" spans="2:21" ht="16.25" thickBot="1" x14ac:dyDescent="0.85">
      <c r="B257" s="262"/>
      <c r="C257" s="263"/>
      <c r="D257" s="264" t="s">
        <v>387</v>
      </c>
      <c r="E257" s="304" t="s">
        <v>388</v>
      </c>
      <c r="F257" s="304"/>
      <c r="G257" s="305"/>
      <c r="H257" s="304" t="s">
        <v>389</v>
      </c>
      <c r="I257" s="304"/>
      <c r="J257" s="304"/>
      <c r="K257" s="303" t="s">
        <v>390</v>
      </c>
      <c r="L257" s="304"/>
      <c r="M257" s="305"/>
      <c r="N257" s="304" t="s">
        <v>115</v>
      </c>
      <c r="O257" s="304"/>
      <c r="P257" s="303" t="s">
        <v>391</v>
      </c>
      <c r="Q257" s="304"/>
      <c r="R257" s="305"/>
      <c r="S257" s="303" t="s">
        <v>392</v>
      </c>
      <c r="T257" s="304"/>
      <c r="U257" s="305"/>
    </row>
    <row r="258" spans="2:21" ht="43.5" customHeight="1" thickBot="1" x14ac:dyDescent="0.75">
      <c r="B258" s="265"/>
      <c r="C258" s="266"/>
      <c r="D258" s="267" t="s">
        <v>393</v>
      </c>
      <c r="E258" s="268" t="s">
        <v>394</v>
      </c>
      <c r="F258" s="268" t="s">
        <v>395</v>
      </c>
      <c r="G258" s="269" t="s">
        <v>396</v>
      </c>
      <c r="H258" s="268" t="s">
        <v>393</v>
      </c>
      <c r="I258" s="268" t="s">
        <v>395</v>
      </c>
      <c r="J258" s="268" t="s">
        <v>396</v>
      </c>
      <c r="K258" s="270" t="s">
        <v>393</v>
      </c>
      <c r="L258" s="268" t="s">
        <v>397</v>
      </c>
      <c r="M258" s="269" t="s">
        <v>396</v>
      </c>
      <c r="N258" s="268" t="s">
        <v>398</v>
      </c>
      <c r="O258" s="268" t="s">
        <v>396</v>
      </c>
      <c r="P258" s="270" t="s">
        <v>399</v>
      </c>
      <c r="Q258" s="268" t="s">
        <v>400</v>
      </c>
      <c r="R258" s="269" t="s">
        <v>396</v>
      </c>
      <c r="S258" s="270" t="s">
        <v>399</v>
      </c>
      <c r="T258" s="268" t="s">
        <v>400</v>
      </c>
      <c r="U258" s="269" t="s">
        <v>396</v>
      </c>
    </row>
    <row r="259" spans="2:21" x14ac:dyDescent="0.6">
      <c r="B259" s="33"/>
      <c r="C259" s="271"/>
      <c r="D259" s="272"/>
      <c r="E259" s="273"/>
      <c r="F259" s="273"/>
      <c r="G259" s="273"/>
      <c r="H259" s="272"/>
      <c r="I259" s="272"/>
      <c r="J259" s="224"/>
      <c r="K259" s="274"/>
      <c r="L259" s="274"/>
      <c r="M259" s="274"/>
      <c r="N259" s="272"/>
      <c r="O259" s="224"/>
      <c r="P259" s="274"/>
      <c r="Q259" s="274"/>
      <c r="R259" s="275"/>
      <c r="S259" s="274"/>
      <c r="T259" s="274"/>
      <c r="U259" s="275"/>
    </row>
    <row r="260" spans="2:21" x14ac:dyDescent="0.6">
      <c r="B260" s="32">
        <v>45444</v>
      </c>
      <c r="C260" s="271"/>
      <c r="D260" s="276">
        <v>8555</v>
      </c>
      <c r="E260" s="277"/>
      <c r="F260" s="277"/>
      <c r="G260" s="277"/>
      <c r="H260" s="276">
        <v>0</v>
      </c>
      <c r="I260" s="278">
        <v>0</v>
      </c>
      <c r="J260" s="279">
        <f t="shared" ref="J260:J271" si="8">H260*I260</f>
        <v>0</v>
      </c>
      <c r="K260" s="280">
        <f>D260-H260</f>
        <v>8555</v>
      </c>
      <c r="L260" s="278">
        <v>36.65</v>
      </c>
      <c r="M260" s="281">
        <f t="shared" ref="M260:M271" si="9">K260*L260</f>
        <v>313540.75</v>
      </c>
      <c r="N260" s="278">
        <v>3.0262208319866586</v>
      </c>
      <c r="O260" s="279">
        <f t="shared" ref="O260:O271" si="10">N260*(K260+H260)</f>
        <v>25889.319217645865</v>
      </c>
      <c r="P260" s="278">
        <v>0</v>
      </c>
      <c r="Q260" s="278">
        <v>0</v>
      </c>
      <c r="R260" s="281">
        <f>P260*Q260*1000</f>
        <v>0</v>
      </c>
      <c r="S260" s="278">
        <v>47.124168852124669</v>
      </c>
      <c r="T260" s="278">
        <v>6.6573983580922595</v>
      </c>
      <c r="U260" s="281">
        <f>S260*T260*1000</f>
        <v>313724.36434259714</v>
      </c>
    </row>
    <row r="261" spans="2:21" x14ac:dyDescent="0.6">
      <c r="B261" s="32">
        <f>B260+31-DAY(B260+31)+1</f>
        <v>45474</v>
      </c>
      <c r="C261" s="271"/>
      <c r="D261" s="276">
        <v>12329</v>
      </c>
      <c r="E261" s="277"/>
      <c r="F261" s="277"/>
      <c r="G261" s="277"/>
      <c r="H261" s="276">
        <v>0</v>
      </c>
      <c r="I261" s="278">
        <v>0</v>
      </c>
      <c r="J261" s="279">
        <f t="shared" si="8"/>
        <v>0</v>
      </c>
      <c r="K261" s="280">
        <f t="shared" ref="K261:K271" si="11">D261-H261</f>
        <v>12329</v>
      </c>
      <c r="L261" s="278">
        <v>51.519354838709681</v>
      </c>
      <c r="M261" s="281">
        <f t="shared" si="9"/>
        <v>635182.12580645166</v>
      </c>
      <c r="N261" s="278">
        <v>2.7028240670859121</v>
      </c>
      <c r="O261" s="279">
        <f t="shared" si="10"/>
        <v>33323.117923102211</v>
      </c>
      <c r="P261" s="278">
        <v>0</v>
      </c>
      <c r="Q261" s="278">
        <v>0</v>
      </c>
      <c r="R261" s="281">
        <f t="shared" ref="R261:R271" si="12">P261*Q261*1000</f>
        <v>0</v>
      </c>
      <c r="S261" s="278">
        <v>46.269333746978987</v>
      </c>
      <c r="T261" s="278">
        <v>7.047084752554599</v>
      </c>
      <c r="U261" s="281">
        <f t="shared" ref="U261:U271" si="13">S261*T261*1000</f>
        <v>326063.91635919554</v>
      </c>
    </row>
    <row r="262" spans="2:21" x14ac:dyDescent="0.6">
      <c r="B262" s="32">
        <f t="shared" ref="B262:B271" si="14">B261+31-DAY(B261+31)+1</f>
        <v>45505</v>
      </c>
      <c r="C262" s="271"/>
      <c r="D262" s="276">
        <v>11578</v>
      </c>
      <c r="E262" s="277"/>
      <c r="F262" s="277"/>
      <c r="G262" s="277"/>
      <c r="H262" s="276">
        <v>0</v>
      </c>
      <c r="I262" s="278">
        <v>0</v>
      </c>
      <c r="J262" s="279">
        <f t="shared" si="8"/>
        <v>0</v>
      </c>
      <c r="K262" s="280">
        <f t="shared" si="11"/>
        <v>11578</v>
      </c>
      <c r="L262" s="278">
        <v>41.839784946236556</v>
      </c>
      <c r="M262" s="281">
        <f t="shared" si="9"/>
        <v>484421.03010752687</v>
      </c>
      <c r="N262" s="278">
        <v>2.6942204079554282</v>
      </c>
      <c r="O262" s="279">
        <f t="shared" si="10"/>
        <v>31193.683883307946</v>
      </c>
      <c r="P262" s="278">
        <v>0</v>
      </c>
      <c r="Q262" s="278">
        <v>0</v>
      </c>
      <c r="R262" s="281">
        <f t="shared" si="12"/>
        <v>0</v>
      </c>
      <c r="S262" s="278">
        <v>46.269333746978987</v>
      </c>
      <c r="T262" s="278">
        <v>6.9831515089722682</v>
      </c>
      <c r="U262" s="281">
        <f t="shared" si="13"/>
        <v>323105.76777435781</v>
      </c>
    </row>
    <row r="263" spans="2:21" x14ac:dyDescent="0.6">
      <c r="B263" s="32">
        <f t="shared" si="14"/>
        <v>45536</v>
      </c>
      <c r="C263" s="271"/>
      <c r="D263" s="276">
        <v>8362</v>
      </c>
      <c r="E263" s="277"/>
      <c r="F263" s="277"/>
      <c r="G263" s="277"/>
      <c r="H263" s="276">
        <v>0</v>
      </c>
      <c r="I263" s="278">
        <v>0</v>
      </c>
      <c r="J263" s="279">
        <f t="shared" si="8"/>
        <v>0</v>
      </c>
      <c r="K263" s="280">
        <f t="shared" si="11"/>
        <v>8362</v>
      </c>
      <c r="L263" s="278">
        <v>34.638888888888886</v>
      </c>
      <c r="M263" s="281">
        <f t="shared" si="9"/>
        <v>289650.38888888888</v>
      </c>
      <c r="N263" s="278">
        <v>1.9742056815503823</v>
      </c>
      <c r="O263" s="279">
        <f t="shared" si="10"/>
        <v>16508.307909124298</v>
      </c>
      <c r="P263" s="278">
        <v>0</v>
      </c>
      <c r="Q263" s="278">
        <v>0</v>
      </c>
      <c r="R263" s="281">
        <f t="shared" si="12"/>
        <v>0</v>
      </c>
      <c r="S263" s="278">
        <v>46.269333746978987</v>
      </c>
      <c r="T263" s="278">
        <v>7.0878292682926833</v>
      </c>
      <c r="U263" s="281">
        <f t="shared" si="13"/>
        <v>327949.13795623998</v>
      </c>
    </row>
    <row r="264" spans="2:21" x14ac:dyDescent="0.6">
      <c r="B264" s="32">
        <f t="shared" si="14"/>
        <v>45566</v>
      </c>
      <c r="C264" s="271"/>
      <c r="D264" s="276">
        <v>7614</v>
      </c>
      <c r="E264" s="277"/>
      <c r="F264" s="277"/>
      <c r="G264" s="277"/>
      <c r="H264" s="276">
        <v>0</v>
      </c>
      <c r="I264" s="278">
        <v>0</v>
      </c>
      <c r="J264" s="279">
        <f t="shared" si="8"/>
        <v>0</v>
      </c>
      <c r="K264" s="280">
        <f t="shared" si="11"/>
        <v>7614</v>
      </c>
      <c r="L264" s="278">
        <v>35.710752688172043</v>
      </c>
      <c r="M264" s="281">
        <f t="shared" si="9"/>
        <v>271901.67096774193</v>
      </c>
      <c r="N264" s="278">
        <v>2.2832247072888245</v>
      </c>
      <c r="O264" s="279">
        <f t="shared" si="10"/>
        <v>17384.472921297111</v>
      </c>
      <c r="P264" s="278">
        <v>0</v>
      </c>
      <c r="Q264" s="278">
        <v>0</v>
      </c>
      <c r="R264" s="281">
        <f t="shared" si="12"/>
        <v>0</v>
      </c>
      <c r="S264" s="278">
        <v>46.269333746978987</v>
      </c>
      <c r="T264" s="278">
        <v>7.1121219512195122</v>
      </c>
      <c r="U264" s="281">
        <f t="shared" si="13"/>
        <v>329073.14421019098</v>
      </c>
    </row>
    <row r="265" spans="2:21" x14ac:dyDescent="0.6">
      <c r="B265" s="32">
        <f t="shared" si="14"/>
        <v>45597</v>
      </c>
      <c r="C265" s="271"/>
      <c r="D265" s="276">
        <v>7429</v>
      </c>
      <c r="E265" s="277"/>
      <c r="F265" s="277"/>
      <c r="G265" s="277"/>
      <c r="H265" s="276">
        <v>0</v>
      </c>
      <c r="I265" s="278">
        <v>0</v>
      </c>
      <c r="J265" s="279">
        <f t="shared" si="8"/>
        <v>0</v>
      </c>
      <c r="K265" s="280">
        <f t="shared" si="11"/>
        <v>7429</v>
      </c>
      <c r="L265" s="278">
        <v>45.400624133148405</v>
      </c>
      <c r="M265" s="281">
        <f t="shared" si="9"/>
        <v>337281.2366851595</v>
      </c>
      <c r="N265" s="278">
        <v>2.7050558546645038</v>
      </c>
      <c r="O265" s="279">
        <f t="shared" si="10"/>
        <v>20095.8599443026</v>
      </c>
      <c r="P265" s="278">
        <v>0</v>
      </c>
      <c r="Q265" s="278">
        <v>0</v>
      </c>
      <c r="R265" s="281">
        <f t="shared" si="12"/>
        <v>0</v>
      </c>
      <c r="S265" s="278">
        <v>46.269333746978987</v>
      </c>
      <c r="T265" s="278">
        <v>4.2420824564759894</v>
      </c>
      <c r="U265" s="281">
        <f t="shared" si="13"/>
        <v>196278.32896089202</v>
      </c>
    </row>
    <row r="266" spans="2:21" x14ac:dyDescent="0.6">
      <c r="B266" s="32">
        <f t="shared" si="14"/>
        <v>45627</v>
      </c>
      <c r="C266" s="271"/>
      <c r="D266" s="276">
        <v>9773</v>
      </c>
      <c r="E266" s="277"/>
      <c r="F266" s="277"/>
      <c r="G266" s="277"/>
      <c r="H266" s="276">
        <v>0</v>
      </c>
      <c r="I266" s="278">
        <v>0</v>
      </c>
      <c r="J266" s="279">
        <f t="shared" si="8"/>
        <v>0</v>
      </c>
      <c r="K266" s="280">
        <f t="shared" si="11"/>
        <v>9773</v>
      </c>
      <c r="L266" s="278">
        <v>64.153225806451616</v>
      </c>
      <c r="M266" s="281">
        <f t="shared" si="9"/>
        <v>626969.47580645164</v>
      </c>
      <c r="N266" s="278">
        <v>2.6077628046077717</v>
      </c>
      <c r="O266" s="279">
        <f t="shared" si="10"/>
        <v>25485.665889431752</v>
      </c>
      <c r="P266" s="278">
        <v>0</v>
      </c>
      <c r="Q266" s="278">
        <v>0</v>
      </c>
      <c r="R266" s="281">
        <f t="shared" si="12"/>
        <v>0</v>
      </c>
      <c r="S266" s="278">
        <v>46.269333746978987</v>
      </c>
      <c r="T266" s="278">
        <v>4.1915621056426886</v>
      </c>
      <c r="U266" s="281">
        <f t="shared" si="13"/>
        <v>193940.78598717155</v>
      </c>
    </row>
    <row r="267" spans="2:21" x14ac:dyDescent="0.6">
      <c r="B267" s="32">
        <f t="shared" si="14"/>
        <v>45658</v>
      </c>
      <c r="C267" s="271"/>
      <c r="D267" s="276">
        <v>10212</v>
      </c>
      <c r="E267" s="277"/>
      <c r="F267" s="277"/>
      <c r="G267" s="277"/>
      <c r="H267" s="276">
        <v>0</v>
      </c>
      <c r="I267" s="278">
        <v>32.39</v>
      </c>
      <c r="J267" s="279">
        <f t="shared" si="8"/>
        <v>0</v>
      </c>
      <c r="K267" s="280">
        <f t="shared" si="11"/>
        <v>10212</v>
      </c>
      <c r="L267" s="278">
        <v>80.332258064516125</v>
      </c>
      <c r="M267" s="281">
        <f t="shared" si="9"/>
        <v>820353.01935483865</v>
      </c>
      <c r="N267" s="278">
        <v>2.1744709520896541</v>
      </c>
      <c r="O267" s="279">
        <f t="shared" si="10"/>
        <v>22205.697362739549</v>
      </c>
      <c r="P267" s="278">
        <v>0</v>
      </c>
      <c r="Q267" s="278">
        <v>0</v>
      </c>
      <c r="R267" s="281">
        <f t="shared" si="12"/>
        <v>0</v>
      </c>
      <c r="S267" s="278">
        <v>46.269333746978987</v>
      </c>
      <c r="T267" s="278">
        <v>4.1322089840605374</v>
      </c>
      <c r="U267" s="281">
        <f t="shared" si="13"/>
        <v>191194.55659576197</v>
      </c>
    </row>
    <row r="268" spans="2:21" x14ac:dyDescent="0.6">
      <c r="B268" s="32">
        <f t="shared" si="14"/>
        <v>45689</v>
      </c>
      <c r="C268" s="271"/>
      <c r="D268" s="276">
        <v>8741</v>
      </c>
      <c r="E268" s="277"/>
      <c r="F268" s="277"/>
      <c r="G268" s="277"/>
      <c r="H268" s="276">
        <v>0</v>
      </c>
      <c r="I268" s="278">
        <v>32.39</v>
      </c>
      <c r="J268" s="279">
        <f t="shared" si="8"/>
        <v>0</v>
      </c>
      <c r="K268" s="280">
        <f t="shared" si="11"/>
        <v>8741</v>
      </c>
      <c r="L268" s="278">
        <v>80.009523809523813</v>
      </c>
      <c r="M268" s="281">
        <f t="shared" si="9"/>
        <v>699363.24761904764</v>
      </c>
      <c r="N268" s="278">
        <v>2.1543847465442028</v>
      </c>
      <c r="O268" s="279">
        <f t="shared" si="10"/>
        <v>18831.477069542878</v>
      </c>
      <c r="P268" s="278">
        <v>0</v>
      </c>
      <c r="Q268" s="278">
        <v>0</v>
      </c>
      <c r="R268" s="281">
        <f t="shared" si="12"/>
        <v>0</v>
      </c>
      <c r="S268" s="278">
        <v>46.269333746978987</v>
      </c>
      <c r="T268" s="278">
        <v>4.1350327423734221</v>
      </c>
      <c r="U268" s="281">
        <f t="shared" si="13"/>
        <v>191325.21001156163</v>
      </c>
    </row>
    <row r="269" spans="2:21" x14ac:dyDescent="0.6">
      <c r="B269" s="32">
        <f t="shared" si="14"/>
        <v>45717</v>
      </c>
      <c r="C269" s="271"/>
      <c r="D269" s="276">
        <v>8431</v>
      </c>
      <c r="E269" s="277"/>
      <c r="F269" s="277"/>
      <c r="G269" s="277"/>
      <c r="H269" s="276">
        <v>0</v>
      </c>
      <c r="I269" s="278">
        <v>32.39</v>
      </c>
      <c r="J269" s="279">
        <f t="shared" si="8"/>
        <v>0</v>
      </c>
      <c r="K269" s="280">
        <f t="shared" si="11"/>
        <v>8431</v>
      </c>
      <c r="L269" s="278">
        <v>50.681157469717363</v>
      </c>
      <c r="M269" s="281">
        <f t="shared" si="9"/>
        <v>427292.83862718707</v>
      </c>
      <c r="N269" s="278">
        <v>2.4272638038111842</v>
      </c>
      <c r="O269" s="279">
        <f t="shared" si="10"/>
        <v>20464.261129932092</v>
      </c>
      <c r="P269" s="278">
        <v>0</v>
      </c>
      <c r="Q269" s="278">
        <v>0</v>
      </c>
      <c r="R269" s="281">
        <f t="shared" si="12"/>
        <v>0</v>
      </c>
      <c r="S269" s="278">
        <v>46.269333746978987</v>
      </c>
      <c r="T269" s="278">
        <v>4.1234395813510938</v>
      </c>
      <c r="U269" s="281">
        <f t="shared" si="13"/>
        <v>190788.80217503707</v>
      </c>
    </row>
    <row r="270" spans="2:21" x14ac:dyDescent="0.6">
      <c r="B270" s="32">
        <f t="shared" si="14"/>
        <v>45748</v>
      </c>
      <c r="C270" s="271"/>
      <c r="D270" s="276">
        <v>7247</v>
      </c>
      <c r="E270" s="277"/>
      <c r="F270" s="277"/>
      <c r="G270" s="277"/>
      <c r="H270" s="276">
        <v>0</v>
      </c>
      <c r="I270" s="278">
        <v>32.39</v>
      </c>
      <c r="J270" s="279">
        <f t="shared" si="8"/>
        <v>0</v>
      </c>
      <c r="K270" s="280">
        <f t="shared" si="11"/>
        <v>7247</v>
      </c>
      <c r="L270" s="278">
        <v>36.128888888888881</v>
      </c>
      <c r="M270" s="281">
        <f t="shared" si="9"/>
        <v>261826.05777777772</v>
      </c>
      <c r="N270" s="278">
        <v>2.6528367095735668</v>
      </c>
      <c r="O270" s="279">
        <f t="shared" si="10"/>
        <v>19225.107634279637</v>
      </c>
      <c r="P270" s="278">
        <v>0</v>
      </c>
      <c r="Q270" s="278">
        <v>0</v>
      </c>
      <c r="R270" s="281">
        <f t="shared" si="12"/>
        <v>0</v>
      </c>
      <c r="S270" s="278">
        <v>46.269333746978987</v>
      </c>
      <c r="T270" s="278">
        <v>4.1351237743128113</v>
      </c>
      <c r="U270" s="281">
        <f t="shared" si="13"/>
        <v>191329.42199874687</v>
      </c>
    </row>
    <row r="271" spans="2:21" x14ac:dyDescent="0.6">
      <c r="B271" s="32">
        <f t="shared" si="14"/>
        <v>45778</v>
      </c>
      <c r="C271" s="271"/>
      <c r="D271" s="276">
        <v>6950</v>
      </c>
      <c r="E271" s="277"/>
      <c r="F271" s="277"/>
      <c r="G271" s="277"/>
      <c r="H271" s="276">
        <v>0</v>
      </c>
      <c r="I271" s="278">
        <v>32.39</v>
      </c>
      <c r="J271" s="279">
        <f t="shared" si="8"/>
        <v>0</v>
      </c>
      <c r="K271" s="280">
        <f t="shared" si="11"/>
        <v>6950</v>
      </c>
      <c r="L271" s="278">
        <v>37.641935483870967</v>
      </c>
      <c r="M271" s="281">
        <f t="shared" si="9"/>
        <v>261611.45161290321</v>
      </c>
      <c r="N271" s="278">
        <v>2.7056563353162648</v>
      </c>
      <c r="O271" s="279">
        <f t="shared" si="10"/>
        <v>18804.311530448042</v>
      </c>
      <c r="P271" s="278">
        <v>0</v>
      </c>
      <c r="Q271" s="278">
        <v>0</v>
      </c>
      <c r="R271" s="281">
        <f t="shared" si="12"/>
        <v>0</v>
      </c>
      <c r="S271" s="278">
        <v>46.269333746978987</v>
      </c>
      <c r="T271" s="278">
        <v>8.2658172863666</v>
      </c>
      <c r="U271" s="281">
        <f t="shared" si="13"/>
        <v>382453.85871444439</v>
      </c>
    </row>
    <row r="272" spans="2:21" ht="13.75" thickBot="1" x14ac:dyDescent="0.75">
      <c r="B272" s="282"/>
      <c r="C272" s="261"/>
      <c r="D272" s="272"/>
      <c r="E272" s="283"/>
      <c r="F272" s="283"/>
      <c r="G272" s="284"/>
      <c r="H272" s="272"/>
      <c r="I272" s="272"/>
      <c r="J272" s="283"/>
      <c r="K272" s="285"/>
      <c r="L272" s="285"/>
      <c r="M272" s="285"/>
      <c r="N272" s="272"/>
      <c r="O272" s="283"/>
      <c r="P272" s="285"/>
      <c r="Q272" s="285"/>
      <c r="R272" s="286"/>
      <c r="S272" s="285"/>
      <c r="T272" s="285"/>
      <c r="U272" s="286"/>
    </row>
    <row r="273" spans="2:21" ht="13.75" thickBot="1" x14ac:dyDescent="0.75">
      <c r="B273" s="287" t="s">
        <v>36</v>
      </c>
      <c r="C273" s="288"/>
      <c r="D273" s="289">
        <f>SUM(D260:D272)</f>
        <v>107221</v>
      </c>
      <c r="E273" s="290">
        <v>0</v>
      </c>
      <c r="F273" s="291">
        <v>0</v>
      </c>
      <c r="G273" s="292">
        <v>0</v>
      </c>
      <c r="H273" s="290">
        <f>SUM(H260:H272)</f>
        <v>0</v>
      </c>
      <c r="I273" s="291"/>
      <c r="J273" s="290">
        <f>SUM(J260:J272)</f>
        <v>0</v>
      </c>
      <c r="K273" s="289">
        <f>SUM(K260:K272)</f>
        <v>107221</v>
      </c>
      <c r="L273" s="293"/>
      <c r="M273" s="289">
        <f>SUM(M260:M272)</f>
        <v>5429393.293253975</v>
      </c>
      <c r="N273" s="294">
        <f>O273/D273</f>
        <v>2.512672726566195</v>
      </c>
      <c r="O273" s="290">
        <f>SUM(O260:O271)</f>
        <v>269411.28241515398</v>
      </c>
      <c r="P273" s="293"/>
      <c r="Q273" s="293"/>
      <c r="R273" s="289">
        <f>SUM(R260:R272)</f>
        <v>0</v>
      </c>
      <c r="S273" s="293"/>
      <c r="T273" s="293"/>
      <c r="U273" s="289">
        <f>SUM(U260:U272)</f>
        <v>3157227.2950861971</v>
      </c>
    </row>
    <row r="277" spans="2:21" x14ac:dyDescent="0.6">
      <c r="B277" s="295" t="s">
        <v>401</v>
      </c>
      <c r="C277" s="224"/>
      <c r="D277" s="224"/>
      <c r="E277" s="224"/>
    </row>
    <row r="278" spans="2:21" x14ac:dyDescent="0.6">
      <c r="B278" s="224"/>
      <c r="C278" s="224"/>
      <c r="D278" s="224"/>
      <c r="E278" s="224"/>
    </row>
    <row r="279" spans="2:21" x14ac:dyDescent="0.6">
      <c r="B279" s="209" t="s">
        <v>402</v>
      </c>
      <c r="C279" s="224"/>
      <c r="D279" s="296">
        <f>$G$273</f>
        <v>0</v>
      </c>
      <c r="E279" s="297">
        <f>ROUND(D279/$D$273,2)</f>
        <v>0</v>
      </c>
    </row>
    <row r="280" spans="2:21" x14ac:dyDescent="0.6">
      <c r="B280" s="209" t="s">
        <v>389</v>
      </c>
      <c r="C280" s="224"/>
      <c r="D280" s="296">
        <f>$J$273</f>
        <v>0</v>
      </c>
      <c r="E280" s="297">
        <f>ROUND(D280/$D$273,2)</f>
        <v>0</v>
      </c>
    </row>
    <row r="281" spans="2:21" x14ac:dyDescent="0.6">
      <c r="B281" s="209" t="s">
        <v>390</v>
      </c>
      <c r="C281" s="224"/>
      <c r="D281" s="296">
        <f>$M$273</f>
        <v>5429393.293253975</v>
      </c>
      <c r="E281" s="297">
        <f>ROUND(D281/$K$273,2)</f>
        <v>50.64</v>
      </c>
    </row>
    <row r="282" spans="2:21" x14ac:dyDescent="0.6">
      <c r="B282" s="209" t="s">
        <v>115</v>
      </c>
      <c r="C282" s="224"/>
      <c r="D282" s="296">
        <f>O273</f>
        <v>269411.28241515398</v>
      </c>
      <c r="E282" s="297">
        <f>ROUND(D282/$D$273,2)</f>
        <v>2.5099999999999998</v>
      </c>
    </row>
    <row r="283" spans="2:21" x14ac:dyDescent="0.6">
      <c r="B283" s="209" t="s">
        <v>391</v>
      </c>
      <c r="C283" s="224"/>
      <c r="D283" s="298">
        <f>U273</f>
        <v>3157227.2950861971</v>
      </c>
      <c r="E283" s="299">
        <f>ROUND(D283/$D$273,2)</f>
        <v>29.45</v>
      </c>
    </row>
    <row r="284" spans="2:21" x14ac:dyDescent="0.6">
      <c r="B284" s="224"/>
      <c r="C284" s="224"/>
      <c r="D284" s="296">
        <f>SUM(D279:D283)</f>
        <v>8856031.870755326</v>
      </c>
      <c r="E284" s="297">
        <f>SUM(E279:E283)</f>
        <v>82.6</v>
      </c>
    </row>
    <row r="285" spans="2:21" x14ac:dyDescent="0.6">
      <c r="B285" s="224" t="s">
        <v>403</v>
      </c>
      <c r="C285" s="224"/>
      <c r="D285" s="296">
        <f>$D$273</f>
        <v>107221</v>
      </c>
    </row>
    <row r="286" spans="2:21" x14ac:dyDescent="0.6">
      <c r="B286" s="224" t="s">
        <v>242</v>
      </c>
      <c r="C286" s="224"/>
      <c r="D286" s="213">
        <f>ROUND(D284/D285,2)</f>
        <v>82.6</v>
      </c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Chauncey</dc:creator>
  <cp:lastModifiedBy>Morrison, Kate</cp:lastModifiedBy>
  <dcterms:created xsi:type="dcterms:W3CDTF">2024-01-10T16:04:52Z</dcterms:created>
  <dcterms:modified xsi:type="dcterms:W3CDTF">2024-02-14T17:50:21Z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d9d511-a1f7-4d2c-8314-821736fca4b5_Enabled">
    <vt:lpwstr>true</vt:lpwstr>
  </property>
  <property fmtid="{D5CDD505-2E9C-101B-9397-08002B2CF9AE}" pid="3" name="MSIP_Label_90d9d511-a1f7-4d2c-8314-821736fca4b5_SetDate">
    <vt:lpwstr>2024-01-10T16:07:45Z</vt:lpwstr>
  </property>
  <property fmtid="{D5CDD505-2E9C-101B-9397-08002B2CF9AE}" pid="4" name="MSIP_Label_90d9d511-a1f7-4d2c-8314-821736fca4b5_Method">
    <vt:lpwstr>Privileged</vt:lpwstr>
  </property>
  <property fmtid="{D5CDD505-2E9C-101B-9397-08002B2CF9AE}" pid="5" name="MSIP_Label_90d9d511-a1f7-4d2c-8314-821736fca4b5_Name">
    <vt:lpwstr>Public (No Label)</vt:lpwstr>
  </property>
  <property fmtid="{D5CDD505-2E9C-101B-9397-08002B2CF9AE}" pid="6" name="MSIP_Label_90d9d511-a1f7-4d2c-8314-821736fca4b5_SiteId">
    <vt:lpwstr>e9aef9b7-25ca-4518-a881-33e546773136</vt:lpwstr>
  </property>
  <property fmtid="{D5CDD505-2E9C-101B-9397-08002B2CF9AE}" pid="7" name="MSIP_Label_90d9d511-a1f7-4d2c-8314-821736fca4b5_ActionId">
    <vt:lpwstr>ec94add9-3a5a-468d-95d6-1955b4b175df</vt:lpwstr>
  </property>
  <property fmtid="{D5CDD505-2E9C-101B-9397-08002B2CF9AE}" pid="8" name="MSIP_Label_90d9d511-a1f7-4d2c-8314-821736fca4b5_ContentBits">
    <vt:lpwstr>0</vt:lpwstr>
  </property>
  <property fmtid="{D5CDD505-2E9C-101B-9397-08002B2CF9AE}" pid="9" name="MSIP_Label_38f1469a-2c2a-4aee-b92b-090d4c5468ff_Enabled">
    <vt:lpwstr>true</vt:lpwstr>
  </property>
  <property fmtid="{D5CDD505-2E9C-101B-9397-08002B2CF9AE}" pid="10" name="MSIP_Label_38f1469a-2c2a-4aee-b92b-090d4c5468ff_SetDate">
    <vt:lpwstr>2024-01-11T15:17:00Z</vt:lpwstr>
  </property>
  <property fmtid="{D5CDD505-2E9C-101B-9397-08002B2CF9AE}" pid="11" name="MSIP_Label_38f1469a-2c2a-4aee-b92b-090d4c5468ff_Method">
    <vt:lpwstr>Standard</vt:lpwstr>
  </property>
  <property fmtid="{D5CDD505-2E9C-101B-9397-08002B2CF9AE}" pid="12" name="MSIP_Label_38f1469a-2c2a-4aee-b92b-090d4c5468ff_Name">
    <vt:lpwstr>Confidential - Unmarked</vt:lpwstr>
  </property>
  <property fmtid="{D5CDD505-2E9C-101B-9397-08002B2CF9AE}" pid="13" name="MSIP_Label_38f1469a-2c2a-4aee-b92b-090d4c5468ff_SiteId">
    <vt:lpwstr>2a6e6092-73e4-4752-b1a5-477a17f5056d</vt:lpwstr>
  </property>
  <property fmtid="{D5CDD505-2E9C-101B-9397-08002B2CF9AE}" pid="14" name="MSIP_Label_38f1469a-2c2a-4aee-b92b-090d4c5468ff_ActionId">
    <vt:lpwstr>7c2867e3-bde9-4ec1-9e6d-38717ae8d687</vt:lpwstr>
  </property>
  <property fmtid="{D5CDD505-2E9C-101B-9397-08002B2CF9AE}" pid="15" name="MSIP_Label_38f1469a-2c2a-4aee-b92b-090d4c5468ff_ContentBits">
    <vt:lpwstr>0</vt:lpwstr>
  </property>
</Properties>
</file>