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\\nera-dcfs\WORK\Projects\Energy\BGS 22-23(A) (118035)\2022 Auction\3 RSCP Rates\2 Compliance Filing\2 Files from EDCs\to post\"/>
    </mc:Choice>
  </mc:AlternateContent>
  <xr:revisionPtr revIDLastSave="0" documentId="13_ncr:1_{88E504D6-FF51-4C70-AD20-491DB988B068}" xr6:coauthVersionLast="46" xr6:coauthVersionMax="46" xr10:uidLastSave="{00000000-0000-0000-0000-000000000000}"/>
  <bookViews>
    <workbookView xWindow="45972" yWindow="-108" windowWidth="30936" windowHeight="16896" activeTab="2" xr2:uid="{00000000-000D-0000-FFFF-FFFF00000000}"/>
  </bookViews>
  <sheets>
    <sheet name="Input" sheetId="1" r:id="rId1"/>
    <sheet name="Att 2" sheetId="2" r:id="rId2"/>
    <sheet name="Att 3" sheetId="3" r:id="rId3"/>
    <sheet name="Att 4-1" sheetId="4" r:id="rId4"/>
    <sheet name="Att 4-2" sheetId="5" r:id="rId5"/>
    <sheet name="Att 4-3" sheetId="6" r:id="rId6"/>
    <sheet name="Att 4-4" sheetId="7" r:id="rId7"/>
    <sheet name="Att 4-5" sheetId="8" r:id="rId8"/>
    <sheet name="Att 5" sheetId="9" r:id="rId9"/>
  </sheets>
  <definedNames>
    <definedName name="\a" localSheetId="3">#REF!</definedName>
    <definedName name="\a" localSheetId="4">#REF!</definedName>
    <definedName name="\a" localSheetId="5">#REF!</definedName>
    <definedName name="\a" localSheetId="6">#REF!</definedName>
    <definedName name="\a" localSheetId="7">#REF!</definedName>
    <definedName name="\a">#REF!</definedName>
    <definedName name="_xlnm._FilterDatabase" localSheetId="0" hidden="1">Input!$N$13:$W$141</definedName>
    <definedName name="Co_letter" localSheetId="3">#REF!</definedName>
    <definedName name="Co_letter" localSheetId="4">#REF!</definedName>
    <definedName name="Co_letter" localSheetId="5">#REF!</definedName>
    <definedName name="Co_letter" localSheetId="6">#REF!</definedName>
    <definedName name="Co_letter" localSheetId="7">#REF!</definedName>
    <definedName name="Co_letter">#REF!</definedName>
    <definedName name="Co_List" localSheetId="3">#REF!</definedName>
    <definedName name="Co_List" localSheetId="4">#REF!</definedName>
    <definedName name="Co_List" localSheetId="5">#REF!</definedName>
    <definedName name="Co_List" localSheetId="6">#REF!</definedName>
    <definedName name="Co_List" localSheetId="7">#REF!</definedName>
    <definedName name="Co_List">#REF!</definedName>
    <definedName name="Co_Listc" localSheetId="3">#REF!</definedName>
    <definedName name="Co_Listc" localSheetId="4">#REF!</definedName>
    <definedName name="Co_Listc" localSheetId="5">#REF!</definedName>
    <definedName name="Co_Listc">#REF!</definedName>
    <definedName name="Co_Name" localSheetId="3">#REF!</definedName>
    <definedName name="Co_Name" localSheetId="4">#REF!</definedName>
    <definedName name="Co_Name" localSheetId="5">#REF!</definedName>
    <definedName name="Co_Name" localSheetId="6">#REF!</definedName>
    <definedName name="Co_Name" localSheetId="7">#REF!</definedName>
    <definedName name="Co_Name">#REF!</definedName>
    <definedName name="Co_Picked" localSheetId="3">#REF!</definedName>
    <definedName name="Co_Picked" localSheetId="4">#REF!</definedName>
    <definedName name="Co_Picked" localSheetId="5">#REF!</definedName>
    <definedName name="Co_Picked" localSheetId="6">#REF!</definedName>
    <definedName name="Co_Picked" localSheetId="7">#REF!</definedName>
    <definedName name="Co_Picked">#REF!</definedName>
    <definedName name="Get_Co" localSheetId="3">#REF!</definedName>
    <definedName name="Get_Co" localSheetId="4">#REF!</definedName>
    <definedName name="Get_Co" localSheetId="5">#REF!</definedName>
    <definedName name="Get_Co" localSheetId="6">#REF!</definedName>
    <definedName name="Get_Co" localSheetId="7">#REF!</definedName>
    <definedName name="Get_Co">#REF!</definedName>
    <definedName name="Get_Mo" localSheetId="3">#REF!</definedName>
    <definedName name="Get_Mo" localSheetId="4">#REF!</definedName>
    <definedName name="Get_Mo" localSheetId="5">#REF!</definedName>
    <definedName name="Get_Mo" localSheetId="6">#REF!</definedName>
    <definedName name="Get_Mo" localSheetId="7">#REF!</definedName>
    <definedName name="Get_Mo">#REF!</definedName>
    <definedName name="Get_moc" localSheetId="3">#REF!</definedName>
    <definedName name="Get_moc" localSheetId="4">#REF!</definedName>
    <definedName name="Get_moc" localSheetId="5">#REF!</definedName>
    <definedName name="Get_moc">#REF!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Mo_List" localSheetId="3">#REF!</definedName>
    <definedName name="Mo_List" localSheetId="4">#REF!</definedName>
    <definedName name="Mo_List" localSheetId="5">#REF!</definedName>
    <definedName name="Mo_List" localSheetId="6">#REF!</definedName>
    <definedName name="Mo_List" localSheetId="7">#REF!</definedName>
    <definedName name="Mo_List">#REF!</definedName>
    <definedName name="Mo_Picked" localSheetId="3">#REF!</definedName>
    <definedName name="Mo_Picked" localSheetId="4">#REF!</definedName>
    <definedName name="Mo_Picked" localSheetId="5">#REF!</definedName>
    <definedName name="Mo_Picked" localSheetId="6">#REF!</definedName>
    <definedName name="Mo_Picked" localSheetId="7">#REF!</definedName>
    <definedName name="Mo_Picked">#REF!</definedName>
    <definedName name="_xlnm.Print_Area" localSheetId="1">'Att 2'!$A$1:$L$354</definedName>
    <definedName name="_xlnm.Print_Area" localSheetId="2">'Att 3'!$A$1:$L$213</definedName>
    <definedName name="_xlnm.Print_Area" localSheetId="3">'Att 4-1'!$A$1:$J$21</definedName>
    <definedName name="_xlnm.Print_Area" localSheetId="4">'Att 4-2'!$A$1:$K$21</definedName>
    <definedName name="_xlnm.Print_Area" localSheetId="5">'Att 4-3'!$A$1:$J$21</definedName>
    <definedName name="_xlnm.Print_Area" localSheetId="6">'Att 4-4'!$A$1:$J$33</definedName>
    <definedName name="_xlnm.Print_Area" localSheetId="7">'Att 4-5'!$A$1:$J$33</definedName>
    <definedName name="_xlnm.Print_Area" localSheetId="0">Input!$A$1:$L$150</definedName>
    <definedName name="Print_Area_MI" localSheetId="3">#REF!</definedName>
    <definedName name="Print_Area_MI" localSheetId="4">#REF!</definedName>
    <definedName name="Print_Area_MI" localSheetId="5">#REF!</definedName>
    <definedName name="Print_Area_MI" localSheetId="6">#REF!</definedName>
    <definedName name="Print_Area_MI" localSheetId="7">#REF!</definedName>
    <definedName name="Print_Area_MI">#REF!</definedName>
    <definedName name="_xlnm.Print_Titles" localSheetId="2">'Att 3'!$1:$4</definedName>
    <definedName name="_xlnm.Print_Titles" localSheetId="6">'Att 4-4'!$2:$4</definedName>
    <definedName name="_xlnm.Print_Titles" localSheetId="7">'Att 4-5'!$2:$4</definedName>
    <definedName name="_xlnm.Print_Titles">#N/A</definedName>
    <definedName name="Rpt_Mo" localSheetId="3">#REF!</definedName>
    <definedName name="Rpt_Mo" localSheetId="4">#REF!</definedName>
    <definedName name="Rpt_Mo" localSheetId="5">#REF!</definedName>
    <definedName name="Rpt_Mo" localSheetId="6">#REF!</definedName>
    <definedName name="Rpt_Mo" localSheetId="7">#REF!</definedName>
    <definedName name="Rpt_Mo">#REF!</definedName>
    <definedName name="Year1" localSheetId="3">#REF!</definedName>
    <definedName name="Year1" localSheetId="4">#REF!</definedName>
    <definedName name="Year1" localSheetId="5">#REF!</definedName>
    <definedName name="Year1" localSheetId="6">#REF!</definedName>
    <definedName name="Year1" localSheetId="7">#REF!</definedName>
    <definedName name="Year1">#REF!</definedName>
    <definedName name="Z_279F1FAD_C428_4166_9FD0_7026629BA599_.wvu.FilterData" localSheetId="0" hidden="1">Input!$N$13:$W$141</definedName>
    <definedName name="Z_279F1FAD_C428_4166_9FD0_7026629BA599_.wvu.PrintArea" localSheetId="1" hidden="1">'Att 2'!$A$1:$L$354</definedName>
    <definedName name="Z_279F1FAD_C428_4166_9FD0_7026629BA599_.wvu.PrintArea" localSheetId="2" hidden="1">'Att 3'!$A$1:$L$213</definedName>
    <definedName name="Z_279F1FAD_C428_4166_9FD0_7026629BA599_.wvu.PrintArea" localSheetId="3" hidden="1">'Att 4-1'!$A$1:$J$21</definedName>
    <definedName name="Z_279F1FAD_C428_4166_9FD0_7026629BA599_.wvu.PrintArea" localSheetId="4" hidden="1">'Att 4-2'!$A$1:$K$21</definedName>
    <definedName name="Z_279F1FAD_C428_4166_9FD0_7026629BA599_.wvu.PrintArea" localSheetId="5" hidden="1">'Att 4-3'!$A$1:$J$21</definedName>
    <definedName name="Z_279F1FAD_C428_4166_9FD0_7026629BA599_.wvu.PrintArea" localSheetId="6" hidden="1">'Att 4-4'!$A$1:$J$33</definedName>
    <definedName name="Z_279F1FAD_C428_4166_9FD0_7026629BA599_.wvu.PrintArea" localSheetId="7" hidden="1">'Att 4-5'!$A$1:$J$33</definedName>
    <definedName name="Z_279F1FAD_C428_4166_9FD0_7026629BA599_.wvu.PrintTitles" localSheetId="2" hidden="1">'Att 3'!$1:$4</definedName>
    <definedName name="Z_279F1FAD_C428_4166_9FD0_7026629BA599_.wvu.PrintTitles" localSheetId="6" hidden="1">'Att 4-4'!$2:$4</definedName>
    <definedName name="Z_279F1FAD_C428_4166_9FD0_7026629BA599_.wvu.PrintTitles" localSheetId="7" hidden="1">'Att 4-5'!$2:$4</definedName>
    <definedName name="Z_279F1FAD_C428_4166_9FD0_7026629BA599_.wvu.Rows" localSheetId="0" hidden="1">Input!$309:$385</definedName>
    <definedName name="Z_782F5CFE_DE26_4D5A_B82E_30A424B0A39B_.wvu.PrintArea" localSheetId="1" hidden="1">'Att 2'!$A$1:$L$354</definedName>
    <definedName name="Z_782F5CFE_DE26_4D5A_B82E_30A424B0A39B_.wvu.PrintArea" localSheetId="2" hidden="1">'Att 3'!$A$1:$L$213</definedName>
    <definedName name="Z_782F5CFE_DE26_4D5A_B82E_30A424B0A39B_.wvu.PrintTitles" localSheetId="2" hidden="1">'Att 3'!$1:$4</definedName>
    <definedName name="Z_782F5CFE_DE26_4D5A_B82E_30A424B0A39B_.wvu.Rows" localSheetId="2" hidden="1">'Att 3'!$214:$275</definedName>
    <definedName name="Z_782F5CFE_DE26_4D5A_B82E_30A424B0A39B_.wvu.Rows" localSheetId="0" hidden="1">Input!$309:$385</definedName>
    <definedName name="Z_88B031DE_0423_45A5_B384_E560A52FDD07_.wvu.PrintArea" localSheetId="1" hidden="1">'Att 2'!$A$1:$L$354</definedName>
    <definedName name="Z_88B031DE_0423_45A5_B384_E560A52FDD07_.wvu.PrintArea" localSheetId="2" hidden="1">'Att 3'!$A$1:$L$213</definedName>
    <definedName name="Z_88B031DE_0423_45A5_B384_E560A52FDD07_.wvu.PrintTitles" localSheetId="2" hidden="1">'Att 3'!$1:$4</definedName>
    <definedName name="Z_88B031DE_0423_45A5_B384_E560A52FDD07_.wvu.Rows" localSheetId="2" hidden="1">'Att 3'!$214:$275</definedName>
    <definedName name="Z_88B031DE_0423_45A5_B384_E560A52FDD07_.wvu.Rows" localSheetId="0" hidden="1">Input!$309:$385</definedName>
    <definedName name="Z_9BF7FAF1_D686_4A6B_A2BE_0DAD43841920_.wvu.PrintArea" localSheetId="1" hidden="1">'Att 2'!$A$1:$L$354</definedName>
    <definedName name="Z_9BF7FAF1_D686_4A6B_A2BE_0DAD43841920_.wvu.PrintArea" localSheetId="2" hidden="1">'Att 3'!$A$1:$L$213</definedName>
    <definedName name="Z_9BF7FAF1_D686_4A6B_A2BE_0DAD43841920_.wvu.PrintTitles" localSheetId="2" hidden="1">'Att 3'!$1:$4</definedName>
    <definedName name="Z_9BF7FAF1_D686_4A6B_A2BE_0DAD43841920_.wvu.Rows" localSheetId="2" hidden="1">'Att 3'!$214:$275</definedName>
    <definedName name="Z_9BF7FAF1_D686_4A6B_A2BE_0DAD43841920_.wvu.Rows" localSheetId="0" hidden="1">Input!$309:$385</definedName>
    <definedName name="Z_D5524E47_947F_4D9F_AE8B_3F0380261994_.wvu.PrintArea" localSheetId="1" hidden="1">'Att 2'!$A$1:$L$354</definedName>
    <definedName name="Z_D5524E47_947F_4D9F_AE8B_3F0380261994_.wvu.PrintArea" localSheetId="2" hidden="1">'Att 3'!$A$1:$L$213</definedName>
    <definedName name="Z_D5524E47_947F_4D9F_AE8B_3F0380261994_.wvu.PrintTitles" localSheetId="2" hidden="1">'Att 3'!$1:$4</definedName>
    <definedName name="Z_D5524E47_947F_4D9F_AE8B_3F0380261994_.wvu.Rows" localSheetId="2" hidden="1">'Att 3'!$214:$275</definedName>
    <definedName name="Z_D5524E47_947F_4D9F_AE8B_3F0380261994_.wvu.Rows" localSheetId="0" hidden="1">Input!$309:$385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" i="9" l="1"/>
  <c r="C8" i="9" s="1"/>
  <c r="C13" i="6"/>
  <c r="C7" i="6"/>
  <c r="D7" i="5"/>
  <c r="C7" i="5"/>
  <c r="C13" i="4"/>
  <c r="C13" i="5" s="1"/>
  <c r="D13" i="5" s="1"/>
  <c r="C7" i="4"/>
  <c r="J160" i="3"/>
  <c r="I160" i="3"/>
  <c r="H160" i="3"/>
  <c r="G160" i="3"/>
  <c r="F160" i="3"/>
  <c r="E160" i="3"/>
  <c r="D160" i="3"/>
  <c r="C160" i="3"/>
  <c r="D18" i="3"/>
  <c r="C18" i="3"/>
  <c r="D17" i="3"/>
  <c r="C17" i="3"/>
  <c r="E14" i="3"/>
  <c r="D12" i="5" s="1"/>
  <c r="D14" i="3"/>
  <c r="C12" i="5" s="1"/>
  <c r="C14" i="3"/>
  <c r="C8" i="8"/>
  <c r="D8" i="3"/>
  <c r="C8" i="3"/>
  <c r="E6" i="3"/>
  <c r="E7" i="3" s="1"/>
  <c r="D6" i="3"/>
  <c r="D7" i="3" s="1"/>
  <c r="C6" i="3"/>
  <c r="C7" i="3" s="1"/>
  <c r="B1" i="3"/>
  <c r="C288" i="2"/>
  <c r="C285" i="2"/>
  <c r="C284" i="2"/>
  <c r="C283" i="2"/>
  <c r="J273" i="2"/>
  <c r="J76" i="3" s="1"/>
  <c r="J113" i="3" s="1"/>
  <c r="J185" i="3" s="1"/>
  <c r="J268" i="2"/>
  <c r="E265" i="2"/>
  <c r="F265" i="2" s="1"/>
  <c r="F69" i="3" s="1"/>
  <c r="C265" i="2"/>
  <c r="C69" i="3" s="1"/>
  <c r="J243" i="2"/>
  <c r="J47" i="3" s="1"/>
  <c r="J88" i="3" s="1"/>
  <c r="I243" i="2"/>
  <c r="I47" i="3" s="1"/>
  <c r="I88" i="3" s="1"/>
  <c r="H243" i="2"/>
  <c r="H47" i="3" s="1"/>
  <c r="H88" i="3" s="1"/>
  <c r="G243" i="2"/>
  <c r="G47" i="3" s="1"/>
  <c r="G88" i="3" s="1"/>
  <c r="F243" i="2"/>
  <c r="F47" i="3" s="1"/>
  <c r="F88" i="3" s="1"/>
  <c r="E243" i="2"/>
  <c r="E47" i="3" s="1"/>
  <c r="E88" i="3" s="1"/>
  <c r="D243" i="2"/>
  <c r="D47" i="3" s="1"/>
  <c r="D88" i="3" s="1"/>
  <c r="C243" i="2"/>
  <c r="C47" i="3" s="1"/>
  <c r="C88" i="3" s="1"/>
  <c r="J217" i="2"/>
  <c r="I217" i="2"/>
  <c r="I273" i="2" s="1"/>
  <c r="I76" i="3" s="1"/>
  <c r="I113" i="3" s="1"/>
  <c r="I185" i="3" s="1"/>
  <c r="I214" i="2"/>
  <c r="I270" i="2" s="1"/>
  <c r="I72" i="3" s="1"/>
  <c r="I109" i="3" s="1"/>
  <c r="I181" i="3" s="1"/>
  <c r="J213" i="2"/>
  <c r="J269" i="2" s="1"/>
  <c r="D209" i="2"/>
  <c r="J209" i="2" s="1"/>
  <c r="C209" i="2"/>
  <c r="I209" i="2" s="1"/>
  <c r="J192" i="2"/>
  <c r="I192" i="2"/>
  <c r="H192" i="2"/>
  <c r="G192" i="2"/>
  <c r="F192" i="2"/>
  <c r="E192" i="2"/>
  <c r="D192" i="2"/>
  <c r="C192" i="2"/>
  <c r="J176" i="2"/>
  <c r="I176" i="2"/>
  <c r="H176" i="2"/>
  <c r="G176" i="2"/>
  <c r="F176" i="2"/>
  <c r="E176" i="2"/>
  <c r="D176" i="2"/>
  <c r="C176" i="2"/>
  <c r="D170" i="2"/>
  <c r="D169" i="2"/>
  <c r="D171" i="2" s="1"/>
  <c r="C286" i="2" s="1"/>
  <c r="R167" i="2"/>
  <c r="D163" i="2" s="1"/>
  <c r="D164" i="2" s="1"/>
  <c r="Q167" i="2"/>
  <c r="C163" i="2" s="1"/>
  <c r="C164" i="2" s="1"/>
  <c r="D166" i="2"/>
  <c r="C166" i="2"/>
  <c r="D161" i="2"/>
  <c r="C161" i="2"/>
  <c r="D159" i="2"/>
  <c r="I213" i="2" s="1"/>
  <c r="I269" i="2" s="1"/>
  <c r="D158" i="2"/>
  <c r="J212" i="2" s="1"/>
  <c r="H154" i="2"/>
  <c r="AD149" i="2"/>
  <c r="U149" i="2"/>
  <c r="T149" i="2"/>
  <c r="R149" i="2"/>
  <c r="K149" i="2"/>
  <c r="AD148" i="2"/>
  <c r="E147" i="2" s="1"/>
  <c r="U148" i="2"/>
  <c r="T148" i="2"/>
  <c r="R148" i="2"/>
  <c r="U147" i="2"/>
  <c r="T147" i="2"/>
  <c r="R147" i="2"/>
  <c r="F147" i="2"/>
  <c r="C147" i="2"/>
  <c r="AM146" i="2"/>
  <c r="AL146" i="2"/>
  <c r="AK146" i="2"/>
  <c r="J149" i="2" s="1"/>
  <c r="AJ146" i="2"/>
  <c r="I149" i="2" s="1"/>
  <c r="AI146" i="2"/>
  <c r="H149" i="2" s="1"/>
  <c r="AH146" i="2"/>
  <c r="G149" i="2" s="1"/>
  <c r="AG146" i="2"/>
  <c r="F149" i="2" s="1"/>
  <c r="AF146" i="2"/>
  <c r="E149" i="2" s="1"/>
  <c r="AE146" i="2"/>
  <c r="D149" i="2" s="1"/>
  <c r="AD146" i="2"/>
  <c r="C149" i="2" s="1"/>
  <c r="AM145" i="2"/>
  <c r="AL145" i="2"/>
  <c r="AK145" i="2"/>
  <c r="J147" i="2" s="1"/>
  <c r="AJ145" i="2"/>
  <c r="AI145" i="2"/>
  <c r="AH145" i="2"/>
  <c r="G147" i="2" s="1"/>
  <c r="AG145" i="2"/>
  <c r="AF145" i="2"/>
  <c r="AE145" i="2"/>
  <c r="AD145" i="2"/>
  <c r="L144" i="2"/>
  <c r="K144" i="2"/>
  <c r="J144" i="2"/>
  <c r="I144" i="2"/>
  <c r="H144" i="2"/>
  <c r="G144" i="2"/>
  <c r="F144" i="2"/>
  <c r="E144" i="2"/>
  <c r="D144" i="2"/>
  <c r="C144" i="2"/>
  <c r="B143" i="2"/>
  <c r="T128" i="2"/>
  <c r="L128" i="2"/>
  <c r="K128" i="2"/>
  <c r="J128" i="2"/>
  <c r="I128" i="2"/>
  <c r="H128" i="2"/>
  <c r="G128" i="2"/>
  <c r="F128" i="2"/>
  <c r="E128" i="2"/>
  <c r="AC128" i="2" s="1"/>
  <c r="D128" i="2"/>
  <c r="C128" i="2"/>
  <c r="L110" i="2"/>
  <c r="K110" i="2"/>
  <c r="J110" i="2"/>
  <c r="I110" i="2"/>
  <c r="H110" i="2"/>
  <c r="G110" i="2"/>
  <c r="F110" i="2"/>
  <c r="E110" i="2"/>
  <c r="D110" i="2"/>
  <c r="C110" i="2"/>
  <c r="L92" i="2"/>
  <c r="K92" i="2"/>
  <c r="J92" i="2"/>
  <c r="I92" i="2"/>
  <c r="H92" i="2"/>
  <c r="G92" i="2"/>
  <c r="F92" i="2"/>
  <c r="E92" i="2"/>
  <c r="D92" i="2"/>
  <c r="C92" i="2"/>
  <c r="C84" i="2"/>
  <c r="Q80" i="2"/>
  <c r="Q81" i="2" s="1"/>
  <c r="Q79" i="2"/>
  <c r="I79" i="2"/>
  <c r="I80" i="2" s="1"/>
  <c r="I81" i="2" s="1"/>
  <c r="Q78" i="2"/>
  <c r="C79" i="2" s="1"/>
  <c r="L79" i="2" s="1"/>
  <c r="L80" i="2" s="1"/>
  <c r="L81" i="2" s="1"/>
  <c r="L77" i="2"/>
  <c r="K77" i="2"/>
  <c r="J77" i="2"/>
  <c r="I77" i="2"/>
  <c r="H77" i="2"/>
  <c r="G77" i="2"/>
  <c r="F77" i="2"/>
  <c r="E77" i="2"/>
  <c r="D77" i="2"/>
  <c r="C77" i="2"/>
  <c r="C74" i="2"/>
  <c r="C73" i="2"/>
  <c r="C72" i="2"/>
  <c r="I71" i="2"/>
  <c r="C71" i="2"/>
  <c r="C70" i="2"/>
  <c r="I69" i="2"/>
  <c r="C69" i="2"/>
  <c r="I68" i="2"/>
  <c r="I70" i="2" s="1"/>
  <c r="H68" i="2"/>
  <c r="D68" i="2"/>
  <c r="D71" i="2" s="1"/>
  <c r="E71" i="2" s="1"/>
  <c r="C68" i="2"/>
  <c r="C67" i="2"/>
  <c r="E67" i="2" s="1"/>
  <c r="I66" i="2"/>
  <c r="H66" i="2"/>
  <c r="C66" i="2"/>
  <c r="D65" i="2"/>
  <c r="C65" i="2"/>
  <c r="I64" i="2"/>
  <c r="H64" i="2"/>
  <c r="C64" i="2"/>
  <c r="I63" i="2"/>
  <c r="I73" i="2" s="1"/>
  <c r="H63" i="2"/>
  <c r="H73" i="2" s="1"/>
  <c r="E63" i="2"/>
  <c r="D63" i="2"/>
  <c r="D67" i="2" s="1"/>
  <c r="C63" i="2"/>
  <c r="AB56" i="2"/>
  <c r="K56" i="2"/>
  <c r="J56" i="2"/>
  <c r="I56" i="2"/>
  <c r="H56" i="2"/>
  <c r="G56" i="2"/>
  <c r="F56" i="2"/>
  <c r="E56" i="2"/>
  <c r="D56" i="2"/>
  <c r="C56" i="2"/>
  <c r="AB55" i="2"/>
  <c r="K55" i="2"/>
  <c r="J55" i="2"/>
  <c r="I55" i="2"/>
  <c r="H55" i="2"/>
  <c r="G55" i="2"/>
  <c r="F55" i="2"/>
  <c r="E55" i="2"/>
  <c r="D55" i="2"/>
  <c r="C55" i="2"/>
  <c r="AB54" i="2"/>
  <c r="K54" i="2"/>
  <c r="J54" i="2"/>
  <c r="I54" i="2"/>
  <c r="H54" i="2"/>
  <c r="G54" i="2"/>
  <c r="F54" i="2"/>
  <c r="E54" i="2"/>
  <c r="D54" i="2"/>
  <c r="C54" i="2"/>
  <c r="AB53" i="2"/>
  <c r="K53" i="2"/>
  <c r="J53" i="2"/>
  <c r="I53" i="2"/>
  <c r="H53" i="2"/>
  <c r="G53" i="2"/>
  <c r="F53" i="2"/>
  <c r="E53" i="2"/>
  <c r="D53" i="2"/>
  <c r="C53" i="2"/>
  <c r="AB52" i="2"/>
  <c r="K52" i="2"/>
  <c r="J52" i="2"/>
  <c r="I52" i="2"/>
  <c r="H52" i="2"/>
  <c r="G52" i="2"/>
  <c r="F52" i="2"/>
  <c r="E52" i="2"/>
  <c r="D52" i="2"/>
  <c r="C52" i="2"/>
  <c r="AB51" i="2"/>
  <c r="K51" i="2"/>
  <c r="J51" i="2"/>
  <c r="I51" i="2"/>
  <c r="H51" i="2"/>
  <c r="G51" i="2"/>
  <c r="S49" i="2" s="1"/>
  <c r="F51" i="2"/>
  <c r="E51" i="2"/>
  <c r="D51" i="2"/>
  <c r="C51" i="2"/>
  <c r="AB50" i="2"/>
  <c r="K50" i="2"/>
  <c r="J50" i="2"/>
  <c r="I50" i="2"/>
  <c r="U49" i="2" s="1"/>
  <c r="H50" i="2"/>
  <c r="G50" i="2"/>
  <c r="F50" i="2"/>
  <c r="E50" i="2"/>
  <c r="D50" i="2"/>
  <c r="C50" i="2"/>
  <c r="AB49" i="2"/>
  <c r="V49" i="2"/>
  <c r="K49" i="2"/>
  <c r="J49" i="2"/>
  <c r="I49" i="2"/>
  <c r="H49" i="2"/>
  <c r="T45" i="2" s="1"/>
  <c r="G49" i="2"/>
  <c r="F49" i="2"/>
  <c r="E49" i="2"/>
  <c r="D49" i="2"/>
  <c r="C49" i="2"/>
  <c r="AB48" i="2"/>
  <c r="K48" i="2"/>
  <c r="J48" i="2"/>
  <c r="I48" i="2"/>
  <c r="H48" i="2"/>
  <c r="G48" i="2"/>
  <c r="F48" i="2"/>
  <c r="E48" i="2"/>
  <c r="D48" i="2"/>
  <c r="C48" i="2"/>
  <c r="AB47" i="2"/>
  <c r="K47" i="2"/>
  <c r="J47" i="2"/>
  <c r="I47" i="2"/>
  <c r="H47" i="2"/>
  <c r="G47" i="2"/>
  <c r="F47" i="2"/>
  <c r="E47" i="2"/>
  <c r="D47" i="2"/>
  <c r="C47" i="2"/>
  <c r="AB46" i="2"/>
  <c r="K46" i="2"/>
  <c r="J46" i="2"/>
  <c r="I46" i="2"/>
  <c r="H46" i="2"/>
  <c r="G46" i="2"/>
  <c r="F46" i="2"/>
  <c r="E46" i="2"/>
  <c r="D46" i="2"/>
  <c r="C46" i="2"/>
  <c r="AF45" i="2"/>
  <c r="AE45" i="2"/>
  <c r="AD45" i="2"/>
  <c r="M45" i="2" s="1"/>
  <c r="AB45" i="2"/>
  <c r="L45" i="2" s="1"/>
  <c r="P45" i="2"/>
  <c r="K45" i="2"/>
  <c r="J45" i="2"/>
  <c r="I45" i="2"/>
  <c r="H45" i="2"/>
  <c r="G45" i="2"/>
  <c r="F45" i="2"/>
  <c r="E45" i="2"/>
  <c r="D45" i="2"/>
  <c r="C45" i="2"/>
  <c r="X43" i="2"/>
  <c r="W43" i="2"/>
  <c r="V43" i="2"/>
  <c r="U43" i="2"/>
  <c r="T43" i="2"/>
  <c r="S43" i="2"/>
  <c r="R43" i="2"/>
  <c r="Q43" i="2"/>
  <c r="P43" i="2"/>
  <c r="O43" i="2"/>
  <c r="L43" i="2"/>
  <c r="K43" i="2"/>
  <c r="J43" i="2"/>
  <c r="I43" i="2"/>
  <c r="H43" i="2"/>
  <c r="G43" i="2"/>
  <c r="F43" i="2"/>
  <c r="E43" i="2"/>
  <c r="D43" i="2"/>
  <c r="C43" i="2"/>
  <c r="L38" i="2"/>
  <c r="X38" i="2" s="1"/>
  <c r="E38" i="2"/>
  <c r="Q38" i="2" s="1"/>
  <c r="L37" i="2"/>
  <c r="X37" i="2" s="1"/>
  <c r="E37" i="2"/>
  <c r="Q37" i="2" s="1"/>
  <c r="Q36" i="2"/>
  <c r="L36" i="2"/>
  <c r="X36" i="2" s="1"/>
  <c r="E36" i="2"/>
  <c r="L35" i="2"/>
  <c r="X35" i="2" s="1"/>
  <c r="E35" i="2"/>
  <c r="Q35" i="2" s="1"/>
  <c r="L34" i="2"/>
  <c r="X34" i="2" s="1"/>
  <c r="E34" i="2"/>
  <c r="Q34" i="2" s="1"/>
  <c r="Q33" i="2"/>
  <c r="L33" i="2"/>
  <c r="X33" i="2" s="1"/>
  <c r="E33" i="2"/>
  <c r="L32" i="2"/>
  <c r="E32" i="2"/>
  <c r="L31" i="2"/>
  <c r="X31" i="2" s="1"/>
  <c r="E31" i="2"/>
  <c r="Q31" i="2" s="1"/>
  <c r="L30" i="2"/>
  <c r="X30" i="2" s="1"/>
  <c r="E30" i="2"/>
  <c r="Q30" i="2" s="1"/>
  <c r="L29" i="2"/>
  <c r="X29" i="2" s="1"/>
  <c r="E29" i="2"/>
  <c r="Q29" i="2" s="1"/>
  <c r="L28" i="2"/>
  <c r="X28" i="2" s="1"/>
  <c r="E28" i="2"/>
  <c r="Q28" i="2" s="1"/>
  <c r="Q27" i="2"/>
  <c r="L27" i="2"/>
  <c r="X27" i="2" s="1"/>
  <c r="E27" i="2"/>
  <c r="X25" i="2"/>
  <c r="W25" i="2"/>
  <c r="V25" i="2"/>
  <c r="U25" i="2"/>
  <c r="T25" i="2"/>
  <c r="S25" i="2"/>
  <c r="R25" i="2"/>
  <c r="Q25" i="2"/>
  <c r="P25" i="2"/>
  <c r="O25" i="2"/>
  <c r="L25" i="2"/>
  <c r="K25" i="2"/>
  <c r="J25" i="2"/>
  <c r="I25" i="2"/>
  <c r="H25" i="2"/>
  <c r="G25" i="2"/>
  <c r="F25" i="2"/>
  <c r="E25" i="2"/>
  <c r="D25" i="2"/>
  <c r="C25" i="2"/>
  <c r="L20" i="2"/>
  <c r="X20" i="2" s="1"/>
  <c r="K20" i="2"/>
  <c r="W20" i="2" s="1"/>
  <c r="J20" i="2"/>
  <c r="V20" i="2" s="1"/>
  <c r="I20" i="2"/>
  <c r="U20" i="2" s="1"/>
  <c r="H20" i="2"/>
  <c r="T20" i="2" s="1"/>
  <c r="G20" i="2"/>
  <c r="S20" i="2" s="1"/>
  <c r="F20" i="2"/>
  <c r="R20" i="2" s="1"/>
  <c r="E20" i="2"/>
  <c r="Q20" i="2" s="1"/>
  <c r="D20" i="2"/>
  <c r="P20" i="2" s="1"/>
  <c r="C20" i="2"/>
  <c r="O20" i="2" s="1"/>
  <c r="X19" i="2"/>
  <c r="R19" i="2"/>
  <c r="L19" i="2"/>
  <c r="K19" i="2"/>
  <c r="W19" i="2" s="1"/>
  <c r="J19" i="2"/>
  <c r="V19" i="2" s="1"/>
  <c r="I19" i="2"/>
  <c r="U19" i="2" s="1"/>
  <c r="H19" i="2"/>
  <c r="T19" i="2" s="1"/>
  <c r="G19" i="2"/>
  <c r="S19" i="2" s="1"/>
  <c r="F19" i="2"/>
  <c r="E19" i="2"/>
  <c r="Q19" i="2" s="1"/>
  <c r="D19" i="2"/>
  <c r="P19" i="2" s="1"/>
  <c r="C19" i="2"/>
  <c r="O19" i="2" s="1"/>
  <c r="W18" i="2"/>
  <c r="T18" i="2"/>
  <c r="L18" i="2"/>
  <c r="X18" i="2" s="1"/>
  <c r="K18" i="2"/>
  <c r="J18" i="2"/>
  <c r="V18" i="2" s="1"/>
  <c r="I18" i="2"/>
  <c r="U18" i="2" s="1"/>
  <c r="H18" i="2"/>
  <c r="G18" i="2"/>
  <c r="S18" i="2" s="1"/>
  <c r="F18" i="2"/>
  <c r="R18" i="2" s="1"/>
  <c r="E18" i="2"/>
  <c r="Q18" i="2" s="1"/>
  <c r="D18" i="2"/>
  <c r="P18" i="2" s="1"/>
  <c r="C18" i="2"/>
  <c r="O18" i="2" s="1"/>
  <c r="X17" i="2"/>
  <c r="L17" i="2"/>
  <c r="K17" i="2"/>
  <c r="W17" i="2" s="1"/>
  <c r="J17" i="2"/>
  <c r="V17" i="2" s="1"/>
  <c r="I17" i="2"/>
  <c r="U17" i="2" s="1"/>
  <c r="H17" i="2"/>
  <c r="T17" i="2" s="1"/>
  <c r="G17" i="2"/>
  <c r="S17" i="2" s="1"/>
  <c r="F17" i="2"/>
  <c r="R17" i="2" s="1"/>
  <c r="E17" i="2"/>
  <c r="Q17" i="2" s="1"/>
  <c r="D17" i="2"/>
  <c r="P17" i="2" s="1"/>
  <c r="C17" i="2"/>
  <c r="O17" i="2" s="1"/>
  <c r="W16" i="2"/>
  <c r="T16" i="2"/>
  <c r="L16" i="2"/>
  <c r="X16" i="2" s="1"/>
  <c r="K16" i="2"/>
  <c r="J16" i="2"/>
  <c r="V16" i="2" s="1"/>
  <c r="I16" i="2"/>
  <c r="U16" i="2" s="1"/>
  <c r="H16" i="2"/>
  <c r="G16" i="2"/>
  <c r="S16" i="2" s="1"/>
  <c r="F16" i="2"/>
  <c r="R16" i="2" s="1"/>
  <c r="E16" i="2"/>
  <c r="Q16" i="2" s="1"/>
  <c r="D16" i="2"/>
  <c r="P16" i="2" s="1"/>
  <c r="C16" i="2"/>
  <c r="O16" i="2" s="1"/>
  <c r="X15" i="2"/>
  <c r="W15" i="2"/>
  <c r="P15" i="2"/>
  <c r="L15" i="2"/>
  <c r="K15" i="2"/>
  <c r="J15" i="2"/>
  <c r="V15" i="2" s="1"/>
  <c r="I15" i="2"/>
  <c r="U15" i="2" s="1"/>
  <c r="H15" i="2"/>
  <c r="T15" i="2" s="1"/>
  <c r="G15" i="2"/>
  <c r="S15" i="2" s="1"/>
  <c r="F15" i="2"/>
  <c r="R15" i="2" s="1"/>
  <c r="E15" i="2"/>
  <c r="Q15" i="2" s="1"/>
  <c r="D15" i="2"/>
  <c r="C15" i="2"/>
  <c r="O15" i="2" s="1"/>
  <c r="L14" i="2"/>
  <c r="X14" i="2" s="1"/>
  <c r="K14" i="2"/>
  <c r="J14" i="2"/>
  <c r="I14" i="2"/>
  <c r="U14" i="2" s="1"/>
  <c r="H14" i="2"/>
  <c r="G14" i="2"/>
  <c r="S14" i="2" s="1"/>
  <c r="F14" i="2"/>
  <c r="E14" i="2"/>
  <c r="D14" i="2"/>
  <c r="P14" i="2" s="1"/>
  <c r="C14" i="2"/>
  <c r="O14" i="2" s="1"/>
  <c r="X13" i="2"/>
  <c r="W13" i="2"/>
  <c r="T13" i="2"/>
  <c r="O13" i="2"/>
  <c r="L13" i="2"/>
  <c r="K13" i="2"/>
  <c r="J13" i="2"/>
  <c r="V13" i="2" s="1"/>
  <c r="I13" i="2"/>
  <c r="U13" i="2" s="1"/>
  <c r="H13" i="2"/>
  <c r="G13" i="2"/>
  <c r="S13" i="2" s="1"/>
  <c r="F13" i="2"/>
  <c r="R13" i="2" s="1"/>
  <c r="E13" i="2"/>
  <c r="Q13" i="2" s="1"/>
  <c r="D13" i="2"/>
  <c r="P13" i="2" s="1"/>
  <c r="C13" i="2"/>
  <c r="X12" i="2"/>
  <c r="W12" i="2"/>
  <c r="S12" i="2"/>
  <c r="L12" i="2"/>
  <c r="K12" i="2"/>
  <c r="J12" i="2"/>
  <c r="V12" i="2" s="1"/>
  <c r="I12" i="2"/>
  <c r="U12" i="2" s="1"/>
  <c r="H12" i="2"/>
  <c r="T61" i="2" s="1"/>
  <c r="G12" i="2"/>
  <c r="F12" i="2"/>
  <c r="R12" i="2" s="1"/>
  <c r="E12" i="2"/>
  <c r="Q12" i="2" s="1"/>
  <c r="D12" i="2"/>
  <c r="P12" i="2" s="1"/>
  <c r="C12" i="2"/>
  <c r="O12" i="2" s="1"/>
  <c r="X11" i="2"/>
  <c r="O11" i="2"/>
  <c r="L11" i="2"/>
  <c r="K11" i="2"/>
  <c r="W11" i="2" s="1"/>
  <c r="J11" i="2"/>
  <c r="V11" i="2" s="1"/>
  <c r="I11" i="2"/>
  <c r="U11" i="2" s="1"/>
  <c r="H11" i="2"/>
  <c r="T11" i="2" s="1"/>
  <c r="G11" i="2"/>
  <c r="S11" i="2" s="1"/>
  <c r="F11" i="2"/>
  <c r="R11" i="2" s="1"/>
  <c r="E11" i="2"/>
  <c r="Q11" i="2" s="1"/>
  <c r="D11" i="2"/>
  <c r="P11" i="2" s="1"/>
  <c r="C11" i="2"/>
  <c r="X10" i="2"/>
  <c r="W10" i="2"/>
  <c r="P10" i="2"/>
  <c r="L10" i="2"/>
  <c r="K10" i="2"/>
  <c r="J10" i="2"/>
  <c r="V10" i="2" s="1"/>
  <c r="I10" i="2"/>
  <c r="U10" i="2" s="1"/>
  <c r="H10" i="2"/>
  <c r="T10" i="2" s="1"/>
  <c r="G10" i="2"/>
  <c r="S10" i="2" s="1"/>
  <c r="F10" i="2"/>
  <c r="R10" i="2" s="1"/>
  <c r="E10" i="2"/>
  <c r="Q10" i="2" s="1"/>
  <c r="D10" i="2"/>
  <c r="C10" i="2"/>
  <c r="O10" i="2" s="1"/>
  <c r="X9" i="2"/>
  <c r="T9" i="2"/>
  <c r="P9" i="2"/>
  <c r="L9" i="2"/>
  <c r="K9" i="2"/>
  <c r="W9" i="2" s="1"/>
  <c r="J9" i="2"/>
  <c r="I9" i="2"/>
  <c r="H9" i="2"/>
  <c r="G9" i="2"/>
  <c r="S9" i="2" s="1"/>
  <c r="F9" i="2"/>
  <c r="E9" i="2"/>
  <c r="Q9" i="2" s="1"/>
  <c r="D9" i="2"/>
  <c r="C9" i="2"/>
  <c r="O9" i="2" s="1"/>
  <c r="X7" i="2"/>
  <c r="W7" i="2"/>
  <c r="V7" i="2"/>
  <c r="U7" i="2"/>
  <c r="T7" i="2"/>
  <c r="S7" i="2"/>
  <c r="R7" i="2"/>
  <c r="Q7" i="2"/>
  <c r="P7" i="2"/>
  <c r="O7" i="2"/>
  <c r="B105" i="1"/>
  <c r="X149" i="2" s="1"/>
  <c r="L62" i="1"/>
  <c r="K62" i="1"/>
  <c r="J62" i="1"/>
  <c r="I62" i="1"/>
  <c r="H62" i="1"/>
  <c r="G62" i="1"/>
  <c r="F62" i="1"/>
  <c r="E62" i="1"/>
  <c r="D62" i="1"/>
  <c r="C62" i="1"/>
  <c r="B47" i="1"/>
  <c r="B42" i="2" s="1"/>
  <c r="E28" i="1"/>
  <c r="E23" i="2" s="1"/>
  <c r="E9" i="1"/>
  <c r="E4" i="2" s="1"/>
  <c r="B7" i="1"/>
  <c r="B2" i="2" s="1"/>
  <c r="T62" i="2" l="1"/>
  <c r="R61" i="2"/>
  <c r="Q49" i="2"/>
  <c r="H65" i="2"/>
  <c r="J79" i="2"/>
  <c r="J80" i="2" s="1"/>
  <c r="J81" i="2" s="1"/>
  <c r="K147" i="2"/>
  <c r="V61" i="2"/>
  <c r="Q45" i="2"/>
  <c r="Q47" i="2" s="1"/>
  <c r="Q50" i="2"/>
  <c r="S45" i="2"/>
  <c r="P49" i="2"/>
  <c r="I65" i="2"/>
  <c r="T12" i="2"/>
  <c r="T150" i="2"/>
  <c r="V149" i="2" s="1"/>
  <c r="D265" i="2"/>
  <c r="D69" i="3" s="1"/>
  <c r="C12" i="4"/>
  <c r="C14" i="4" s="1"/>
  <c r="T65" i="2"/>
  <c r="T14" i="2"/>
  <c r="U45" i="2"/>
  <c r="R45" i="2"/>
  <c r="H182" i="2"/>
  <c r="D64" i="2"/>
  <c r="E64" i="2" s="1"/>
  <c r="D74" i="2"/>
  <c r="E74" i="2" s="1"/>
  <c r="Q128" i="2"/>
  <c r="C14" i="5"/>
  <c r="C12" i="6"/>
  <c r="C14" i="6" s="1"/>
  <c r="D14" i="5"/>
  <c r="E69" i="3"/>
  <c r="W61" i="2"/>
  <c r="Q46" i="2"/>
  <c r="C57" i="2"/>
  <c r="C178" i="2" s="1"/>
  <c r="W45" i="2"/>
  <c r="V45" i="2"/>
  <c r="R49" i="2"/>
  <c r="H147" i="2"/>
  <c r="D147" i="2"/>
  <c r="C12" i="8"/>
  <c r="V65" i="2"/>
  <c r="V68" i="2" s="1"/>
  <c r="V14" i="2"/>
  <c r="O45" i="2"/>
  <c r="G57" i="2"/>
  <c r="O49" i="2"/>
  <c r="W49" i="2"/>
  <c r="E65" i="2"/>
  <c r="I147" i="2"/>
  <c r="E11" i="3"/>
  <c r="L52" i="2"/>
  <c r="L50" i="2"/>
  <c r="L56" i="2"/>
  <c r="L55" i="2"/>
  <c r="L53" i="2"/>
  <c r="L51" i="2"/>
  <c r="L49" i="2"/>
  <c r="L46" i="2"/>
  <c r="L47" i="2"/>
  <c r="W62" i="2"/>
  <c r="V62" i="2"/>
  <c r="L48" i="2"/>
  <c r="P54" i="2"/>
  <c r="P53" i="2"/>
  <c r="Q51" i="2"/>
  <c r="R62" i="2"/>
  <c r="R47" i="2"/>
  <c r="O53" i="2"/>
  <c r="O54" i="2" s="1"/>
  <c r="P62" i="2"/>
  <c r="L54" i="2"/>
  <c r="X45" i="2" s="1"/>
  <c r="E178" i="2"/>
  <c r="G182" i="2"/>
  <c r="Q32" i="2"/>
  <c r="I57" i="2"/>
  <c r="S65" i="2"/>
  <c r="S66" i="2" s="1"/>
  <c r="T68" i="2"/>
  <c r="X32" i="2"/>
  <c r="J57" i="2"/>
  <c r="J178" i="2" s="1"/>
  <c r="T131" i="2"/>
  <c r="E27" i="1"/>
  <c r="W14" i="2"/>
  <c r="P47" i="2"/>
  <c r="K57" i="2"/>
  <c r="U65" i="2"/>
  <c r="U66" i="2" s="1"/>
  <c r="V147" i="2"/>
  <c r="V150" i="2" s="1"/>
  <c r="H57" i="2"/>
  <c r="I178" i="2"/>
  <c r="I182" i="2"/>
  <c r="C106" i="3"/>
  <c r="I69" i="3"/>
  <c r="E22" i="2"/>
  <c r="AB57" i="2"/>
  <c r="W65" i="2"/>
  <c r="W68" i="2" s="1"/>
  <c r="H183" i="2"/>
  <c r="O47" i="2"/>
  <c r="R9" i="2"/>
  <c r="O61" i="2"/>
  <c r="D70" i="2"/>
  <c r="E70" i="2" s="1"/>
  <c r="D69" i="2"/>
  <c r="E69" i="2" s="1"/>
  <c r="E72" i="2"/>
  <c r="I183" i="2"/>
  <c r="V148" i="2"/>
  <c r="F182" i="2"/>
  <c r="R65" i="2"/>
  <c r="R68" i="2" s="1"/>
  <c r="T135" i="2"/>
  <c r="T136" i="2"/>
  <c r="Q135" i="2"/>
  <c r="Q136" i="2"/>
  <c r="P61" i="2"/>
  <c r="D73" i="2"/>
  <c r="D72" i="2"/>
  <c r="E68" i="2"/>
  <c r="I96" i="2" s="1"/>
  <c r="I114" i="2" s="1"/>
  <c r="E73" i="2"/>
  <c r="J183" i="2"/>
  <c r="J182" i="2"/>
  <c r="L149" i="2"/>
  <c r="E106" i="3"/>
  <c r="J69" i="3"/>
  <c r="Q65" i="2"/>
  <c r="Q66" i="2" s="1"/>
  <c r="Q131" i="2"/>
  <c r="Q132" i="2"/>
  <c r="D57" i="2"/>
  <c r="D178" i="2" s="1"/>
  <c r="Q61" i="2"/>
  <c r="H70" i="2"/>
  <c r="H69" i="2"/>
  <c r="H71" i="2"/>
  <c r="K84" i="2"/>
  <c r="J84" i="2"/>
  <c r="I84" i="2"/>
  <c r="H84" i="2"/>
  <c r="G84" i="2"/>
  <c r="F84" i="2"/>
  <c r="E84" i="2"/>
  <c r="D84" i="2"/>
  <c r="AD128" i="2"/>
  <c r="AA128" i="2"/>
  <c r="X128" i="2"/>
  <c r="U128" i="2"/>
  <c r="R128" i="2"/>
  <c r="C182" i="2"/>
  <c r="C183" i="2"/>
  <c r="G178" i="2"/>
  <c r="U9" i="2"/>
  <c r="Q14" i="2"/>
  <c r="E57" i="2"/>
  <c r="H72" i="2"/>
  <c r="H67" i="2"/>
  <c r="J99" i="2" s="1"/>
  <c r="J117" i="2" s="1"/>
  <c r="H74" i="2"/>
  <c r="O65" i="2"/>
  <c r="O66" i="2" s="1"/>
  <c r="L84" i="2"/>
  <c r="L147" i="2"/>
  <c r="C8" i="6" s="1"/>
  <c r="C10" i="6" s="1"/>
  <c r="C16" i="6" s="1"/>
  <c r="D182" i="2"/>
  <c r="H178" i="2"/>
  <c r="D130" i="3"/>
  <c r="I73" i="3"/>
  <c r="I110" i="3" s="1"/>
  <c r="U61" i="2"/>
  <c r="U68" i="2" s="1"/>
  <c r="V9" i="2"/>
  <c r="R14" i="2"/>
  <c r="T49" i="2"/>
  <c r="T66" i="2" s="1"/>
  <c r="T69" i="2" s="1"/>
  <c r="F57" i="2"/>
  <c r="F178" i="2" s="1"/>
  <c r="S61" i="2"/>
  <c r="S68" i="2" s="1"/>
  <c r="I72" i="2"/>
  <c r="I67" i="2"/>
  <c r="I74" i="2"/>
  <c r="P65" i="2"/>
  <c r="P66" i="2" s="1"/>
  <c r="D66" i="2"/>
  <c r="E66" i="2" s="1"/>
  <c r="H79" i="2"/>
  <c r="H80" i="2" s="1"/>
  <c r="H81" i="2" s="1"/>
  <c r="G79" i="2"/>
  <c r="G80" i="2" s="1"/>
  <c r="G81" i="2" s="1"/>
  <c r="F79" i="2"/>
  <c r="F80" i="2" s="1"/>
  <c r="F81" i="2" s="1"/>
  <c r="E79" i="2"/>
  <c r="E80" i="2" s="1"/>
  <c r="E81" i="2" s="1"/>
  <c r="D79" i="2"/>
  <c r="D80" i="2" s="1"/>
  <c r="D81" i="2" s="1"/>
  <c r="C80" i="2"/>
  <c r="C81" i="2" s="1"/>
  <c r="K79" i="2"/>
  <c r="K80" i="2" s="1"/>
  <c r="K81" i="2" s="1"/>
  <c r="C85" i="2"/>
  <c r="E182" i="2"/>
  <c r="C14" i="9"/>
  <c r="C10" i="9"/>
  <c r="C12" i="9" s="1"/>
  <c r="C15" i="9" s="1"/>
  <c r="J214" i="2"/>
  <c r="J270" i="2" s="1"/>
  <c r="D12" i="8"/>
  <c r="E12" i="8"/>
  <c r="D183" i="2"/>
  <c r="W128" i="2"/>
  <c r="Q160" i="2"/>
  <c r="E183" i="2"/>
  <c r="F183" i="2"/>
  <c r="C280" i="2"/>
  <c r="Z128" i="2"/>
  <c r="G183" i="2"/>
  <c r="C281" i="2"/>
  <c r="I212" i="2"/>
  <c r="I268" i="2" s="1"/>
  <c r="H96" i="2" l="1"/>
  <c r="H114" i="2" s="1"/>
  <c r="V66" i="2"/>
  <c r="V69" i="2"/>
  <c r="K95" i="2"/>
  <c r="K113" i="2" s="1"/>
  <c r="J98" i="2"/>
  <c r="J116" i="2" s="1"/>
  <c r="J134" i="2" s="1"/>
  <c r="I94" i="2"/>
  <c r="I112" i="2" s="1"/>
  <c r="W131" i="2"/>
  <c r="L57" i="2"/>
  <c r="C98" i="2"/>
  <c r="C116" i="2" s="1"/>
  <c r="C134" i="2" s="1"/>
  <c r="X46" i="2"/>
  <c r="C8" i="7"/>
  <c r="D8" i="7" s="1"/>
  <c r="E8" i="7" s="1"/>
  <c r="D8" i="8"/>
  <c r="D10" i="8" s="1"/>
  <c r="X47" i="2"/>
  <c r="Y45" i="2"/>
  <c r="H95" i="2"/>
  <c r="H113" i="2" s="1"/>
  <c r="D96" i="2"/>
  <c r="D114" i="2" s="1"/>
  <c r="D99" i="2"/>
  <c r="D117" i="2" s="1"/>
  <c r="D98" i="2"/>
  <c r="D116" i="2" s="1"/>
  <c r="D134" i="2" s="1"/>
  <c r="J96" i="2"/>
  <c r="J114" i="2" s="1"/>
  <c r="E94" i="2"/>
  <c r="U135" i="2"/>
  <c r="R132" i="2"/>
  <c r="U131" i="2"/>
  <c r="X49" i="2"/>
  <c r="U132" i="2"/>
  <c r="X132" i="2" s="1"/>
  <c r="R131" i="2"/>
  <c r="I106" i="3"/>
  <c r="C178" i="3"/>
  <c r="I178" i="3" s="1"/>
  <c r="P69" i="2"/>
  <c r="E99" i="2"/>
  <c r="E117" i="2" s="1"/>
  <c r="Q68" i="2"/>
  <c r="I99" i="2"/>
  <c r="I117" i="2" s="1"/>
  <c r="W136" i="2"/>
  <c r="K100" i="2"/>
  <c r="K118" i="2" s="1"/>
  <c r="K99" i="2"/>
  <c r="K117" i="2" s="1"/>
  <c r="E100" i="2"/>
  <c r="E118" i="2" s="1"/>
  <c r="R66" i="2"/>
  <c r="U62" i="2"/>
  <c r="U69" i="2" s="1"/>
  <c r="D94" i="2"/>
  <c r="E96" i="2"/>
  <c r="E114" i="2" s="1"/>
  <c r="I98" i="2"/>
  <c r="I116" i="2" s="1"/>
  <c r="I134" i="2" s="1"/>
  <c r="X61" i="2"/>
  <c r="X62" i="2" s="1"/>
  <c r="H94" i="2"/>
  <c r="K98" i="2"/>
  <c r="K116" i="2" s="1"/>
  <c r="K134" i="2" s="1"/>
  <c r="C215" i="2" s="1"/>
  <c r="F96" i="2"/>
  <c r="F114" i="2" s="1"/>
  <c r="G94" i="2"/>
  <c r="D95" i="2"/>
  <c r="D113" i="2" s="1"/>
  <c r="J100" i="2"/>
  <c r="J118" i="2" s="1"/>
  <c r="C95" i="2"/>
  <c r="C113" i="2" s="1"/>
  <c r="P68" i="2"/>
  <c r="W135" i="2"/>
  <c r="X65" i="2"/>
  <c r="Q62" i="2"/>
  <c r="Q69" i="2" s="1"/>
  <c r="R136" i="2"/>
  <c r="G96" i="2"/>
  <c r="G114" i="2" s="1"/>
  <c r="J95" i="2"/>
  <c r="J113" i="2" s="1"/>
  <c r="C8" i="4"/>
  <c r="O68" i="2"/>
  <c r="L99" i="2"/>
  <c r="L117" i="2" s="1"/>
  <c r="R135" i="2"/>
  <c r="L96" i="2"/>
  <c r="L114" i="2" s="1"/>
  <c r="C86" i="2"/>
  <c r="L85" i="2"/>
  <c r="L86" i="2" s="1"/>
  <c r="K85" i="2"/>
  <c r="K86" i="2" s="1"/>
  <c r="J85" i="2"/>
  <c r="J86" i="2" s="1"/>
  <c r="I85" i="2"/>
  <c r="I86" i="2" s="1"/>
  <c r="H85" i="2"/>
  <c r="H86" i="2" s="1"/>
  <c r="G85" i="2"/>
  <c r="G86" i="2" s="1"/>
  <c r="F85" i="2"/>
  <c r="F86" i="2" s="1"/>
  <c r="D85" i="2"/>
  <c r="D86" i="2" s="1"/>
  <c r="E85" i="2"/>
  <c r="E86" i="2" s="1"/>
  <c r="H98" i="2"/>
  <c r="H116" i="2" s="1"/>
  <c r="H134" i="2" s="1"/>
  <c r="I100" i="2"/>
  <c r="I118" i="2" s="1"/>
  <c r="J106" i="3"/>
  <c r="E178" i="3"/>
  <c r="J178" i="3" s="1"/>
  <c r="L98" i="2"/>
  <c r="L116" i="2" s="1"/>
  <c r="W66" i="2"/>
  <c r="W69" i="2" s="1"/>
  <c r="U136" i="2"/>
  <c r="C200" i="2"/>
  <c r="H99" i="2"/>
  <c r="H117" i="2" s="1"/>
  <c r="C94" i="2"/>
  <c r="C181" i="2"/>
  <c r="J181" i="2"/>
  <c r="J200" i="2" s="1"/>
  <c r="I181" i="2"/>
  <c r="H181" i="2"/>
  <c r="G181" i="2"/>
  <c r="F181" i="2"/>
  <c r="E181" i="2"/>
  <c r="D181" i="2"/>
  <c r="F99" i="2"/>
  <c r="F117" i="2" s="1"/>
  <c r="Y65" i="2"/>
  <c r="G99" i="2"/>
  <c r="G117" i="2" s="1"/>
  <c r="C96" i="2"/>
  <c r="C114" i="2" s="1"/>
  <c r="F95" i="2"/>
  <c r="F113" i="2" s="1"/>
  <c r="G95" i="2"/>
  <c r="G113" i="2" s="1"/>
  <c r="F98" i="2"/>
  <c r="F116" i="2" s="1"/>
  <c r="F134" i="2" s="1"/>
  <c r="F200" i="2" s="1"/>
  <c r="G98" i="2"/>
  <c r="G116" i="2" s="1"/>
  <c r="G134" i="2" s="1"/>
  <c r="G200" i="2" s="1"/>
  <c r="T132" i="2"/>
  <c r="W132" i="2" s="1"/>
  <c r="E98" i="2"/>
  <c r="E116" i="2" s="1"/>
  <c r="L95" i="2"/>
  <c r="L113" i="2" s="1"/>
  <c r="L100" i="2"/>
  <c r="L118" i="2" s="1"/>
  <c r="K96" i="2"/>
  <c r="K114" i="2" s="1"/>
  <c r="F94" i="2"/>
  <c r="O62" i="2"/>
  <c r="S62" i="2"/>
  <c r="S69" i="2" s="1"/>
  <c r="J72" i="3"/>
  <c r="J109" i="3" s="1"/>
  <c r="J73" i="3"/>
  <c r="J110" i="3" s="1"/>
  <c r="J94" i="2"/>
  <c r="L94" i="2"/>
  <c r="K94" i="2"/>
  <c r="I95" i="2"/>
  <c r="I113" i="2" s="1"/>
  <c r="G100" i="2"/>
  <c r="G118" i="2" s="1"/>
  <c r="C100" i="2"/>
  <c r="C118" i="2" s="1"/>
  <c r="H100" i="2"/>
  <c r="H118" i="2" s="1"/>
  <c r="I182" i="3"/>
  <c r="D131" i="3"/>
  <c r="D100" i="2"/>
  <c r="D118" i="2" s="1"/>
  <c r="F100" i="2"/>
  <c r="F118" i="2" s="1"/>
  <c r="C99" i="2"/>
  <c r="C117" i="2" s="1"/>
  <c r="E95" i="2"/>
  <c r="E113" i="2" s="1"/>
  <c r="E131" i="2" s="1"/>
  <c r="R69" i="2"/>
  <c r="X50" i="2"/>
  <c r="E136" i="2" l="1"/>
  <c r="Y61" i="2"/>
  <c r="I200" i="2"/>
  <c r="L131" i="2"/>
  <c r="D212" i="2" s="1"/>
  <c r="X136" i="2"/>
  <c r="X131" i="2"/>
  <c r="L132" i="2"/>
  <c r="D213" i="2" s="1"/>
  <c r="E8" i="8"/>
  <c r="E10" i="8" s="1"/>
  <c r="J303" i="2"/>
  <c r="X51" i="2"/>
  <c r="X66" i="2"/>
  <c r="X69" i="2" s="1"/>
  <c r="Y68" i="2"/>
  <c r="G303" i="2"/>
  <c r="C8" i="5"/>
  <c r="C10" i="4"/>
  <c r="C16" i="4" s="1"/>
  <c r="J182" i="3"/>
  <c r="G131" i="3"/>
  <c r="F303" i="2"/>
  <c r="Y49" i="2"/>
  <c r="Z45" i="2" s="1"/>
  <c r="Z49" i="2" s="1"/>
  <c r="E202" i="2"/>
  <c r="Z136" i="2"/>
  <c r="E10" i="7"/>
  <c r="K303" i="2"/>
  <c r="C226" i="2"/>
  <c r="E134" i="2"/>
  <c r="AC137" i="2"/>
  <c r="G130" i="3"/>
  <c r="D136" i="3" s="1"/>
  <c r="J181" i="3"/>
  <c r="C352" i="2"/>
  <c r="C21" i="3" s="1"/>
  <c r="H112" i="2"/>
  <c r="H102" i="2"/>
  <c r="X135" i="2"/>
  <c r="G102" i="2"/>
  <c r="G112" i="2"/>
  <c r="J112" i="2"/>
  <c r="J102" i="2"/>
  <c r="D132" i="3"/>
  <c r="D137" i="3"/>
  <c r="AD137" i="2"/>
  <c r="L134" i="2"/>
  <c r="D215" i="2" s="1"/>
  <c r="X68" i="2"/>
  <c r="E135" i="2"/>
  <c r="E102" i="2"/>
  <c r="E112" i="2"/>
  <c r="K102" i="2"/>
  <c r="K112" i="2"/>
  <c r="L102" i="2"/>
  <c r="L112" i="2"/>
  <c r="Z131" i="2"/>
  <c r="E195" i="2"/>
  <c r="O69" i="2"/>
  <c r="Y62" i="2"/>
  <c r="Z61" i="2" s="1"/>
  <c r="Z62" i="2" s="1"/>
  <c r="C353" i="2"/>
  <c r="I303" i="2"/>
  <c r="F102" i="2"/>
  <c r="F112" i="2"/>
  <c r="C102" i="2"/>
  <c r="C112" i="2"/>
  <c r="E132" i="2"/>
  <c r="D200" i="2"/>
  <c r="D102" i="2"/>
  <c r="D112" i="2"/>
  <c r="I102" i="2"/>
  <c r="L136" i="2"/>
  <c r="H200" i="2"/>
  <c r="I120" i="2"/>
  <c r="I130" i="2"/>
  <c r="C303" i="2"/>
  <c r="L135" i="2"/>
  <c r="AA132" i="2" l="1"/>
  <c r="AA131" i="2"/>
  <c r="C20" i="8"/>
  <c r="C20" i="7"/>
  <c r="AD133" i="2"/>
  <c r="L130" i="2"/>
  <c r="L120" i="2"/>
  <c r="J120" i="2"/>
  <c r="J130" i="2"/>
  <c r="K130" i="2"/>
  <c r="K120" i="2"/>
  <c r="D303" i="2"/>
  <c r="F120" i="2"/>
  <c r="F130" i="2"/>
  <c r="G132" i="3"/>
  <c r="D138" i="3" s="1"/>
  <c r="D224" i="2"/>
  <c r="Y69" i="2"/>
  <c r="Z68" i="2" s="1"/>
  <c r="Z69" i="2" s="1"/>
  <c r="C104" i="2"/>
  <c r="H303" i="2"/>
  <c r="G120" i="2"/>
  <c r="G130" i="2"/>
  <c r="Y66" i="2"/>
  <c r="Z65" i="2" s="1"/>
  <c r="Z66" i="2" s="1"/>
  <c r="D120" i="2"/>
  <c r="D130" i="2"/>
  <c r="D216" i="2"/>
  <c r="AA135" i="2"/>
  <c r="C130" i="2"/>
  <c r="C120" i="2"/>
  <c r="C22" i="3"/>
  <c r="C354" i="2"/>
  <c r="D271" i="2"/>
  <c r="D75" i="3" s="1"/>
  <c r="D8" i="5"/>
  <c r="D10" i="5" s="1"/>
  <c r="D16" i="5" s="1"/>
  <c r="C10" i="5"/>
  <c r="C16" i="5" s="1"/>
  <c r="H120" i="2"/>
  <c r="H130" i="2"/>
  <c r="E196" i="2"/>
  <c r="E204" i="2" s="1"/>
  <c r="Z132" i="2"/>
  <c r="Z133" i="2" s="1"/>
  <c r="I138" i="2"/>
  <c r="I204" i="2" s="1"/>
  <c r="I194" i="2"/>
  <c r="AC133" i="2"/>
  <c r="E120" i="2"/>
  <c r="E130" i="2"/>
  <c r="E138" i="2" s="1"/>
  <c r="E201" i="2"/>
  <c r="Z135" i="2"/>
  <c r="Z137" i="2" s="1"/>
  <c r="D217" i="2"/>
  <c r="AA136" i="2"/>
  <c r="AA137" i="2" s="1"/>
  <c r="L303" i="2"/>
  <c r="D226" i="2"/>
  <c r="D223" i="2"/>
  <c r="C122" i="2" l="1"/>
  <c r="C139" i="2" s="1"/>
  <c r="E302" i="2"/>
  <c r="AA133" i="2"/>
  <c r="H194" i="2"/>
  <c r="H138" i="2"/>
  <c r="H204" i="2" s="1"/>
  <c r="G138" i="2"/>
  <c r="G204" i="2" s="1"/>
  <c r="G194" i="2"/>
  <c r="D228" i="2"/>
  <c r="F273" i="2" s="1"/>
  <c r="F77" i="3" s="1"/>
  <c r="D211" i="2"/>
  <c r="L138" i="2"/>
  <c r="D219" i="2" s="1"/>
  <c r="D230" i="2" s="1"/>
  <c r="F269" i="2"/>
  <c r="F73" i="3" s="1"/>
  <c r="I302" i="2"/>
  <c r="C194" i="2"/>
  <c r="C138" i="2"/>
  <c r="C204" i="2" s="1"/>
  <c r="D194" i="2"/>
  <c r="D138" i="2"/>
  <c r="D204" i="2" s="1"/>
  <c r="F138" i="2"/>
  <c r="F204" i="2" s="1"/>
  <c r="F194" i="2"/>
  <c r="E303" i="2"/>
  <c r="C18" i="4"/>
  <c r="C18" i="6"/>
  <c r="C19" i="6" s="1"/>
  <c r="C21" i="6" s="1"/>
  <c r="C9" i="8" s="1"/>
  <c r="C10" i="8" s="1"/>
  <c r="C21" i="8"/>
  <c r="C21" i="7"/>
  <c r="C211" i="2"/>
  <c r="K138" i="2"/>
  <c r="C219" i="2" s="1"/>
  <c r="C230" i="2" s="1"/>
  <c r="E24" i="7"/>
  <c r="J138" i="2"/>
  <c r="J204" i="2" s="1"/>
  <c r="J194" i="2"/>
  <c r="F268" i="2"/>
  <c r="F72" i="3" s="1"/>
  <c r="D227" i="2"/>
  <c r="D24" i="8"/>
  <c r="E24" i="8"/>
  <c r="C25" i="8" l="1"/>
  <c r="D25" i="8"/>
  <c r="D26" i="8" s="1"/>
  <c r="E25" i="8"/>
  <c r="E26" i="8" s="1"/>
  <c r="C18" i="5"/>
  <c r="C19" i="4"/>
  <c r="C21" i="4" s="1"/>
  <c r="C9" i="3" s="1"/>
  <c r="F302" i="2"/>
  <c r="L302" i="2"/>
  <c r="D222" i="2"/>
  <c r="D197" i="2"/>
  <c r="I304" i="2"/>
  <c r="I308" i="2" s="1"/>
  <c r="C197" i="2"/>
  <c r="G302" i="2"/>
  <c r="E304" i="2"/>
  <c r="E307" i="2" s="1"/>
  <c r="E308" i="2"/>
  <c r="C24" i="8"/>
  <c r="C29" i="8" s="1"/>
  <c r="J302" i="2"/>
  <c r="C312" i="2"/>
  <c r="C222" i="2"/>
  <c r="D267" i="2" s="1"/>
  <c r="D71" i="3" s="1"/>
  <c r="K302" i="2"/>
  <c r="F272" i="2"/>
  <c r="F76" i="3" s="1"/>
  <c r="H302" i="2"/>
  <c r="C233" i="2"/>
  <c r="E25" i="7"/>
  <c r="E26" i="7" s="1"/>
  <c r="D9" i="3" l="1"/>
  <c r="D11" i="3" s="1"/>
  <c r="C11" i="3"/>
  <c r="G304" i="2"/>
  <c r="G308" i="2" s="1"/>
  <c r="D18" i="5"/>
  <c r="D19" i="5" s="1"/>
  <c r="D21" i="5" s="1"/>
  <c r="D9" i="7" s="1"/>
  <c r="C19" i="5"/>
  <c r="C21" i="5" s="1"/>
  <c r="C9" i="7" s="1"/>
  <c r="F304" i="2"/>
  <c r="F308" i="2" s="1"/>
  <c r="L304" i="2"/>
  <c r="L308" i="2" s="1"/>
  <c r="C250" i="2"/>
  <c r="C54" i="3" s="1"/>
  <c r="C198" i="2"/>
  <c r="C251" i="2" s="1"/>
  <c r="C55" i="3" s="1"/>
  <c r="C26" i="8"/>
  <c r="C32" i="8" s="1"/>
  <c r="K304" i="2"/>
  <c r="K308" i="2" s="1"/>
  <c r="D235" i="2"/>
  <c r="C267" i="2" s="1"/>
  <c r="C71" i="3" s="1"/>
  <c r="D234" i="2"/>
  <c r="I307" i="2"/>
  <c r="H304" i="2"/>
  <c r="H308" i="2" s="1"/>
  <c r="C30" i="8"/>
  <c r="E317" i="2"/>
  <c r="D250" i="2"/>
  <c r="D54" i="3" s="1"/>
  <c r="D198" i="2"/>
  <c r="D251" i="2" s="1"/>
  <c r="D55" i="3" s="1"/>
  <c r="J304" i="2"/>
  <c r="J308" i="2" s="1"/>
  <c r="D302" i="2" l="1"/>
  <c r="C26" i="3"/>
  <c r="C25" i="3"/>
  <c r="D26" i="3"/>
  <c r="D25" i="3"/>
  <c r="H307" i="2"/>
  <c r="J307" i="2"/>
  <c r="L307" i="2"/>
  <c r="D304" i="2"/>
  <c r="D308" i="2" s="1"/>
  <c r="D10" i="7"/>
  <c r="D24" i="7"/>
  <c r="D25" i="7"/>
  <c r="D26" i="7" s="1"/>
  <c r="C10" i="7"/>
  <c r="C24" i="7"/>
  <c r="C29" i="7" s="1"/>
  <c r="C25" i="7"/>
  <c r="G307" i="2"/>
  <c r="C322" i="2"/>
  <c r="G255" i="2"/>
  <c r="G59" i="3" s="1"/>
  <c r="I255" i="2"/>
  <c r="F255" i="2"/>
  <c r="F59" i="3" s="1"/>
  <c r="C255" i="2"/>
  <c r="C59" i="3" s="1"/>
  <c r="J255" i="2"/>
  <c r="J59" i="3" s="1"/>
  <c r="E246" i="2"/>
  <c r="E50" i="3" s="1"/>
  <c r="C271" i="2"/>
  <c r="C75" i="3" s="1"/>
  <c r="E257" i="2"/>
  <c r="E61" i="3" s="1"/>
  <c r="D255" i="2"/>
  <c r="D59" i="3" s="1"/>
  <c r="H255" i="2"/>
  <c r="H59" i="3" s="1"/>
  <c r="I259" i="2"/>
  <c r="I63" i="3" s="1"/>
  <c r="E256" i="2"/>
  <c r="E60" i="3" s="1"/>
  <c r="E247" i="2"/>
  <c r="E51" i="3" s="1"/>
  <c r="I245" i="2"/>
  <c r="E259" i="2"/>
  <c r="E63" i="3" s="1"/>
  <c r="E269" i="2"/>
  <c r="E73" i="3" s="1"/>
  <c r="E268" i="2"/>
  <c r="E72" i="3" s="1"/>
  <c r="J259" i="2"/>
  <c r="J63" i="3" s="1"/>
  <c r="E275" i="2"/>
  <c r="E79" i="3" s="1"/>
  <c r="G259" i="2"/>
  <c r="G63" i="3" s="1"/>
  <c r="H245" i="2"/>
  <c r="H49" i="3" s="1"/>
  <c r="C259" i="2"/>
  <c r="C63" i="3" s="1"/>
  <c r="C249" i="2"/>
  <c r="C53" i="3" s="1"/>
  <c r="D259" i="2"/>
  <c r="D63" i="3" s="1"/>
  <c r="F245" i="2"/>
  <c r="F49" i="3" s="1"/>
  <c r="D249" i="2"/>
  <c r="D53" i="3" s="1"/>
  <c r="J245" i="2"/>
  <c r="J49" i="3" s="1"/>
  <c r="F259" i="2"/>
  <c r="F63" i="3" s="1"/>
  <c r="E272" i="2"/>
  <c r="E76" i="3" s="1"/>
  <c r="C275" i="2"/>
  <c r="C79" i="3" s="1"/>
  <c r="G245" i="2"/>
  <c r="G49" i="3" s="1"/>
  <c r="H259" i="2"/>
  <c r="H63" i="3" s="1"/>
  <c r="E273" i="2"/>
  <c r="E77" i="3" s="1"/>
  <c r="F307" i="2"/>
  <c r="K307" i="2"/>
  <c r="C302" i="2"/>
  <c r="C26" i="7" l="1"/>
  <c r="C32" i="7" s="1"/>
  <c r="C30" i="7"/>
  <c r="D307" i="2"/>
  <c r="C311" i="2"/>
  <c r="C304" i="2"/>
  <c r="C308" i="2" s="1"/>
  <c r="I49" i="3"/>
  <c r="K247" i="2"/>
  <c r="K51" i="3" s="1"/>
  <c r="I59" i="3"/>
  <c r="K257" i="2"/>
  <c r="K61" i="3" s="1"/>
  <c r="C27" i="3"/>
  <c r="D27" i="3"/>
  <c r="K328" i="2"/>
  <c r="L329" i="2"/>
  <c r="K329" i="2"/>
  <c r="H328" i="2"/>
  <c r="G328" i="2"/>
  <c r="H329" i="2"/>
  <c r="F328" i="2"/>
  <c r="G329" i="2"/>
  <c r="E328" i="2"/>
  <c r="F329" i="2"/>
  <c r="F330" i="2" s="1"/>
  <c r="D328" i="2"/>
  <c r="E329" i="2"/>
  <c r="E330" i="2" s="1"/>
  <c r="C328" i="2"/>
  <c r="D329" i="2"/>
  <c r="C329" i="2"/>
  <c r="L328" i="2"/>
  <c r="I329" i="2" l="1"/>
  <c r="C333" i="2" s="1"/>
  <c r="J329" i="2"/>
  <c r="J330" i="2" s="1"/>
  <c r="L330" i="2"/>
  <c r="H330" i="2"/>
  <c r="C330" i="2"/>
  <c r="C307" i="2"/>
  <c r="J328" i="2"/>
  <c r="E316" i="2"/>
  <c r="C313" i="2"/>
  <c r="C317" i="2" s="1"/>
  <c r="D330" i="2"/>
  <c r="G330" i="2"/>
  <c r="I328" i="2"/>
  <c r="K330" i="2"/>
  <c r="C332" i="2" l="1"/>
  <c r="C334" i="2" s="1"/>
  <c r="I330" i="2"/>
  <c r="L317" i="2"/>
  <c r="L316" i="2"/>
  <c r="C316" i="2"/>
  <c r="E17" i="3" l="1"/>
  <c r="E25" i="3" s="1"/>
  <c r="C323" i="2"/>
  <c r="C324" i="2"/>
  <c r="E18" i="3"/>
  <c r="E26" i="3" s="1"/>
  <c r="E27" i="3" l="1"/>
  <c r="C143" i="3"/>
  <c r="C205" i="3"/>
  <c r="C31" i="3"/>
  <c r="I339" i="2"/>
  <c r="J339" i="2"/>
  <c r="G339" i="2"/>
  <c r="G340" i="2" s="1"/>
  <c r="E339" i="2"/>
  <c r="E340" i="2" s="1"/>
  <c r="D339" i="2"/>
  <c r="L339" i="2"/>
  <c r="K339" i="2"/>
  <c r="C339" i="2"/>
  <c r="F339" i="2"/>
  <c r="H339" i="2"/>
  <c r="C338" i="2"/>
  <c r="L338" i="2"/>
  <c r="H338" i="2"/>
  <c r="G338" i="2"/>
  <c r="K338" i="2"/>
  <c r="E338" i="2"/>
  <c r="I338" i="2"/>
  <c r="J338" i="2"/>
  <c r="D338" i="2"/>
  <c r="F338" i="2"/>
  <c r="C204" i="3"/>
  <c r="C142" i="3"/>
  <c r="C30" i="3"/>
  <c r="K340" i="2" l="1"/>
  <c r="L340" i="2"/>
  <c r="C206" i="3"/>
  <c r="C340" i="2"/>
  <c r="C343" i="2"/>
  <c r="D340" i="2"/>
  <c r="I340" i="2"/>
  <c r="J340" i="2"/>
  <c r="C342" i="2"/>
  <c r="H340" i="2"/>
  <c r="C144" i="3"/>
  <c r="F340" i="2"/>
  <c r="C38" i="3"/>
  <c r="C33" i="3"/>
  <c r="C344" i="2" l="1"/>
  <c r="C346" i="2" s="1"/>
  <c r="G97" i="3"/>
  <c r="H90" i="3"/>
  <c r="E109" i="3"/>
  <c r="F97" i="3"/>
  <c r="G90" i="3"/>
  <c r="C66" i="3"/>
  <c r="C108" i="3"/>
  <c r="D97" i="3"/>
  <c r="F90" i="3"/>
  <c r="E114" i="3"/>
  <c r="C97" i="3"/>
  <c r="D95" i="3"/>
  <c r="C95" i="3"/>
  <c r="E113" i="3"/>
  <c r="D94" i="3"/>
  <c r="C112" i="3"/>
  <c r="E99" i="3"/>
  <c r="C94" i="3"/>
  <c r="E98" i="3"/>
  <c r="E92" i="3"/>
  <c r="C37" i="3"/>
  <c r="C39" i="3" s="1"/>
  <c r="E91" i="3"/>
  <c r="E110" i="3"/>
  <c r="I97" i="3"/>
  <c r="H97" i="3"/>
  <c r="I90" i="3"/>
  <c r="D123" i="3" l="1"/>
  <c r="E122" i="3"/>
  <c r="C130" i="3"/>
  <c r="C122" i="3"/>
  <c r="G122" i="3"/>
  <c r="C131" i="3"/>
  <c r="F123" i="3"/>
  <c r="D122" i="3"/>
  <c r="F130" i="3"/>
  <c r="F122" i="3"/>
  <c r="I122" i="3"/>
  <c r="J90" i="3"/>
  <c r="F131" i="3"/>
  <c r="H122" i="3"/>
  <c r="H123" i="3"/>
  <c r="H124" i="3" s="1"/>
  <c r="G123" i="3"/>
  <c r="I123" i="3"/>
  <c r="J97" i="3"/>
  <c r="E123" i="3"/>
  <c r="E124" i="3" s="1"/>
  <c r="C123" i="3"/>
  <c r="C124" i="3" s="1"/>
  <c r="I124" i="3" l="1"/>
  <c r="G124" i="3"/>
  <c r="F124" i="3"/>
  <c r="J123" i="3"/>
  <c r="C132" i="3"/>
  <c r="C137" i="3"/>
  <c r="D124" i="3"/>
  <c r="F132" i="3"/>
  <c r="J122" i="3"/>
  <c r="C136" i="3" s="1"/>
  <c r="E136" i="3" s="1"/>
  <c r="C147" i="3" s="1"/>
  <c r="E147" i="3" s="1"/>
  <c r="D166" i="3" l="1"/>
  <c r="E181" i="3"/>
  <c r="C166" i="3"/>
  <c r="D167" i="3"/>
  <c r="E182" i="3"/>
  <c r="E163" i="3"/>
  <c r="C167" i="3"/>
  <c r="C180" i="3"/>
  <c r="K194" i="3" s="1"/>
  <c r="H162" i="3"/>
  <c r="H194" i="3" s="1"/>
  <c r="F162" i="3"/>
  <c r="F194" i="3" s="1"/>
  <c r="E164" i="3"/>
  <c r="I162" i="3"/>
  <c r="I194" i="3" s="1"/>
  <c r="G162" i="3"/>
  <c r="G194" i="3" s="1"/>
  <c r="J162" i="3"/>
  <c r="J194" i="3" s="1"/>
  <c r="C138" i="3"/>
  <c r="E138" i="3" s="1"/>
  <c r="C149" i="3" s="1"/>
  <c r="E137" i="3"/>
  <c r="C148" i="3" s="1"/>
  <c r="E148" i="3" s="1"/>
  <c r="J124" i="3"/>
  <c r="E194" i="3" l="1"/>
  <c r="D169" i="3"/>
  <c r="D195" i="3" s="1"/>
  <c r="C184" i="3"/>
  <c r="K195" i="3" s="1"/>
  <c r="K196" i="3" s="1"/>
  <c r="I169" i="3"/>
  <c r="I195" i="3" s="1"/>
  <c r="I196" i="3" s="1"/>
  <c r="E185" i="3"/>
  <c r="E171" i="3"/>
  <c r="F169" i="3"/>
  <c r="F195" i="3" s="1"/>
  <c r="F196" i="3" s="1"/>
  <c r="H169" i="3"/>
  <c r="H195" i="3" s="1"/>
  <c r="H196" i="3" s="1"/>
  <c r="E186" i="3"/>
  <c r="E170" i="3"/>
  <c r="C169" i="3"/>
  <c r="C195" i="3" s="1"/>
  <c r="G169" i="3"/>
  <c r="G195" i="3" s="1"/>
  <c r="G196" i="3" s="1"/>
  <c r="J169" i="3"/>
  <c r="J195" i="3" s="1"/>
  <c r="J196" i="3" s="1"/>
  <c r="C194" i="3"/>
  <c r="L194" i="3"/>
  <c r="D194" i="3"/>
  <c r="E195" i="3" l="1"/>
  <c r="E196" i="3" s="1"/>
  <c r="L195" i="3"/>
  <c r="L196" i="3" s="1"/>
  <c r="C196" i="3"/>
  <c r="C198" i="3"/>
  <c r="C209" i="3" s="1"/>
  <c r="E209" i="3" s="1"/>
  <c r="D196" i="3"/>
  <c r="C199" i="3" l="1"/>
  <c r="C200" i="3" s="1"/>
  <c r="C211" i="3" s="1"/>
  <c r="E211" i="3" s="1"/>
  <c r="C210" i="3" l="1"/>
  <c r="E210" i="3" s="1"/>
</calcChain>
</file>

<file path=xl/sharedStrings.xml><?xml version="1.0" encoding="utf-8"?>
<sst xmlns="http://schemas.openxmlformats.org/spreadsheetml/2006/main" count="1106" uniqueCount="435">
  <si>
    <t>Adjusted to Billing Time Periods</t>
  </si>
  <si>
    <t>Table #1</t>
  </si>
  <si>
    <t>% Usage During PJM On-Peak Period</t>
  </si>
  <si>
    <t>On-Peak periods defined as the 16 hr PJM Trading period, adj for NERC holidays</t>
  </si>
  <si>
    <t>Profile Meter Data</t>
  </si>
  <si>
    <t xml:space="preserve">   --- Other Analysis ---</t>
  </si>
  <si>
    <t>(data rounded to nearest .01%)</t>
  </si>
  <si>
    <t>RS</t>
  </si>
  <si>
    <t>RHS</t>
  </si>
  <si>
    <t>RLM</t>
  </si>
  <si>
    <t>WH</t>
  </si>
  <si>
    <t>WHS</t>
  </si>
  <si>
    <t>HS</t>
  </si>
  <si>
    <t>PSAL</t>
  </si>
  <si>
    <t>BPL</t>
  </si>
  <si>
    <t>GLP</t>
  </si>
  <si>
    <t>LPL-S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</si>
  <si>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</si>
  <si>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</si>
  <si>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</si>
  <si>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</si>
  <si>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</si>
  <si>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</si>
  <si>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</si>
  <si>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</si>
  <si>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</si>
  <si>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</si>
  <si>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</si>
  <si>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</si>
  <si>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Table #2</t>
  </si>
  <si>
    <t>% Usage During PSE&amp;G On-Peak Billing Period</t>
  </si>
  <si>
    <t>Table #3</t>
  </si>
  <si>
    <t>Class Usage @ customer</t>
  </si>
  <si>
    <t>in MWh</t>
  </si>
  <si>
    <t>LPL-S &gt; 500 kW PLS</t>
  </si>
  <si>
    <t>% of</t>
  </si>
  <si>
    <t>kWh</t>
  </si>
  <si>
    <t>Gen Obl</t>
  </si>
  <si>
    <t>Table #4</t>
  </si>
  <si>
    <t>Forwards Prices - Energy Only @ bulk system</t>
  </si>
  <si>
    <t>Table #5</t>
  </si>
  <si>
    <t>Zone to Western Hub Basis Differential</t>
  </si>
  <si>
    <t>in $/MWh, not including PJM losses</t>
  </si>
  <si>
    <t>Off/On Pk</t>
  </si>
  <si>
    <t>On-Peak</t>
  </si>
  <si>
    <t>LMP ratio</t>
  </si>
  <si>
    <t>Summer</t>
  </si>
  <si>
    <t>Winter</t>
  </si>
  <si>
    <t>Basis</t>
  </si>
  <si>
    <t>Off-Peak</t>
  </si>
  <si>
    <t>Table #6</t>
  </si>
  <si>
    <t>Loss Type</t>
  </si>
  <si>
    <t>Percentage</t>
  </si>
  <si>
    <t>Source</t>
  </si>
  <si>
    <t>Delivery Losses</t>
  </si>
  <si>
    <t>Tariff (Result of 2018 Rate Case Loss Study)</t>
  </si>
  <si>
    <t>EHV Losses</t>
  </si>
  <si>
    <t>PJM - No update for 2020</t>
  </si>
  <si>
    <t>Marginal Loss Deration Factor</t>
  </si>
  <si>
    <t>NERA</t>
  </si>
  <si>
    <t>Table #10</t>
  </si>
  <si>
    <t>Generation &amp; Transmission Obligations and Costs and Other Adjustments</t>
  </si>
  <si>
    <t>Obligations - Peak Load shares eff 1/1/21, scaling factors eff 6/1/21, Transmission Loads eff 1/1/21; costs are market estimates</t>
  </si>
  <si>
    <t>in MW</t>
  </si>
  <si>
    <t>Generation Peak Load Share</t>
  </si>
  <si>
    <t>Tranmsission Obligation</t>
  </si>
  <si>
    <t>Final Zonal RPM Scaling Factor</t>
  </si>
  <si>
    <t>NITS Rate</t>
  </si>
  <si>
    <t>Tranches</t>
  </si>
  <si>
    <t>Base Capacity</t>
  </si>
  <si>
    <t>Generation Capacity cost</t>
  </si>
  <si>
    <t>summer =</t>
  </si>
  <si>
    <t>$/MW/day</t>
  </si>
  <si>
    <t>winter =</t>
  </si>
  <si>
    <t>Required summer inversion =</t>
  </si>
  <si>
    <t>¢/kWh</t>
  </si>
  <si>
    <t>(same as 2003/2004 BGS blocking inversion)(generally not updated)</t>
  </si>
  <si>
    <t>Table #11</t>
  </si>
  <si>
    <t>Ancillary Services &amp; Renewable Power Cost</t>
  </si>
  <si>
    <t xml:space="preserve">Ancillary Services </t>
  </si>
  <si>
    <t>per MWh @  bulk system</t>
  </si>
  <si>
    <t>Renewable Power Cost</t>
  </si>
  <si>
    <t>Bill Impacts</t>
  </si>
  <si>
    <t>BGS - CIEP BRA Clearing Price ($ per MW/Day)</t>
  </si>
  <si>
    <t>Annual Obligation Clearing Price</t>
  </si>
  <si>
    <t>per MWh</t>
  </si>
  <si>
    <t>auction results and rates</t>
  </si>
  <si>
    <t>Specific BGS-FP Auction &gt;&gt;</t>
  </si>
  <si>
    <t>remaining portion of 36 month bid - 2020 auction</t>
  </si>
  <si>
    <t>remaining portion of 36 month bid - 2021 auction</t>
  </si>
  <si>
    <t>36 month bid - 2022 auction</t>
  </si>
  <si>
    <t>remaining portion of 36 month bid - 2019 auction</t>
  </si>
  <si>
    <t>Winning Bid - in $/MWh</t>
  </si>
  <si>
    <t># of Tranches for Bid</t>
  </si>
  <si>
    <t>Use Estimated amount in cell e136</t>
  </si>
  <si>
    <t>Yes</t>
  </si>
  <si>
    <t>Payment Factors</t>
  </si>
  <si>
    <t xml:space="preserve">                           Summer</t>
  </si>
  <si>
    <t xml:space="preserve">                           Winter</t>
  </si>
  <si>
    <t xml:space="preserve"> </t>
  </si>
  <si>
    <t>% usage during Off-Peak period</t>
  </si>
  <si>
    <t xml:space="preserve"> -- Other Analysis --</t>
  </si>
  <si>
    <t>N/A</t>
  </si>
  <si>
    <t>Actual Billed Sales</t>
  </si>
  <si>
    <t>Usage by season - PSE&amp;G periods</t>
  </si>
  <si>
    <t>&lt; 500 kW</t>
  </si>
  <si>
    <t>Total</t>
  </si>
  <si>
    <t>%</t>
  </si>
  <si>
    <t>Trans Obl</t>
  </si>
  <si>
    <t>winter MWh =</t>
  </si>
  <si>
    <t>on-peak</t>
  </si>
  <si>
    <t>off-peak</t>
  </si>
  <si>
    <t>summer MWh =</t>
  </si>
  <si>
    <t>Block 1</t>
  </si>
  <si>
    <t>Block 2</t>
  </si>
  <si>
    <t>Usage by season/period - PJM periods</t>
  </si>
  <si>
    <t>in MWhs</t>
  </si>
  <si>
    <t>Resulting</t>
  </si>
  <si>
    <t>NYMEX Forwards (June 4, 2021) from NERA</t>
  </si>
  <si>
    <t xml:space="preserve">Congestion Factors &amp; On/Off Peak Ratios </t>
  </si>
  <si>
    <t xml:space="preserve">  Summer Averages for June 2018-Sep 2020</t>
  </si>
  <si>
    <t xml:space="preserve">  Winter Averages for Mar 2018-Feb 2021</t>
  </si>
  <si>
    <t>Total on-peak</t>
  </si>
  <si>
    <t>Total off-peak</t>
  </si>
  <si>
    <t>Losses</t>
  </si>
  <si>
    <t>from meter to bulk system (includes Delivery &amp; PJM EHV losses)</t>
  </si>
  <si>
    <t>Tariff (Result of 2018 Loss Study)</t>
  </si>
  <si>
    <t xml:space="preserve">     Loss Factors =</t>
  </si>
  <si>
    <t>PJM</t>
  </si>
  <si>
    <t xml:space="preserve">     Expansion Factor =</t>
  </si>
  <si>
    <t xml:space="preserve">     1 / Expansion Factor =</t>
  </si>
  <si>
    <t>Marginal Loss Factor</t>
  </si>
  <si>
    <t>from meter to transmission node (includes Delivery less mean hourly PJM marginal losses)</t>
  </si>
  <si>
    <t>Table #7</t>
  </si>
  <si>
    <t>Summary of Average BGS Energy Only Unit Costs @ customer - PJM Time Periods</t>
  </si>
  <si>
    <t>based on Forwards prices corrected for congestion &amp; all losses - PJM time periods</t>
  </si>
  <si>
    <t>in $/MWh</t>
  </si>
  <si>
    <t>Summer - all hrs</t>
  </si>
  <si>
    <t>PJM on pk</t>
  </si>
  <si>
    <t>PJM off pk</t>
  </si>
  <si>
    <t>Winter - all hrs</t>
  </si>
  <si>
    <t>Annual</t>
  </si>
  <si>
    <t>System Total</t>
  </si>
  <si>
    <t>Table #8</t>
  </si>
  <si>
    <t>Summary of Average BGS Energy Only Costs @ customer - PJM Time Periods</t>
  </si>
  <si>
    <t>based on Forwards prices corrected for congestion &amp; all losses</t>
  </si>
  <si>
    <t>in $1000</t>
  </si>
  <si>
    <t>Table #9</t>
  </si>
  <si>
    <t>Summary of Average BGS Energy Only Unit Costs @ customer - PSE&amp;G Time Periods</t>
  </si>
  <si>
    <t>MWhs in PSE&amp;G time periods</t>
  </si>
  <si>
    <t>MWhs in PJM time periods</t>
  </si>
  <si>
    <t>Difference in MWhs</t>
  </si>
  <si>
    <t>Check on total $ recovered</t>
  </si>
  <si>
    <t>based on Forwards prices corrected for congestion &amp; all losses - PSE&amp;G billing time periods</t>
  </si>
  <si>
    <t>(PJM - PSE&amp;G)</t>
  </si>
  <si>
    <t>PSE&amp;G time periods</t>
  </si>
  <si>
    <t>PJM time periods (Table #8)</t>
  </si>
  <si>
    <t>PSE&amp;G On pk</t>
  </si>
  <si>
    <t>PSE&amp;G Off pk</t>
  </si>
  <si>
    <t>Annual Average</t>
  </si>
  <si>
    <t>System Average</t>
  </si>
  <si>
    <t>Adj for PLS</t>
  </si>
  <si>
    <t>&gt; 500 kW</t>
  </si>
  <si>
    <t>NITS Rate Weighted Average Calculation</t>
  </si>
  <si>
    <t>Gen Obl - MW</t>
  </si>
  <si>
    <t xml:space="preserve"> NITS Rate</t>
  </si>
  <si>
    <t>Trans Obl - MW</t>
  </si>
  <si>
    <t># of Months and Days used in this analysis</t>
  </si>
  <si>
    <t># of summer days =</t>
  </si>
  <si>
    <t># of summer months =</t>
  </si>
  <si>
    <t># of winter days =</t>
  </si>
  <si>
    <t># of winter months =</t>
  </si>
  <si>
    <t>total # months =</t>
  </si>
  <si>
    <t>Transmission Cost</t>
  </si>
  <si>
    <t>year round =</t>
  </si>
  <si>
    <t>per MW-yr</t>
  </si>
  <si>
    <t>Base
Capacity</t>
  </si>
  <si>
    <t xml:space="preserve">Resulting average generation capacity cost = </t>
  </si>
  <si>
    <t>annual  &gt;&gt;</t>
  </si>
  <si>
    <t>per kW/yr</t>
  </si>
  <si>
    <t>% usage in Summer Blocks</t>
  </si>
  <si>
    <t>Block 1 (0-600 kWh/m)</t>
  </si>
  <si>
    <t>(based on W/N actuals used in settlement and final rate design of 2018 Rate Case, rounded to .1%)</t>
  </si>
  <si>
    <t>Blocking Percentages based on Annualized W/N Usage Used in 2018 Electric Rate Case Settlement</t>
  </si>
  <si>
    <t>Block 2  (&gt;600 kWh/m)</t>
  </si>
  <si>
    <t>June - September (0-600)</t>
  </si>
  <si>
    <t>(same as 2003/2004 BGS blocking inversion)</t>
  </si>
  <si>
    <t>June - September (600+)</t>
  </si>
  <si>
    <t>Total Summer Usage</t>
  </si>
  <si>
    <t>Total AncillaryServices &amp; Renewable Power Costs</t>
  </si>
  <si>
    <t>Table #12</t>
  </si>
  <si>
    <t>Summary of Obligation Costs Expressed as $/MWh @ customer (for non-demand rates only)</t>
  </si>
  <si>
    <t>Transmission Obl - all months</t>
  </si>
  <si>
    <t xml:space="preserve">Generation Obl -                </t>
  </si>
  <si>
    <t>per annual MWh</t>
  </si>
  <si>
    <t>recovery per summer MWh</t>
  </si>
  <si>
    <t>recovery per winter MWh</t>
  </si>
  <si>
    <t xml:space="preserve">For RLM, per </t>
  </si>
  <si>
    <t>on-peak kWh only</t>
  </si>
  <si>
    <t>Table #13</t>
  </si>
  <si>
    <t>Summary of BGS Unit Costs @ customer</t>
  </si>
  <si>
    <t>NON-DEMAND RATES</t>
  </si>
  <si>
    <t>includes energy, Generation obligations, Ancillary Services and Renewable Power Costs- adjusted to billing time periods</t>
  </si>
  <si>
    <t>Block 2 (&gt;600 kWh/m)</t>
  </si>
  <si>
    <t>Annual -all hrs</t>
  </si>
  <si>
    <t>DEMAND RATES</t>
  </si>
  <si>
    <t>includes energy and Ancillary Services, G&amp;T obligations charged separately - adjusted to billing time periods</t>
  </si>
  <si>
    <t>PLUS:</t>
  </si>
  <si>
    <t>Gen Cost</t>
  </si>
  <si>
    <t>summer</t>
  </si>
  <si>
    <t>per kW of G obl /month</t>
  </si>
  <si>
    <t>winter</t>
  </si>
  <si>
    <t>annual</t>
  </si>
  <si>
    <t>Trans cost</t>
  </si>
  <si>
    <t>all months</t>
  </si>
  <si>
    <t>per kW of T obl /month</t>
  </si>
  <si>
    <t>Annual - all hrs per MWh only</t>
  </si>
  <si>
    <t>Including Generation Obligation $</t>
  </si>
  <si>
    <t>Note: Obligation $ included in On pk costs</t>
  </si>
  <si>
    <t>Annual - including Gen Obl $</t>
  </si>
  <si>
    <t>ALL RATES</t>
  </si>
  <si>
    <t>Grand Total Cost in $1000 =</t>
  </si>
  <si>
    <t>All-In Average cost @ customer =</t>
  </si>
  <si>
    <t>per MWh at customer (per customer metered MWh)</t>
  </si>
  <si>
    <t>All-In Average costs @ transmission nodes =</t>
  </si>
  <si>
    <t>per MWh at transmission nodes (per metered MWh at transmission node)</t>
  </si>
  <si>
    <t>Table #14</t>
  </si>
  <si>
    <r>
      <t>Ratio of BGS Unit Costs @ customer to All-In Average Cost @ transmission nodes -</t>
    </r>
    <r>
      <rPr>
        <i/>
        <sz val="10"/>
        <rFont val="Arial"/>
        <family val="2"/>
      </rPr>
      <t xml:space="preserve"> rounded to 3 decimal places, unit obligation $ rounded to 4 decimal places</t>
    </r>
  </si>
  <si>
    <t>Use weighted average</t>
  </si>
  <si>
    <t>for all streetlighting =</t>
  </si>
  <si>
    <t>All usage Multiplier</t>
  </si>
  <si>
    <t>Constant (in $/MWh)</t>
  </si>
  <si>
    <t>for Block 1 (0-600 kWh/m) usage</t>
  </si>
  <si>
    <t>for Block 2 (&gt;600 kWh/m) usage</t>
  </si>
  <si>
    <t>Annual - all hrs</t>
  </si>
  <si>
    <t>Multiplier</t>
  </si>
  <si>
    <t>Assumptions:</t>
  </si>
  <si>
    <t>Gen Cost =</t>
  </si>
  <si>
    <t xml:space="preserve">/MW day </t>
  </si>
  <si>
    <t>Trans cost =</t>
  </si>
  <si>
    <t>Analysis time period =</t>
  </si>
  <si>
    <t>summer months</t>
  </si>
  <si>
    <t>winter months</t>
  </si>
  <si>
    <t>Ancillary Services &amp; RPS =</t>
  </si>
  <si>
    <t>Energy Costs =</t>
  </si>
  <si>
    <t xml:space="preserve"> based on Forwards @ PJM West - corrected for congestion</t>
  </si>
  <si>
    <t>Usage patterns =</t>
  </si>
  <si>
    <t>Obligations =</t>
  </si>
  <si>
    <t xml:space="preserve"> class totals in effect as of filing date</t>
  </si>
  <si>
    <t>Losses =</t>
  </si>
  <si>
    <t xml:space="preserve"> Delivery losses from tariff, PJM losses based on 3 year average %</t>
  </si>
  <si>
    <t>PJM Time Periods =</t>
  </si>
  <si>
    <t xml:space="preserve"> PJM trading time periods - 7 AM to 11 PM weekdays, local time, x NERC </t>
  </si>
  <si>
    <t xml:space="preserve">     holidays - New Year's, Memorial, 4th of July, Labor Day, Thanksgiving &amp; Christmas</t>
  </si>
  <si>
    <t>PSE&amp;G Billing time periods =</t>
  </si>
  <si>
    <t xml:space="preserve"> as per specific rate schedule</t>
  </si>
  <si>
    <t>NJ SUT (Sales &amp; Use Tax) =</t>
  </si>
  <si>
    <t>SUT excluded from all rates</t>
  </si>
  <si>
    <t>Table #15</t>
  </si>
  <si>
    <t>Summary of Total BGS Costs by Season</t>
  </si>
  <si>
    <t>Total Costs by Rate - in $1000</t>
  </si>
  <si>
    <t>% of Annual Total $ by Rate</t>
  </si>
  <si>
    <t>Total Costs - in $1000</t>
  </si>
  <si>
    <t>rounded to 4 decimal places</t>
  </si>
  <si>
    <t>% of Annual Total $</t>
  </si>
  <si>
    <t xml:space="preserve">         If total $ were split on a per MWh basis (on transmission node MWhs):</t>
  </si>
  <si>
    <t>per MWh @ trans nodes</t>
  </si>
  <si>
    <t>Ratio to All-In Cost &gt;&gt;&gt;</t>
  </si>
  <si>
    <t>Table #16</t>
  </si>
  <si>
    <r>
      <t xml:space="preserve">Spreadsheet Error Checking - </t>
    </r>
    <r>
      <rPr>
        <i/>
        <sz val="10"/>
        <rFont val="Arial"/>
        <family val="2"/>
      </rPr>
      <t>Reconciliation of Customer Revenue and Supplier Payments, based on above data only</t>
    </r>
  </si>
  <si>
    <t>Assumed Winning Bid Price =</t>
  </si>
  <si>
    <t>(bid includes payments for all losses)</t>
  </si>
  <si>
    <t>Payment Ratio - Summer =</t>
  </si>
  <si>
    <t>Payment Ratio - Winter =</t>
  </si>
  <si>
    <t>Total Rate Revenue - in $1000</t>
  </si>
  <si>
    <t>Total Summer</t>
  </si>
  <si>
    <t>Total Winter</t>
  </si>
  <si>
    <t>Grand Total</t>
  </si>
  <si>
    <t>Total Supplier Payment - in $1000</t>
  </si>
  <si>
    <t>Difference ( in $1000) =</t>
  </si>
  <si>
    <t>Note: Minor differences in totals are due to rounding of Bid Factors and Payment Factors</t>
  </si>
  <si>
    <t>Table #17</t>
  </si>
  <si>
    <t>Total Supplier Energy</t>
  </si>
  <si>
    <t>@ transmission nodes</t>
  </si>
  <si>
    <t>Illustrative Only</t>
  </si>
  <si>
    <t>NJ Sales &amp; Use Tax (SUT) excluded</t>
  </si>
  <si>
    <t>Table A</t>
  </si>
  <si>
    <t>Auction Results</t>
  </si>
  <si>
    <t>line #</t>
  </si>
  <si>
    <t>Notes:</t>
  </si>
  <si>
    <t>2022 Illustrative (Excluding transmission)</t>
  </si>
  <si>
    <t>1A</t>
  </si>
  <si>
    <t>Capacity Proxy Price True-Up - in $/MWh</t>
  </si>
  <si>
    <t>entered after 2022 Auction</t>
  </si>
  <si>
    <t>1B</t>
  </si>
  <si>
    <t xml:space="preserve">Transmission Price </t>
  </si>
  <si>
    <t>asssumed transmission price in bids</t>
  </si>
  <si>
    <t>1C</t>
  </si>
  <si>
    <t>Total - in $/MWh</t>
  </si>
  <si>
    <t>= line 1 + line 1A - line 1B</t>
  </si>
  <si>
    <t xml:space="preserve">      (includes all payments, including impact of PJM marginal losses)</t>
  </si>
  <si>
    <t>from then current Bid</t>
  </si>
  <si>
    <t>Total # of Tranches</t>
  </si>
  <si>
    <r>
      <t xml:space="preserve">Applicable Customer Usage @ transmission nodes </t>
    </r>
    <r>
      <rPr>
        <b/>
        <i/>
        <sz val="10"/>
        <rFont val="Arial"/>
        <family val="2"/>
      </rPr>
      <t xml:space="preserve">- </t>
    </r>
    <r>
      <rPr>
        <i/>
        <sz val="10"/>
        <rFont val="Arial"/>
        <family val="2"/>
      </rPr>
      <t>in MWh</t>
    </r>
  </si>
  <si>
    <t xml:space="preserve">                           Summer MWh</t>
  </si>
  <si>
    <t>from Table #17 of the current Bid Factor Spreadsheet</t>
  </si>
  <si>
    <t xml:space="preserve">                           Winter MWh</t>
  </si>
  <si>
    <r>
      <t xml:space="preserve">Total Payment to Suppliers </t>
    </r>
    <r>
      <rPr>
        <i/>
        <sz val="10"/>
        <rFont val="Arial"/>
        <family val="2"/>
      </rPr>
      <t xml:space="preserve">- in $1000 </t>
    </r>
  </si>
  <si>
    <t>= ((1 - 1B) * (2)/(3) * (4) * (6)) + ((1A) * (2)/(3) * (6))</t>
  </si>
  <si>
    <t>= ((1 - 1B) * (2)/(3) * (5) * (7)) + ((1A) * (2)/(3) * (7))</t>
  </si>
  <si>
    <t xml:space="preserve">                           Total</t>
  </si>
  <si>
    <t>Note: $ reflect total payment</t>
  </si>
  <si>
    <r>
      <t xml:space="preserve">Average Payment to Suppliers </t>
    </r>
    <r>
      <rPr>
        <i/>
        <sz val="10"/>
        <rFont val="Arial"/>
        <family val="2"/>
      </rPr>
      <t>- in $/MWh</t>
    </r>
  </si>
  <si>
    <t>= sum(line 8) / (6) - rounded to 3 decimal places</t>
  </si>
  <si>
    <t>= sum(line 9) / (7) - rounded to 3 decimal places</t>
  </si>
  <si>
    <t xml:space="preserve">                Total weighted average</t>
  </si>
  <si>
    <t xml:space="preserve">   &lt;&lt;&lt; used in calculation of</t>
  </si>
  <si>
    <t>= sum(line 10) / [ (6) + (7)]</t>
  </si>
  <si>
    <t xml:space="preserve">           Customer Rates</t>
  </si>
  <si>
    <t xml:space="preserve">   rounded to 3 decimal places</t>
  </si>
  <si>
    <r>
      <t>Reconciliation of amounts</t>
    </r>
    <r>
      <rPr>
        <i/>
        <sz val="10"/>
        <rFont val="Arial"/>
        <family val="2"/>
      </rPr>
      <t xml:space="preserve"> - in $1000</t>
    </r>
  </si>
  <si>
    <t>Weighted Average * Total MWh =</t>
  </si>
  <si>
    <t>= (13) * [(6)+(7)] / 1000</t>
  </si>
  <si>
    <t>Total Payment to Suppliers =</t>
  </si>
  <si>
    <t>= sum (line 10)</t>
  </si>
  <si>
    <t>Difference =</t>
  </si>
  <si>
    <t>= line (14) - line (15)</t>
  </si>
  <si>
    <t>Table B</t>
  </si>
  <si>
    <t>Ratio of BGS Unit Costs @ customer to All-In Average Cost @ transmission nodes</t>
  </si>
  <si>
    <t>from Table #14 of the bid factor spreadsheet ---</t>
  </si>
  <si>
    <t>rounded to 3 decimal places, unit obligation $ rounded to 4 decimal places</t>
  </si>
  <si>
    <t>includes energy, G&amp;T obligations, and Ancillary Services - adjusted to billing time periods</t>
  </si>
  <si>
    <t>Annual - including T&amp;G Obl $</t>
  </si>
  <si>
    <t>Table C</t>
  </si>
  <si>
    <r>
      <t xml:space="preserve">Preliminary Resulting BGS Rates (in cents per kWh) - </t>
    </r>
    <r>
      <rPr>
        <i/>
        <sz val="10"/>
        <rFont val="Arial"/>
        <family val="2"/>
      </rPr>
      <t>equal to bid factors times weighted average bid price</t>
    </r>
  </si>
  <si>
    <t xml:space="preserve">   rounded to 4 decimal places</t>
  </si>
  <si>
    <t>NON-DEMAND RATES -----------------------------------------------------------------------------------------------------------------------------------------------------------------------</t>
  </si>
  <si>
    <t>DEMAND RATES --------------------------------------------------------------------------------------------------------------------------------------------------------------------------------</t>
  </si>
  <si>
    <t>Table D</t>
  </si>
  <si>
    <r>
      <t xml:space="preserve">Revenue Recovery Calculations - </t>
    </r>
    <r>
      <rPr>
        <i/>
        <sz val="10"/>
        <rFont val="Arial"/>
        <family val="2"/>
      </rPr>
      <t>Reconciliation of seasonal Customer Revenue and Supplier Payments, based on actual anticipated revenues and payments</t>
    </r>
  </si>
  <si>
    <t>Total Preliminary Rate Revenue - in $1000</t>
  </si>
  <si>
    <t>Energy $</t>
  </si>
  <si>
    <t>Obligation $</t>
  </si>
  <si>
    <t>Total $</t>
  </si>
  <si>
    <t>kWh Rate</t>
  </si>
  <si>
    <t>Adjustment</t>
  </si>
  <si>
    <t xml:space="preserve">   rounded to 5 decimal places</t>
  </si>
  <si>
    <t>Differences - in $1000</t>
  </si>
  <si>
    <t>Factors</t>
  </si>
  <si>
    <t xml:space="preserve">Note: These differences are due to rounding and seasonal differences in Bidder Payments (which are based on prior </t>
  </si>
  <si>
    <t xml:space="preserve">          wining bids and Seasonal Payment Factors) and current Rates (based on current seasonal market differentials)</t>
  </si>
  <si>
    <t>Table E</t>
  </si>
  <si>
    <r>
      <t xml:space="preserve">Final Resulting BGS Rates from Auctions (in cents per kWh) - </t>
    </r>
    <r>
      <rPr>
        <i/>
        <sz val="10"/>
        <rFont val="Arial"/>
        <family val="2"/>
      </rPr>
      <t>with preliminary kWh rates adjusted by the kWh Rate Adjustment Factor</t>
    </r>
  </si>
  <si>
    <t>includes energy, G&amp;T obligations, and Ancillary Services - adjusted to billing time periods &amp; adjustment to energy price</t>
  </si>
  <si>
    <t>includes energy and Ancillary Services, G&amp;T obligations charged separately - adjusted to billing time periods &amp; adjustment to energy price</t>
  </si>
  <si>
    <t>Table F</t>
  </si>
  <si>
    <r>
      <t>Spreadsheet Error Checking</t>
    </r>
    <r>
      <rPr>
        <i/>
        <sz val="10"/>
        <rFont val="Arial"/>
        <family val="2"/>
      </rPr>
      <t xml:space="preserve"> - Checking of seasonal Customer Revenue and Supplier Payments, based on final actual anticipated revenues and payments</t>
    </r>
  </si>
  <si>
    <t>% difference</t>
  </si>
  <si>
    <t>Development of Capacity Proxy Price True-Up - $/MWh</t>
  </si>
  <si>
    <t>2022/2023 Delivery Year - Illustrative Data</t>
  </si>
  <si>
    <t>2022/23
Delivery Year</t>
  </si>
  <si>
    <t>Zonal Capacity Price ($/MW-day)</t>
  </si>
  <si>
    <t>as may be determined by the RPM or its successor or otherwise</t>
  </si>
  <si>
    <t>Capacity Proxy Price ($/MW-day)</t>
  </si>
  <si>
    <t>per Board Orders dated 11/13/2019 and 11/18/2020</t>
  </si>
  <si>
    <t>Capacity Proxy Price True-Up - $/MW-day</t>
  </si>
  <si>
    <t xml:space="preserve">= line 1 - line 2 </t>
  </si>
  <si>
    <t>BGS-RSCP Gen Obl - MW</t>
  </si>
  <si>
    <t>Days in Year</t>
  </si>
  <si>
    <t xml:space="preserve">Capacity Proxy Price True-Up Annual Cost </t>
  </si>
  <si>
    <t>= line 3 * line 4 * line 5</t>
  </si>
  <si>
    <t>Eligible Tranches</t>
  </si>
  <si>
    <t>from Table A</t>
  </si>
  <si>
    <t>Total Tranches</t>
  </si>
  <si>
    <t>% of tranches eligible for payment</t>
  </si>
  <si>
    <t>= line 7 / line 8</t>
  </si>
  <si>
    <t xml:space="preserve">Capacity Proxy Price True-Up Cost </t>
  </si>
  <si>
    <t>= line 6 * line 9</t>
  </si>
  <si>
    <t>Total Applicable Customer Usage @ bulk system - in MWh</t>
  </si>
  <si>
    <r>
      <t xml:space="preserve">Eligible Customer Usage @ bulk system </t>
    </r>
    <r>
      <rPr>
        <b/>
        <i/>
        <sz val="10"/>
        <rFont val="Arial"/>
        <family val="2"/>
      </rPr>
      <t>- in MWh</t>
    </r>
  </si>
  <si>
    <t>= line 9 * line 11</t>
  </si>
  <si>
    <t>Capacity Proxy Price True-Up - $/MWh</t>
  </si>
  <si>
    <t>= line 10/ line 12 - rounded to 2 decimal places</t>
  </si>
  <si>
    <t>2023/2024 Delivery Year - Illustrative Data</t>
  </si>
  <si>
    <t>Capacity Proxy Price True-Up Development for Winning Suppliers from 2021 BGS-RSCP Auction</t>
  </si>
  <si>
    <t>Capacity Proxy Price True-Up Development for Winning Suppliers from 2022 BGS-RSCP Auction</t>
  </si>
  <si>
    <t>2023/24
Delivery Year</t>
  </si>
  <si>
    <t>per Board Orders dated 11/18/2020 and XX/XX/2021</t>
  </si>
  <si>
    <t>2024/2025 Delivery Year - Illustrative Data</t>
  </si>
  <si>
    <t>2024/25
Delivery Year</t>
  </si>
  <si>
    <t>per Board Orders dated xx/xx/2021</t>
  </si>
  <si>
    <t>Table A With Additional Line Item</t>
  </si>
  <si>
    <t>Calculation of June 2023 to May 2024 BGS-RSCP Rates</t>
  </si>
  <si>
    <t>Illustrative Purposes Only</t>
  </si>
  <si>
    <t>Specific BGS-RSCP Auction &gt;&gt;</t>
  </si>
  <si>
    <t>remaining portion of 36 month bid - 2022 auction</t>
  </si>
  <si>
    <t>36 month bid - 2023 auction</t>
  </si>
  <si>
    <t>winning Bids</t>
  </si>
  <si>
    <t>23/24 Capacity Proxy Price True-up - in $/MWh</t>
  </si>
  <si>
    <t>entered after 2023 BGS Auction</t>
  </si>
  <si>
    <t xml:space="preserve">= line 1 + line 1A </t>
  </si>
  <si>
    <t>from then current Bid Factor Spreadsheet</t>
  </si>
  <si>
    <t>Applicable Customer Usage @ bulk system - in MWh</t>
  </si>
  <si>
    <t>from current Bid Factor Spreadsheet</t>
  </si>
  <si>
    <t>= ((1) * (2)/(3) * (4) * (6)) + ((1A) * (2)/(3) * (6))</t>
  </si>
  <si>
    <t>= ((1) * (2)/(3) * (5) * (7)) + ((1A) * (2)/(3) * (7))</t>
  </si>
  <si>
    <t>= sum(line 8) / (6) - rounded to 2 decimal places</t>
  </si>
  <si>
    <t>= sum(line 9) / (7) - rounded to 2 decimal places</t>
  </si>
  <si>
    <t xml:space="preserve">   rounded to 2 decimal places</t>
  </si>
  <si>
    <t>Calculation of June 2024 to May 2025 BGS-RSCP Rates</t>
  </si>
  <si>
    <t>remaining portion of 36 month bid - 2023 auction</t>
  </si>
  <si>
    <t>36 month bid - 2024 auction</t>
  </si>
  <si>
    <t>22/23 Capacity Proxy Price True-up - in $/MWh</t>
  </si>
  <si>
    <t>entered after 2024 BGS Auction</t>
  </si>
  <si>
    <t>= line 1 + line 1A</t>
  </si>
  <si>
    <t>Development of Assumed Transmission Price in Bids</t>
  </si>
  <si>
    <t>Calculation for 2020/2021</t>
  </si>
  <si>
    <t>Tranche %</t>
  </si>
  <si>
    <t>= line 1 / line 2</t>
  </si>
  <si>
    <t>Transmission Obligations (MW)</t>
  </si>
  <si>
    <t>Obligations from filing years</t>
  </si>
  <si>
    <t>Adjustment Transmission Obligation (MW)</t>
  </si>
  <si>
    <t>= line 3 * line 4</t>
  </si>
  <si>
    <t>NITS Rate ($/MW-yr)</t>
  </si>
  <si>
    <t>NITS Rates from from 2020</t>
  </si>
  <si>
    <t>Payment ($/yr)</t>
  </si>
  <si>
    <t>= line 5 * line 6</t>
  </si>
  <si>
    <t>Pre Loss Usage (MWh)</t>
  </si>
  <si>
    <t>Applicable usage from filing year</t>
  </si>
  <si>
    <t>Allocated Usage (MWh)</t>
  </si>
  <si>
    <t>= line 3 * line 8</t>
  </si>
  <si>
    <t>Transmission Price ($/MWh)</t>
  </si>
  <si>
    <t>= line 7 / line 9 (To Attachment 3, Table A, Line 1B)</t>
  </si>
  <si>
    <t>= ((1C * (2)/(3) * (5) * (7)) /1000</t>
  </si>
  <si>
    <t xml:space="preserve">= ((1C * (2)/(3) * (4) * (6)) /1000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</si>
</sst>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4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0.0000"/>
    <numFmt numFmtId="167" formatCode="#,##0.000"/>
    <numFmt numFmtId="168" formatCode="0.0000%"/>
    <numFmt numFmtId="169" formatCode="0.00000"/>
    <numFmt numFmtId="170" formatCode="0.000000"/>
    <numFmt numFmtId="171" formatCode="0.00000%"/>
    <numFmt numFmtId="172" formatCode="#,##0.0"/>
    <numFmt numFmtId="173" formatCode="0.00000000"/>
    <numFmt numFmtId="174" formatCode="#,##0.0_);[Red]\(#,##0.0\)"/>
    <numFmt numFmtId="175" formatCode="&quot;$&quot;#,##0.00"/>
    <numFmt numFmtId="176" formatCode="_(&quot;$&quot;* #,##0_);_(&quot;$&quot;* \(#,##0\);_(&quot;$&quot;* &quot;-&quot;??_);_(@_)"/>
    <numFmt numFmtId="177" formatCode="_(&quot;$&quot;* #,##0.0000_);_(&quot;$&quot;* \(#,##0.0000\);_(&quot;$&quot;* &quot;-&quot;??_);_(@_)"/>
    <numFmt numFmtId="178" formatCode="_(* #,##0.000_);_(* \(#,##0.000\);_(* &quot;-&quot;??_);_(@_)"/>
    <numFmt numFmtId="179" formatCode="_(&quot;$&quot;* #,##0.000_);_(&quot;$&quot;* \(#,##0.000\);_(&quot;$&quot;* &quot;-&quot;??_);_(@_)"/>
    <numFmt numFmtId="180" formatCode="_(* #,##0.0000_);_(* \(#,##0.0000\);_(* &quot;-&quot;??_);_(@_)"/>
    <numFmt numFmtId="181" formatCode="&quot;$&quot;#,##0"/>
    <numFmt numFmtId="182" formatCode="0.0"/>
    <numFmt numFmtId="183" formatCode="&quot;$&quot;#,##0.0000"/>
  </numFmts>
  <fonts count="28" x14ac:knownFonts="1">
    <font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0"/>
      <color theme="0"/>
      <name val="Arial"/>
      <family val="2"/>
    </font>
    <font>
      <b/>
      <sz val="12"/>
      <name val="Arial"/>
      <family val="2"/>
    </font>
    <font>
      <i/>
      <u/>
      <sz val="10"/>
      <name val="Arial"/>
      <family val="2"/>
    </font>
    <font>
      <i/>
      <sz val="10"/>
      <name val="Arial"/>
      <family val="2"/>
    </font>
    <font>
      <b/>
      <sz val="10"/>
      <color indexed="54"/>
      <name val="Arial"/>
      <family val="2"/>
    </font>
    <font>
      <sz val="10"/>
      <color indexed="12"/>
      <name val="Arial"/>
      <family val="2"/>
    </font>
    <font>
      <u/>
      <sz val="10"/>
      <color indexed="12"/>
      <name val="Arial"/>
      <family val="2"/>
    </font>
    <font>
      <sz val="10"/>
      <name val="Times New Roman"/>
      <family val="1"/>
    </font>
    <font>
      <i/>
      <sz val="10"/>
      <color rgb="FF161BF6"/>
      <name val="Arial"/>
      <family val="2"/>
    </font>
    <font>
      <b/>
      <sz val="10"/>
      <color indexed="12"/>
      <name val="Arial"/>
      <family val="2"/>
    </font>
    <font>
      <u/>
      <sz val="10"/>
      <name val="Arial"/>
      <family val="2"/>
    </font>
    <font>
      <b/>
      <u/>
      <sz val="10"/>
      <name val="Arial"/>
      <family val="2"/>
    </font>
    <font>
      <i/>
      <sz val="8"/>
      <color rgb="FF161BF6"/>
      <name val="Arial"/>
      <family val="2"/>
    </font>
    <font>
      <u val="singleAccounting"/>
      <sz val="10"/>
      <name val="Arial"/>
      <family val="2"/>
    </font>
    <font>
      <b/>
      <sz val="10"/>
      <color rgb="FFFF0000"/>
      <name val="Arial"/>
      <family val="2"/>
    </font>
    <font>
      <b/>
      <sz val="10"/>
      <color rgb="FF143AF8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12"/>
      <color rgb="FFFF0000"/>
      <name val="Arial"/>
      <family val="2"/>
    </font>
    <font>
      <b/>
      <sz val="16"/>
      <name val="Arial"/>
      <family val="2"/>
    </font>
    <font>
      <b/>
      <i/>
      <sz val="10"/>
      <color rgb="FFFF0000"/>
      <name val="Arial"/>
      <family val="2"/>
    </font>
    <font>
      <sz val="10"/>
      <color rgb="FFC00000"/>
      <name val="Arial"/>
      <family val="2"/>
    </font>
    <font>
      <u val="singleAccounting"/>
      <sz val="10"/>
      <color theme="1"/>
      <name val="Arial"/>
      <family val="2"/>
    </font>
    <font>
      <sz val="10"/>
      <color rgb="FF0000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 tint="0.49998474074526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1" fillId="0" borderId="0"/>
    <xf numFmtId="44" fontId="1" fillId="0" borderId="0" applyFont="0" applyFill="0" applyBorder="0" applyAlignment="0" applyProtection="0"/>
  </cellStyleXfs>
  <cellXfs count="465">
    <xf numFmtId="0" fontId="0" fillId="0" borderId="0" xfId="0"/>
    <xf numFmtId="0" fontId="0" fillId="2" borderId="0" xfId="0" applyFill="1" applyBorder="1"/>
    <xf numFmtId="0" fontId="2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center"/>
    </xf>
    <xf numFmtId="0" fontId="4" fillId="0" borderId="0" xfId="1" applyNumberFormat="1" applyFont="1" applyFill="1" applyBorder="1"/>
    <xf numFmtId="0" fontId="1" fillId="2" borderId="0" xfId="0" applyFont="1" applyFill="1" applyBorder="1"/>
    <xf numFmtId="0" fontId="0" fillId="2" borderId="0" xfId="0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5" fillId="0" borderId="0" xfId="0" applyFont="1" applyFill="1"/>
    <xf numFmtId="0" fontId="6" fillId="2" borderId="0" xfId="0" applyFont="1" applyFill="1" applyBorder="1" applyAlignment="1">
      <alignment horizontal="left"/>
    </xf>
    <xf numFmtId="0" fontId="3" fillId="2" borderId="0" xfId="0" applyFont="1" applyFill="1" applyBorder="1"/>
    <xf numFmtId="0" fontId="7" fillId="2" borderId="0" xfId="0" applyFont="1" applyFill="1" applyBorder="1"/>
    <xf numFmtId="0" fontId="3" fillId="2" borderId="0" xfId="0" quotePrefix="1" applyFont="1" applyFill="1" applyBorder="1"/>
    <xf numFmtId="39" fontId="1" fillId="2" borderId="0" xfId="0" quotePrefix="1" applyNumberFormat="1" applyFont="1" applyFill="1" applyBorder="1"/>
    <xf numFmtId="0" fontId="7" fillId="2" borderId="0" xfId="0" applyFont="1" applyFill="1" applyBorder="1" applyAlignment="1">
      <alignment horizontal="left"/>
    </xf>
    <xf numFmtId="0" fontId="1" fillId="2" borderId="1" xfId="0" applyFont="1" applyFill="1" applyBorder="1"/>
    <xf numFmtId="0" fontId="7" fillId="2" borderId="1" xfId="0" applyFont="1" applyFill="1" applyBorder="1" applyAlignment="1">
      <alignment horizontal="center" wrapText="1"/>
    </xf>
    <xf numFmtId="0" fontId="7" fillId="2" borderId="1" xfId="0" applyFont="1" applyFill="1" applyBorder="1"/>
    <xf numFmtId="0" fontId="1" fillId="2" borderId="1" xfId="0" applyFont="1" applyFill="1" applyBorder="1" applyAlignment="1">
      <alignment wrapText="1"/>
    </xf>
    <xf numFmtId="0" fontId="7" fillId="2" borderId="0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wrapText="1"/>
    </xf>
    <xf numFmtId="0" fontId="7" fillId="2" borderId="1" xfId="0" quotePrefix="1" applyFont="1" applyFill="1" applyBorder="1"/>
    <xf numFmtId="0" fontId="3" fillId="2" borderId="1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0" fillId="2" borderId="1" xfId="0" applyFill="1" applyBorder="1"/>
    <xf numFmtId="17" fontId="0" fillId="2" borderId="1" xfId="0" applyNumberFormat="1" applyFill="1" applyBorder="1"/>
    <xf numFmtId="10" fontId="9" fillId="2" borderId="1" xfId="3" applyNumberFormat="1" applyFont="1" applyFill="1" applyBorder="1"/>
    <xf numFmtId="164" fontId="9" fillId="2" borderId="0" xfId="3" quotePrefix="1" applyNumberFormat="1" applyFont="1" applyFill="1" applyBorder="1"/>
    <xf numFmtId="9" fontId="1" fillId="2" borderId="0" xfId="3" quotePrefix="1" applyFont="1" applyFill="1" applyBorder="1"/>
    <xf numFmtId="17" fontId="0" fillId="2" borderId="0" xfId="0" applyNumberFormat="1" applyFill="1" applyBorder="1"/>
    <xf numFmtId="9" fontId="9" fillId="2" borderId="0" xfId="3" quotePrefix="1" applyFont="1" applyFill="1" applyBorder="1"/>
    <xf numFmtId="9" fontId="7" fillId="2" borderId="0" xfId="3" applyFont="1" applyFill="1" applyBorder="1"/>
    <xf numFmtId="9" fontId="9" fillId="2" borderId="0" xfId="3" applyNumberFormat="1" applyFont="1" applyFill="1" applyBorder="1"/>
    <xf numFmtId="10" fontId="9" fillId="2" borderId="1" xfId="3" quotePrefix="1" applyNumberFormat="1" applyFont="1" applyFill="1" applyBorder="1"/>
    <xf numFmtId="1" fontId="9" fillId="2" borderId="0" xfId="3" quotePrefix="1" applyNumberFormat="1" applyFont="1" applyFill="1" applyBorder="1"/>
    <xf numFmtId="17" fontId="3" fillId="2" borderId="0" xfId="0" applyNumberFormat="1" applyFont="1" applyFill="1" applyBorder="1"/>
    <xf numFmtId="17" fontId="7" fillId="2" borderId="0" xfId="0" applyNumberFormat="1" applyFont="1" applyFill="1" applyBorder="1"/>
    <xf numFmtId="0" fontId="10" fillId="2" borderId="0" xfId="4" applyFill="1" applyBorder="1" applyAlignment="1" applyProtection="1"/>
    <xf numFmtId="0" fontId="0" fillId="2" borderId="0" xfId="0" applyFill="1" applyBorder="1" applyAlignment="1">
      <alignment horizontal="center"/>
    </xf>
    <xf numFmtId="3" fontId="0" fillId="2" borderId="0" xfId="0" applyNumberFormat="1" applyFill="1" applyBorder="1" applyAlignment="1"/>
    <xf numFmtId="38" fontId="9" fillId="2" borderId="1" xfId="0" applyNumberFormat="1" applyFont="1" applyFill="1" applyBorder="1" applyAlignment="1">
      <alignment horizontal="right"/>
    </xf>
    <xf numFmtId="3" fontId="0" fillId="2" borderId="0" xfId="0" applyNumberFormat="1" applyFill="1" applyBorder="1"/>
    <xf numFmtId="9" fontId="0" fillId="2" borderId="0" xfId="3" applyFont="1" applyFill="1" applyBorder="1" applyAlignment="1"/>
    <xf numFmtId="165" fontId="9" fillId="2" borderId="0" xfId="1" applyNumberFormat="1" applyFont="1" applyFill="1" applyBorder="1" applyAlignment="1">
      <alignment horizontal="center"/>
    </xf>
    <xf numFmtId="164" fontId="1" fillId="2" borderId="0" xfId="0" applyNumberFormat="1" applyFont="1" applyFill="1" applyBorder="1"/>
    <xf numFmtId="0" fontId="1" fillId="2" borderId="0" xfId="0" quotePrefix="1" applyFont="1" applyFill="1" applyBorder="1"/>
    <xf numFmtId="3" fontId="9" fillId="2" borderId="0" xfId="0" applyNumberFormat="1" applyFont="1" applyFill="1" applyBorder="1"/>
    <xf numFmtId="9" fontId="0" fillId="2" borderId="0" xfId="0" applyNumberFormat="1" applyFill="1" applyBorder="1"/>
    <xf numFmtId="17" fontId="0" fillId="2" borderId="0" xfId="0" applyNumberFormat="1" applyFill="1" applyBorder="1" applyAlignment="1">
      <alignment horizontal="center"/>
    </xf>
    <xf numFmtId="37" fontId="0" fillId="2" borderId="0" xfId="0" applyNumberFormat="1" applyFill="1" applyBorder="1"/>
    <xf numFmtId="10" fontId="0" fillId="2" borderId="0" xfId="0" applyNumberFormat="1" applyFill="1" applyBorder="1"/>
    <xf numFmtId="0" fontId="1" fillId="2" borderId="1" xfId="0" applyFont="1" applyFill="1" applyBorder="1" applyAlignment="1">
      <alignment horizontal="center"/>
    </xf>
    <xf numFmtId="17" fontId="0" fillId="2" borderId="0" xfId="0" applyNumberFormat="1" applyFill="1" applyBorder="1" applyAlignment="1">
      <alignment horizontal="right"/>
    </xf>
    <xf numFmtId="0" fontId="0" fillId="2" borderId="1" xfId="0" applyFill="1" applyBorder="1" applyAlignment="1">
      <alignment horizontal="center"/>
    </xf>
    <xf numFmtId="44" fontId="1" fillId="2" borderId="0" xfId="2" quotePrefix="1" applyFont="1" applyFill="1" applyBorder="1"/>
    <xf numFmtId="10" fontId="9" fillId="2" borderId="1" xfId="0" applyNumberFormat="1" applyFont="1" applyFill="1" applyBorder="1"/>
    <xf numFmtId="0" fontId="2" fillId="2" borderId="0" xfId="0" applyFont="1" applyFill="1" applyBorder="1" applyAlignment="1">
      <alignment horizontal="center"/>
    </xf>
    <xf numFmtId="0" fontId="0" fillId="2" borderId="0" xfId="0" applyFill="1" applyBorder="1" applyAlignment="1"/>
    <xf numFmtId="3" fontId="0" fillId="2" borderId="0" xfId="0" quotePrefix="1" applyNumberFormat="1" applyFill="1" applyBorder="1"/>
    <xf numFmtId="40" fontId="9" fillId="2" borderId="1" xfId="0" applyNumberFormat="1" applyFont="1" applyFill="1" applyBorder="1" applyAlignment="1">
      <alignment horizontal="right"/>
    </xf>
    <xf numFmtId="0" fontId="11" fillId="2" borderId="1" xfId="5" applyFont="1" applyFill="1" applyBorder="1" applyAlignment="1">
      <alignment vertical="center"/>
    </xf>
    <xf numFmtId="166" fontId="9" fillId="2" borderId="1" xfId="0" applyNumberFormat="1" applyFont="1" applyFill="1" applyBorder="1"/>
    <xf numFmtId="0" fontId="7" fillId="2" borderId="0" xfId="0" applyFont="1" applyFill="1" applyBorder="1" applyAlignment="1"/>
    <xf numFmtId="166" fontId="1" fillId="2" borderId="0" xfId="0" applyNumberFormat="1" applyFont="1" applyFill="1" applyBorder="1"/>
    <xf numFmtId="167" fontId="1" fillId="2" borderId="0" xfId="0" applyNumberFormat="1" applyFont="1" applyFill="1" applyBorder="1"/>
    <xf numFmtId="9" fontId="1" fillId="2" borderId="0" xfId="3" applyNumberFormat="1" applyFont="1" applyFill="1" applyBorder="1"/>
    <xf numFmtId="166" fontId="0" fillId="2" borderId="0" xfId="0" applyNumberFormat="1" applyFill="1" applyBorder="1"/>
    <xf numFmtId="9" fontId="0" fillId="2" borderId="0" xfId="3" applyNumberFormat="1" applyFont="1" applyFill="1" applyBorder="1"/>
    <xf numFmtId="9" fontId="9" fillId="2" borderId="1" xfId="3" applyNumberFormat="1" applyFont="1" applyFill="1" applyBorder="1"/>
    <xf numFmtId="4" fontId="9" fillId="2" borderId="0" xfId="0" applyNumberFormat="1" applyFont="1" applyFill="1" applyBorder="1"/>
    <xf numFmtId="9" fontId="9" fillId="2" borderId="0" xfId="3" applyFont="1" applyFill="1" applyBorder="1"/>
    <xf numFmtId="168" fontId="9" fillId="2" borderId="0" xfId="0" applyNumberFormat="1" applyFont="1" applyFill="1" applyBorder="1"/>
    <xf numFmtId="169" fontId="0" fillId="2" borderId="0" xfId="0" applyNumberFormat="1" applyFill="1" applyBorder="1"/>
    <xf numFmtId="168" fontId="9" fillId="2" borderId="1" xfId="3" applyNumberFormat="1" applyFont="1" applyFill="1" applyBorder="1"/>
    <xf numFmtId="168" fontId="1" fillId="2" borderId="0" xfId="0" applyNumberFormat="1" applyFont="1" applyFill="1" applyBorder="1"/>
    <xf numFmtId="170" fontId="0" fillId="2" borderId="0" xfId="0" applyNumberFormat="1" applyFill="1" applyBorder="1"/>
    <xf numFmtId="171" fontId="9" fillId="2" borderId="1" xfId="3" applyNumberFormat="1" applyFont="1" applyFill="1" applyBorder="1"/>
    <xf numFmtId="169" fontId="0" fillId="2" borderId="0" xfId="0" quotePrefix="1" applyNumberFormat="1" applyFill="1" applyBorder="1"/>
    <xf numFmtId="0" fontId="12" fillId="2" borderId="0" xfId="0" applyFont="1" applyFill="1" applyBorder="1"/>
    <xf numFmtId="172" fontId="3" fillId="2" borderId="0" xfId="0" applyNumberFormat="1" applyFont="1" applyFill="1" applyBorder="1"/>
    <xf numFmtId="0" fontId="0" fillId="2" borderId="1" xfId="0" applyFill="1" applyBorder="1" applyAlignment="1">
      <alignment horizontal="right"/>
    </xf>
    <xf numFmtId="172" fontId="9" fillId="2" borderId="1" xfId="0" applyNumberFormat="1" applyFont="1" applyFill="1" applyBorder="1"/>
    <xf numFmtId="172" fontId="0" fillId="2" borderId="0" xfId="0" applyNumberFormat="1" applyFill="1" applyBorder="1"/>
    <xf numFmtId="172" fontId="1" fillId="2" borderId="0" xfId="0" applyNumberFormat="1" applyFont="1" applyFill="1" applyBorder="1"/>
    <xf numFmtId="173" fontId="9" fillId="2" borderId="1" xfId="0" applyNumberFormat="1" applyFont="1" applyFill="1" applyBorder="1"/>
    <xf numFmtId="172" fontId="9" fillId="2" borderId="0" xfId="0" applyNumberFormat="1" applyFont="1" applyFill="1" applyBorder="1"/>
    <xf numFmtId="0" fontId="0" fillId="2" borderId="0" xfId="0" applyFill="1" applyBorder="1" applyAlignment="1">
      <alignment horizontal="right"/>
    </xf>
    <xf numFmtId="3" fontId="1" fillId="2" borderId="0" xfId="0" applyNumberFormat="1" applyFont="1" applyFill="1" applyBorder="1" applyAlignment="1">
      <alignment horizontal="right"/>
    </xf>
    <xf numFmtId="174" fontId="13" fillId="0" borderId="1" xfId="0" applyNumberFormat="1" applyFont="1" applyFill="1" applyBorder="1" applyAlignment="1">
      <alignment horizontal="left"/>
    </xf>
    <xf numFmtId="0" fontId="9" fillId="2" borderId="1" xfId="0" applyFont="1" applyFill="1" applyBorder="1"/>
    <xf numFmtId="175" fontId="9" fillId="2" borderId="1" xfId="0" applyNumberFormat="1" applyFont="1" applyFill="1" applyBorder="1"/>
    <xf numFmtId="0" fontId="9" fillId="2" borderId="0" xfId="0" applyFont="1" applyFill="1" applyBorder="1"/>
    <xf numFmtId="175" fontId="9" fillId="2" borderId="0" xfId="0" applyNumberFormat="1" applyFont="1" applyFill="1" applyBorder="1"/>
    <xf numFmtId="0" fontId="0" fillId="2" borderId="0" xfId="0" quotePrefix="1" applyFill="1" applyBorder="1" applyAlignment="1">
      <alignment horizontal="right"/>
    </xf>
    <xf numFmtId="172" fontId="1" fillId="2" borderId="0" xfId="0" applyNumberFormat="1" applyFont="1" applyFill="1" applyBorder="1" applyAlignment="1">
      <alignment horizontal="right"/>
    </xf>
    <xf numFmtId="44" fontId="9" fillId="2" borderId="1" xfId="2" applyNumberFormat="1" applyFont="1" applyFill="1" applyBorder="1"/>
    <xf numFmtId="0" fontId="0" fillId="2" borderId="1" xfId="0" quotePrefix="1" applyFill="1" applyBorder="1"/>
    <xf numFmtId="0" fontId="1" fillId="2" borderId="0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right"/>
    </xf>
    <xf numFmtId="0" fontId="7" fillId="2" borderId="0" xfId="0" quotePrefix="1" applyFont="1" applyFill="1" applyBorder="1"/>
    <xf numFmtId="44" fontId="0" fillId="2" borderId="0" xfId="2" applyFont="1" applyFill="1" applyBorder="1"/>
    <xf numFmtId="0" fontId="0" fillId="2" borderId="0" xfId="0" quotePrefix="1" applyFill="1" applyBorder="1"/>
    <xf numFmtId="176" fontId="9" fillId="2" borderId="0" xfId="2" applyNumberFormat="1" applyFont="1" applyFill="1" applyBorder="1"/>
    <xf numFmtId="44" fontId="0" fillId="2" borderId="0" xfId="2" quotePrefix="1" applyFont="1" applyFill="1" applyBorder="1"/>
    <xf numFmtId="0" fontId="2" fillId="2" borderId="0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  <xf numFmtId="44" fontId="9" fillId="2" borderId="1" xfId="2" applyFont="1" applyFill="1" applyBorder="1"/>
    <xf numFmtId="44" fontId="9" fillId="2" borderId="5" xfId="2" applyFont="1" applyFill="1" applyBorder="1"/>
    <xf numFmtId="44" fontId="0" fillId="2" borderId="0" xfId="2" quotePrefix="1" applyFont="1" applyFill="1" applyBorder="1" applyAlignment="1">
      <alignment horizontal="right"/>
    </xf>
    <xf numFmtId="44" fontId="9" fillId="2" borderId="0" xfId="2" applyFont="1" applyFill="1" applyBorder="1"/>
    <xf numFmtId="0" fontId="9" fillId="2" borderId="1" xfId="2" applyNumberFormat="1" applyFont="1" applyFill="1" applyBorder="1"/>
    <xf numFmtId="10" fontId="9" fillId="2" borderId="5" xfId="3" applyNumberFormat="1" applyFont="1" applyFill="1" applyBorder="1"/>
    <xf numFmtId="0" fontId="9" fillId="2" borderId="0" xfId="2" applyNumberFormat="1" applyFont="1" applyFill="1" applyBorder="1"/>
    <xf numFmtId="0" fontId="9" fillId="2" borderId="1" xfId="2" applyNumberFormat="1" applyFont="1" applyFill="1" applyBorder="1" applyAlignment="1">
      <alignment horizontal="right"/>
    </xf>
    <xf numFmtId="0" fontId="9" fillId="2" borderId="0" xfId="2" applyNumberFormat="1" applyFont="1" applyFill="1" applyBorder="1" applyAlignment="1">
      <alignment horizontal="right"/>
    </xf>
    <xf numFmtId="9" fontId="0" fillId="2" borderId="1" xfId="3" applyFont="1" applyFill="1" applyBorder="1"/>
    <xf numFmtId="166" fontId="9" fillId="2" borderId="1" xfId="2" applyNumberFormat="1" applyFont="1" applyFill="1" applyBorder="1"/>
    <xf numFmtId="166" fontId="9" fillId="2" borderId="0" xfId="2" applyNumberFormat="1" applyFont="1" applyFill="1" applyBorder="1"/>
    <xf numFmtId="44" fontId="3" fillId="2" borderId="0" xfId="0" applyNumberFormat="1" applyFont="1" applyFill="1" applyBorder="1" applyAlignment="1">
      <alignment horizontal="center"/>
    </xf>
    <xf numFmtId="44" fontId="3" fillId="2" borderId="0" xfId="0" applyNumberFormat="1" applyFont="1" applyFill="1" applyBorder="1"/>
    <xf numFmtId="44" fontId="0" fillId="2" borderId="0" xfId="0" applyNumberFormat="1" applyFill="1" applyBorder="1"/>
    <xf numFmtId="0" fontId="14" fillId="2" borderId="0" xfId="0" applyFont="1" applyFill="1" applyBorder="1" applyAlignment="1">
      <alignment horizontal="left"/>
    </xf>
    <xf numFmtId="177" fontId="1" fillId="2" borderId="0" xfId="2" applyNumberFormat="1" applyFont="1" applyFill="1" applyBorder="1"/>
    <xf numFmtId="43" fontId="0" fillId="2" borderId="0" xfId="0" applyNumberFormat="1" applyFill="1" applyBorder="1"/>
    <xf numFmtId="177" fontId="0" fillId="2" borderId="0" xfId="0" applyNumberFormat="1" applyFill="1" applyBorder="1"/>
    <xf numFmtId="17" fontId="14" fillId="2" borderId="0" xfId="0" applyNumberFormat="1" applyFont="1" applyFill="1" applyBorder="1" applyAlignment="1">
      <alignment horizontal="left"/>
    </xf>
    <xf numFmtId="176" fontId="1" fillId="2" borderId="0" xfId="2" quotePrefix="1" applyNumberFormat="1" applyFont="1" applyFill="1" applyBorder="1"/>
    <xf numFmtId="176" fontId="0" fillId="2" borderId="0" xfId="2" applyNumberFormat="1" applyFont="1" applyFill="1" applyBorder="1"/>
    <xf numFmtId="176" fontId="0" fillId="2" borderId="0" xfId="0" applyNumberFormat="1" applyFill="1" applyBorder="1"/>
    <xf numFmtId="178" fontId="1" fillId="2" borderId="0" xfId="1" quotePrefix="1" applyNumberFormat="1" applyFont="1" applyFill="1" applyBorder="1"/>
    <xf numFmtId="178" fontId="3" fillId="2" borderId="0" xfId="1" quotePrefix="1" applyNumberFormat="1" applyFont="1" applyFill="1" applyBorder="1"/>
    <xf numFmtId="43" fontId="1" fillId="2" borderId="0" xfId="1" quotePrefix="1" applyFont="1" applyFill="1" applyBorder="1"/>
    <xf numFmtId="43" fontId="3" fillId="2" borderId="0" xfId="1" quotePrefix="1" applyNumberFormat="1" applyFont="1" applyFill="1" applyBorder="1"/>
    <xf numFmtId="43" fontId="1" fillId="2" borderId="0" xfId="1" quotePrefix="1" applyNumberFormat="1" applyFont="1" applyFill="1" applyBorder="1"/>
    <xf numFmtId="43" fontId="1" fillId="2" borderId="0" xfId="1" applyNumberFormat="1" applyFont="1" applyFill="1" applyBorder="1" applyAlignment="1">
      <alignment horizontal="right"/>
    </xf>
    <xf numFmtId="178" fontId="0" fillId="2" borderId="0" xfId="0" applyNumberFormat="1" applyFill="1" applyBorder="1"/>
    <xf numFmtId="178" fontId="3" fillId="2" borderId="0" xfId="0" applyNumberFormat="1" applyFont="1" applyFill="1" applyBorder="1"/>
    <xf numFmtId="0" fontId="3" fillId="2" borderId="0" xfId="0" applyFont="1" applyFill="1" applyBorder="1" applyAlignment="1">
      <alignment horizontal="right"/>
    </xf>
    <xf numFmtId="179" fontId="3" fillId="2" borderId="0" xfId="2" quotePrefix="1" applyNumberFormat="1" applyFont="1" applyFill="1" applyBorder="1"/>
    <xf numFmtId="0" fontId="3" fillId="2" borderId="0" xfId="0" applyFont="1" applyFill="1" applyBorder="1" applyAlignment="1">
      <alignment horizontal="center" wrapText="1"/>
    </xf>
    <xf numFmtId="177" fontId="1" fillId="2" borderId="0" xfId="2" quotePrefix="1" applyNumberFormat="1" applyFont="1" applyFill="1" applyBorder="1"/>
    <xf numFmtId="165" fontId="0" fillId="2" borderId="0" xfId="1" applyNumberFormat="1" applyFont="1" applyFill="1" applyBorder="1"/>
    <xf numFmtId="44" fontId="1" fillId="2" borderId="0" xfId="0" applyNumberFormat="1" applyFont="1" applyFill="1" applyBorder="1"/>
    <xf numFmtId="176" fontId="1" fillId="2" borderId="0" xfId="2" applyNumberFormat="1" applyFont="1" applyFill="1" applyBorder="1"/>
    <xf numFmtId="9" fontId="0" fillId="2" borderId="0" xfId="3" applyFont="1" applyFill="1" applyBorder="1"/>
    <xf numFmtId="176" fontId="0" fillId="2" borderId="0" xfId="3" applyNumberFormat="1" applyFont="1" applyFill="1" applyBorder="1"/>
    <xf numFmtId="0" fontId="7" fillId="2" borderId="0" xfId="0" applyFont="1" applyFill="1" applyBorder="1" applyAlignment="1">
      <alignment horizontal="right"/>
    </xf>
    <xf numFmtId="180" fontId="3" fillId="2" borderId="0" xfId="1" applyNumberFormat="1" applyFont="1" applyFill="1" applyBorder="1"/>
    <xf numFmtId="43" fontId="7" fillId="2" borderId="0" xfId="1" applyFont="1" applyFill="1" applyBorder="1"/>
    <xf numFmtId="180" fontId="1" fillId="2" borderId="0" xfId="1" quotePrefix="1" applyNumberFormat="1" applyFont="1" applyFill="1" applyBorder="1"/>
    <xf numFmtId="176" fontId="0" fillId="2" borderId="0" xfId="2" quotePrefix="1" applyNumberFormat="1" applyFont="1" applyFill="1" applyBorder="1"/>
    <xf numFmtId="3" fontId="14" fillId="2" borderId="0" xfId="0" applyNumberFormat="1" applyFont="1" applyFill="1" applyBorder="1"/>
    <xf numFmtId="0" fontId="3" fillId="2" borderId="0" xfId="0" applyFont="1" applyFill="1" applyBorder="1" applyAlignment="1">
      <alignment horizontal="left"/>
    </xf>
    <xf numFmtId="0" fontId="0" fillId="2" borderId="0" xfId="0" applyFill="1" applyBorder="1" applyAlignment="1">
      <alignment horizontal="center" wrapText="1"/>
    </xf>
    <xf numFmtId="172" fontId="0" fillId="2" borderId="0" xfId="0" applyNumberFormat="1" applyFill="1" applyBorder="1" applyAlignment="1">
      <alignment horizontal="right"/>
    </xf>
    <xf numFmtId="0" fontId="15" fillId="2" borderId="0" xfId="0" applyFont="1" applyFill="1" applyBorder="1"/>
    <xf numFmtId="181" fontId="9" fillId="2" borderId="0" xfId="0" applyNumberFormat="1" applyFont="1" applyFill="1" applyBorder="1"/>
    <xf numFmtId="6" fontId="9" fillId="2" borderId="0" xfId="0" applyNumberFormat="1" applyFont="1" applyFill="1" applyBorder="1"/>
    <xf numFmtId="6" fontId="0" fillId="2" borderId="0" xfId="0" applyNumberFormat="1" applyFill="1" applyBorder="1"/>
    <xf numFmtId="8" fontId="0" fillId="2" borderId="0" xfId="0" applyNumberFormat="1" applyFill="1" applyBorder="1"/>
    <xf numFmtId="181" fontId="0" fillId="2" borderId="0" xfId="0" applyNumberFormat="1" applyFill="1" applyBorder="1"/>
    <xf numFmtId="175" fontId="0" fillId="2" borderId="0" xfId="0" applyNumberFormat="1" applyFill="1" applyBorder="1"/>
    <xf numFmtId="0" fontId="0" fillId="0" borderId="0" xfId="0" applyFill="1" applyAlignment="1">
      <alignment horizontal="left"/>
    </xf>
    <xf numFmtId="0" fontId="0" fillId="0" borderId="0" xfId="0" applyFill="1"/>
    <xf numFmtId="0" fontId="3" fillId="0" borderId="0" xfId="0" applyFont="1" applyFill="1" applyAlignment="1">
      <alignment horizontal="center"/>
    </xf>
    <xf numFmtId="0" fontId="1" fillId="0" borderId="0" xfId="0" applyFont="1" applyFill="1"/>
    <xf numFmtId="0" fontId="6" fillId="0" borderId="0" xfId="0" applyFont="1" applyFill="1" applyAlignment="1">
      <alignment horizontal="left"/>
    </xf>
    <xf numFmtId="0" fontId="3" fillId="0" borderId="0" xfId="0" applyFont="1" applyFill="1"/>
    <xf numFmtId="0" fontId="7" fillId="0" borderId="0" xfId="0" applyFont="1" applyFill="1"/>
    <xf numFmtId="0" fontId="2" fillId="0" borderId="0" xfId="0" applyFont="1" applyFill="1" applyAlignment="1">
      <alignment horizontal="left"/>
    </xf>
    <xf numFmtId="0" fontId="3" fillId="0" borderId="0" xfId="0" quotePrefix="1" applyFont="1" applyFill="1" applyBorder="1"/>
    <xf numFmtId="39" fontId="1" fillId="0" borderId="0" xfId="0" quotePrefix="1" applyNumberFormat="1" applyFont="1" applyFill="1"/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center" wrapText="1"/>
    </xf>
    <xf numFmtId="0" fontId="1" fillId="0" borderId="0" xfId="0" applyFont="1" applyFill="1" applyAlignment="1">
      <alignment wrapText="1"/>
    </xf>
    <xf numFmtId="0" fontId="7" fillId="0" borderId="0" xfId="0" quotePrefix="1" applyFont="1" applyFill="1"/>
    <xf numFmtId="0" fontId="8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17" fontId="0" fillId="0" borderId="0" xfId="0" applyNumberFormat="1" applyFill="1"/>
    <xf numFmtId="10" fontId="9" fillId="0" borderId="0" xfId="3" applyNumberFormat="1" applyFont="1" applyFill="1"/>
    <xf numFmtId="164" fontId="9" fillId="0" borderId="0" xfId="3" quotePrefix="1" applyNumberFormat="1" applyFont="1" applyFill="1"/>
    <xf numFmtId="9" fontId="9" fillId="0" borderId="0" xfId="3" quotePrefix="1" applyFont="1" applyFill="1"/>
    <xf numFmtId="9" fontId="1" fillId="0" borderId="0" xfId="3" quotePrefix="1" applyFont="1" applyFill="1"/>
    <xf numFmtId="9" fontId="7" fillId="0" borderId="0" xfId="3" applyFont="1" applyFill="1"/>
    <xf numFmtId="9" fontId="9" fillId="0" borderId="0" xfId="3" applyNumberFormat="1" applyFont="1" applyFill="1"/>
    <xf numFmtId="9" fontId="9" fillId="0" borderId="0" xfId="3" quotePrefix="1" applyFont="1" applyFill="1" applyAlignment="1">
      <alignment horizontal="center"/>
    </xf>
    <xf numFmtId="1" fontId="9" fillId="0" borderId="0" xfId="3" quotePrefix="1" applyNumberFormat="1" applyFont="1" applyFill="1"/>
    <xf numFmtId="17" fontId="3" fillId="0" borderId="0" xfId="0" applyNumberFormat="1" applyFont="1" applyFill="1"/>
    <xf numFmtId="17" fontId="7" fillId="0" borderId="0" xfId="0" applyNumberFormat="1" applyFont="1" applyFill="1"/>
    <xf numFmtId="0" fontId="10" fillId="0" borderId="0" xfId="4" applyFill="1" applyAlignment="1" applyProtection="1"/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3" fontId="0" fillId="0" borderId="0" xfId="0" applyNumberFormat="1" applyFill="1" applyAlignment="1"/>
    <xf numFmtId="38" fontId="9" fillId="0" borderId="0" xfId="0" applyNumberFormat="1" applyFont="1" applyFill="1" applyAlignment="1">
      <alignment horizontal="right"/>
    </xf>
    <xf numFmtId="165" fontId="1" fillId="0" borderId="0" xfId="1" applyNumberFormat="1" applyFont="1" applyFill="1"/>
    <xf numFmtId="164" fontId="0" fillId="0" borderId="0" xfId="0" applyNumberFormat="1" applyFill="1"/>
    <xf numFmtId="0" fontId="0" fillId="0" borderId="0" xfId="0" applyFill="1" applyAlignment="1">
      <alignment horizontal="right"/>
    </xf>
    <xf numFmtId="3" fontId="0" fillId="0" borderId="0" xfId="0" quotePrefix="1" applyNumberFormat="1" applyFill="1"/>
    <xf numFmtId="3" fontId="0" fillId="0" borderId="0" xfId="0" applyNumberFormat="1" applyFill="1"/>
    <xf numFmtId="9" fontId="0" fillId="0" borderId="0" xfId="3" applyFont="1" applyFill="1" applyAlignment="1"/>
    <xf numFmtId="165" fontId="9" fillId="0" borderId="0" xfId="1" applyNumberFormat="1" applyFont="1" applyFill="1" applyAlignment="1">
      <alignment horizontal="center"/>
    </xf>
    <xf numFmtId="164" fontId="9" fillId="0" borderId="0" xfId="3" applyNumberFormat="1" applyFont="1" applyFill="1"/>
    <xf numFmtId="164" fontId="9" fillId="0" borderId="0" xfId="0" applyNumberFormat="1" applyFont="1" applyFill="1"/>
    <xf numFmtId="164" fontId="1" fillId="0" borderId="0" xfId="0" applyNumberFormat="1" applyFont="1" applyFill="1"/>
    <xf numFmtId="3" fontId="9" fillId="0" borderId="0" xfId="0" applyNumberFormat="1" applyFont="1" applyFill="1"/>
    <xf numFmtId="0" fontId="1" fillId="0" borderId="0" xfId="0" quotePrefix="1" applyFont="1" applyFill="1"/>
    <xf numFmtId="9" fontId="0" fillId="0" borderId="0" xfId="0" applyNumberFormat="1" applyFill="1"/>
    <xf numFmtId="17" fontId="0" fillId="0" borderId="0" xfId="0" applyNumberFormat="1" applyFill="1" applyAlignment="1">
      <alignment horizontal="center"/>
    </xf>
    <xf numFmtId="9" fontId="0" fillId="0" borderId="0" xfId="3" applyFont="1" applyFill="1"/>
    <xf numFmtId="10" fontId="0" fillId="0" borderId="0" xfId="0" applyNumberFormat="1" applyFill="1"/>
    <xf numFmtId="0" fontId="2" fillId="0" borderId="0" xfId="0" applyFont="1" applyFill="1" applyAlignment="1">
      <alignment horizontal="center"/>
    </xf>
    <xf numFmtId="0" fontId="0" fillId="0" borderId="0" xfId="0" applyFill="1" applyAlignment="1"/>
    <xf numFmtId="40" fontId="9" fillId="0" borderId="0" xfId="0" applyNumberFormat="1" applyFont="1" applyFill="1" applyAlignment="1">
      <alignment horizontal="right"/>
    </xf>
    <xf numFmtId="166" fontId="9" fillId="0" borderId="0" xfId="0" applyNumberFormat="1" applyFont="1" applyFill="1"/>
    <xf numFmtId="167" fontId="1" fillId="0" borderId="0" xfId="0" applyNumberFormat="1" applyFont="1" applyFill="1"/>
    <xf numFmtId="0" fontId="16" fillId="0" borderId="0" xfId="0" applyFont="1" applyFill="1"/>
    <xf numFmtId="166" fontId="1" fillId="0" borderId="0" xfId="0" applyNumberFormat="1" applyFont="1" applyFill="1"/>
    <xf numFmtId="9" fontId="1" fillId="0" borderId="0" xfId="3" applyNumberFormat="1" applyFont="1" applyFill="1"/>
    <xf numFmtId="0" fontId="7" fillId="0" borderId="0" xfId="0" applyFont="1" applyFill="1" applyAlignment="1"/>
    <xf numFmtId="0" fontId="12" fillId="0" borderId="0" xfId="0" applyFont="1" applyFill="1" applyAlignment="1"/>
    <xf numFmtId="166" fontId="9" fillId="0" borderId="6" xfId="0" applyNumberFormat="1" applyFont="1" applyFill="1" applyBorder="1"/>
    <xf numFmtId="9" fontId="9" fillId="0" borderId="6" xfId="3" applyNumberFormat="1" applyFont="1" applyFill="1" applyBorder="1"/>
    <xf numFmtId="166" fontId="0" fillId="0" borderId="7" xfId="0" applyNumberFormat="1" applyFill="1" applyBorder="1"/>
    <xf numFmtId="9" fontId="0" fillId="0" borderId="7" xfId="3" applyNumberFormat="1" applyFont="1" applyFill="1" applyBorder="1"/>
    <xf numFmtId="166" fontId="0" fillId="0" borderId="8" xfId="0" applyNumberFormat="1" applyFill="1" applyBorder="1"/>
    <xf numFmtId="9" fontId="0" fillId="0" borderId="8" xfId="3" applyNumberFormat="1" applyFont="1" applyFill="1" applyBorder="1"/>
    <xf numFmtId="166" fontId="0" fillId="0" borderId="0" xfId="0" applyNumberFormat="1" applyFill="1"/>
    <xf numFmtId="4" fontId="9" fillId="0" borderId="0" xfId="0" applyNumberFormat="1" applyFont="1" applyFill="1"/>
    <xf numFmtId="9" fontId="9" fillId="0" borderId="0" xfId="3" applyFont="1" applyFill="1"/>
    <xf numFmtId="168" fontId="9" fillId="0" borderId="0" xfId="0" applyNumberFormat="1" applyFont="1" applyFill="1"/>
    <xf numFmtId="0" fontId="0" fillId="0" borderId="4" xfId="0" applyFill="1" applyBorder="1"/>
    <xf numFmtId="10" fontId="0" fillId="0" borderId="0" xfId="0" applyNumberFormat="1" applyFill="1" applyAlignment="1">
      <alignment horizontal="center"/>
    </xf>
    <xf numFmtId="168" fontId="9" fillId="0" borderId="9" xfId="3" applyNumberFormat="1" applyFont="1" applyFill="1" applyBorder="1"/>
    <xf numFmtId="168" fontId="1" fillId="0" borderId="0" xfId="0" applyNumberFormat="1" applyFont="1" applyFill="1"/>
    <xf numFmtId="0" fontId="0" fillId="0" borderId="0" xfId="0" quotePrefix="1" applyFill="1"/>
    <xf numFmtId="170" fontId="0" fillId="0" borderId="0" xfId="0" applyNumberFormat="1" applyFill="1"/>
    <xf numFmtId="169" fontId="0" fillId="0" borderId="0" xfId="0" applyNumberFormat="1" applyFill="1"/>
    <xf numFmtId="171" fontId="1" fillId="0" borderId="0" xfId="3" applyNumberFormat="1" applyFont="1" applyFill="1"/>
    <xf numFmtId="169" fontId="0" fillId="0" borderId="0" xfId="0" quotePrefix="1" applyNumberFormat="1" applyFill="1"/>
    <xf numFmtId="44" fontId="1" fillId="0" borderId="0" xfId="2" quotePrefix="1" applyFont="1" applyFill="1"/>
    <xf numFmtId="17" fontId="0" fillId="0" borderId="0" xfId="0" applyNumberFormat="1" applyFill="1" applyAlignment="1">
      <alignment horizontal="right"/>
    </xf>
    <xf numFmtId="44" fontId="0" fillId="0" borderId="0" xfId="2" applyFont="1" applyFill="1"/>
    <xf numFmtId="44" fontId="1" fillId="0" borderId="0" xfId="2" applyFont="1" applyFill="1"/>
    <xf numFmtId="44" fontId="1" fillId="0" borderId="0" xfId="2" quotePrefix="1" applyNumberFormat="1" applyFont="1" applyFill="1"/>
    <xf numFmtId="176" fontId="0" fillId="0" borderId="0" xfId="0" applyNumberFormat="1" applyFill="1"/>
    <xf numFmtId="176" fontId="1" fillId="0" borderId="0" xfId="2" quotePrefix="1" applyNumberFormat="1" applyFont="1" applyFill="1"/>
    <xf numFmtId="176" fontId="1" fillId="0" borderId="0" xfId="2" applyNumberFormat="1" applyFont="1" applyFill="1"/>
    <xf numFmtId="39" fontId="0" fillId="0" borderId="0" xfId="0" applyNumberFormat="1" applyFill="1"/>
    <xf numFmtId="164" fontId="3" fillId="0" borderId="0" xfId="0" applyNumberFormat="1" applyFont="1" applyFill="1" applyAlignment="1">
      <alignment horizontal="center"/>
    </xf>
    <xf numFmtId="176" fontId="0" fillId="0" borderId="0" xfId="2" applyNumberFormat="1" applyFont="1" applyFill="1"/>
    <xf numFmtId="176" fontId="17" fillId="0" borderId="0" xfId="2" applyNumberFormat="1" applyFont="1" applyFill="1"/>
    <xf numFmtId="0" fontId="1" fillId="0" borderId="0" xfId="0" applyFont="1" applyFill="1" applyAlignment="1">
      <alignment horizontal="right"/>
    </xf>
    <xf numFmtId="172" fontId="9" fillId="0" borderId="0" xfId="0" applyNumberFormat="1" applyFont="1" applyFill="1"/>
    <xf numFmtId="172" fontId="3" fillId="0" borderId="0" xfId="0" applyNumberFormat="1" applyFont="1" applyFill="1"/>
    <xf numFmtId="172" fontId="1" fillId="0" borderId="0" xfId="0" applyNumberFormat="1" applyFont="1" applyFill="1"/>
    <xf numFmtId="172" fontId="0" fillId="0" borderId="0" xfId="0" applyNumberFormat="1" applyFill="1"/>
    <xf numFmtId="0" fontId="9" fillId="0" borderId="0" xfId="0" applyFont="1" applyFill="1"/>
    <xf numFmtId="175" fontId="9" fillId="0" borderId="0" xfId="0" applyNumberFormat="1" applyFont="1" applyFill="1"/>
    <xf numFmtId="175" fontId="0" fillId="0" borderId="0" xfId="0" applyNumberFormat="1" applyFill="1"/>
    <xf numFmtId="1" fontId="1" fillId="0" borderId="0" xfId="0" applyNumberFormat="1" applyFont="1" applyFill="1"/>
    <xf numFmtId="173" fontId="9" fillId="0" borderId="0" xfId="0" applyNumberFormat="1" applyFont="1" applyFill="1"/>
    <xf numFmtId="175" fontId="0" fillId="0" borderId="4" xfId="0" applyNumberFormat="1" applyFill="1" applyBorder="1"/>
    <xf numFmtId="3" fontId="1" fillId="0" borderId="0" xfId="0" applyNumberFormat="1" applyFont="1" applyFill="1" applyAlignment="1">
      <alignment horizontal="right"/>
    </xf>
    <xf numFmtId="0" fontId="0" fillId="0" borderId="0" xfId="0" quotePrefix="1" applyFill="1" applyAlignment="1">
      <alignment horizontal="right"/>
    </xf>
    <xf numFmtId="3" fontId="1" fillId="0" borderId="0" xfId="0" applyNumberFormat="1" applyFont="1" applyFill="1"/>
    <xf numFmtId="44" fontId="9" fillId="0" borderId="0" xfId="2" applyFont="1" applyFill="1"/>
    <xf numFmtId="172" fontId="1" fillId="0" borderId="0" xfId="0" applyNumberFormat="1" applyFont="1" applyFill="1" applyAlignment="1">
      <alignment horizontal="right"/>
    </xf>
    <xf numFmtId="175" fontId="1" fillId="0" borderId="0" xfId="2" applyNumberFormat="1" applyFont="1" applyFill="1"/>
    <xf numFmtId="0" fontId="1" fillId="0" borderId="0" xfId="0" quotePrefix="1" applyFont="1" applyFill="1" applyAlignment="1">
      <alignment horizontal="center"/>
    </xf>
    <xf numFmtId="172" fontId="1" fillId="0" borderId="0" xfId="0" quotePrefix="1" applyNumberFormat="1" applyFont="1" applyFill="1" applyAlignment="1">
      <alignment horizontal="center"/>
    </xf>
    <xf numFmtId="175" fontId="1" fillId="0" borderId="0" xfId="2" applyNumberFormat="1" applyFont="1" applyFill="1" applyAlignment="1">
      <alignment horizontal="center" wrapText="1"/>
    </xf>
    <xf numFmtId="0" fontId="0" fillId="0" borderId="0" xfId="0" applyFill="1" applyAlignment="1">
      <alignment horizontal="center" wrapText="1"/>
    </xf>
    <xf numFmtId="44" fontId="9" fillId="0" borderId="0" xfId="2" applyNumberFormat="1" applyFont="1" applyFill="1"/>
    <xf numFmtId="44" fontId="1" fillId="0" borderId="0" xfId="0" applyNumberFormat="1" applyFont="1" applyFill="1"/>
    <xf numFmtId="182" fontId="0" fillId="0" borderId="0" xfId="0" applyNumberFormat="1" applyFill="1"/>
    <xf numFmtId="44" fontId="0" fillId="0" borderId="0" xfId="0" applyNumberFormat="1" applyFill="1"/>
    <xf numFmtId="44" fontId="0" fillId="0" borderId="0" xfId="2" quotePrefix="1" applyFont="1" applyFill="1"/>
    <xf numFmtId="0" fontId="1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Continuous"/>
    </xf>
    <xf numFmtId="0" fontId="1" fillId="0" borderId="0" xfId="0" applyFont="1" applyFill="1" applyAlignment="1">
      <alignment horizontal="centerContinuous"/>
    </xf>
    <xf numFmtId="0" fontId="1" fillId="0" borderId="0" xfId="0" applyFont="1" applyFill="1" applyAlignment="1"/>
    <xf numFmtId="3" fontId="0" fillId="3" borderId="0" xfId="0" applyNumberFormat="1" applyFill="1" applyAlignment="1">
      <alignment horizontal="center"/>
    </xf>
    <xf numFmtId="3" fontId="0" fillId="3" borderId="4" xfId="0" applyNumberFormat="1" applyFill="1" applyBorder="1" applyAlignment="1">
      <alignment horizontal="center"/>
    </xf>
    <xf numFmtId="3" fontId="0" fillId="0" borderId="0" xfId="0" applyNumberFormat="1" applyFill="1" applyAlignment="1">
      <alignment horizontal="center"/>
    </xf>
    <xf numFmtId="0" fontId="1" fillId="0" borderId="0" xfId="0" applyFont="1" applyFill="1" applyAlignment="1">
      <alignment horizontal="left"/>
    </xf>
    <xf numFmtId="44" fontId="1" fillId="0" borderId="0" xfId="2" applyNumberFormat="1" applyFont="1" applyFill="1"/>
    <xf numFmtId="176" fontId="9" fillId="0" borderId="0" xfId="2" applyNumberFormat="1" applyFont="1" applyFill="1"/>
    <xf numFmtId="44" fontId="0" fillId="0" borderId="0" xfId="2" quotePrefix="1" applyFont="1" applyFill="1" applyAlignment="1">
      <alignment horizontal="right"/>
    </xf>
    <xf numFmtId="44" fontId="0" fillId="0" borderId="0" xfId="2" applyFont="1" applyFill="1" applyAlignment="1">
      <alignment horizontal="center"/>
    </xf>
    <xf numFmtId="10" fontId="0" fillId="0" borderId="0" xfId="3" applyNumberFormat="1" applyFont="1" applyFill="1"/>
    <xf numFmtId="0" fontId="14" fillId="0" borderId="0" xfId="0" applyFont="1" applyFill="1" applyAlignment="1">
      <alignment horizontal="left"/>
    </xf>
    <xf numFmtId="177" fontId="1" fillId="0" borderId="0" xfId="2" applyNumberFormat="1" applyFont="1" applyFill="1"/>
    <xf numFmtId="43" fontId="0" fillId="0" borderId="0" xfId="0" applyNumberFormat="1" applyFill="1"/>
    <xf numFmtId="177" fontId="0" fillId="0" borderId="0" xfId="0" applyNumberFormat="1" applyFill="1"/>
    <xf numFmtId="17" fontId="14" fillId="0" borderId="0" xfId="0" applyNumberFormat="1" applyFont="1" applyFill="1" applyAlignment="1">
      <alignment horizontal="left"/>
    </xf>
    <xf numFmtId="178" fontId="1" fillId="0" borderId="0" xfId="1" quotePrefix="1" applyNumberFormat="1" applyFont="1" applyFill="1" applyBorder="1"/>
    <xf numFmtId="178" fontId="3" fillId="0" borderId="0" xfId="1" quotePrefix="1" applyNumberFormat="1" applyFont="1" applyFill="1" applyBorder="1"/>
    <xf numFmtId="43" fontId="1" fillId="0" borderId="0" xfId="1" quotePrefix="1" applyFont="1" applyFill="1"/>
    <xf numFmtId="43" fontId="3" fillId="0" borderId="0" xfId="1" quotePrefix="1" applyNumberFormat="1" applyFont="1" applyFill="1" applyBorder="1"/>
    <xf numFmtId="43" fontId="1" fillId="0" borderId="0" xfId="1" quotePrefix="1" applyNumberFormat="1" applyFont="1" applyFill="1" applyBorder="1"/>
    <xf numFmtId="43" fontId="1" fillId="0" borderId="0" xfId="1" applyNumberFormat="1" applyFont="1" applyFill="1" applyBorder="1" applyAlignment="1">
      <alignment horizontal="right"/>
    </xf>
    <xf numFmtId="178" fontId="0" fillId="0" borderId="0" xfId="0" applyNumberFormat="1" applyFill="1"/>
    <xf numFmtId="178" fontId="3" fillId="0" borderId="0" xfId="0" applyNumberFormat="1" applyFont="1" applyFill="1"/>
    <xf numFmtId="0" fontId="3" fillId="0" borderId="0" xfId="0" applyFont="1" applyFill="1" applyAlignment="1">
      <alignment horizontal="right"/>
    </xf>
    <xf numFmtId="179" fontId="3" fillId="0" borderId="0" xfId="2" quotePrefix="1" applyNumberFormat="1" applyFont="1" applyFill="1" applyBorder="1"/>
    <xf numFmtId="43" fontId="1" fillId="0" borderId="0" xfId="1" quotePrefix="1" applyNumberFormat="1" applyFont="1" applyFill="1"/>
    <xf numFmtId="178" fontId="1" fillId="0" borderId="0" xfId="1" quotePrefix="1" applyNumberFormat="1" applyFont="1" applyFill="1"/>
    <xf numFmtId="0" fontId="3" fillId="0" borderId="0" xfId="0" applyFont="1" applyFill="1" applyAlignment="1">
      <alignment horizontal="center" wrapText="1"/>
    </xf>
    <xf numFmtId="177" fontId="1" fillId="0" borderId="0" xfId="2" quotePrefix="1" applyNumberFormat="1" applyFont="1" applyFill="1"/>
    <xf numFmtId="165" fontId="0" fillId="0" borderId="0" xfId="1" applyNumberFormat="1" applyFont="1" applyFill="1"/>
    <xf numFmtId="176" fontId="0" fillId="0" borderId="0" xfId="3" applyNumberFormat="1" applyFont="1" applyFill="1"/>
    <xf numFmtId="0" fontId="7" fillId="0" borderId="0" xfId="0" applyFont="1" applyFill="1" applyAlignment="1">
      <alignment horizontal="right"/>
    </xf>
    <xf numFmtId="180" fontId="3" fillId="0" borderId="0" xfId="1" applyNumberFormat="1" applyFont="1" applyFill="1"/>
    <xf numFmtId="43" fontId="7" fillId="0" borderId="0" xfId="1" applyFont="1" applyFill="1"/>
    <xf numFmtId="180" fontId="1" fillId="0" borderId="0" xfId="1" quotePrefix="1" applyNumberFormat="1" applyFont="1" applyFill="1"/>
    <xf numFmtId="176" fontId="0" fillId="0" borderId="0" xfId="2" quotePrefix="1" applyNumberFormat="1" applyFont="1" applyFill="1"/>
    <xf numFmtId="3" fontId="14" fillId="0" borderId="0" xfId="0" applyNumberFormat="1" applyFont="1" applyFill="1"/>
    <xf numFmtId="0" fontId="18" fillId="0" borderId="0" xfId="5" applyFont="1" applyAlignment="1">
      <alignment horizontal="left"/>
    </xf>
    <xf numFmtId="0" fontId="4" fillId="0" borderId="0" xfId="0" applyFont="1" applyFill="1"/>
    <xf numFmtId="0" fontId="19" fillId="0" borderId="0" xfId="0" applyFont="1" applyFill="1" applyAlignment="1">
      <alignment horizontal="center"/>
    </xf>
    <xf numFmtId="0" fontId="20" fillId="0" borderId="0" xfId="0" applyFont="1" applyFill="1"/>
    <xf numFmtId="44" fontId="9" fillId="4" borderId="0" xfId="2" applyFont="1" applyFill="1"/>
    <xf numFmtId="0" fontId="0" fillId="0" borderId="0" xfId="0" applyFont="1" applyFill="1"/>
    <xf numFmtId="44" fontId="21" fillId="0" borderId="10" xfId="2" applyFont="1" applyFill="1" applyBorder="1"/>
    <xf numFmtId="44" fontId="21" fillId="0" borderId="0" xfId="2" applyFont="1" applyFill="1"/>
    <xf numFmtId="176" fontId="21" fillId="0" borderId="0" xfId="2" applyNumberFormat="1" applyFont="1" applyFill="1"/>
    <xf numFmtId="0" fontId="21" fillId="0" borderId="0" xfId="0" applyFont="1" applyFill="1"/>
    <xf numFmtId="176" fontId="21" fillId="0" borderId="4" xfId="2" applyNumberFormat="1" applyFont="1" applyFill="1" applyBorder="1"/>
    <xf numFmtId="179" fontId="0" fillId="0" borderId="0" xfId="2" applyNumberFormat="1" applyFont="1" applyFill="1"/>
    <xf numFmtId="179" fontId="1" fillId="0" borderId="0" xfId="2" applyNumberFormat="1" applyFont="1" applyFill="1"/>
    <xf numFmtId="179" fontId="3" fillId="0" borderId="0" xfId="2" quotePrefix="1" applyNumberFormat="1" applyFont="1" applyFill="1"/>
    <xf numFmtId="0" fontId="3" fillId="0" borderId="0" xfId="0" applyFont="1" applyFill="1" applyAlignment="1">
      <alignment horizontal="left"/>
    </xf>
    <xf numFmtId="176" fontId="17" fillId="0" borderId="0" xfId="0" applyNumberFormat="1" applyFont="1" applyFill="1"/>
    <xf numFmtId="0" fontId="2" fillId="0" borderId="0" xfId="0" applyFont="1" applyFill="1"/>
    <xf numFmtId="166" fontId="2" fillId="0" borderId="0" xfId="0" applyNumberFormat="1" applyFont="1" applyFill="1"/>
    <xf numFmtId="177" fontId="3" fillId="0" borderId="0" xfId="2" quotePrefix="1" applyNumberFormat="1" applyFont="1" applyFill="1"/>
    <xf numFmtId="176" fontId="17" fillId="0" borderId="0" xfId="2" quotePrefix="1" applyNumberFormat="1" applyFont="1" applyFill="1"/>
    <xf numFmtId="176" fontId="3" fillId="0" borderId="0" xfId="0" applyNumberFormat="1" applyFont="1" applyFill="1"/>
    <xf numFmtId="0" fontId="0" fillId="0" borderId="11" xfId="0" applyFill="1" applyBorder="1"/>
    <xf numFmtId="0" fontId="0" fillId="0" borderId="10" xfId="0" applyFill="1" applyBorder="1"/>
    <xf numFmtId="0" fontId="0" fillId="0" borderId="12" xfId="0" applyFill="1" applyBorder="1"/>
    <xf numFmtId="0" fontId="0" fillId="0" borderId="5" xfId="0" applyFill="1" applyBorder="1" applyAlignment="1">
      <alignment horizontal="center"/>
    </xf>
    <xf numFmtId="0" fontId="0" fillId="0" borderId="0" xfId="0" applyFill="1" applyBorder="1"/>
    <xf numFmtId="0" fontId="0" fillId="0" borderId="13" xfId="0" applyFill="1" applyBorder="1"/>
    <xf numFmtId="0" fontId="7" fillId="0" borderId="0" xfId="0" applyFont="1" applyFill="1" applyBorder="1"/>
    <xf numFmtId="0" fontId="14" fillId="0" borderId="5" xfId="0" applyFont="1" applyFill="1" applyBorder="1" applyAlignment="1">
      <alignment horizontal="center"/>
    </xf>
    <xf numFmtId="168" fontId="0" fillId="0" borderId="0" xfId="3" applyNumberFormat="1" applyFont="1" applyFill="1"/>
    <xf numFmtId="169" fontId="0" fillId="0" borderId="5" xfId="0" applyNumberFormat="1" applyFill="1" applyBorder="1"/>
    <xf numFmtId="0" fontId="0" fillId="0" borderId="14" xfId="0" applyFill="1" applyBorder="1"/>
    <xf numFmtId="0" fontId="0" fillId="0" borderId="15" xfId="0" applyFill="1" applyBorder="1"/>
    <xf numFmtId="183" fontId="3" fillId="0" borderId="0" xfId="2" quotePrefix="1" applyNumberFormat="1" applyFont="1" applyFill="1"/>
    <xf numFmtId="168" fontId="14" fillId="0" borderId="0" xfId="3" applyNumberFormat="1" applyFont="1" applyFill="1"/>
    <xf numFmtId="0" fontId="1" fillId="0" borderId="0" xfId="5"/>
    <xf numFmtId="0" fontId="5" fillId="0" borderId="0" xfId="5" applyFont="1" applyAlignment="1">
      <alignment horizontal="center"/>
    </xf>
    <xf numFmtId="0" fontId="22" fillId="0" borderId="0" xfId="5" applyFont="1" applyAlignment="1">
      <alignment horizontal="center"/>
    </xf>
    <xf numFmtId="0" fontId="1" fillId="0" borderId="0" xfId="5" applyFont="1" applyAlignment="1">
      <alignment horizontal="center" wrapText="1"/>
    </xf>
    <xf numFmtId="0" fontId="7" fillId="0" borderId="0" xfId="5" applyFont="1" applyFill="1" applyAlignment="1">
      <alignment horizontal="center" wrapText="1"/>
    </xf>
    <xf numFmtId="0" fontId="3" fillId="0" borderId="0" xfId="5" applyFont="1" applyFill="1"/>
    <xf numFmtId="175" fontId="1" fillId="0" borderId="0" xfId="5" applyNumberFormat="1" applyFont="1" applyFill="1"/>
    <xf numFmtId="0" fontId="1" fillId="0" borderId="0" xfId="5" quotePrefix="1" applyFont="1" applyAlignment="1">
      <alignment horizontal="center"/>
    </xf>
    <xf numFmtId="0" fontId="1" fillId="0" borderId="0" xfId="5" quotePrefix="1" applyFont="1" applyFill="1"/>
    <xf numFmtId="0" fontId="1" fillId="0" borderId="0" xfId="5" applyFill="1"/>
    <xf numFmtId="175" fontId="1" fillId="0" borderId="4" xfId="5" quotePrefix="1" applyNumberFormat="1" applyFont="1" applyFill="1" applyBorder="1" applyAlignment="1">
      <alignment horizontal="right"/>
    </xf>
    <xf numFmtId="0" fontId="18" fillId="0" borderId="0" xfId="5" applyFont="1" applyFill="1"/>
    <xf numFmtId="175" fontId="1" fillId="0" borderId="0" xfId="5" quotePrefix="1" applyNumberFormat="1" applyFont="1" applyAlignment="1">
      <alignment horizontal="right"/>
    </xf>
    <xf numFmtId="0" fontId="1" fillId="0" borderId="0" xfId="5" quotePrefix="1" applyFont="1"/>
    <xf numFmtId="172" fontId="1" fillId="0" borderId="0" xfId="5" applyNumberFormat="1" applyFont="1"/>
    <xf numFmtId="0" fontId="1" fillId="0" borderId="0" xfId="5" applyFont="1" applyFill="1"/>
    <xf numFmtId="3" fontId="1" fillId="0" borderId="4" xfId="5" applyNumberFormat="1" applyFont="1" applyBorder="1"/>
    <xf numFmtId="181" fontId="1" fillId="0" borderId="0" xfId="5" quotePrefix="1" applyNumberFormat="1" applyFont="1" applyAlignment="1">
      <alignment horizontal="right"/>
    </xf>
    <xf numFmtId="181" fontId="1" fillId="0" borderId="0" xfId="5" applyNumberFormat="1" applyFont="1"/>
    <xf numFmtId="0" fontId="3" fillId="0" borderId="0" xfId="5" applyFont="1" applyFill="1" applyAlignment="1">
      <alignment wrapText="1"/>
    </xf>
    <xf numFmtId="165" fontId="1" fillId="0" borderId="0" xfId="1" applyNumberFormat="1" applyFont="1"/>
    <xf numFmtId="165" fontId="1" fillId="0" borderId="4" xfId="1" applyNumberFormat="1" applyFont="1" applyBorder="1"/>
    <xf numFmtId="10" fontId="1" fillId="0" borderId="0" xfId="3" applyNumberFormat="1" applyFont="1"/>
    <xf numFmtId="3" fontId="1" fillId="0" borderId="0" xfId="5" applyNumberFormat="1" applyFont="1"/>
    <xf numFmtId="3" fontId="1" fillId="0" borderId="4" xfId="5" applyNumberFormat="1" applyBorder="1"/>
    <xf numFmtId="181" fontId="1" fillId="0" borderId="0" xfId="5" applyNumberFormat="1"/>
    <xf numFmtId="175" fontId="3" fillId="0" borderId="16" xfId="5" applyNumberFormat="1" applyFont="1" applyBorder="1"/>
    <xf numFmtId="0" fontId="3" fillId="0" borderId="0" xfId="5" quotePrefix="1" applyFont="1"/>
    <xf numFmtId="3" fontId="1" fillId="0" borderId="0" xfId="5" applyNumberFormat="1"/>
    <xf numFmtId="175" fontId="1" fillId="0" borderId="0" xfId="5" applyNumberFormat="1"/>
    <xf numFmtId="0" fontId="20" fillId="0" borderId="0" xfId="5" applyFont="1" applyAlignment="1">
      <alignment vertical="center" wrapText="1"/>
    </xf>
    <xf numFmtId="0" fontId="23" fillId="0" borderId="0" xfId="5" applyFont="1" applyFill="1"/>
    <xf numFmtId="0" fontId="5" fillId="0" borderId="0" xfId="5" applyFont="1" applyFill="1"/>
    <xf numFmtId="0" fontId="24" fillId="0" borderId="0" xfId="5" applyFont="1" applyFill="1"/>
    <xf numFmtId="0" fontId="2" fillId="0" borderId="0" xfId="5" applyFont="1" applyFill="1" applyAlignment="1">
      <alignment horizontal="center"/>
    </xf>
    <xf numFmtId="0" fontId="1" fillId="0" borderId="0" xfId="5" applyFill="1" applyAlignment="1">
      <alignment horizontal="center"/>
    </xf>
    <xf numFmtId="0" fontId="1" fillId="0" borderId="0" xfId="5" applyFont="1" applyFill="1" applyAlignment="1">
      <alignment horizontal="center"/>
    </xf>
    <xf numFmtId="44" fontId="25" fillId="0" borderId="0" xfId="2" applyFont="1" applyFill="1"/>
    <xf numFmtId="166" fontId="20" fillId="5" borderId="0" xfId="5" applyNumberFormat="1" applyFont="1" applyFill="1"/>
    <xf numFmtId="44" fontId="21" fillId="0" borderId="0" xfId="6" applyFont="1" applyFill="1"/>
    <xf numFmtId="0" fontId="9" fillId="0" borderId="0" xfId="5" applyFont="1" applyFill="1"/>
    <xf numFmtId="166" fontId="9" fillId="0" borderId="0" xfId="5" applyNumberFormat="1" applyFont="1" applyFill="1"/>
    <xf numFmtId="3" fontId="1" fillId="0" borderId="0" xfId="5" applyNumberFormat="1" applyFont="1" applyFill="1"/>
    <xf numFmtId="3" fontId="9" fillId="0" borderId="0" xfId="5" applyNumberFormat="1" applyFont="1" applyFill="1"/>
    <xf numFmtId="176" fontId="21" fillId="0" borderId="0" xfId="6" applyNumberFormat="1" applyFont="1"/>
    <xf numFmtId="0" fontId="21" fillId="0" borderId="0" xfId="5" applyFont="1" applyFill="1"/>
    <xf numFmtId="176" fontId="1" fillId="0" borderId="0" xfId="5" applyNumberFormat="1" applyFill="1"/>
    <xf numFmtId="176" fontId="26" fillId="0" borderId="0" xfId="6" applyNumberFormat="1" applyFont="1" applyFill="1"/>
    <xf numFmtId="44" fontId="0" fillId="0" borderId="0" xfId="6" applyNumberFormat="1" applyFont="1" applyFill="1"/>
    <xf numFmtId="177" fontId="1" fillId="0" borderId="0" xfId="5" applyNumberFormat="1" applyFill="1"/>
    <xf numFmtId="44" fontId="1" fillId="0" borderId="0" xfId="6" applyNumberFormat="1" applyFont="1" applyFill="1"/>
    <xf numFmtId="177" fontId="1" fillId="0" borderId="0" xfId="6" applyNumberFormat="1" applyFont="1" applyFill="1"/>
    <xf numFmtId="0" fontId="1" fillId="0" borderId="0" xfId="5" quotePrefix="1" applyFill="1"/>
    <xf numFmtId="44" fontId="3" fillId="0" borderId="0" xfId="6" quotePrefix="1" applyNumberFormat="1" applyFont="1" applyFill="1"/>
    <xf numFmtId="0" fontId="3" fillId="0" borderId="0" xfId="5" applyFont="1" applyFill="1" applyAlignment="1">
      <alignment horizontal="left"/>
    </xf>
    <xf numFmtId="0" fontId="1" fillId="0" borderId="0" xfId="5" applyFill="1" applyAlignment="1">
      <alignment horizontal="right"/>
    </xf>
    <xf numFmtId="176" fontId="17" fillId="0" borderId="0" xfId="5" applyNumberFormat="1" applyFont="1" applyFill="1"/>
    <xf numFmtId="176" fontId="0" fillId="0" borderId="0" xfId="6" applyNumberFormat="1" applyFont="1" applyFill="1"/>
    <xf numFmtId="0" fontId="2" fillId="0" borderId="0" xfId="5" applyFont="1" applyFill="1" applyAlignment="1">
      <alignment horizontal="left"/>
    </xf>
    <xf numFmtId="0" fontId="7" fillId="0" borderId="0" xfId="5" applyFont="1" applyFill="1"/>
    <xf numFmtId="0" fontId="3" fillId="0" borderId="0" xfId="5" applyFont="1" applyFill="1" applyAlignment="1">
      <alignment horizontal="center"/>
    </xf>
    <xf numFmtId="17" fontId="1" fillId="0" borderId="0" xfId="5" applyNumberFormat="1" applyFill="1"/>
    <xf numFmtId="17" fontId="1" fillId="0" borderId="0" xfId="5" applyNumberFormat="1" applyFill="1" applyAlignment="1">
      <alignment horizontal="right"/>
    </xf>
    <xf numFmtId="178" fontId="1" fillId="0" borderId="0" xfId="5" applyNumberFormat="1" applyFill="1"/>
    <xf numFmtId="178" fontId="3" fillId="0" borderId="0" xfId="5" applyNumberFormat="1" applyFont="1" applyFill="1"/>
    <xf numFmtId="0" fontId="3" fillId="0" borderId="0" xfId="5" applyFont="1" applyFill="1" applyAlignment="1">
      <alignment horizontal="right"/>
    </xf>
    <xf numFmtId="179" fontId="3" fillId="0" borderId="0" xfId="6" quotePrefix="1" applyNumberFormat="1" applyFont="1" applyFill="1" applyBorder="1"/>
    <xf numFmtId="0" fontId="1" fillId="0" borderId="0" xfId="5" applyFont="1" applyFill="1" applyAlignment="1">
      <alignment horizontal="left"/>
    </xf>
    <xf numFmtId="0" fontId="3" fillId="0" borderId="0" xfId="5" applyFont="1" applyFill="1" applyAlignment="1">
      <alignment horizontal="center" wrapText="1"/>
    </xf>
    <xf numFmtId="0" fontId="14" fillId="0" borderId="0" xfId="5" applyFont="1" applyFill="1" applyAlignment="1">
      <alignment horizontal="left"/>
    </xf>
    <xf numFmtId="177" fontId="1" fillId="0" borderId="0" xfId="6" quotePrefix="1" applyNumberFormat="1" applyFont="1" applyFill="1"/>
    <xf numFmtId="0" fontId="2" fillId="0" borderId="0" xfId="5" applyFont="1" applyFill="1"/>
    <xf numFmtId="166" fontId="2" fillId="0" borderId="0" xfId="5" applyNumberFormat="1" applyFont="1" applyFill="1"/>
    <xf numFmtId="177" fontId="3" fillId="0" borderId="0" xfId="6" quotePrefix="1" applyNumberFormat="1" applyFont="1" applyFill="1"/>
    <xf numFmtId="176" fontId="0" fillId="0" borderId="0" xfId="6" quotePrefix="1" applyNumberFormat="1" applyFont="1" applyFill="1"/>
    <xf numFmtId="176" fontId="17" fillId="0" borderId="0" xfId="6" applyNumberFormat="1" applyFont="1" applyFill="1"/>
    <xf numFmtId="176" fontId="17" fillId="0" borderId="0" xfId="6" quotePrefix="1" applyNumberFormat="1" applyFont="1" applyFill="1"/>
    <xf numFmtId="176" fontId="3" fillId="0" borderId="0" xfId="5" applyNumberFormat="1" applyFont="1" applyFill="1"/>
    <xf numFmtId="0" fontId="1" fillId="0" borderId="0" xfId="5" applyFill="1" applyAlignment="1">
      <alignment horizontal="left"/>
    </xf>
    <xf numFmtId="0" fontId="1" fillId="0" borderId="0" xfId="5" applyFill="1" applyBorder="1"/>
    <xf numFmtId="183" fontId="3" fillId="0" borderId="0" xfId="6" quotePrefix="1" applyNumberFormat="1" applyFont="1" applyFill="1"/>
    <xf numFmtId="0" fontId="14" fillId="0" borderId="0" xfId="5" applyFont="1" applyFill="1" applyAlignment="1">
      <alignment horizontal="center"/>
    </xf>
    <xf numFmtId="44" fontId="1" fillId="0" borderId="0" xfId="5" applyNumberFormat="1" applyFill="1"/>
    <xf numFmtId="176" fontId="17" fillId="0" borderId="0" xfId="6" applyNumberFormat="1" applyFont="1" applyFill="1" applyBorder="1"/>
    <xf numFmtId="0" fontId="1" fillId="0" borderId="0" xfId="5" applyFill="1" applyAlignment="1">
      <alignment horizontal="center" wrapText="1"/>
    </xf>
    <xf numFmtId="176" fontId="1" fillId="0" borderId="4" xfId="5" applyNumberFormat="1" applyFill="1" applyBorder="1"/>
    <xf numFmtId="44" fontId="1" fillId="0" borderId="4" xfId="5" applyNumberFormat="1" applyFill="1" applyBorder="1"/>
    <xf numFmtId="176" fontId="21" fillId="0" borderId="0" xfId="6" applyNumberFormat="1" applyFont="1" applyFill="1"/>
    <xf numFmtId="0" fontId="5" fillId="0" borderId="0" xfId="5" applyFont="1"/>
    <xf numFmtId="0" fontId="1" fillId="0" borderId="0" xfId="5" applyFont="1"/>
    <xf numFmtId="0" fontId="3" fillId="0" borderId="0" xfId="5" applyFont="1" applyFill="1" applyBorder="1" applyAlignment="1">
      <alignment horizontal="center"/>
    </xf>
    <xf numFmtId="0" fontId="27" fillId="0" borderId="0" xfId="5" applyFont="1"/>
    <xf numFmtId="10" fontId="0" fillId="0" borderId="0" xfId="3" applyNumberFormat="1" applyFont="1"/>
    <xf numFmtId="182" fontId="27" fillId="0" borderId="0" xfId="5" applyNumberFormat="1" applyFont="1"/>
    <xf numFmtId="182" fontId="1" fillId="0" borderId="0" xfId="5" applyNumberFormat="1"/>
    <xf numFmtId="44" fontId="27" fillId="0" borderId="0" xfId="2" applyFont="1" applyFill="1" applyBorder="1"/>
    <xf numFmtId="176" fontId="1" fillId="0" borderId="0" xfId="5" applyNumberFormat="1"/>
    <xf numFmtId="165" fontId="27" fillId="0" borderId="0" xfId="5" applyNumberFormat="1" applyFont="1" applyFill="1" applyBorder="1"/>
    <xf numFmtId="165" fontId="1" fillId="0" borderId="0" xfId="5" applyNumberFormat="1"/>
    <xf numFmtId="0" fontId="3" fillId="0" borderId="0" xfId="5" applyFont="1" applyFill="1" applyBorder="1"/>
    <xf numFmtId="44" fontId="3" fillId="0" borderId="0" xfId="5" applyNumberFormat="1" applyFont="1"/>
    <xf numFmtId="44" fontId="1" fillId="0" borderId="0" xfId="5" applyNumberFormat="1"/>
    <xf numFmtId="0" fontId="0" fillId="0" borderId="0" xfId="0" quotePrefix="1" applyFont="1" applyFill="1"/>
    <xf numFmtId="0" fontId="1" fillId="2" borderId="0" xfId="0" applyFont="1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175" fontId="1" fillId="2" borderId="4" xfId="2" applyNumberFormat="1" applyFont="1" applyFill="1" applyBorder="1" applyAlignment="1">
      <alignment horizontal="center"/>
    </xf>
    <xf numFmtId="0" fontId="0" fillId="2" borderId="1" xfId="0" applyFill="1" applyBorder="1" applyAlignment="1">
      <alignment horizontal="right"/>
    </xf>
    <xf numFmtId="4" fontId="0" fillId="0" borderId="0" xfId="0" applyNumberFormat="1" applyFill="1" applyAlignment="1">
      <alignment horizontal="center" wrapText="1"/>
    </xf>
    <xf numFmtId="4" fontId="0" fillId="0" borderId="0" xfId="0" applyNumberFormat="1" applyAlignment="1">
      <alignment horizontal="center" wrapText="1"/>
    </xf>
  </cellXfs>
  <cellStyles count="7">
    <cellStyle name="Comma" xfId="1" builtinId="3"/>
    <cellStyle name="Currency" xfId="2" builtinId="4"/>
    <cellStyle name="Currency 2 2 2" xfId="6" xr:uid="{00000000-0005-0000-0000-000002000000}"/>
    <cellStyle name="Hyperlink" xfId="4" builtinId="8"/>
    <cellStyle name="Normal" xfId="0" builtinId="0"/>
    <cellStyle name="Normal 2 4" xfId="5" xr:uid="{00000000-0005-0000-0000-000005000000}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file://C:\Users\cmtv0\AppData\Local\Microsoft\Windows\INetCache\Content.Outlook\AppData\Local\Microsoft\2018%20BGS-RSCP%20for%202019-2020\2019.01%20Compliance%20Filing\Pre%20Auction\2015%20BGS-RSCP%20for%202016-2017\2015-11%20Compliance%20Filing\2015%20BGS-RSCP%20for%202016-2017\2015-07%20Initial%20Filing\BGS-FP%20Initial%20Filing%20Supporting%20Documents\Table1&amp;2%20-%20OnPeak%25\Table%201%20-%20Time%20period%20usage%20for%202016-17%20Spreadsheet.xl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5">
    <pageSetUpPr fitToPage="1"/>
  </sheetPr>
  <dimension ref="A1:BD394"/>
  <sheetViews>
    <sheetView view="pageBreakPreview" topLeftCell="A37" zoomScaleNormal="70" zoomScaleSheetLayoutView="100" workbookViewId="0">
      <selection activeCell="C22" sqref="C22"/>
    </sheetView>
  </sheetViews>
  <sheetFormatPr defaultColWidth="9.08984375" defaultRowHeight="13" outlineLevelRow="1" x14ac:dyDescent="0.6"/>
  <cols>
    <col min="1" max="1" width="17.453125" style="6" customWidth="1"/>
    <col min="2" max="2" width="66.08984375" style="1" customWidth="1"/>
    <col min="3" max="3" width="12" style="1" bestFit="1" customWidth="1"/>
    <col min="4" max="5" width="13.31640625" style="1" customWidth="1"/>
    <col min="6" max="6" width="12.6796875" style="1" customWidth="1"/>
    <col min="7" max="8" width="10.6796875" style="1" customWidth="1"/>
    <col min="9" max="9" width="11" style="1" customWidth="1"/>
    <col min="10" max="10" width="10.6796875" style="1" customWidth="1"/>
    <col min="11" max="11" width="12.31640625" style="1" customWidth="1"/>
    <col min="12" max="12" width="12.453125" style="1" customWidth="1"/>
    <col min="13" max="14" width="13.31640625" style="1" customWidth="1"/>
    <col min="15" max="15" width="12.6796875" style="1" customWidth="1"/>
    <col min="16" max="16" width="25.86328125" style="1" customWidth="1"/>
    <col min="17" max="17" width="11.08984375" style="1" customWidth="1"/>
    <col min="18" max="18" width="10.86328125" style="1" bestFit="1" customWidth="1"/>
    <col min="19" max="19" width="9.08984375" style="1"/>
    <col min="20" max="20" width="10.08984375" style="1" bestFit="1" customWidth="1"/>
    <col min="21" max="21" width="14.453125" style="1" customWidth="1"/>
    <col min="22" max="22" width="11" style="1" bestFit="1" customWidth="1"/>
    <col min="23" max="23" width="10.6796875" style="1" customWidth="1"/>
    <col min="24" max="24" width="11.6796875" style="1" customWidth="1"/>
    <col min="25" max="25" width="11.31640625" style="1" bestFit="1" customWidth="1"/>
    <col min="26" max="26" width="10.08984375" style="1" customWidth="1"/>
    <col min="27" max="27" width="10.6796875" style="1" customWidth="1"/>
    <col min="28" max="28" width="12.86328125" style="1" bestFit="1" customWidth="1"/>
    <col min="29" max="29" width="9.08984375" style="1"/>
    <col min="30" max="30" width="17.54296875" style="1" customWidth="1"/>
    <col min="31" max="31" width="9.08984375" style="1"/>
    <col min="32" max="32" width="10.31640625" style="1" bestFit="1" customWidth="1"/>
    <col min="33" max="33" width="10.54296875" style="1" customWidth="1"/>
    <col min="34" max="16384" width="9.08984375" style="1"/>
  </cols>
  <sheetData>
    <row r="1" spans="1:24" x14ac:dyDescent="0.6">
      <c r="A1" s="1"/>
    </row>
    <row r="2" spans="1:24" x14ac:dyDescent="0.6">
      <c r="A2" s="2"/>
      <c r="B2" s="3"/>
      <c r="D2" s="4">
        <v>2022</v>
      </c>
      <c r="F2" s="5"/>
    </row>
    <row r="3" spans="1:24" x14ac:dyDescent="0.6">
      <c r="C3" s="3"/>
      <c r="D3" s="3"/>
      <c r="E3" s="3"/>
      <c r="F3" s="3"/>
      <c r="G3" s="3"/>
      <c r="H3" s="3"/>
      <c r="I3" s="3"/>
      <c r="J3" s="3"/>
      <c r="K3" s="3"/>
      <c r="L3" s="3"/>
    </row>
    <row r="4" spans="1:24" x14ac:dyDescent="0.6">
      <c r="A4" s="1"/>
    </row>
    <row r="5" spans="1:24" x14ac:dyDescent="0.6">
      <c r="A5" s="7"/>
      <c r="B5" s="457"/>
      <c r="C5" s="458"/>
      <c r="D5" s="458"/>
      <c r="E5" s="458"/>
      <c r="F5" s="458"/>
      <c r="G5" s="458"/>
      <c r="H5" s="458"/>
      <c r="I5" s="458"/>
      <c r="J5" s="458"/>
      <c r="K5" s="458"/>
      <c r="L5" s="458"/>
    </row>
    <row r="6" spans="1:24" x14ac:dyDescent="0.6">
      <c r="C6" s="3"/>
      <c r="D6" s="3"/>
      <c r="E6" s="3"/>
      <c r="F6" s="3"/>
      <c r="G6" s="3"/>
      <c r="H6" s="3"/>
      <c r="I6" s="3"/>
      <c r="J6" s="3"/>
      <c r="K6" s="3"/>
      <c r="L6" s="3"/>
    </row>
    <row r="7" spans="1:24" ht="15.5" x14ac:dyDescent="0.7">
      <c r="B7" s="8" t="str">
        <f>"Development of BGS-RSCP Cost and Bid Factors for "&amp;(Input!D2)&amp;"/"&amp;(Input!D2+1)&amp;" BGS Filing"</f>
        <v>Development of BGS-RSCP Cost and Bid Factors for 2022/2023 BGS Filing</v>
      </c>
      <c r="C7" s="5"/>
      <c r="D7" s="5"/>
      <c r="E7" s="5"/>
      <c r="F7" s="5"/>
      <c r="J7" s="8"/>
    </row>
    <row r="8" spans="1:24" x14ac:dyDescent="0.6">
      <c r="A8" s="9"/>
      <c r="B8" s="10" t="s">
        <v>0</v>
      </c>
      <c r="C8" s="5"/>
      <c r="D8" s="5"/>
      <c r="E8" s="5"/>
      <c r="F8" s="5"/>
    </row>
    <row r="9" spans="1:24" x14ac:dyDescent="0.6">
      <c r="B9" s="5"/>
      <c r="C9" s="5"/>
      <c r="D9" s="5"/>
      <c r="E9" s="11" t="str">
        <f>"Based on average of year "&amp;(Input!D2-4)&amp;","&amp;(Input!D2-3)&amp;" &amp; "&amp;(Input!D2-2)&amp;" Load Profile Information"</f>
        <v>Based on average of year 2018,2019 &amp; 2020 Load Profile Information</v>
      </c>
      <c r="F9" s="5"/>
    </row>
    <row r="10" spans="1:24" x14ac:dyDescent="0.6">
      <c r="A10" s="2" t="s">
        <v>1</v>
      </c>
      <c r="B10" s="12" t="s">
        <v>2</v>
      </c>
      <c r="C10" s="13"/>
      <c r="D10" s="5"/>
      <c r="E10" s="11" t="s">
        <v>3</v>
      </c>
      <c r="F10" s="5"/>
      <c r="N10" s="12"/>
      <c r="O10" s="12"/>
      <c r="P10" s="5"/>
      <c r="Q10" s="5"/>
      <c r="R10" s="5"/>
      <c r="S10" s="5"/>
      <c r="T10" s="5"/>
      <c r="U10" s="5"/>
      <c r="V10" s="5"/>
      <c r="W10" s="5"/>
      <c r="X10" s="5"/>
    </row>
    <row r="11" spans="1:24" ht="26" x14ac:dyDescent="0.6">
      <c r="A11" s="14"/>
      <c r="B11" s="15"/>
      <c r="C11" s="16" t="s">
        <v>4</v>
      </c>
      <c r="D11" s="16" t="s">
        <v>4</v>
      </c>
      <c r="E11" s="16" t="s">
        <v>4</v>
      </c>
      <c r="F11" s="16" t="s">
        <v>4</v>
      </c>
      <c r="G11" s="16" t="s">
        <v>4</v>
      </c>
      <c r="H11" s="16" t="s">
        <v>4</v>
      </c>
      <c r="I11" s="17" t="s">
        <v>5</v>
      </c>
      <c r="J11" s="18"/>
      <c r="K11" s="16" t="s">
        <v>4</v>
      </c>
      <c r="L11" s="16" t="s">
        <v>4</v>
      </c>
      <c r="M11" s="19"/>
      <c r="N11" s="11"/>
      <c r="O11" s="19"/>
      <c r="P11" s="19"/>
      <c r="Q11" s="19"/>
      <c r="R11" s="19"/>
      <c r="S11" s="19"/>
      <c r="T11" s="19"/>
      <c r="U11" s="11"/>
      <c r="V11" s="20"/>
      <c r="W11" s="19"/>
      <c r="X11" s="19"/>
    </row>
    <row r="12" spans="1:24" x14ac:dyDescent="0.6">
      <c r="A12" s="14"/>
      <c r="B12" s="21" t="s">
        <v>6</v>
      </c>
      <c r="C12" s="22" t="s">
        <v>7</v>
      </c>
      <c r="D12" s="22" t="s">
        <v>8</v>
      </c>
      <c r="E12" s="22" t="s">
        <v>9</v>
      </c>
      <c r="F12" s="22" t="s">
        <v>10</v>
      </c>
      <c r="G12" s="22" t="s">
        <v>11</v>
      </c>
      <c r="H12" s="22" t="s">
        <v>12</v>
      </c>
      <c r="I12" s="22" t="s">
        <v>13</v>
      </c>
      <c r="J12" s="22" t="s">
        <v>14</v>
      </c>
      <c r="K12" s="22" t="s">
        <v>15</v>
      </c>
      <c r="L12" s="22" t="s">
        <v>16</v>
      </c>
      <c r="M12" s="23"/>
      <c r="N12" s="24"/>
      <c r="O12" s="3"/>
      <c r="P12" s="3"/>
      <c r="Q12" s="3"/>
      <c r="R12" s="3"/>
      <c r="S12" s="3"/>
      <c r="T12" s="3"/>
      <c r="U12" s="3"/>
      <c r="V12" s="3"/>
      <c r="W12" s="3"/>
      <c r="X12" s="3"/>
    </row>
    <row r="13" spans="1:24" x14ac:dyDescent="0.6">
      <c r="A13" s="14"/>
      <c r="B13" s="25"/>
      <c r="C13" s="22"/>
      <c r="D13" s="22"/>
      <c r="E13" s="22"/>
      <c r="F13" s="22"/>
      <c r="G13" s="22"/>
      <c r="H13" s="22"/>
      <c r="I13" s="22"/>
      <c r="J13" s="22"/>
      <c r="K13" s="22"/>
      <c r="L13" s="22"/>
      <c r="O13" s="5"/>
      <c r="P13" s="5"/>
      <c r="Q13" s="5"/>
      <c r="R13" s="5"/>
      <c r="S13" s="5"/>
      <c r="T13" s="5"/>
      <c r="U13" s="5"/>
      <c r="V13" s="5"/>
      <c r="W13" s="5"/>
      <c r="X13" s="5"/>
    </row>
    <row r="14" spans="1:24" x14ac:dyDescent="0.6">
      <c r="A14" s="14"/>
      <c r="B14" s="26" t="s">
        <v>17</v>
      </c>
      <c r="C14" s="27">
        <v>0.49170000000000003</v>
      </c>
      <c r="D14" s="27">
        <v>0.48699999999999999</v>
      </c>
      <c r="E14" s="27">
        <v>0.48930000000000001</v>
      </c>
      <c r="F14" s="27">
        <v>0.49170000000000003</v>
      </c>
      <c r="G14" s="27">
        <v>0.49170000000000003</v>
      </c>
      <c r="H14" s="27">
        <v>0.49230000000000002</v>
      </c>
      <c r="I14" s="27">
        <v>0.314</v>
      </c>
      <c r="J14" s="27">
        <v>0.314</v>
      </c>
      <c r="K14" s="27">
        <v>0.55500000000000005</v>
      </c>
      <c r="L14" s="27">
        <v>0.5373</v>
      </c>
      <c r="M14" s="28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</row>
    <row r="15" spans="1:24" x14ac:dyDescent="0.6">
      <c r="A15" s="14"/>
      <c r="B15" s="26" t="s">
        <v>18</v>
      </c>
      <c r="C15" s="27">
        <v>0.48230000000000001</v>
      </c>
      <c r="D15" s="27">
        <v>0.46870000000000001</v>
      </c>
      <c r="E15" s="27">
        <v>0.47870000000000001</v>
      </c>
      <c r="F15" s="27">
        <v>0.48230000000000001</v>
      </c>
      <c r="G15" s="27">
        <v>0.48230000000000001</v>
      </c>
      <c r="H15" s="27">
        <v>0.47670000000000001</v>
      </c>
      <c r="I15" s="27">
        <v>0.29099999999999998</v>
      </c>
      <c r="J15" s="27">
        <v>0.29099999999999998</v>
      </c>
      <c r="K15" s="27">
        <v>0.54769999999999996</v>
      </c>
      <c r="L15" s="27">
        <v>0.53300000000000003</v>
      </c>
      <c r="M15" s="28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</row>
    <row r="16" spans="1:24" x14ac:dyDescent="0.6">
      <c r="A16" s="14"/>
      <c r="B16" s="26" t="s">
        <v>19</v>
      </c>
      <c r="C16" s="27">
        <v>0.48770000000000002</v>
      </c>
      <c r="D16" s="27">
        <v>0.47799999999999998</v>
      </c>
      <c r="E16" s="27">
        <v>0.48070000000000002</v>
      </c>
      <c r="F16" s="27">
        <v>0.48770000000000002</v>
      </c>
      <c r="G16" s="27">
        <v>0.48770000000000002</v>
      </c>
      <c r="H16" s="27">
        <v>0.49099999999999999</v>
      </c>
      <c r="I16" s="27">
        <v>0.24829999999999999</v>
      </c>
      <c r="J16" s="27">
        <v>0.24829999999999999</v>
      </c>
      <c r="K16" s="27">
        <v>0.54630000000000001</v>
      </c>
      <c r="L16" s="27">
        <v>0.53129999999999999</v>
      </c>
      <c r="M16" s="28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</row>
    <row r="17" spans="1:24" x14ac:dyDescent="0.6">
      <c r="A17" s="14"/>
      <c r="B17" s="26" t="s">
        <v>20</v>
      </c>
      <c r="C17" s="27">
        <v>0.504</v>
      </c>
      <c r="D17" s="27">
        <v>0.50729999999999997</v>
      </c>
      <c r="E17" s="27">
        <v>0.50129999999999997</v>
      </c>
      <c r="F17" s="27">
        <v>0.504</v>
      </c>
      <c r="G17" s="27">
        <v>0.504</v>
      </c>
      <c r="H17" s="27">
        <v>0.53029999999999999</v>
      </c>
      <c r="I17" s="27">
        <v>0.23</v>
      </c>
      <c r="J17" s="27">
        <v>0.23</v>
      </c>
      <c r="K17" s="27">
        <v>0.56630000000000003</v>
      </c>
      <c r="L17" s="27">
        <v>0.54900000000000004</v>
      </c>
      <c r="M17" s="28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</row>
    <row r="18" spans="1:24" x14ac:dyDescent="0.6">
      <c r="A18" s="14"/>
      <c r="B18" s="26" t="s">
        <v>21</v>
      </c>
      <c r="C18" s="27">
        <v>0.48770000000000002</v>
      </c>
      <c r="D18" s="27">
        <v>0.49769999999999998</v>
      </c>
      <c r="E18" s="27">
        <v>0.49930000000000002</v>
      </c>
      <c r="F18" s="27">
        <v>0.48770000000000002</v>
      </c>
      <c r="G18" s="27">
        <v>0.48770000000000002</v>
      </c>
      <c r="H18" s="27">
        <v>0.56769999999999998</v>
      </c>
      <c r="I18" s="27">
        <v>0.20830000000000001</v>
      </c>
      <c r="J18" s="27">
        <v>0.20830000000000001</v>
      </c>
      <c r="K18" s="27">
        <v>0.56069999999999998</v>
      </c>
      <c r="L18" s="27">
        <v>0.54169999999999996</v>
      </c>
      <c r="M18" s="28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</row>
    <row r="19" spans="1:24" x14ac:dyDescent="0.6">
      <c r="A19" s="14"/>
      <c r="B19" s="26" t="s">
        <v>22</v>
      </c>
      <c r="C19" s="27">
        <v>0.50700000000000001</v>
      </c>
      <c r="D19" s="27">
        <v>0.51500000000000001</v>
      </c>
      <c r="E19" s="27">
        <v>0.52569999999999995</v>
      </c>
      <c r="F19" s="27">
        <v>0.50700000000000001</v>
      </c>
      <c r="G19" s="27">
        <v>0.50700000000000001</v>
      </c>
      <c r="H19" s="27">
        <v>0.60670000000000002</v>
      </c>
      <c r="I19" s="27">
        <v>0.1973</v>
      </c>
      <c r="J19" s="27">
        <v>0.1973</v>
      </c>
      <c r="K19" s="27">
        <v>0.57269999999999999</v>
      </c>
      <c r="L19" s="27">
        <v>0.55330000000000001</v>
      </c>
      <c r="M19" s="28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</row>
    <row r="20" spans="1:24" x14ac:dyDescent="0.6">
      <c r="A20" s="14"/>
      <c r="B20" s="26" t="s">
        <v>23</v>
      </c>
      <c r="C20" s="27">
        <v>0.50970000000000004</v>
      </c>
      <c r="D20" s="27">
        <v>0.51900000000000002</v>
      </c>
      <c r="E20" s="27">
        <v>0.52869999999999995</v>
      </c>
      <c r="F20" s="27">
        <v>0.50970000000000004</v>
      </c>
      <c r="G20" s="27">
        <v>0.50970000000000004</v>
      </c>
      <c r="H20" s="27">
        <v>0.60870000000000002</v>
      </c>
      <c r="I20" s="27">
        <v>0.19800000000000001</v>
      </c>
      <c r="J20" s="27">
        <v>0.19800000000000001</v>
      </c>
      <c r="K20" s="27">
        <v>0.57899999999999996</v>
      </c>
      <c r="L20" s="27">
        <v>0.55269999999999997</v>
      </c>
      <c r="M20" s="28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</row>
    <row r="21" spans="1:24" x14ac:dyDescent="0.6">
      <c r="A21" s="14"/>
      <c r="B21" s="26" t="s">
        <v>24</v>
      </c>
      <c r="C21" s="27">
        <v>0.52300000000000002</v>
      </c>
      <c r="D21" s="27">
        <v>0.52929999999999999</v>
      </c>
      <c r="E21" s="27">
        <v>0.53569999999999995</v>
      </c>
      <c r="F21" s="27">
        <v>0.52300000000000002</v>
      </c>
      <c r="G21" s="27">
        <v>0.52300000000000002</v>
      </c>
      <c r="H21" s="27">
        <v>0.62170000000000003</v>
      </c>
      <c r="I21" s="27">
        <v>0.2157</v>
      </c>
      <c r="J21" s="27">
        <v>0.2157</v>
      </c>
      <c r="K21" s="27">
        <v>0.58330000000000004</v>
      </c>
      <c r="L21" s="27">
        <v>0.55269999999999997</v>
      </c>
      <c r="M21" s="28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</row>
    <row r="22" spans="1:24" x14ac:dyDescent="0.6">
      <c r="A22" s="14"/>
      <c r="B22" s="26" t="s">
        <v>25</v>
      </c>
      <c r="C22" s="27">
        <v>0.48370000000000002</v>
      </c>
      <c r="D22" s="27">
        <v>0.48970000000000002</v>
      </c>
      <c r="E22" s="27">
        <v>0.49299999999999999</v>
      </c>
      <c r="F22" s="27">
        <v>0.48370000000000002</v>
      </c>
      <c r="G22" s="27">
        <v>0.48370000000000002</v>
      </c>
      <c r="H22" s="27">
        <v>0.58599999999999997</v>
      </c>
      <c r="I22" s="27">
        <v>0.22600000000000001</v>
      </c>
      <c r="J22" s="27">
        <v>0.22600000000000001</v>
      </c>
      <c r="K22" s="27">
        <v>0.55469999999999997</v>
      </c>
      <c r="L22" s="27">
        <v>0.53200000000000003</v>
      </c>
      <c r="M22" s="28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</row>
    <row r="23" spans="1:24" x14ac:dyDescent="0.6">
      <c r="A23" s="14"/>
      <c r="B23" s="26" t="s">
        <v>26</v>
      </c>
      <c r="C23" s="27">
        <v>0.52229999999999999</v>
      </c>
      <c r="D23" s="27">
        <v>0.52270000000000005</v>
      </c>
      <c r="E23" s="27">
        <v>0.52270000000000005</v>
      </c>
      <c r="F23" s="27">
        <v>0.52229999999999999</v>
      </c>
      <c r="G23" s="27">
        <v>0.52229999999999999</v>
      </c>
      <c r="H23" s="27">
        <v>0.59130000000000005</v>
      </c>
      <c r="I23" s="27">
        <v>0.27729999999999999</v>
      </c>
      <c r="J23" s="27">
        <v>0.27729999999999999</v>
      </c>
      <c r="K23" s="27">
        <v>0.59</v>
      </c>
      <c r="L23" s="27">
        <v>0.57130000000000003</v>
      </c>
      <c r="M23" s="28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</row>
    <row r="24" spans="1:24" x14ac:dyDescent="0.6">
      <c r="A24" s="14"/>
      <c r="B24" s="26" t="s">
        <v>27</v>
      </c>
      <c r="C24" s="27">
        <v>0.47299999999999998</v>
      </c>
      <c r="D24" s="27">
        <v>0.46429999999999999</v>
      </c>
      <c r="E24" s="27">
        <v>0.46629999999999999</v>
      </c>
      <c r="F24" s="27">
        <v>0.47299999999999998</v>
      </c>
      <c r="G24" s="27">
        <v>0.47299999999999998</v>
      </c>
      <c r="H24" s="27">
        <v>0.49230000000000002</v>
      </c>
      <c r="I24" s="27">
        <v>0.30299999999999999</v>
      </c>
      <c r="J24" s="27">
        <v>0.30299999999999999</v>
      </c>
      <c r="K24" s="27">
        <v>0.5363</v>
      </c>
      <c r="L24" s="27">
        <v>0.51929999999999998</v>
      </c>
      <c r="M24" s="28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</row>
    <row r="25" spans="1:24" x14ac:dyDescent="0.6">
      <c r="A25" s="14"/>
      <c r="B25" s="26" t="s">
        <v>28</v>
      </c>
      <c r="C25" s="27">
        <v>0.4773</v>
      </c>
      <c r="D25" s="27">
        <v>0.46600000000000003</v>
      </c>
      <c r="E25" s="27">
        <v>0.47599999999999998</v>
      </c>
      <c r="F25" s="27">
        <v>0.4773</v>
      </c>
      <c r="G25" s="27">
        <v>0.4773</v>
      </c>
      <c r="H25" s="27">
        <v>0.48070000000000002</v>
      </c>
      <c r="I25" s="27">
        <v>0.30830000000000002</v>
      </c>
      <c r="J25" s="27">
        <v>0.30830000000000002</v>
      </c>
      <c r="K25" s="27">
        <v>0.52800000000000002</v>
      </c>
      <c r="L25" s="27">
        <v>0.51100000000000001</v>
      </c>
      <c r="M25" s="28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</row>
    <row r="26" spans="1:24" x14ac:dyDescent="0.6">
      <c r="A26" s="14"/>
      <c r="B26" s="30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</row>
    <row r="27" spans="1:24" x14ac:dyDescent="0.6">
      <c r="A27" s="14"/>
      <c r="B27" s="30"/>
      <c r="C27" s="31"/>
      <c r="D27" s="31"/>
      <c r="E27" s="11" t="str">
        <f>E9</f>
        <v>Based on average of year 2018,2019 &amp; 2020 Load Profile Information</v>
      </c>
      <c r="K27" s="31"/>
      <c r="L27" s="31"/>
      <c r="M27" s="31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</row>
    <row r="28" spans="1:24" x14ac:dyDescent="0.6">
      <c r="A28" s="2" t="s">
        <v>29</v>
      </c>
      <c r="B28" s="12" t="s">
        <v>30</v>
      </c>
      <c r="C28" s="31"/>
      <c r="D28" s="31"/>
      <c r="E28" s="32" t="str">
        <f>"On-Peak periods as defined in specified rate schedule (average of %s for "&amp;(Input!D2-4)&amp;", "&amp;(Input!D2-3)&amp;" &amp; "&amp;(Input!D2-2)&amp;")"</f>
        <v>On-Peak periods as defined in specified rate schedule (average of %s for 2018, 2019 &amp; 2020)</v>
      </c>
      <c r="G28" s="31"/>
      <c r="H28" s="31"/>
      <c r="I28" s="33"/>
      <c r="J28" s="33"/>
      <c r="K28" s="31"/>
      <c r="L28" s="31"/>
      <c r="M28" s="31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</row>
    <row r="29" spans="1:24" ht="26" x14ac:dyDescent="0.6">
      <c r="A29" s="14"/>
      <c r="B29" s="25"/>
      <c r="C29" s="16" t="s">
        <v>4</v>
      </c>
      <c r="D29" s="16" t="s">
        <v>4</v>
      </c>
      <c r="E29" s="19"/>
      <c r="F29" s="11"/>
      <c r="G29" s="19"/>
      <c r="H29" s="19"/>
      <c r="I29" s="19"/>
      <c r="J29" s="19"/>
      <c r="K29" s="19"/>
      <c r="L29" s="19"/>
      <c r="M29" s="19"/>
      <c r="N29" s="29"/>
      <c r="O29" s="29"/>
      <c r="P29" s="29"/>
      <c r="Q29" s="29"/>
      <c r="R29" s="29"/>
      <c r="S29" s="29"/>
      <c r="T29" s="29"/>
      <c r="U29" s="29"/>
      <c r="V29" s="29"/>
      <c r="W29" s="29"/>
    </row>
    <row r="30" spans="1:24" x14ac:dyDescent="0.6">
      <c r="A30" s="14"/>
      <c r="B30" s="21" t="s">
        <v>6</v>
      </c>
      <c r="C30" s="22" t="s">
        <v>9</v>
      </c>
      <c r="D30" s="22" t="s">
        <v>16</v>
      </c>
      <c r="E30" s="3"/>
      <c r="F30" s="24"/>
      <c r="G30" s="3"/>
      <c r="H30" s="3"/>
      <c r="I30" s="3"/>
      <c r="J30" s="3"/>
      <c r="K30" s="3"/>
      <c r="L30" s="3"/>
      <c r="M30" s="3"/>
      <c r="N30" s="29"/>
      <c r="O30" s="29"/>
      <c r="P30" s="29"/>
      <c r="Q30" s="29"/>
      <c r="R30" s="29"/>
      <c r="S30" s="29"/>
      <c r="T30" s="29"/>
      <c r="U30" s="29"/>
      <c r="V30" s="29"/>
      <c r="W30" s="29"/>
    </row>
    <row r="31" spans="1:24" x14ac:dyDescent="0.6">
      <c r="A31" s="14"/>
      <c r="B31" s="25"/>
      <c r="C31" s="25"/>
      <c r="D31" s="25"/>
      <c r="G31" s="5"/>
      <c r="H31" s="5"/>
      <c r="I31" s="5"/>
      <c r="J31" s="5"/>
      <c r="K31" s="5"/>
      <c r="L31" s="5"/>
      <c r="M31" s="5"/>
      <c r="N31" s="29"/>
      <c r="O31" s="29"/>
      <c r="P31" s="29"/>
      <c r="Q31" s="29"/>
      <c r="R31" s="29"/>
      <c r="S31" s="29"/>
      <c r="T31" s="29"/>
      <c r="U31" s="29"/>
      <c r="V31" s="29"/>
      <c r="W31" s="29"/>
    </row>
    <row r="32" spans="1:24" x14ac:dyDescent="0.6">
      <c r="A32" s="14"/>
      <c r="B32" s="26" t="s">
        <v>17</v>
      </c>
      <c r="C32" s="27">
        <v>0.42520000000000002</v>
      </c>
      <c r="D32" s="34">
        <v>0.4703</v>
      </c>
      <c r="E32" s="28"/>
      <c r="F32" s="31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</row>
    <row r="33" spans="1:32" x14ac:dyDescent="0.6">
      <c r="A33" s="14"/>
      <c r="B33" s="26" t="s">
        <v>18</v>
      </c>
      <c r="C33" s="27">
        <v>0.41510000000000002</v>
      </c>
      <c r="D33" s="34">
        <v>0.47770000000000001</v>
      </c>
      <c r="E33" s="28"/>
      <c r="F33" s="31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</row>
    <row r="34" spans="1:32" x14ac:dyDescent="0.6">
      <c r="A34" s="14"/>
      <c r="B34" s="26" t="s">
        <v>19</v>
      </c>
      <c r="C34" s="27">
        <v>0.41599999999999998</v>
      </c>
      <c r="D34" s="34">
        <v>0.4753</v>
      </c>
      <c r="E34" s="28"/>
      <c r="F34" s="31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</row>
    <row r="35" spans="1:32" x14ac:dyDescent="0.6">
      <c r="A35" s="14"/>
      <c r="B35" s="26" t="s">
        <v>20</v>
      </c>
      <c r="C35" s="27">
        <v>0.42380000000000001</v>
      </c>
      <c r="D35" s="34">
        <v>0.4748</v>
      </c>
      <c r="E35" s="28"/>
      <c r="F35" s="31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</row>
    <row r="36" spans="1:32" x14ac:dyDescent="0.6">
      <c r="A36" s="14"/>
      <c r="B36" s="26" t="s">
        <v>21</v>
      </c>
      <c r="C36" s="27">
        <v>0.4405</v>
      </c>
      <c r="D36" s="34">
        <v>0.48499999999999999</v>
      </c>
      <c r="E36" s="28"/>
      <c r="F36" s="35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</row>
    <row r="37" spans="1:32" x14ac:dyDescent="0.6">
      <c r="A37" s="14"/>
      <c r="B37" s="26" t="s">
        <v>22</v>
      </c>
      <c r="C37" s="27">
        <v>0.4597</v>
      </c>
      <c r="D37" s="27">
        <v>0.49509999999999998</v>
      </c>
      <c r="E37" s="28"/>
      <c r="F37" s="35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</row>
    <row r="38" spans="1:32" x14ac:dyDescent="0.6">
      <c r="A38" s="14"/>
      <c r="B38" s="26" t="s">
        <v>23</v>
      </c>
      <c r="C38" s="27">
        <v>0.48149999999999998</v>
      </c>
      <c r="D38" s="27">
        <v>0.49480000000000002</v>
      </c>
      <c r="E38" s="28"/>
      <c r="F38" s="35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</row>
    <row r="39" spans="1:32" x14ac:dyDescent="0.6">
      <c r="A39" s="14"/>
      <c r="B39" s="26" t="s">
        <v>24</v>
      </c>
      <c r="C39" s="27">
        <v>0.48089999999999999</v>
      </c>
      <c r="D39" s="34">
        <v>0.49249999999999999</v>
      </c>
      <c r="E39" s="28"/>
      <c r="F39" s="35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</row>
    <row r="40" spans="1:32" x14ac:dyDescent="0.6">
      <c r="A40" s="14"/>
      <c r="B40" s="26" t="s">
        <v>25</v>
      </c>
      <c r="C40" s="27">
        <v>0.48949999999999999</v>
      </c>
      <c r="D40" s="34">
        <v>0.49690000000000001</v>
      </c>
      <c r="E40" s="28"/>
      <c r="F40" s="35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</row>
    <row r="41" spans="1:32" x14ac:dyDescent="0.6">
      <c r="A41" s="14"/>
      <c r="B41" s="26" t="s">
        <v>26</v>
      </c>
      <c r="C41" s="27">
        <v>0.45569999999999999</v>
      </c>
      <c r="D41" s="34">
        <v>0.49809999999999999</v>
      </c>
      <c r="E41" s="28"/>
      <c r="F41" s="35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</row>
    <row r="42" spans="1:32" x14ac:dyDescent="0.6">
      <c r="A42" s="14"/>
      <c r="B42" s="26" t="s">
        <v>27</v>
      </c>
      <c r="C42" s="27">
        <v>0.42949999999999999</v>
      </c>
      <c r="D42" s="34">
        <v>0.4899</v>
      </c>
      <c r="E42" s="28"/>
      <c r="F42" s="35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</row>
    <row r="43" spans="1:32" x14ac:dyDescent="0.6">
      <c r="A43" s="14"/>
      <c r="B43" s="26" t="s">
        <v>28</v>
      </c>
      <c r="C43" s="27">
        <v>0.42749999999999999</v>
      </c>
      <c r="D43" s="34">
        <v>0.47549999999999998</v>
      </c>
      <c r="E43" s="28"/>
      <c r="F43" s="35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</row>
    <row r="44" spans="1:32" x14ac:dyDescent="0.6">
      <c r="A44" s="14"/>
      <c r="B44" s="30"/>
      <c r="C44" s="31"/>
      <c r="D44" s="31"/>
      <c r="E44" s="31"/>
      <c r="F44" s="31"/>
      <c r="G44" s="31"/>
      <c r="H44" s="31"/>
      <c r="I44" s="33"/>
      <c r="J44" s="33"/>
      <c r="K44" s="31"/>
      <c r="L44" s="31"/>
      <c r="M44" s="31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</row>
    <row r="45" spans="1:32" x14ac:dyDescent="0.6">
      <c r="A45" s="14"/>
      <c r="B45" s="30"/>
      <c r="C45" s="31"/>
      <c r="D45" s="31"/>
      <c r="E45" s="31"/>
      <c r="F45" s="31"/>
      <c r="G45" s="31"/>
      <c r="H45" s="31"/>
      <c r="I45" s="33"/>
      <c r="J45" s="33"/>
      <c r="K45" s="31"/>
      <c r="L45" s="31"/>
      <c r="M45" s="31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</row>
    <row r="46" spans="1:32" x14ac:dyDescent="0.6">
      <c r="A46" s="2" t="s">
        <v>31</v>
      </c>
      <c r="B46" s="36" t="s">
        <v>32</v>
      </c>
      <c r="C46" s="3"/>
      <c r="D46" s="3"/>
      <c r="E46" s="3"/>
      <c r="F46" s="3"/>
      <c r="G46" s="3"/>
      <c r="H46" s="3"/>
      <c r="I46" s="3"/>
      <c r="J46" s="3"/>
      <c r="K46" s="3"/>
      <c r="L46" s="3"/>
      <c r="N46" s="29"/>
      <c r="O46" s="29"/>
      <c r="P46" s="29"/>
      <c r="Q46" s="29"/>
      <c r="R46" s="29"/>
      <c r="S46" s="29"/>
      <c r="T46" s="29"/>
      <c r="U46" s="29"/>
      <c r="V46" s="29"/>
      <c r="W46" s="29"/>
    </row>
    <row r="47" spans="1:32" x14ac:dyDescent="0.6">
      <c r="A47" s="14"/>
      <c r="B47" s="37" t="str">
        <f>"Calendar month sales forecasted for "&amp;(Input!D2-1)&amp;", less % for LPL-Sec &gt; 500 kW Peak Load Share"</f>
        <v>Calendar month sales forecasted for 2021, less % for LPL-Sec &gt; 500 kW Peak Load Share</v>
      </c>
      <c r="G47" s="38"/>
      <c r="L47" s="3"/>
      <c r="N47" s="29"/>
      <c r="O47" s="29"/>
      <c r="P47" s="29"/>
      <c r="Q47" s="29"/>
      <c r="R47" s="29"/>
      <c r="S47" s="29"/>
      <c r="T47" s="29"/>
      <c r="U47" s="29"/>
      <c r="V47" s="29"/>
      <c r="W47" s="29"/>
      <c r="AB47" s="39"/>
    </row>
    <row r="48" spans="1:32" x14ac:dyDescent="0.6">
      <c r="A48" s="14"/>
      <c r="B48" s="17" t="s">
        <v>33</v>
      </c>
      <c r="C48" s="22" t="s">
        <v>7</v>
      </c>
      <c r="D48" s="22" t="s">
        <v>8</v>
      </c>
      <c r="E48" s="22" t="s">
        <v>9</v>
      </c>
      <c r="F48" s="22" t="s">
        <v>10</v>
      </c>
      <c r="G48" s="22" t="s">
        <v>11</v>
      </c>
      <c r="H48" s="22" t="s">
        <v>12</v>
      </c>
      <c r="I48" s="22" t="s">
        <v>13</v>
      </c>
      <c r="J48" s="22" t="s">
        <v>14</v>
      </c>
      <c r="K48" s="22" t="s">
        <v>15</v>
      </c>
      <c r="L48" s="22" t="s">
        <v>16</v>
      </c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3"/>
      <c r="Y48" s="3"/>
      <c r="Z48" s="3"/>
      <c r="AB48" s="39"/>
      <c r="AF48" s="39"/>
    </row>
    <row r="49" spans="1:32" x14ac:dyDescent="0.6">
      <c r="A49" s="14"/>
      <c r="B49" s="25"/>
      <c r="C49" s="22"/>
      <c r="D49" s="22"/>
      <c r="E49" s="22"/>
      <c r="F49" s="22"/>
      <c r="G49" s="22"/>
      <c r="H49" s="22"/>
      <c r="I49" s="22"/>
      <c r="J49" s="22"/>
      <c r="K49" s="22"/>
      <c r="L49" s="22"/>
      <c r="N49" s="29"/>
      <c r="O49" s="29"/>
      <c r="P49" s="29"/>
      <c r="Q49" s="29"/>
      <c r="R49" s="29"/>
      <c r="S49" s="29"/>
      <c r="T49" s="29"/>
      <c r="U49" s="29"/>
      <c r="V49" s="29"/>
      <c r="W49" s="29"/>
      <c r="Y49" s="40"/>
      <c r="AB49" s="39"/>
      <c r="AF49" s="39"/>
    </row>
    <row r="50" spans="1:32" x14ac:dyDescent="0.6">
      <c r="A50" s="14"/>
      <c r="B50" s="26" t="s">
        <v>17</v>
      </c>
      <c r="C50" s="41">
        <v>1158782.9408249238</v>
      </c>
      <c r="D50" s="41">
        <v>13581.145419587001</v>
      </c>
      <c r="E50" s="41">
        <v>13959.307427872749</v>
      </c>
      <c r="F50" s="41">
        <v>83</v>
      </c>
      <c r="G50" s="41">
        <v>2</v>
      </c>
      <c r="H50" s="41">
        <v>1504.1042452061643</v>
      </c>
      <c r="I50" s="41">
        <v>15729</v>
      </c>
      <c r="J50" s="41">
        <v>32396</v>
      </c>
      <c r="K50" s="41">
        <v>545909.97467966552</v>
      </c>
      <c r="L50" s="41">
        <v>575623.03838755714</v>
      </c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42"/>
      <c r="Y50" s="40"/>
      <c r="Z50" s="43"/>
      <c r="AB50" s="44"/>
      <c r="AF50" s="45"/>
    </row>
    <row r="51" spans="1:32" x14ac:dyDescent="0.6">
      <c r="A51" s="14"/>
      <c r="B51" s="26" t="s">
        <v>18</v>
      </c>
      <c r="C51" s="41">
        <v>968636.16641473677</v>
      </c>
      <c r="D51" s="41">
        <v>11629.520323348841</v>
      </c>
      <c r="E51" s="41">
        <v>11728.526775786637</v>
      </c>
      <c r="F51" s="41">
        <v>80</v>
      </c>
      <c r="G51" s="41">
        <v>2</v>
      </c>
      <c r="H51" s="41">
        <v>1297.2794020978824</v>
      </c>
      <c r="I51" s="41">
        <v>12919</v>
      </c>
      <c r="J51" s="41">
        <v>27002</v>
      </c>
      <c r="K51" s="41">
        <v>502749.34791265213</v>
      </c>
      <c r="L51" s="41">
        <v>525211.62490493548</v>
      </c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42"/>
      <c r="Y51" s="40"/>
      <c r="Z51" s="43"/>
      <c r="AB51" s="44"/>
      <c r="AD51" s="46"/>
    </row>
    <row r="52" spans="1:32" x14ac:dyDescent="0.6">
      <c r="A52" s="14"/>
      <c r="B52" s="26" t="s">
        <v>19</v>
      </c>
      <c r="C52" s="41">
        <v>927889.04863921273</v>
      </c>
      <c r="D52" s="41">
        <v>9396.6060230466355</v>
      </c>
      <c r="E52" s="41">
        <v>11682.444038875919</v>
      </c>
      <c r="F52" s="41">
        <v>89</v>
      </c>
      <c r="G52" s="41">
        <v>1</v>
      </c>
      <c r="H52" s="41">
        <v>1045.0539836731482</v>
      </c>
      <c r="I52" s="41">
        <v>12905</v>
      </c>
      <c r="J52" s="41">
        <v>27387</v>
      </c>
      <c r="K52" s="41">
        <v>530255.17994208238</v>
      </c>
      <c r="L52" s="41">
        <v>557671.20184891601</v>
      </c>
      <c r="M52" s="47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42"/>
      <c r="Y52" s="40"/>
      <c r="Z52" s="48"/>
      <c r="AB52" s="44"/>
    </row>
    <row r="53" spans="1:32" x14ac:dyDescent="0.6">
      <c r="A53" s="14"/>
      <c r="B53" s="26" t="s">
        <v>20</v>
      </c>
      <c r="C53" s="41">
        <v>768432.33583040151</v>
      </c>
      <c r="D53" s="41">
        <v>5786.2445894411239</v>
      </c>
      <c r="E53" s="41">
        <v>9646.3394386371201</v>
      </c>
      <c r="F53" s="41">
        <v>74</v>
      </c>
      <c r="G53" s="41">
        <v>2</v>
      </c>
      <c r="H53" s="41">
        <v>696.98290624701519</v>
      </c>
      <c r="I53" s="41">
        <v>10619</v>
      </c>
      <c r="J53" s="41">
        <v>23671</v>
      </c>
      <c r="K53" s="41">
        <v>465334.98321957642</v>
      </c>
      <c r="L53" s="41">
        <v>486144.46033947472</v>
      </c>
      <c r="M53" s="47"/>
      <c r="N53" s="29"/>
      <c r="O53" s="29"/>
      <c r="P53" s="29"/>
      <c r="Q53" s="29"/>
      <c r="R53" s="29"/>
      <c r="S53" s="29"/>
      <c r="T53" s="29"/>
      <c r="U53" s="29"/>
      <c r="V53" s="29"/>
      <c r="W53" s="29"/>
      <c r="Y53" s="40"/>
      <c r="AB53" s="44"/>
    </row>
    <row r="54" spans="1:32" x14ac:dyDescent="0.6">
      <c r="A54" s="14"/>
      <c r="B54" s="26" t="s">
        <v>21</v>
      </c>
      <c r="C54" s="41">
        <v>921193.68524272228</v>
      </c>
      <c r="D54" s="41">
        <v>4420.39701094458</v>
      </c>
      <c r="E54" s="41">
        <v>12618.20573736904</v>
      </c>
      <c r="F54" s="41">
        <v>94</v>
      </c>
      <c r="G54" s="41">
        <v>1</v>
      </c>
      <c r="H54" s="41">
        <v>348.07107742613306</v>
      </c>
      <c r="I54" s="41">
        <v>10441</v>
      </c>
      <c r="J54" s="41">
        <v>22013</v>
      </c>
      <c r="K54" s="41">
        <v>509010.76321916585</v>
      </c>
      <c r="L54" s="41">
        <v>578070.95372692402</v>
      </c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42"/>
      <c r="Y54" s="40"/>
      <c r="Z54" s="48"/>
      <c r="AB54" s="44"/>
    </row>
    <row r="55" spans="1:32" x14ac:dyDescent="0.6">
      <c r="A55" s="14"/>
      <c r="B55" s="26" t="s">
        <v>22</v>
      </c>
      <c r="C55" s="41">
        <v>1231483.0499116252</v>
      </c>
      <c r="D55" s="41">
        <v>5157.9353707413693</v>
      </c>
      <c r="E55" s="41">
        <v>17644.045452692895</v>
      </c>
      <c r="F55" s="41">
        <v>66</v>
      </c>
      <c r="G55" s="41">
        <v>1</v>
      </c>
      <c r="H55" s="41">
        <v>469.98002966475451</v>
      </c>
      <c r="I55" s="41">
        <v>8686</v>
      </c>
      <c r="J55" s="41">
        <v>18965</v>
      </c>
      <c r="K55" s="41">
        <v>529954.46447786316</v>
      </c>
      <c r="L55" s="41">
        <v>573279.40643708722</v>
      </c>
      <c r="M55" s="47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42"/>
      <c r="Y55" s="40"/>
      <c r="Z55" s="43"/>
      <c r="AB55" s="44"/>
    </row>
    <row r="56" spans="1:32" x14ac:dyDescent="0.6">
      <c r="A56" s="14"/>
      <c r="B56" s="26" t="s">
        <v>23</v>
      </c>
      <c r="C56" s="41">
        <v>1634450.390346756</v>
      </c>
      <c r="D56" s="41">
        <v>5632.5504882514915</v>
      </c>
      <c r="E56" s="41">
        <v>23239.806363279895</v>
      </c>
      <c r="F56" s="41">
        <v>51</v>
      </c>
      <c r="G56" s="41">
        <v>1</v>
      </c>
      <c r="H56" s="41">
        <v>517.06210777070487</v>
      </c>
      <c r="I56" s="41">
        <v>9402</v>
      </c>
      <c r="J56" s="41">
        <v>16483</v>
      </c>
      <c r="K56" s="41">
        <v>608058.39571665262</v>
      </c>
      <c r="L56" s="41">
        <v>614890.53683168814</v>
      </c>
      <c r="M56" s="47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42"/>
      <c r="Y56" s="40"/>
      <c r="Z56" s="48"/>
      <c r="AB56" s="44"/>
    </row>
    <row r="57" spans="1:32" x14ac:dyDescent="0.6">
      <c r="A57" s="14"/>
      <c r="B57" s="26" t="s">
        <v>24</v>
      </c>
      <c r="C57" s="41">
        <v>1648641.1980882569</v>
      </c>
      <c r="D57" s="41">
        <v>5820.0766242941872</v>
      </c>
      <c r="E57" s="41">
        <v>22115.011397050977</v>
      </c>
      <c r="F57" s="41">
        <v>58</v>
      </c>
      <c r="G57" s="41">
        <v>1</v>
      </c>
      <c r="H57" s="41">
        <v>615.4300209563512</v>
      </c>
      <c r="I57" s="41">
        <v>10382</v>
      </c>
      <c r="J57" s="41">
        <v>19112</v>
      </c>
      <c r="K57" s="41">
        <v>639486.0934939218</v>
      </c>
      <c r="L57" s="41">
        <v>662645.46819714934</v>
      </c>
      <c r="M57" s="47"/>
      <c r="N57" s="29"/>
      <c r="O57" s="29"/>
      <c r="P57" s="29"/>
      <c r="Q57" s="29"/>
      <c r="R57" s="29"/>
      <c r="S57" s="29"/>
      <c r="T57" s="29"/>
      <c r="U57" s="29"/>
      <c r="V57" s="29"/>
      <c r="W57" s="29"/>
      <c r="AB57" s="44"/>
    </row>
    <row r="58" spans="1:32" x14ac:dyDescent="0.6">
      <c r="A58" s="14"/>
      <c r="B58" s="26" t="s">
        <v>25</v>
      </c>
      <c r="C58" s="41">
        <v>1054299.9059426729</v>
      </c>
      <c r="D58" s="41">
        <v>4477.4281554111731</v>
      </c>
      <c r="E58" s="41">
        <v>14453.99150164901</v>
      </c>
      <c r="F58" s="41">
        <v>61</v>
      </c>
      <c r="G58" s="41">
        <v>1</v>
      </c>
      <c r="H58" s="41">
        <v>432.1462169010444</v>
      </c>
      <c r="I58" s="41">
        <v>11378</v>
      </c>
      <c r="J58" s="41">
        <v>23342</v>
      </c>
      <c r="K58" s="41">
        <v>534120.08565770159</v>
      </c>
      <c r="L58" s="41">
        <v>555734.41233012883</v>
      </c>
      <c r="M58" s="47"/>
      <c r="N58" s="29"/>
      <c r="O58" s="29"/>
      <c r="P58" s="29"/>
      <c r="Q58" s="29"/>
      <c r="R58" s="29"/>
      <c r="S58" s="29"/>
      <c r="T58" s="29"/>
      <c r="U58" s="29"/>
      <c r="V58" s="29"/>
      <c r="W58" s="29"/>
      <c r="AB58" s="44"/>
    </row>
    <row r="59" spans="1:32" x14ac:dyDescent="0.6">
      <c r="A59" s="14"/>
      <c r="B59" s="26" t="s">
        <v>26</v>
      </c>
      <c r="C59" s="41">
        <v>822041.62450658728</v>
      </c>
      <c r="D59" s="41">
        <v>4946.2434955179133</v>
      </c>
      <c r="E59" s="41">
        <v>9887.0982273951486</v>
      </c>
      <c r="F59" s="41">
        <v>29</v>
      </c>
      <c r="G59" s="41">
        <v>0</v>
      </c>
      <c r="H59" s="41">
        <v>469.98002966475451</v>
      </c>
      <c r="I59" s="41">
        <v>13237</v>
      </c>
      <c r="J59" s="41">
        <v>25275</v>
      </c>
      <c r="K59" s="41">
        <v>493453.97324290196</v>
      </c>
      <c r="L59" s="41">
        <v>548223.95010477898</v>
      </c>
      <c r="M59" s="47"/>
      <c r="N59" s="29"/>
      <c r="O59" s="29"/>
      <c r="P59" s="29"/>
      <c r="Q59" s="29"/>
      <c r="R59" s="29"/>
      <c r="S59" s="29"/>
      <c r="T59" s="29"/>
      <c r="U59" s="29"/>
      <c r="V59" s="29"/>
      <c r="W59" s="29"/>
      <c r="AB59" s="44"/>
    </row>
    <row r="60" spans="1:32" x14ac:dyDescent="0.6">
      <c r="A60" s="14"/>
      <c r="B60" s="26" t="s">
        <v>27</v>
      </c>
      <c r="C60" s="41">
        <v>817903.04153254069</v>
      </c>
      <c r="D60" s="41">
        <v>7127.9264287569067</v>
      </c>
      <c r="E60" s="41">
        <v>9473.2940592172872</v>
      </c>
      <c r="F60" s="41">
        <v>67</v>
      </c>
      <c r="G60" s="41">
        <v>1</v>
      </c>
      <c r="H60" s="41">
        <v>655.7860879043086</v>
      </c>
      <c r="I60" s="41">
        <v>14087</v>
      </c>
      <c r="J60" s="41">
        <v>24078</v>
      </c>
      <c r="K60" s="41">
        <v>451146.07166412013</v>
      </c>
      <c r="L60" s="41">
        <v>509232.93985620991</v>
      </c>
      <c r="M60" s="47"/>
      <c r="N60" s="29"/>
      <c r="O60" s="29"/>
      <c r="P60" s="29"/>
      <c r="Q60" s="29"/>
      <c r="R60" s="29"/>
      <c r="S60" s="29"/>
      <c r="T60" s="29"/>
      <c r="U60" s="29"/>
      <c r="V60" s="29"/>
      <c r="W60" s="29"/>
      <c r="AB60" s="44"/>
    </row>
    <row r="61" spans="1:32" x14ac:dyDescent="0.6">
      <c r="A61" s="14"/>
      <c r="B61" s="26" t="s">
        <v>28</v>
      </c>
      <c r="C61" s="41">
        <v>1057090.5264491045</v>
      </c>
      <c r="D61" s="41">
        <v>11054.375730846758</v>
      </c>
      <c r="E61" s="41">
        <v>12486.540774766992</v>
      </c>
      <c r="F61" s="41">
        <v>82</v>
      </c>
      <c r="G61" s="41">
        <v>1</v>
      </c>
      <c r="H61" s="41">
        <v>1201.4337430964833</v>
      </c>
      <c r="I61" s="41">
        <v>15300</v>
      </c>
      <c r="J61" s="41">
        <v>32133</v>
      </c>
      <c r="K61" s="41">
        <v>516690.31579844584</v>
      </c>
      <c r="L61" s="41">
        <v>561741.68439052568</v>
      </c>
      <c r="M61" s="47"/>
      <c r="N61" s="29"/>
      <c r="O61" s="29"/>
      <c r="P61" s="29"/>
      <c r="Q61" s="29"/>
      <c r="R61" s="29"/>
      <c r="S61" s="29"/>
      <c r="T61" s="29"/>
      <c r="U61" s="29"/>
      <c r="V61" s="29"/>
      <c r="W61" s="29"/>
      <c r="AB61" s="44"/>
    </row>
    <row r="62" spans="1:32" x14ac:dyDescent="0.6">
      <c r="A62" s="14"/>
      <c r="B62" s="49"/>
      <c r="C62" s="42">
        <f>SUM(C50:C61)</f>
        <v>13010843.913729541</v>
      </c>
      <c r="D62" s="42">
        <f t="shared" ref="D62:L62" si="0">SUM(D50:D61)</f>
        <v>89030.449660187995</v>
      </c>
      <c r="E62" s="42">
        <f t="shared" si="0"/>
        <v>168934.61119459369</v>
      </c>
      <c r="F62" s="42">
        <f t="shared" si="0"/>
        <v>834</v>
      </c>
      <c r="G62" s="42">
        <f t="shared" si="0"/>
        <v>14</v>
      </c>
      <c r="H62" s="42">
        <f t="shared" si="0"/>
        <v>9253.3098506087445</v>
      </c>
      <c r="I62" s="42">
        <f t="shared" si="0"/>
        <v>145085</v>
      </c>
      <c r="J62" s="42">
        <f t="shared" si="0"/>
        <v>291857</v>
      </c>
      <c r="K62" s="42">
        <f t="shared" si="0"/>
        <v>6326169.6490247501</v>
      </c>
      <c r="L62" s="42">
        <f t="shared" si="0"/>
        <v>6748469.6773553751</v>
      </c>
      <c r="M62" s="42"/>
      <c r="N62" s="29"/>
      <c r="O62" s="29"/>
      <c r="P62" s="29"/>
      <c r="Q62" s="29"/>
      <c r="R62" s="29"/>
      <c r="S62" s="29"/>
      <c r="T62" s="29"/>
      <c r="U62" s="29"/>
      <c r="V62" s="29"/>
      <c r="W62" s="29"/>
      <c r="AB62" s="42"/>
    </row>
    <row r="63" spans="1:32" x14ac:dyDescent="0.6">
      <c r="A63" s="14"/>
      <c r="B63" s="30"/>
      <c r="I63" s="50"/>
      <c r="J63" s="50"/>
      <c r="N63" s="29"/>
      <c r="O63" s="29"/>
      <c r="P63" s="29"/>
      <c r="Q63" s="29"/>
      <c r="R63" s="29"/>
      <c r="S63" s="29"/>
      <c r="T63" s="29"/>
      <c r="U63" s="29"/>
      <c r="V63" s="29"/>
      <c r="W63" s="29"/>
      <c r="AB63" s="51"/>
    </row>
    <row r="64" spans="1:32" x14ac:dyDescent="0.6">
      <c r="A64" s="14"/>
      <c r="B64" s="10" t="s">
        <v>34</v>
      </c>
      <c r="C64" s="52" t="s">
        <v>35</v>
      </c>
      <c r="D64" s="52" t="s">
        <v>35</v>
      </c>
      <c r="L64" s="42"/>
      <c r="N64" s="29"/>
      <c r="O64" s="29"/>
      <c r="P64" s="29"/>
      <c r="Q64" s="29"/>
      <c r="R64" s="29"/>
      <c r="S64" s="29"/>
      <c r="T64" s="29"/>
      <c r="U64" s="29"/>
      <c r="V64" s="29"/>
      <c r="W64" s="29"/>
      <c r="Y64" s="3"/>
      <c r="Z64" s="3"/>
      <c r="AB64" s="51"/>
    </row>
    <row r="65" spans="1:26" x14ac:dyDescent="0.6">
      <c r="A65" s="14"/>
      <c r="B65" s="53"/>
      <c r="C65" s="54" t="s">
        <v>36</v>
      </c>
      <c r="D65" s="54" t="s">
        <v>37</v>
      </c>
      <c r="E65" s="55"/>
      <c r="F65" s="55"/>
      <c r="G65" s="55"/>
      <c r="H65" s="55"/>
      <c r="I65" s="55"/>
      <c r="J65" s="55"/>
      <c r="N65" s="29"/>
      <c r="O65" s="29"/>
      <c r="P65" s="29"/>
      <c r="Q65" s="29"/>
      <c r="R65" s="29"/>
      <c r="S65" s="29"/>
      <c r="T65" s="29"/>
      <c r="U65" s="29"/>
      <c r="V65" s="29"/>
      <c r="W65" s="29"/>
    </row>
    <row r="66" spans="1:26" x14ac:dyDescent="0.6">
      <c r="A66" s="14"/>
      <c r="C66" s="56">
        <v>0.35950048534282308</v>
      </c>
      <c r="D66" s="56">
        <v>0.34374667027301709</v>
      </c>
      <c r="E66" s="55"/>
      <c r="F66" s="55"/>
      <c r="G66" s="55"/>
      <c r="H66" s="55"/>
      <c r="I66" s="55"/>
      <c r="J66" s="55"/>
      <c r="N66" s="29"/>
      <c r="O66" s="29"/>
      <c r="P66" s="29"/>
      <c r="Q66" s="29"/>
      <c r="R66" s="29"/>
      <c r="S66" s="29"/>
      <c r="T66" s="29"/>
      <c r="U66" s="29"/>
      <c r="V66" s="29"/>
      <c r="W66" s="29"/>
    </row>
    <row r="67" spans="1:26" x14ac:dyDescent="0.6">
      <c r="A67" s="14"/>
      <c r="C67" s="55"/>
      <c r="D67" s="55"/>
      <c r="E67" s="55"/>
      <c r="F67" s="55"/>
      <c r="G67" s="55"/>
      <c r="H67" s="55"/>
      <c r="I67" s="55"/>
      <c r="J67" s="55"/>
      <c r="K67" s="55"/>
      <c r="N67" s="29"/>
      <c r="O67" s="29"/>
      <c r="P67" s="29"/>
      <c r="Q67" s="29"/>
      <c r="R67" s="29"/>
      <c r="S67" s="29"/>
      <c r="T67" s="29"/>
      <c r="U67" s="29"/>
      <c r="V67" s="29"/>
      <c r="W67" s="29"/>
    </row>
    <row r="68" spans="1:26" x14ac:dyDescent="0.6">
      <c r="A68" s="14"/>
      <c r="C68" s="55"/>
      <c r="D68" s="55"/>
      <c r="E68" s="55"/>
      <c r="F68" s="55"/>
      <c r="G68" s="55"/>
      <c r="H68" s="55"/>
      <c r="I68" s="55"/>
      <c r="J68" s="55"/>
      <c r="K68" s="55"/>
      <c r="N68" s="29"/>
      <c r="O68" s="29"/>
      <c r="P68" s="29"/>
      <c r="Q68" s="29"/>
      <c r="R68" s="29"/>
      <c r="S68" s="29"/>
      <c r="T68" s="29"/>
      <c r="U68" s="29"/>
      <c r="V68" s="29"/>
      <c r="W68" s="29"/>
    </row>
    <row r="69" spans="1:26" x14ac:dyDescent="0.6">
      <c r="A69" s="14"/>
      <c r="B69" s="10"/>
      <c r="N69" s="29"/>
      <c r="O69" s="29"/>
      <c r="P69" s="29"/>
      <c r="Q69" s="29"/>
      <c r="R69" s="29"/>
      <c r="S69" s="29"/>
      <c r="T69" s="29"/>
      <c r="U69" s="29"/>
      <c r="V69" s="29"/>
      <c r="W69" s="29"/>
    </row>
    <row r="70" spans="1:26" x14ac:dyDescent="0.6">
      <c r="A70" s="2" t="s">
        <v>38</v>
      </c>
      <c r="B70" s="10" t="s">
        <v>39</v>
      </c>
      <c r="E70" s="57" t="s">
        <v>40</v>
      </c>
      <c r="F70" s="10" t="s">
        <v>41</v>
      </c>
      <c r="N70" s="29"/>
      <c r="O70" s="29"/>
      <c r="P70" s="29"/>
      <c r="Q70" s="29"/>
      <c r="R70" s="29"/>
      <c r="S70" s="29"/>
      <c r="T70" s="29"/>
      <c r="U70" s="29"/>
      <c r="V70" s="29"/>
      <c r="W70" s="29"/>
    </row>
    <row r="71" spans="1:26" s="58" customFormat="1" x14ac:dyDescent="0.6">
      <c r="A71" s="14"/>
      <c r="B71" s="11" t="s">
        <v>42</v>
      </c>
      <c r="F71" s="3" t="s">
        <v>43</v>
      </c>
      <c r="G71" s="5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59"/>
      <c r="Y71" s="40"/>
      <c r="Z71" s="43"/>
    </row>
    <row r="72" spans="1:26" x14ac:dyDescent="0.6">
      <c r="A72" s="14"/>
      <c r="C72" s="3" t="s">
        <v>44</v>
      </c>
      <c r="F72" s="3" t="s">
        <v>45</v>
      </c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42"/>
      <c r="Y72" s="40"/>
      <c r="Z72" s="48"/>
    </row>
    <row r="73" spans="1:26" ht="13.25" x14ac:dyDescent="0.6">
      <c r="A73" s="14"/>
      <c r="B73" s="26" t="s">
        <v>17</v>
      </c>
      <c r="C73" s="60">
        <v>71.45</v>
      </c>
      <c r="E73" s="61" t="s">
        <v>46</v>
      </c>
      <c r="F73" s="62">
        <v>0.66836581709145426</v>
      </c>
      <c r="K73" s="63"/>
      <c r="N73" s="29"/>
      <c r="O73" s="29"/>
      <c r="P73" s="29"/>
      <c r="Q73" s="29"/>
      <c r="R73" s="29"/>
      <c r="S73" s="29"/>
      <c r="T73" s="29"/>
      <c r="U73" s="29"/>
      <c r="V73" s="29"/>
      <c r="W73" s="29"/>
      <c r="Y73" s="40"/>
    </row>
    <row r="74" spans="1:26" ht="13.25" x14ac:dyDescent="0.6">
      <c r="A74" s="14"/>
      <c r="B74" s="26" t="s">
        <v>18</v>
      </c>
      <c r="C74" s="60">
        <v>66.599999999999994</v>
      </c>
      <c r="D74" s="64"/>
      <c r="E74" s="61" t="s">
        <v>47</v>
      </c>
      <c r="F74" s="62">
        <v>0.77165615665449716</v>
      </c>
      <c r="K74" s="63"/>
      <c r="N74" s="29"/>
      <c r="O74" s="29"/>
      <c r="P74" s="29"/>
      <c r="Q74" s="29"/>
      <c r="R74" s="29"/>
      <c r="S74" s="29"/>
      <c r="T74" s="29"/>
      <c r="U74" s="29"/>
      <c r="V74" s="29"/>
      <c r="W74" s="29"/>
      <c r="Y74" s="40"/>
    </row>
    <row r="75" spans="1:26" x14ac:dyDescent="0.6">
      <c r="A75" s="14"/>
      <c r="B75" s="26" t="s">
        <v>19</v>
      </c>
      <c r="C75" s="60">
        <v>48.45</v>
      </c>
      <c r="D75" s="64"/>
      <c r="E75" s="65"/>
      <c r="H75" s="66"/>
      <c r="I75" s="66"/>
      <c r="J75" s="63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59"/>
      <c r="Y75" s="40"/>
      <c r="Z75" s="43"/>
    </row>
    <row r="76" spans="1:26" x14ac:dyDescent="0.6">
      <c r="A76" s="14"/>
      <c r="B76" s="26" t="s">
        <v>20</v>
      </c>
      <c r="C76" s="60">
        <v>40.200000000000003</v>
      </c>
      <c r="D76" s="64"/>
      <c r="E76" s="65"/>
      <c r="H76" s="66"/>
      <c r="I76" s="66"/>
      <c r="J76" s="63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42"/>
      <c r="Y76" s="40"/>
      <c r="Z76" s="48"/>
    </row>
    <row r="77" spans="1:26" x14ac:dyDescent="0.6">
      <c r="A77" s="14"/>
      <c r="B77" s="26" t="s">
        <v>21</v>
      </c>
      <c r="C77" s="60">
        <v>40.200000000000003</v>
      </c>
      <c r="D77" s="64"/>
      <c r="E77" s="65"/>
      <c r="H77" s="66"/>
      <c r="I77" s="66"/>
      <c r="N77" s="29"/>
      <c r="O77" s="29"/>
      <c r="P77" s="29"/>
      <c r="Q77" s="29"/>
      <c r="R77" s="29"/>
      <c r="S77" s="29"/>
      <c r="T77" s="29"/>
      <c r="U77" s="29"/>
      <c r="V77" s="29"/>
      <c r="W77" s="29"/>
      <c r="Y77" s="40"/>
    </row>
    <row r="78" spans="1:26" x14ac:dyDescent="0.6">
      <c r="A78" s="14"/>
      <c r="B78" s="26" t="s">
        <v>22</v>
      </c>
      <c r="C78" s="60">
        <v>47</v>
      </c>
      <c r="F78" s="459" t="s">
        <v>48</v>
      </c>
      <c r="G78" s="460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42"/>
      <c r="Y78" s="40"/>
      <c r="Z78" s="43"/>
    </row>
    <row r="79" spans="1:26" x14ac:dyDescent="0.6">
      <c r="A79" s="14"/>
      <c r="B79" s="26" t="s">
        <v>23</v>
      </c>
      <c r="C79" s="60">
        <v>55.4</v>
      </c>
      <c r="D79" s="67"/>
      <c r="E79" s="22"/>
      <c r="F79" s="22" t="s">
        <v>44</v>
      </c>
      <c r="G79" s="22" t="s">
        <v>49</v>
      </c>
      <c r="H79" s="68"/>
      <c r="I79" s="68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42"/>
      <c r="Y79" s="40"/>
      <c r="Z79" s="48"/>
    </row>
    <row r="80" spans="1:26" ht="13.25" x14ac:dyDescent="0.6">
      <c r="A80" s="14"/>
      <c r="B80" s="26" t="s">
        <v>24</v>
      </c>
      <c r="C80" s="60">
        <v>51.75</v>
      </c>
      <c r="D80" s="67"/>
      <c r="E80" s="61" t="s">
        <v>46</v>
      </c>
      <c r="F80" s="69">
        <v>0.8879039176436947</v>
      </c>
      <c r="G80" s="69">
        <v>0.89475926714955267</v>
      </c>
      <c r="H80" s="68"/>
      <c r="I80" s="68"/>
      <c r="N80" s="29"/>
      <c r="O80" s="29"/>
      <c r="P80" s="29"/>
      <c r="Q80" s="29"/>
      <c r="R80" s="29"/>
      <c r="S80" s="29"/>
      <c r="T80" s="29"/>
      <c r="U80" s="29"/>
      <c r="V80" s="29"/>
      <c r="W80" s="29"/>
    </row>
    <row r="81" spans="1:23" ht="13.25" x14ac:dyDescent="0.6">
      <c r="A81" s="14"/>
      <c r="B81" s="26" t="s">
        <v>25</v>
      </c>
      <c r="C81" s="60">
        <v>47.5</v>
      </c>
      <c r="D81" s="67"/>
      <c r="E81" s="61" t="s">
        <v>47</v>
      </c>
      <c r="F81" s="69">
        <v>0.90395846852693051</v>
      </c>
      <c r="G81" s="69">
        <v>0.94218684541265174</v>
      </c>
      <c r="H81" s="68"/>
      <c r="I81" s="68"/>
      <c r="N81" s="29"/>
      <c r="O81" s="29"/>
      <c r="P81" s="29"/>
      <c r="Q81" s="29"/>
      <c r="R81" s="29"/>
      <c r="S81" s="29"/>
      <c r="T81" s="29"/>
      <c r="U81" s="29"/>
      <c r="V81" s="29"/>
      <c r="W81" s="29"/>
    </row>
    <row r="82" spans="1:23" x14ac:dyDescent="0.6">
      <c r="A82" s="14"/>
      <c r="B82" s="26" t="s">
        <v>26</v>
      </c>
      <c r="C82" s="60">
        <v>45.45</v>
      </c>
      <c r="D82" s="67"/>
      <c r="E82" s="65"/>
      <c r="H82" s="66"/>
      <c r="I82" s="66"/>
      <c r="N82" s="29"/>
      <c r="O82" s="29"/>
      <c r="P82" s="29"/>
      <c r="Q82" s="29"/>
      <c r="R82" s="29"/>
      <c r="S82" s="29"/>
      <c r="T82" s="29"/>
      <c r="U82" s="29"/>
      <c r="V82" s="29"/>
      <c r="W82" s="29"/>
    </row>
    <row r="83" spans="1:23" x14ac:dyDescent="0.6">
      <c r="A83" s="14"/>
      <c r="B83" s="26" t="s">
        <v>27</v>
      </c>
      <c r="C83" s="60">
        <v>46.65</v>
      </c>
      <c r="D83" s="64"/>
      <c r="E83" s="65"/>
      <c r="H83" s="66"/>
      <c r="I83" s="66"/>
      <c r="N83" s="29"/>
      <c r="O83" s="29"/>
      <c r="P83" s="29"/>
      <c r="Q83" s="29"/>
      <c r="R83" s="29"/>
      <c r="S83" s="29"/>
      <c r="T83" s="29"/>
      <c r="U83" s="29"/>
      <c r="V83" s="29"/>
      <c r="W83" s="29"/>
    </row>
    <row r="84" spans="1:23" x14ac:dyDescent="0.6">
      <c r="A84" s="14"/>
      <c r="B84" s="26" t="s">
        <v>28</v>
      </c>
      <c r="C84" s="60">
        <v>50.25</v>
      </c>
      <c r="D84" s="64"/>
      <c r="E84" s="65"/>
      <c r="H84" s="66"/>
      <c r="I84" s="66"/>
      <c r="N84" s="29"/>
      <c r="O84" s="29"/>
      <c r="P84" s="29"/>
      <c r="Q84" s="29"/>
      <c r="R84" s="29"/>
      <c r="S84" s="29"/>
      <c r="T84" s="29"/>
      <c r="U84" s="29"/>
      <c r="V84" s="29"/>
      <c r="W84" s="29"/>
    </row>
    <row r="85" spans="1:23" x14ac:dyDescent="0.6">
      <c r="A85" s="14"/>
      <c r="B85" s="30"/>
      <c r="C85" s="70"/>
      <c r="D85" s="70"/>
      <c r="G85" s="71"/>
      <c r="K85" s="71"/>
      <c r="N85" s="29"/>
      <c r="O85" s="29"/>
      <c r="P85" s="29"/>
      <c r="Q85" s="29"/>
      <c r="R85" s="29"/>
      <c r="S85" s="29"/>
      <c r="T85" s="29"/>
      <c r="U85" s="29"/>
      <c r="V85" s="29"/>
      <c r="W85" s="29"/>
    </row>
    <row r="86" spans="1:23" x14ac:dyDescent="0.6">
      <c r="A86" s="14"/>
      <c r="B86" s="72"/>
      <c r="C86" s="72"/>
      <c r="D86" s="70"/>
      <c r="G86" s="71"/>
      <c r="K86" s="71"/>
      <c r="N86" s="29"/>
      <c r="O86" s="29"/>
      <c r="P86" s="29"/>
      <c r="Q86" s="29"/>
      <c r="R86" s="29"/>
      <c r="S86" s="29"/>
      <c r="T86" s="29"/>
      <c r="U86" s="29"/>
      <c r="V86" s="29"/>
      <c r="W86" s="29"/>
    </row>
    <row r="87" spans="1:23" x14ac:dyDescent="0.6">
      <c r="A87" s="14"/>
      <c r="E87" s="73"/>
      <c r="F87" s="73"/>
      <c r="G87" s="73"/>
      <c r="H87" s="73"/>
      <c r="I87" s="73"/>
      <c r="J87" s="73"/>
      <c r="K87" s="73"/>
      <c r="L87" s="73"/>
      <c r="M87" s="73"/>
      <c r="N87" s="29"/>
      <c r="O87" s="29"/>
      <c r="P87" s="29"/>
      <c r="Q87" s="29"/>
      <c r="R87" s="29"/>
      <c r="S87" s="29"/>
      <c r="T87" s="29"/>
      <c r="U87" s="29"/>
      <c r="V87" s="29"/>
      <c r="W87" s="29"/>
    </row>
    <row r="88" spans="1:23" x14ac:dyDescent="0.6">
      <c r="A88" s="2" t="s">
        <v>50</v>
      </c>
      <c r="B88" s="25" t="s">
        <v>51</v>
      </c>
      <c r="C88" s="25" t="s">
        <v>52</v>
      </c>
      <c r="D88" s="25" t="s">
        <v>53</v>
      </c>
      <c r="E88" s="73"/>
      <c r="F88" s="73"/>
      <c r="G88" s="73"/>
      <c r="H88" s="73"/>
      <c r="I88" s="73"/>
      <c r="J88" s="73"/>
      <c r="K88" s="73"/>
      <c r="L88" s="73"/>
      <c r="M88" s="73"/>
      <c r="N88" s="29"/>
      <c r="O88" s="29"/>
      <c r="P88" s="29"/>
      <c r="Q88" s="29"/>
      <c r="R88" s="29"/>
      <c r="S88" s="29"/>
      <c r="T88" s="29"/>
      <c r="U88" s="29"/>
      <c r="V88" s="29"/>
      <c r="W88" s="29"/>
    </row>
    <row r="89" spans="1:23" x14ac:dyDescent="0.6">
      <c r="A89" s="14"/>
      <c r="B89" s="25" t="s">
        <v>54</v>
      </c>
      <c r="C89" s="74">
        <v>5.8326999999999997E-2</v>
      </c>
      <c r="D89" s="15" t="s">
        <v>55</v>
      </c>
      <c r="E89" s="75"/>
      <c r="F89" s="75"/>
      <c r="G89" s="75"/>
      <c r="H89" s="75"/>
      <c r="I89" s="75"/>
      <c r="J89" s="75"/>
      <c r="K89" s="75"/>
      <c r="L89" s="75"/>
      <c r="M89" s="73"/>
      <c r="N89" s="29"/>
      <c r="O89" s="29"/>
      <c r="P89" s="29"/>
      <c r="Q89" s="29"/>
      <c r="R89" s="29"/>
      <c r="S89" s="29"/>
      <c r="T89" s="29"/>
      <c r="U89" s="29"/>
      <c r="V89" s="29"/>
      <c r="W89" s="29"/>
    </row>
    <row r="90" spans="1:23" x14ac:dyDescent="0.6">
      <c r="A90" s="14"/>
      <c r="B90" s="25" t="s">
        <v>56</v>
      </c>
      <c r="C90" s="27">
        <v>4.5599999999999998E-3</v>
      </c>
      <c r="D90" s="15" t="s">
        <v>57</v>
      </c>
      <c r="E90" s="76"/>
      <c r="F90" s="76"/>
      <c r="G90" s="76"/>
      <c r="H90" s="76"/>
      <c r="I90" s="76"/>
      <c r="J90" s="76"/>
      <c r="K90" s="76"/>
      <c r="L90" s="76"/>
      <c r="M90" s="73"/>
      <c r="N90" s="29"/>
      <c r="O90" s="29"/>
      <c r="P90" s="29"/>
      <c r="Q90" s="29"/>
      <c r="R90" s="29"/>
      <c r="S90" s="29"/>
      <c r="T90" s="29"/>
      <c r="U90" s="29"/>
      <c r="V90" s="29"/>
      <c r="W90" s="29"/>
    </row>
    <row r="91" spans="1:23" x14ac:dyDescent="0.6">
      <c r="A91" s="14"/>
      <c r="B91" s="25" t="s">
        <v>58</v>
      </c>
      <c r="C91" s="77">
        <v>1.1688694814362801E-2</v>
      </c>
      <c r="D91" s="25" t="s">
        <v>59</v>
      </c>
      <c r="E91" s="76"/>
      <c r="F91" s="76"/>
      <c r="G91" s="76"/>
      <c r="H91" s="76"/>
      <c r="I91" s="76"/>
      <c r="J91" s="76"/>
      <c r="K91" s="76"/>
      <c r="L91" s="76"/>
      <c r="M91" s="73"/>
      <c r="N91" s="29"/>
      <c r="O91" s="29"/>
      <c r="P91" s="29"/>
      <c r="Q91" s="29"/>
      <c r="R91" s="29"/>
      <c r="S91" s="29"/>
      <c r="T91" s="29"/>
      <c r="U91" s="29"/>
      <c r="V91" s="29"/>
      <c r="W91" s="29"/>
    </row>
    <row r="92" spans="1:23" x14ac:dyDescent="0.6">
      <c r="A92" s="14"/>
      <c r="C92" s="78"/>
      <c r="D92" s="73"/>
      <c r="E92" s="73"/>
      <c r="F92" s="73"/>
      <c r="G92" s="73"/>
      <c r="H92" s="73"/>
      <c r="I92" s="73"/>
      <c r="J92" s="73"/>
      <c r="K92" s="73"/>
      <c r="L92" s="73"/>
      <c r="M92" s="73"/>
      <c r="N92" s="29"/>
      <c r="O92" s="29"/>
      <c r="P92" s="29"/>
      <c r="Q92" s="29"/>
      <c r="R92" s="29"/>
      <c r="S92" s="29"/>
      <c r="T92" s="29"/>
      <c r="U92" s="29"/>
      <c r="V92" s="29"/>
      <c r="W92" s="29"/>
    </row>
    <row r="93" spans="1:23" x14ac:dyDescent="0.6">
      <c r="A93" s="14"/>
      <c r="N93" s="29"/>
      <c r="O93" s="29"/>
      <c r="P93" s="29"/>
      <c r="Q93" s="29"/>
      <c r="R93" s="29"/>
      <c r="S93" s="29"/>
      <c r="T93" s="29"/>
      <c r="U93" s="29"/>
      <c r="V93" s="29"/>
      <c r="W93" s="29"/>
    </row>
    <row r="94" spans="1:23" x14ac:dyDescent="0.6">
      <c r="A94" s="14"/>
      <c r="N94" s="29"/>
      <c r="O94" s="29"/>
      <c r="P94" s="29"/>
      <c r="Q94" s="29"/>
      <c r="R94" s="29"/>
      <c r="S94" s="29"/>
      <c r="T94" s="29"/>
      <c r="U94" s="29"/>
      <c r="V94" s="29"/>
      <c r="W94" s="29"/>
    </row>
    <row r="95" spans="1:23" x14ac:dyDescent="0.6">
      <c r="A95" s="14"/>
      <c r="N95" s="29"/>
      <c r="O95" s="29"/>
      <c r="P95" s="29"/>
      <c r="Q95" s="29"/>
      <c r="R95" s="29"/>
      <c r="S95" s="29"/>
      <c r="T95" s="29"/>
      <c r="U95" s="29"/>
      <c r="V95" s="29"/>
      <c r="W95" s="29"/>
    </row>
    <row r="96" spans="1:23" x14ac:dyDescent="0.6">
      <c r="A96" s="2" t="s">
        <v>60</v>
      </c>
      <c r="B96" s="10" t="s">
        <v>61</v>
      </c>
      <c r="L96" s="3"/>
      <c r="N96" s="29"/>
      <c r="O96" s="29"/>
      <c r="P96" s="29"/>
      <c r="Q96" s="29"/>
      <c r="R96" s="29"/>
      <c r="S96" s="29"/>
      <c r="T96" s="29"/>
      <c r="U96" s="29"/>
      <c r="V96" s="29"/>
      <c r="W96" s="29"/>
    </row>
    <row r="97" spans="1:23" x14ac:dyDescent="0.6">
      <c r="A97" s="14"/>
      <c r="B97" s="79" t="s">
        <v>62</v>
      </c>
      <c r="L97" s="3"/>
      <c r="N97" s="29"/>
      <c r="O97" s="29"/>
      <c r="P97" s="29"/>
      <c r="Q97" s="29"/>
      <c r="R97" s="29"/>
      <c r="S97" s="29"/>
      <c r="T97" s="29"/>
      <c r="U97" s="29"/>
      <c r="V97" s="29"/>
      <c r="W97" s="29"/>
    </row>
    <row r="98" spans="1:23" x14ac:dyDescent="0.6">
      <c r="A98" s="14"/>
      <c r="B98" s="11" t="s">
        <v>63</v>
      </c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29"/>
      <c r="O98" s="29"/>
      <c r="P98" s="29"/>
      <c r="Q98" s="29"/>
      <c r="R98" s="29"/>
      <c r="S98" s="29"/>
      <c r="T98" s="29"/>
      <c r="U98" s="29"/>
      <c r="V98" s="29"/>
      <c r="W98" s="29"/>
    </row>
    <row r="99" spans="1:23" ht="12.75" customHeight="1" x14ac:dyDescent="0.6">
      <c r="A99" s="14"/>
      <c r="B99" s="11"/>
      <c r="C99" s="3"/>
      <c r="D99" s="3"/>
      <c r="E99" s="3"/>
      <c r="F99" s="3"/>
      <c r="G99" s="3"/>
      <c r="H99" s="3"/>
      <c r="I99" s="3"/>
      <c r="J99" s="3"/>
      <c r="K99" s="3"/>
      <c r="M99" s="3"/>
      <c r="N99" s="29"/>
      <c r="O99" s="29"/>
      <c r="P99" s="29"/>
      <c r="Q99" s="29"/>
      <c r="R99" s="29"/>
      <c r="S99" s="29"/>
      <c r="T99" s="29"/>
      <c r="U99" s="29"/>
      <c r="V99" s="29"/>
      <c r="W99" s="29"/>
    </row>
    <row r="100" spans="1:23" x14ac:dyDescent="0.6">
      <c r="A100" s="14"/>
      <c r="B100" s="25"/>
      <c r="C100" s="22" t="s">
        <v>7</v>
      </c>
      <c r="D100" s="22" t="s">
        <v>8</v>
      </c>
      <c r="E100" s="22" t="s">
        <v>9</v>
      </c>
      <c r="F100" s="22" t="s">
        <v>10</v>
      </c>
      <c r="G100" s="22" t="s">
        <v>11</v>
      </c>
      <c r="H100" s="22" t="s">
        <v>12</v>
      </c>
      <c r="I100" s="22" t="s">
        <v>13</v>
      </c>
      <c r="J100" s="22" t="s">
        <v>14</v>
      </c>
      <c r="K100" s="22" t="s">
        <v>15</v>
      </c>
      <c r="L100" s="22" t="s">
        <v>16</v>
      </c>
      <c r="N100" s="29"/>
      <c r="O100" s="29"/>
      <c r="P100" s="29"/>
      <c r="Q100" s="29"/>
      <c r="R100" s="29"/>
      <c r="S100" s="29"/>
      <c r="T100" s="29"/>
      <c r="U100" s="29"/>
      <c r="V100" s="29"/>
      <c r="W100" s="29"/>
    </row>
    <row r="101" spans="1:23" x14ac:dyDescent="0.6">
      <c r="A101" s="80"/>
      <c r="B101" s="81" t="s">
        <v>64</v>
      </c>
      <c r="C101" s="82">
        <v>4420.8580457335147</v>
      </c>
      <c r="D101" s="82">
        <v>19.232054315231025</v>
      </c>
      <c r="E101" s="82">
        <v>65.417800504333897</v>
      </c>
      <c r="F101" s="82">
        <v>0</v>
      </c>
      <c r="G101" s="82">
        <v>0</v>
      </c>
      <c r="H101" s="82">
        <v>2.7679390495108045</v>
      </c>
      <c r="I101" s="82">
        <v>0</v>
      </c>
      <c r="J101" s="82">
        <v>0</v>
      </c>
      <c r="K101" s="82">
        <v>1507.5032902830221</v>
      </c>
      <c r="L101" s="82">
        <v>1270.5185877781889</v>
      </c>
      <c r="M101" s="83"/>
      <c r="N101" s="29"/>
      <c r="O101" s="29"/>
      <c r="P101" s="29"/>
      <c r="Q101" s="29"/>
      <c r="R101" s="29"/>
      <c r="S101" s="29"/>
      <c r="T101" s="29"/>
      <c r="U101" s="29"/>
      <c r="V101" s="29"/>
      <c r="W101" s="29"/>
    </row>
    <row r="102" spans="1:23" x14ac:dyDescent="0.6">
      <c r="A102" s="1"/>
      <c r="B102" s="81" t="s">
        <v>65</v>
      </c>
      <c r="C102" s="82">
        <v>4459.7259198356678</v>
      </c>
      <c r="D102" s="82">
        <v>19.446342823740217</v>
      </c>
      <c r="E102" s="82">
        <v>66.033991271042851</v>
      </c>
      <c r="F102" s="82">
        <v>0</v>
      </c>
      <c r="G102" s="82">
        <v>0</v>
      </c>
      <c r="H102" s="82">
        <v>2.9486570290106227</v>
      </c>
      <c r="I102" s="82">
        <v>0</v>
      </c>
      <c r="J102" s="82">
        <v>0</v>
      </c>
      <c r="K102" s="82">
        <v>1565.569245459986</v>
      </c>
      <c r="L102" s="82">
        <v>1260.9197948606477</v>
      </c>
      <c r="N102" s="29"/>
      <c r="O102" s="29"/>
      <c r="P102" s="29"/>
      <c r="Q102" s="29"/>
      <c r="R102" s="29"/>
      <c r="S102" s="29"/>
      <c r="T102" s="29"/>
      <c r="U102" s="29"/>
      <c r="V102" s="29"/>
      <c r="W102" s="29"/>
    </row>
    <row r="103" spans="1:23" x14ac:dyDescent="0.6">
      <c r="A103" s="80"/>
      <c r="C103" s="84"/>
      <c r="D103" s="84"/>
      <c r="E103" s="84"/>
      <c r="F103" s="84"/>
      <c r="G103" s="84"/>
      <c r="H103" s="84"/>
      <c r="I103" s="84"/>
      <c r="J103" s="84"/>
      <c r="K103" s="84"/>
      <c r="L103" s="84"/>
      <c r="M103" s="83"/>
      <c r="N103" s="29"/>
      <c r="O103" s="29"/>
      <c r="P103" s="29"/>
      <c r="Q103" s="29"/>
      <c r="R103" s="29"/>
      <c r="S103" s="29"/>
      <c r="T103" s="29"/>
      <c r="U103" s="29"/>
      <c r="V103" s="29"/>
      <c r="W103" s="29"/>
    </row>
    <row r="104" spans="1:23" x14ac:dyDescent="0.6">
      <c r="A104" s="1"/>
      <c r="B104" s="81" t="s">
        <v>66</v>
      </c>
      <c r="C104" s="85">
        <v>1.0740768592912917</v>
      </c>
      <c r="D104" s="86"/>
      <c r="E104" s="86"/>
      <c r="F104" s="86"/>
      <c r="G104" s="86"/>
      <c r="H104" s="86"/>
      <c r="I104" s="86"/>
      <c r="J104" s="86"/>
      <c r="K104" s="86"/>
      <c r="M104" s="86"/>
      <c r="N104" s="29"/>
      <c r="O104" s="29"/>
      <c r="P104" s="29"/>
      <c r="Q104" s="29"/>
      <c r="R104" s="29"/>
      <c r="S104" s="29"/>
      <c r="T104" s="29"/>
      <c r="U104" s="29"/>
      <c r="V104" s="29"/>
      <c r="W104" s="29"/>
    </row>
    <row r="105" spans="1:23" x14ac:dyDescent="0.6">
      <c r="A105" s="14"/>
      <c r="B105" s="15" t="str">
        <f>"PJM June 1, "&amp;(Input!D2-1)&amp;" (through May 31, "&amp;(Input!D2)&amp;") Forecast Pool Requirement"</f>
        <v>PJM June 1, 2021 (through May 31, 2022) Forecast Pool Requirement</v>
      </c>
      <c r="C105" s="85">
        <v>1.0871</v>
      </c>
      <c r="I105" s="86"/>
      <c r="K105" s="3"/>
      <c r="M105" s="86"/>
      <c r="N105" s="29"/>
      <c r="O105" s="29"/>
      <c r="P105" s="29"/>
      <c r="Q105" s="29"/>
      <c r="R105" s="29"/>
      <c r="S105" s="29"/>
      <c r="T105" s="29"/>
      <c r="U105" s="29"/>
      <c r="V105" s="29"/>
      <c r="W105" s="29"/>
    </row>
    <row r="106" spans="1:23" x14ac:dyDescent="0.6">
      <c r="A106" s="14"/>
      <c r="D106" s="87"/>
      <c r="E106" s="88"/>
      <c r="G106" s="87"/>
      <c r="H106" s="5"/>
      <c r="I106" s="86"/>
      <c r="M106" s="86"/>
      <c r="N106" s="29"/>
      <c r="O106" s="29"/>
      <c r="P106" s="29"/>
      <c r="Q106" s="29"/>
      <c r="R106" s="29"/>
      <c r="S106" s="29"/>
      <c r="T106" s="29"/>
      <c r="U106" s="29"/>
      <c r="V106" s="29"/>
      <c r="W106" s="29"/>
    </row>
    <row r="107" spans="1:23" x14ac:dyDescent="0.6">
      <c r="A107" s="14"/>
      <c r="B107" s="5" t="s">
        <v>67</v>
      </c>
      <c r="C107" s="25"/>
      <c r="D107" s="15" t="s">
        <v>68</v>
      </c>
      <c r="E107" s="25" t="s">
        <v>67</v>
      </c>
      <c r="G107" s="87"/>
      <c r="H107" s="5"/>
      <c r="I107" s="86"/>
      <c r="M107" s="86"/>
      <c r="N107" s="29"/>
      <c r="O107" s="29"/>
      <c r="P107" s="29"/>
      <c r="Q107" s="29"/>
      <c r="R107" s="29"/>
      <c r="S107" s="29"/>
      <c r="T107" s="29"/>
      <c r="U107" s="29"/>
      <c r="V107" s="29"/>
      <c r="W107" s="29"/>
    </row>
    <row r="108" spans="1:23" x14ac:dyDescent="0.6">
      <c r="A108" s="14"/>
      <c r="B108" s="89"/>
      <c r="C108" s="90">
        <v>2019</v>
      </c>
      <c r="D108" s="25">
        <v>28</v>
      </c>
      <c r="E108" s="91">
        <v>104709.15</v>
      </c>
      <c r="F108" s="87"/>
      <c r="G108" s="87"/>
      <c r="H108" s="5"/>
      <c r="I108" s="86"/>
      <c r="K108" s="92"/>
      <c r="M108" s="93"/>
      <c r="N108" s="29"/>
      <c r="O108" s="29"/>
      <c r="P108" s="29"/>
      <c r="Q108" s="29"/>
      <c r="R108" s="29"/>
      <c r="S108" s="29"/>
      <c r="T108" s="29"/>
      <c r="U108" s="29"/>
      <c r="V108" s="29"/>
      <c r="W108" s="29"/>
    </row>
    <row r="109" spans="1:23" x14ac:dyDescent="0.6">
      <c r="A109" s="14"/>
      <c r="B109" s="14"/>
      <c r="C109" s="90">
        <v>2020</v>
      </c>
      <c r="D109" s="25">
        <v>28</v>
      </c>
      <c r="E109" s="91">
        <v>138497.08431889772</v>
      </c>
      <c r="F109" s="87"/>
      <c r="G109" s="87"/>
      <c r="H109" s="92"/>
      <c r="J109" s="93"/>
      <c r="K109" s="92"/>
      <c r="M109" s="93"/>
      <c r="N109" s="29"/>
      <c r="O109" s="29"/>
      <c r="P109" s="29"/>
      <c r="Q109" s="29"/>
      <c r="R109" s="29"/>
      <c r="S109" s="29"/>
      <c r="T109" s="29"/>
      <c r="U109" s="29"/>
      <c r="V109" s="29"/>
      <c r="W109" s="29"/>
    </row>
    <row r="110" spans="1:23" x14ac:dyDescent="0.6">
      <c r="A110" s="14"/>
      <c r="C110" s="90">
        <v>2021</v>
      </c>
      <c r="D110" s="25">
        <v>29</v>
      </c>
      <c r="E110" s="91">
        <v>144787.97744165195</v>
      </c>
      <c r="F110" s="94"/>
      <c r="G110" s="94"/>
      <c r="H110" s="5"/>
      <c r="I110" s="86"/>
      <c r="K110" s="92"/>
      <c r="M110" s="93"/>
      <c r="N110" s="29"/>
      <c r="O110" s="29"/>
      <c r="P110" s="29"/>
      <c r="Q110" s="29"/>
      <c r="R110" s="29"/>
      <c r="S110" s="29"/>
      <c r="T110" s="29"/>
      <c r="U110" s="29"/>
      <c r="V110" s="29"/>
      <c r="W110" s="29"/>
    </row>
    <row r="111" spans="1:23" x14ac:dyDescent="0.6">
      <c r="A111" s="14"/>
      <c r="C111" s="92"/>
      <c r="E111" s="93"/>
      <c r="F111" s="87"/>
      <c r="G111" s="87"/>
      <c r="I111" s="86"/>
      <c r="J111" s="95"/>
      <c r="K111" s="92"/>
      <c r="M111" s="93"/>
      <c r="N111" s="29"/>
      <c r="O111" s="29"/>
      <c r="P111" s="29"/>
      <c r="Q111" s="29"/>
      <c r="R111" s="29"/>
      <c r="S111" s="29"/>
      <c r="T111" s="29"/>
      <c r="U111" s="29"/>
      <c r="V111" s="29"/>
      <c r="W111" s="29"/>
    </row>
    <row r="112" spans="1:23" x14ac:dyDescent="0.6">
      <c r="A112" s="14"/>
      <c r="B112" s="5"/>
      <c r="C112" s="87"/>
      <c r="E112" s="461" t="s">
        <v>69</v>
      </c>
      <c r="F112" s="461"/>
      <c r="I112" s="86"/>
      <c r="J112" s="95"/>
      <c r="K112" s="92"/>
      <c r="M112" s="93"/>
      <c r="N112" s="29"/>
      <c r="O112" s="29"/>
      <c r="P112" s="29"/>
      <c r="Q112" s="29"/>
      <c r="R112" s="29"/>
      <c r="S112" s="29"/>
      <c r="T112" s="29"/>
      <c r="U112" s="29"/>
      <c r="V112" s="29"/>
      <c r="W112" s="29"/>
    </row>
    <row r="113" spans="1:23" x14ac:dyDescent="0.6">
      <c r="A113" s="14"/>
      <c r="B113" s="5" t="s">
        <v>70</v>
      </c>
      <c r="C113" s="462" t="s">
        <v>71</v>
      </c>
      <c r="D113" s="462"/>
      <c r="E113" s="96">
        <v>104.84</v>
      </c>
      <c r="F113" s="97" t="s">
        <v>72</v>
      </c>
      <c r="I113" s="86"/>
      <c r="J113" s="95"/>
      <c r="K113" s="92"/>
      <c r="M113" s="93"/>
      <c r="N113" s="29"/>
      <c r="O113" s="29"/>
      <c r="P113" s="29"/>
      <c r="Q113" s="29"/>
      <c r="R113" s="29"/>
      <c r="S113" s="29"/>
      <c r="T113" s="29"/>
      <c r="U113" s="29"/>
      <c r="V113" s="29"/>
      <c r="W113" s="29"/>
    </row>
    <row r="114" spans="1:23" x14ac:dyDescent="0.6">
      <c r="A114" s="14"/>
      <c r="C114" s="462" t="s">
        <v>73</v>
      </c>
      <c r="D114" s="462"/>
      <c r="E114" s="96">
        <v>104.84</v>
      </c>
      <c r="F114" s="97" t="s">
        <v>72</v>
      </c>
      <c r="N114" s="29"/>
      <c r="O114" s="29"/>
      <c r="P114" s="29"/>
      <c r="Q114" s="29"/>
      <c r="R114" s="29"/>
      <c r="S114" s="29"/>
      <c r="T114" s="29"/>
      <c r="U114" s="29"/>
      <c r="V114" s="29"/>
      <c r="W114" s="29"/>
    </row>
    <row r="115" spans="1:23" ht="18" customHeight="1" x14ac:dyDescent="0.6">
      <c r="A115" s="14"/>
      <c r="F115" s="5"/>
      <c r="G115" s="5"/>
      <c r="H115" s="5"/>
      <c r="I115" s="5"/>
      <c r="N115" s="29"/>
      <c r="O115" s="29"/>
      <c r="P115" s="29"/>
      <c r="Q115" s="29"/>
      <c r="R115" s="29"/>
      <c r="S115" s="29"/>
      <c r="T115" s="29"/>
      <c r="U115" s="29"/>
      <c r="V115" s="29"/>
      <c r="W115" s="29"/>
    </row>
    <row r="116" spans="1:23" x14ac:dyDescent="0.6">
      <c r="A116" s="14"/>
      <c r="F116" s="5"/>
      <c r="G116" s="5"/>
      <c r="H116" s="5"/>
      <c r="I116" s="5"/>
      <c r="J116" s="5"/>
      <c r="N116" s="29"/>
      <c r="O116" s="29"/>
      <c r="P116" s="29"/>
      <c r="Q116" s="29"/>
      <c r="R116" s="29"/>
      <c r="S116" s="29"/>
      <c r="T116" s="29"/>
      <c r="U116" s="29"/>
      <c r="V116" s="29"/>
      <c r="W116" s="29"/>
    </row>
    <row r="117" spans="1:23" x14ac:dyDescent="0.6">
      <c r="A117" s="14"/>
      <c r="F117" s="5"/>
      <c r="G117" s="5"/>
      <c r="H117" s="5"/>
      <c r="I117" s="5"/>
      <c r="J117" s="5"/>
      <c r="N117" s="29"/>
      <c r="O117" s="29"/>
      <c r="P117" s="29"/>
      <c r="Q117" s="29"/>
      <c r="R117" s="29"/>
      <c r="S117" s="29"/>
      <c r="T117" s="29"/>
      <c r="U117" s="29"/>
      <c r="V117" s="29"/>
      <c r="W117" s="29"/>
    </row>
    <row r="118" spans="1:23" x14ac:dyDescent="0.6">
      <c r="A118" s="2"/>
      <c r="B118" s="25"/>
      <c r="C118" s="22" t="s">
        <v>7</v>
      </c>
      <c r="D118" s="22" t="s">
        <v>8</v>
      </c>
      <c r="F118" s="5"/>
      <c r="G118" s="5"/>
      <c r="H118" s="5"/>
      <c r="I118" s="5"/>
      <c r="J118" s="98"/>
      <c r="N118" s="29"/>
      <c r="O118" s="29"/>
      <c r="P118" s="29"/>
      <c r="Q118" s="29"/>
      <c r="R118" s="29"/>
      <c r="S118" s="29"/>
      <c r="T118" s="29"/>
      <c r="U118" s="29"/>
      <c r="V118" s="29"/>
      <c r="W118" s="29"/>
    </row>
    <row r="119" spans="1:23" x14ac:dyDescent="0.6">
      <c r="A119" s="2"/>
      <c r="B119" s="99" t="s">
        <v>74</v>
      </c>
      <c r="C119" s="62">
        <v>0.86519999999999975</v>
      </c>
      <c r="D119" s="62">
        <v>1.1569000000000003</v>
      </c>
      <c r="E119" s="5" t="s">
        <v>75</v>
      </c>
      <c r="F119" s="100" t="s">
        <v>76</v>
      </c>
      <c r="I119" s="5"/>
      <c r="J119" s="98"/>
      <c r="K119" s="101"/>
      <c r="N119" s="29"/>
      <c r="O119" s="29"/>
      <c r="P119" s="29"/>
      <c r="Q119" s="29"/>
      <c r="R119" s="29"/>
      <c r="S119" s="29"/>
      <c r="T119" s="29"/>
      <c r="U119" s="29"/>
      <c r="V119" s="29"/>
      <c r="W119" s="29"/>
    </row>
    <row r="120" spans="1:23" x14ac:dyDescent="0.6">
      <c r="A120" s="2"/>
      <c r="F120" s="5"/>
      <c r="H120" s="5"/>
      <c r="I120" s="5"/>
      <c r="J120" s="98"/>
      <c r="K120" s="101"/>
      <c r="N120" s="29"/>
      <c r="O120" s="29"/>
      <c r="P120" s="29"/>
      <c r="Q120" s="29"/>
      <c r="R120" s="29"/>
      <c r="S120" s="29"/>
      <c r="T120" s="29"/>
      <c r="U120" s="29"/>
      <c r="V120" s="29"/>
      <c r="W120" s="29"/>
    </row>
    <row r="121" spans="1:23" x14ac:dyDescent="0.6">
      <c r="A121" s="1"/>
      <c r="B121" s="5"/>
      <c r="C121" s="5"/>
      <c r="D121" s="5"/>
      <c r="E121" s="5"/>
      <c r="F121" s="5"/>
      <c r="G121" s="5"/>
      <c r="H121" s="5"/>
      <c r="I121" s="5"/>
      <c r="J121" s="5"/>
      <c r="N121" s="29"/>
      <c r="O121" s="29"/>
      <c r="P121" s="29"/>
      <c r="Q121" s="29"/>
      <c r="R121" s="29"/>
      <c r="S121" s="29"/>
      <c r="T121" s="29"/>
      <c r="U121" s="29"/>
      <c r="V121" s="29"/>
      <c r="W121" s="29"/>
    </row>
    <row r="122" spans="1:23" x14ac:dyDescent="0.6">
      <c r="A122" s="2" t="s">
        <v>77</v>
      </c>
      <c r="B122" s="10" t="s">
        <v>78</v>
      </c>
      <c r="D122" s="5"/>
      <c r="I122" s="5"/>
      <c r="J122" s="5"/>
      <c r="N122" s="29"/>
      <c r="O122" s="29"/>
      <c r="P122" s="29"/>
      <c r="Q122" s="29"/>
      <c r="R122" s="29"/>
      <c r="S122" s="29"/>
      <c r="T122" s="29"/>
      <c r="U122" s="29"/>
      <c r="V122" s="29"/>
      <c r="W122" s="29"/>
    </row>
    <row r="123" spans="1:23" x14ac:dyDescent="0.6">
      <c r="A123" s="2"/>
      <c r="B123" s="5" t="s">
        <v>79</v>
      </c>
      <c r="D123" s="96">
        <v>2</v>
      </c>
      <c r="E123" s="102" t="s">
        <v>80</v>
      </c>
      <c r="I123" s="5"/>
      <c r="J123" s="5"/>
      <c r="N123" s="29"/>
      <c r="O123" s="29"/>
      <c r="P123" s="29"/>
      <c r="Q123" s="29"/>
      <c r="R123" s="29"/>
      <c r="S123" s="29"/>
      <c r="T123" s="29"/>
      <c r="U123" s="29"/>
      <c r="V123" s="29"/>
      <c r="W123" s="29"/>
    </row>
    <row r="124" spans="1:23" x14ac:dyDescent="0.6">
      <c r="A124" s="2"/>
      <c r="B124" s="5" t="s">
        <v>81</v>
      </c>
      <c r="D124" s="96">
        <v>16.09</v>
      </c>
      <c r="E124" s="102" t="s">
        <v>80</v>
      </c>
      <c r="I124" s="5"/>
      <c r="J124" s="5"/>
      <c r="N124" s="29"/>
      <c r="O124" s="29"/>
      <c r="P124" s="29"/>
      <c r="Q124" s="29"/>
      <c r="R124" s="29"/>
      <c r="S124" s="29"/>
      <c r="T124" s="29"/>
      <c r="U124" s="29"/>
      <c r="V124" s="29"/>
      <c r="W124" s="29"/>
    </row>
    <row r="125" spans="1:23" x14ac:dyDescent="0.6">
      <c r="A125" s="14"/>
      <c r="B125" s="11"/>
      <c r="E125" s="102"/>
      <c r="N125" s="29"/>
      <c r="O125" s="29"/>
      <c r="P125" s="29"/>
      <c r="Q125" s="29"/>
      <c r="R125" s="29"/>
      <c r="S125" s="29"/>
      <c r="T125" s="29"/>
      <c r="U125" s="29"/>
      <c r="V125" s="29"/>
      <c r="W125" s="29"/>
    </row>
    <row r="126" spans="1:23" x14ac:dyDescent="0.6">
      <c r="A126" s="14"/>
      <c r="B126" s="11"/>
      <c r="F126" s="102"/>
      <c r="N126" s="29"/>
      <c r="O126" s="29"/>
      <c r="P126" s="29"/>
      <c r="Q126" s="29"/>
      <c r="R126" s="29"/>
      <c r="S126" s="29"/>
      <c r="T126" s="29"/>
      <c r="U126" s="29"/>
      <c r="V126" s="29"/>
      <c r="W126" s="29"/>
    </row>
    <row r="127" spans="1:23" x14ac:dyDescent="0.6">
      <c r="A127" s="14"/>
      <c r="B127" s="10"/>
      <c r="E127" s="103"/>
      <c r="F127" s="102"/>
      <c r="N127" s="29"/>
      <c r="O127" s="29"/>
      <c r="P127" s="29"/>
      <c r="Q127" s="29"/>
      <c r="R127" s="29"/>
      <c r="S127" s="29"/>
      <c r="T127" s="29"/>
      <c r="U127" s="29"/>
      <c r="V127" s="29"/>
      <c r="W127" s="29"/>
    </row>
    <row r="128" spans="1:23" x14ac:dyDescent="0.6">
      <c r="A128" s="2"/>
      <c r="B128" s="10"/>
      <c r="N128" s="29"/>
      <c r="O128" s="29"/>
      <c r="P128" s="29"/>
      <c r="Q128" s="29"/>
      <c r="R128" s="29"/>
      <c r="S128" s="29"/>
      <c r="T128" s="29"/>
      <c r="U128" s="29"/>
      <c r="V128" s="29"/>
      <c r="W128" s="29"/>
    </row>
    <row r="129" spans="1:56" x14ac:dyDescent="0.6">
      <c r="A129" s="2" t="s">
        <v>82</v>
      </c>
      <c r="B129" s="10" t="s">
        <v>83</v>
      </c>
      <c r="N129" s="29"/>
      <c r="O129" s="29"/>
      <c r="P129" s="29"/>
      <c r="Q129" s="29"/>
      <c r="R129" s="29"/>
      <c r="S129" s="29"/>
      <c r="T129" s="29"/>
      <c r="U129" s="29"/>
      <c r="V129" s="29"/>
      <c r="W129" s="29"/>
    </row>
    <row r="130" spans="1:56" x14ac:dyDescent="0.6">
      <c r="A130" s="2"/>
      <c r="B130" s="10" t="s">
        <v>84</v>
      </c>
      <c r="C130" s="3"/>
      <c r="D130" s="96">
        <v>351.06</v>
      </c>
      <c r="E130" s="3" t="s">
        <v>85</v>
      </c>
      <c r="F130" s="3"/>
      <c r="G130" s="3"/>
      <c r="H130" s="3"/>
      <c r="I130" s="3"/>
      <c r="J130" s="3"/>
      <c r="N130" s="29"/>
      <c r="O130" s="29"/>
      <c r="P130" s="29"/>
      <c r="Q130" s="29"/>
      <c r="R130" s="29"/>
      <c r="S130" s="29"/>
      <c r="T130" s="29"/>
      <c r="U130" s="29"/>
      <c r="V130" s="29"/>
      <c r="W130" s="29"/>
    </row>
    <row r="131" spans="1:56" x14ac:dyDescent="0.6">
      <c r="A131" s="2"/>
      <c r="B131" s="10"/>
      <c r="N131" s="29"/>
      <c r="O131" s="29"/>
      <c r="P131" s="29"/>
      <c r="Q131" s="29"/>
      <c r="R131" s="29"/>
      <c r="S131" s="29"/>
      <c r="T131" s="29"/>
      <c r="U131" s="29"/>
      <c r="V131" s="29"/>
      <c r="W131" s="29"/>
    </row>
    <row r="132" spans="1:56" x14ac:dyDescent="0.6">
      <c r="A132" s="14"/>
      <c r="B132" s="87"/>
      <c r="C132" s="104"/>
      <c r="D132" s="104"/>
      <c r="E132" s="104"/>
      <c r="F132" s="104"/>
      <c r="G132" s="104"/>
      <c r="H132" s="104"/>
      <c r="I132" s="104"/>
      <c r="J132" s="104"/>
      <c r="K132" s="104"/>
      <c r="L132" s="104"/>
      <c r="M132" s="104"/>
      <c r="N132" s="29"/>
      <c r="O132" s="29"/>
      <c r="P132" s="29"/>
      <c r="Q132" s="29"/>
      <c r="R132" s="29"/>
      <c r="S132" s="29"/>
      <c r="T132" s="29"/>
      <c r="U132" s="29"/>
      <c r="V132" s="29"/>
      <c r="W132" s="29"/>
    </row>
    <row r="133" spans="1:56" x14ac:dyDescent="0.6">
      <c r="A133" s="14"/>
      <c r="B133" s="87"/>
      <c r="C133" s="104"/>
      <c r="D133" s="104"/>
      <c r="E133" s="104"/>
      <c r="F133" s="104"/>
      <c r="G133" s="104"/>
      <c r="H133" s="104"/>
      <c r="I133" s="104"/>
      <c r="J133" s="104"/>
      <c r="K133" s="104"/>
      <c r="L133" s="104"/>
      <c r="M133" s="104"/>
      <c r="N133" s="29"/>
      <c r="O133" s="29"/>
      <c r="P133" s="29"/>
      <c r="Q133" s="29"/>
      <c r="R133" s="29"/>
      <c r="S133" s="29"/>
      <c r="T133" s="29"/>
      <c r="U133" s="29"/>
      <c r="V133" s="29"/>
      <c r="W133" s="29"/>
    </row>
    <row r="134" spans="1:56" x14ac:dyDescent="0.6">
      <c r="A134" s="14"/>
      <c r="B134" s="87"/>
      <c r="G134" s="104"/>
      <c r="H134" s="104"/>
      <c r="I134" s="104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BB134" s="104"/>
      <c r="BC134" s="104"/>
      <c r="BD134" s="104"/>
    </row>
    <row r="135" spans="1:56" ht="65" x14ac:dyDescent="0.6">
      <c r="A135" s="105" t="s">
        <v>86</v>
      </c>
      <c r="B135" s="15" t="s">
        <v>87</v>
      </c>
      <c r="C135" s="106" t="s">
        <v>88</v>
      </c>
      <c r="D135" s="106" t="s">
        <v>89</v>
      </c>
      <c r="E135" s="16" t="s">
        <v>90</v>
      </c>
      <c r="G135" s="104"/>
      <c r="H135" s="104"/>
      <c r="I135" s="104"/>
      <c r="J135" s="55"/>
      <c r="O135" s="107"/>
      <c r="P135" s="29"/>
      <c r="Q135" s="29"/>
      <c r="R135" s="29"/>
      <c r="S135" s="29"/>
      <c r="T135" s="29"/>
      <c r="U135" s="29"/>
      <c r="V135" s="29"/>
      <c r="W135" s="29"/>
      <c r="BB135" s="106" t="s">
        <v>91</v>
      </c>
      <c r="BC135" s="106" t="s">
        <v>88</v>
      </c>
      <c r="BD135" s="106" t="s">
        <v>89</v>
      </c>
    </row>
    <row r="136" spans="1:56" x14ac:dyDescent="0.6">
      <c r="A136" s="14"/>
      <c r="B136" s="15" t="s">
        <v>92</v>
      </c>
      <c r="C136" s="108">
        <v>102.16</v>
      </c>
      <c r="D136" s="108">
        <v>64.8</v>
      </c>
      <c r="E136" s="108">
        <v>57.48</v>
      </c>
      <c r="F136" s="109"/>
      <c r="G136" s="104"/>
      <c r="H136" s="104"/>
      <c r="I136" s="104"/>
      <c r="J136" s="110"/>
      <c r="O136" s="111"/>
      <c r="P136" s="29"/>
      <c r="Q136" s="29"/>
      <c r="R136" s="29"/>
      <c r="S136" s="29"/>
      <c r="T136" s="29"/>
      <c r="U136" s="29"/>
      <c r="V136" s="29"/>
      <c r="W136" s="29"/>
      <c r="BB136" s="108">
        <v>98.04</v>
      </c>
      <c r="BC136" s="108">
        <v>102.16</v>
      </c>
      <c r="BD136" s="108">
        <v>64.8</v>
      </c>
    </row>
    <row r="137" spans="1:56" x14ac:dyDescent="0.6">
      <c r="A137" s="14"/>
      <c r="B137" s="15" t="s">
        <v>93</v>
      </c>
      <c r="C137" s="112">
        <v>28</v>
      </c>
      <c r="D137" s="112">
        <v>29</v>
      </c>
      <c r="E137" s="112">
        <v>28</v>
      </c>
      <c r="F137" s="113"/>
      <c r="G137" s="104"/>
      <c r="H137" s="104"/>
      <c r="I137" s="104"/>
      <c r="O137" s="114"/>
      <c r="P137" s="29"/>
      <c r="Q137" s="29"/>
      <c r="R137" s="29"/>
      <c r="S137" s="29"/>
      <c r="T137" s="29"/>
      <c r="U137" s="29"/>
      <c r="V137" s="29"/>
      <c r="W137" s="29"/>
      <c r="BB137" s="112">
        <v>28</v>
      </c>
      <c r="BC137" s="112">
        <v>28</v>
      </c>
      <c r="BD137" s="112">
        <v>29</v>
      </c>
    </row>
    <row r="138" spans="1:56" x14ac:dyDescent="0.6">
      <c r="A138" s="14"/>
      <c r="B138" s="15" t="s">
        <v>94</v>
      </c>
      <c r="C138" s="25"/>
      <c r="D138" s="25"/>
      <c r="E138" s="115" t="s">
        <v>95</v>
      </c>
      <c r="G138" s="104"/>
      <c r="H138" s="104"/>
      <c r="I138" s="104"/>
      <c r="O138" s="116"/>
      <c r="P138" s="29"/>
      <c r="Q138" s="29"/>
      <c r="R138" s="29"/>
      <c r="S138" s="29"/>
      <c r="T138" s="29"/>
      <c r="U138" s="29"/>
      <c r="V138" s="29"/>
      <c r="W138" s="29"/>
      <c r="BB138" s="115"/>
      <c r="BC138" s="115"/>
      <c r="BD138" s="115"/>
    </row>
    <row r="139" spans="1:56" x14ac:dyDescent="0.6">
      <c r="A139" s="14"/>
      <c r="B139" s="10" t="s">
        <v>96</v>
      </c>
      <c r="F139" s="104"/>
      <c r="G139" s="104"/>
      <c r="H139" s="104"/>
      <c r="I139" s="104"/>
      <c r="P139" s="29"/>
      <c r="Q139" s="29"/>
      <c r="R139" s="29"/>
      <c r="S139" s="29"/>
      <c r="T139" s="29"/>
      <c r="U139" s="29"/>
      <c r="V139" s="29"/>
      <c r="W139" s="29"/>
    </row>
    <row r="140" spans="1:56" x14ac:dyDescent="0.6">
      <c r="A140" s="2"/>
      <c r="B140" s="117" t="s">
        <v>97</v>
      </c>
      <c r="C140" s="118">
        <v>1</v>
      </c>
      <c r="D140" s="118">
        <v>1</v>
      </c>
      <c r="E140" s="118">
        <v>1</v>
      </c>
      <c r="F140" s="104"/>
      <c r="G140" s="104"/>
      <c r="H140" s="104"/>
      <c r="I140" s="104"/>
      <c r="O140" s="119"/>
      <c r="P140" s="29"/>
      <c r="Q140" s="29"/>
      <c r="R140" s="29"/>
      <c r="S140" s="29"/>
      <c r="T140" s="29"/>
      <c r="U140" s="29"/>
      <c r="V140" s="29"/>
      <c r="W140" s="29"/>
      <c r="BB140" s="118">
        <v>1</v>
      </c>
      <c r="BC140" s="118">
        <v>1</v>
      </c>
      <c r="BD140" s="118">
        <v>1</v>
      </c>
    </row>
    <row r="141" spans="1:56" x14ac:dyDescent="0.6">
      <c r="A141" s="14"/>
      <c r="B141" s="117" t="s">
        <v>98</v>
      </c>
      <c r="C141" s="118">
        <v>1</v>
      </c>
      <c r="D141" s="118">
        <v>1</v>
      </c>
      <c r="E141" s="118">
        <v>1</v>
      </c>
      <c r="F141" s="104"/>
      <c r="G141" s="104"/>
      <c r="H141" s="104"/>
      <c r="I141" s="104"/>
      <c r="O141" s="119"/>
      <c r="P141" s="29"/>
      <c r="Q141" s="29"/>
      <c r="R141" s="29"/>
      <c r="S141" s="29"/>
      <c r="T141" s="29"/>
      <c r="U141" s="29"/>
      <c r="V141" s="29"/>
      <c r="W141" s="29"/>
      <c r="BB141" s="118">
        <v>1</v>
      </c>
      <c r="BC141" s="118">
        <v>1</v>
      </c>
      <c r="BD141" s="118">
        <v>1</v>
      </c>
    </row>
    <row r="142" spans="1:56" x14ac:dyDescent="0.6">
      <c r="A142" s="14"/>
      <c r="B142" s="10"/>
    </row>
    <row r="143" spans="1:56" x14ac:dyDescent="0.6">
      <c r="A143" s="14"/>
      <c r="B143" s="11"/>
      <c r="G143" s="104"/>
    </row>
    <row r="144" spans="1:56" x14ac:dyDescent="0.6">
      <c r="A144" s="14"/>
      <c r="B144" s="11"/>
    </row>
    <row r="145" spans="1:11" x14ac:dyDescent="0.6">
      <c r="A145" s="14"/>
      <c r="C145" s="3"/>
      <c r="D145" s="3"/>
      <c r="E145" s="3"/>
      <c r="F145" s="3"/>
      <c r="G145" s="3"/>
      <c r="H145" s="3"/>
      <c r="I145" s="3"/>
      <c r="J145" s="3"/>
    </row>
    <row r="146" spans="1:11" x14ac:dyDescent="0.6">
      <c r="A146" s="14"/>
      <c r="C146" s="3"/>
      <c r="D146" s="3"/>
      <c r="E146" s="55"/>
      <c r="F146" s="120"/>
      <c r="G146" s="3"/>
    </row>
    <row r="147" spans="1:11" x14ac:dyDescent="0.6">
      <c r="A147" s="14"/>
      <c r="B147" s="30"/>
      <c r="C147" s="55"/>
      <c r="D147" s="55"/>
      <c r="E147" s="55"/>
      <c r="F147" s="55"/>
      <c r="G147" s="55"/>
      <c r="H147" s="55"/>
      <c r="I147" s="55"/>
      <c r="J147" s="55"/>
      <c r="K147" s="55"/>
    </row>
    <row r="148" spans="1:11" x14ac:dyDescent="0.6">
      <c r="A148" s="14"/>
      <c r="B148" s="53"/>
      <c r="C148" s="55"/>
      <c r="D148" s="55"/>
      <c r="E148" s="55"/>
      <c r="F148" s="55"/>
      <c r="G148" s="55"/>
      <c r="H148" s="55"/>
      <c r="I148" s="55"/>
      <c r="J148" s="55"/>
    </row>
    <row r="149" spans="1:11" x14ac:dyDescent="0.6">
      <c r="A149" s="14"/>
      <c r="B149" s="53"/>
      <c r="C149" s="55"/>
      <c r="D149" s="55"/>
      <c r="E149" s="55"/>
      <c r="F149" s="55"/>
      <c r="G149" s="55"/>
      <c r="H149" s="55"/>
      <c r="I149" s="55"/>
      <c r="J149" s="55"/>
    </row>
    <row r="150" spans="1:11" x14ac:dyDescent="0.6">
      <c r="A150" s="14"/>
      <c r="B150" s="98"/>
      <c r="C150" s="55"/>
      <c r="D150" s="55"/>
      <c r="E150" s="55"/>
      <c r="F150" s="55"/>
      <c r="G150" s="55"/>
      <c r="H150" s="55"/>
      <c r="I150" s="55"/>
      <c r="J150" s="55"/>
    </row>
    <row r="151" spans="1:11" x14ac:dyDescent="0.6">
      <c r="A151" s="14"/>
      <c r="B151" s="98"/>
      <c r="C151" s="55"/>
      <c r="D151" s="55"/>
      <c r="E151" s="55"/>
      <c r="F151" s="55"/>
      <c r="G151" s="55"/>
      <c r="H151" s="55"/>
      <c r="I151" s="55"/>
      <c r="J151" s="55"/>
    </row>
    <row r="152" spans="1:11" x14ac:dyDescent="0.6">
      <c r="A152" s="14"/>
      <c r="C152" s="55"/>
      <c r="D152" s="55"/>
      <c r="E152" s="55"/>
      <c r="F152" s="55"/>
      <c r="G152" s="55"/>
      <c r="H152" s="55"/>
      <c r="I152" s="55"/>
      <c r="J152" s="55"/>
    </row>
    <row r="153" spans="1:11" x14ac:dyDescent="0.6">
      <c r="A153" s="14"/>
      <c r="B153" s="30"/>
      <c r="C153" s="55"/>
      <c r="D153" s="55"/>
      <c r="E153" s="55"/>
      <c r="F153" s="55"/>
      <c r="G153" s="55"/>
      <c r="H153" s="55"/>
      <c r="I153" s="55"/>
      <c r="J153" s="55"/>
      <c r="K153" s="55"/>
    </row>
    <row r="154" spans="1:11" x14ac:dyDescent="0.6">
      <c r="A154" s="14"/>
      <c r="B154" s="53"/>
      <c r="C154" s="55"/>
      <c r="D154" s="55"/>
      <c r="E154" s="55"/>
      <c r="F154" s="55"/>
      <c r="G154" s="55"/>
      <c r="H154" s="55"/>
      <c r="I154" s="55"/>
      <c r="J154" s="55"/>
    </row>
    <row r="155" spans="1:11" x14ac:dyDescent="0.6">
      <c r="A155" s="14"/>
      <c r="B155" s="53"/>
      <c r="C155" s="55"/>
      <c r="D155" s="55"/>
      <c r="E155" s="55"/>
      <c r="F155" s="55"/>
      <c r="G155" s="55"/>
      <c r="H155" s="55"/>
      <c r="I155" s="55"/>
      <c r="J155" s="55"/>
    </row>
    <row r="156" spans="1:11" x14ac:dyDescent="0.6">
      <c r="A156" s="14"/>
      <c r="C156" s="55"/>
      <c r="D156" s="55"/>
      <c r="E156" s="55"/>
      <c r="F156" s="55"/>
      <c r="G156" s="55"/>
      <c r="H156" s="55"/>
      <c r="I156" s="55"/>
      <c r="J156" s="55"/>
    </row>
    <row r="157" spans="1:11" x14ac:dyDescent="0.6">
      <c r="A157" s="14"/>
      <c r="C157" s="55"/>
      <c r="D157" s="55"/>
      <c r="E157" s="55"/>
      <c r="F157" s="55"/>
      <c r="G157" s="55"/>
      <c r="H157" s="55"/>
      <c r="I157" s="55"/>
      <c r="J157" s="55"/>
      <c r="K157" s="55"/>
    </row>
    <row r="158" spans="1:11" x14ac:dyDescent="0.6">
      <c r="A158" s="14"/>
      <c r="C158" s="55"/>
      <c r="D158" s="55"/>
      <c r="E158" s="55"/>
      <c r="F158" s="55"/>
      <c r="G158" s="55"/>
      <c r="H158" s="55"/>
      <c r="I158" s="55"/>
      <c r="J158" s="55"/>
      <c r="K158" s="55"/>
    </row>
    <row r="159" spans="1:11" x14ac:dyDescent="0.6">
      <c r="A159" s="14"/>
      <c r="B159" s="10"/>
      <c r="D159" s="5"/>
      <c r="F159" s="55"/>
    </row>
    <row r="160" spans="1:11" x14ac:dyDescent="0.6">
      <c r="A160" s="14"/>
      <c r="B160" s="11"/>
      <c r="D160" s="5"/>
      <c r="F160" s="55"/>
    </row>
    <row r="161" spans="1:15" x14ac:dyDescent="0.6">
      <c r="A161" s="14"/>
      <c r="B161" s="11"/>
      <c r="E161" s="121"/>
      <c r="F161" s="55"/>
    </row>
    <row r="162" spans="1:15" x14ac:dyDescent="0.6">
      <c r="A162" s="14"/>
      <c r="C162" s="3"/>
      <c r="D162" s="3"/>
      <c r="E162" s="3"/>
      <c r="H162" s="10"/>
      <c r="I162" s="3"/>
      <c r="J162" s="3"/>
    </row>
    <row r="163" spans="1:15" x14ac:dyDescent="0.6">
      <c r="A163" s="14"/>
      <c r="C163" s="3"/>
      <c r="D163" s="3"/>
      <c r="E163" s="121"/>
      <c r="F163" s="10"/>
    </row>
    <row r="164" spans="1:15" x14ac:dyDescent="0.6">
      <c r="A164" s="14"/>
      <c r="B164" s="30"/>
      <c r="C164" s="55"/>
      <c r="D164" s="55"/>
      <c r="E164" s="122"/>
      <c r="H164" s="123"/>
    </row>
    <row r="165" spans="1:15" x14ac:dyDescent="0.6">
      <c r="A165" s="14"/>
      <c r="B165" s="53"/>
      <c r="C165" s="55"/>
      <c r="D165" s="55"/>
      <c r="E165" s="121"/>
      <c r="H165" s="87"/>
      <c r="I165" s="124"/>
      <c r="J165" s="124"/>
      <c r="K165" s="102"/>
      <c r="O165" s="125"/>
    </row>
    <row r="166" spans="1:15" x14ac:dyDescent="0.6">
      <c r="A166" s="14"/>
      <c r="B166" s="53"/>
      <c r="C166" s="55"/>
      <c r="D166" s="55"/>
      <c r="H166" s="87"/>
      <c r="I166" s="124"/>
      <c r="J166" s="124"/>
      <c r="K166" s="102"/>
    </row>
    <row r="167" spans="1:15" x14ac:dyDescent="0.6">
      <c r="A167" s="14"/>
      <c r="C167" s="55"/>
      <c r="D167" s="55"/>
      <c r="H167" s="87"/>
      <c r="I167" s="124"/>
      <c r="J167" s="124"/>
      <c r="K167" s="102"/>
    </row>
    <row r="168" spans="1:15" x14ac:dyDescent="0.6">
      <c r="A168" s="14"/>
      <c r="B168" s="30"/>
      <c r="C168" s="55"/>
      <c r="D168" s="55"/>
    </row>
    <row r="169" spans="1:15" x14ac:dyDescent="0.6">
      <c r="A169" s="14"/>
      <c r="B169" s="53"/>
      <c r="C169" s="55"/>
      <c r="D169" s="55"/>
      <c r="H169" s="123"/>
      <c r="I169" s="126"/>
      <c r="J169" s="126"/>
      <c r="K169" s="102"/>
    </row>
    <row r="170" spans="1:15" x14ac:dyDescent="0.6">
      <c r="A170" s="14"/>
      <c r="B170" s="53"/>
      <c r="C170" s="55"/>
      <c r="D170" s="55"/>
      <c r="H170" s="87"/>
      <c r="I170" s="124"/>
      <c r="J170" s="124"/>
      <c r="K170" s="102"/>
    </row>
    <row r="171" spans="1:15" x14ac:dyDescent="0.6">
      <c r="A171" s="14"/>
      <c r="B171" s="53"/>
      <c r="C171" s="55"/>
      <c r="D171" s="55"/>
    </row>
    <row r="172" spans="1:15" x14ac:dyDescent="0.6">
      <c r="A172" s="14"/>
      <c r="C172" s="55"/>
      <c r="D172" s="55"/>
    </row>
    <row r="173" spans="1:15" x14ac:dyDescent="0.6">
      <c r="A173" s="14"/>
      <c r="C173" s="55"/>
      <c r="D173" s="55"/>
    </row>
    <row r="174" spans="1:15" x14ac:dyDescent="0.6">
      <c r="A174" s="14"/>
      <c r="B174" s="127"/>
      <c r="C174" s="55"/>
      <c r="D174" s="55"/>
    </row>
    <row r="175" spans="1:15" x14ac:dyDescent="0.6">
      <c r="A175" s="14"/>
      <c r="B175" s="30"/>
      <c r="C175" s="55"/>
      <c r="D175" s="55"/>
    </row>
    <row r="176" spans="1:15" x14ac:dyDescent="0.6">
      <c r="A176" s="14"/>
      <c r="B176" s="53"/>
      <c r="C176" s="55"/>
      <c r="D176" s="55"/>
    </row>
    <row r="177" spans="1:7" x14ac:dyDescent="0.6">
      <c r="A177" s="14"/>
      <c r="B177" s="53"/>
      <c r="C177" s="55"/>
      <c r="D177" s="55"/>
    </row>
    <row r="178" spans="1:7" x14ac:dyDescent="0.6">
      <c r="A178" s="14"/>
      <c r="C178" s="55"/>
      <c r="D178" s="55"/>
    </row>
    <row r="179" spans="1:7" x14ac:dyDescent="0.6">
      <c r="A179" s="14"/>
      <c r="B179" s="30"/>
      <c r="C179" s="55"/>
      <c r="D179" s="55"/>
    </row>
    <row r="180" spans="1:7" x14ac:dyDescent="0.6">
      <c r="A180" s="14"/>
      <c r="B180" s="53"/>
      <c r="C180" s="55"/>
      <c r="D180" s="55"/>
    </row>
    <row r="181" spans="1:7" x14ac:dyDescent="0.6">
      <c r="A181" s="14"/>
      <c r="B181" s="53"/>
      <c r="C181" s="55"/>
      <c r="D181" s="55"/>
    </row>
    <row r="182" spans="1:7" x14ac:dyDescent="0.6">
      <c r="A182" s="14"/>
      <c r="B182" s="53"/>
      <c r="C182" s="55"/>
      <c r="D182" s="55"/>
    </row>
    <row r="183" spans="1:7" x14ac:dyDescent="0.6">
      <c r="A183" s="14"/>
      <c r="C183" s="55"/>
      <c r="D183" s="55"/>
    </row>
    <row r="184" spans="1:7" x14ac:dyDescent="0.6">
      <c r="A184" s="14"/>
      <c r="C184" s="128"/>
      <c r="D184" s="128"/>
    </row>
    <row r="185" spans="1:7" x14ac:dyDescent="0.6">
      <c r="A185" s="14"/>
      <c r="B185" s="10"/>
      <c r="C185" s="55"/>
      <c r="D185" s="55"/>
    </row>
    <row r="186" spans="1:7" x14ac:dyDescent="0.6">
      <c r="A186" s="14"/>
      <c r="B186" s="87"/>
      <c r="C186" s="129"/>
      <c r="G186" s="130"/>
    </row>
    <row r="187" spans="1:7" x14ac:dyDescent="0.6">
      <c r="A187" s="14"/>
      <c r="C187" s="87"/>
      <c r="D187" s="104"/>
    </row>
    <row r="188" spans="1:7" x14ac:dyDescent="0.6">
      <c r="A188" s="14"/>
      <c r="C188" s="87"/>
      <c r="D188" s="104"/>
    </row>
    <row r="189" spans="1:7" x14ac:dyDescent="0.6">
      <c r="A189" s="14"/>
    </row>
    <row r="190" spans="1:7" x14ac:dyDescent="0.6">
      <c r="A190" s="14"/>
      <c r="E190" s="126"/>
    </row>
    <row r="191" spans="1:7" x14ac:dyDescent="0.6">
      <c r="A191" s="2"/>
      <c r="B191" s="10"/>
    </row>
    <row r="192" spans="1:7" x14ac:dyDescent="0.6">
      <c r="A192" s="14"/>
      <c r="B192" s="10"/>
    </row>
    <row r="193" spans="1:13" x14ac:dyDescent="0.6">
      <c r="A193" s="14"/>
      <c r="B193" s="10"/>
    </row>
    <row r="194" spans="1:13" x14ac:dyDescent="0.6">
      <c r="A194" s="14"/>
      <c r="B194" s="11"/>
    </row>
    <row r="195" spans="1:13" x14ac:dyDescent="0.6">
      <c r="A195" s="14"/>
      <c r="B195" s="10"/>
    </row>
    <row r="196" spans="1:13" x14ac:dyDescent="0.6">
      <c r="A196" s="14"/>
      <c r="C196" s="3"/>
      <c r="D196" s="3"/>
      <c r="E196" s="3"/>
      <c r="F196" s="3"/>
      <c r="G196" s="3"/>
      <c r="H196" s="3"/>
      <c r="I196" s="3"/>
      <c r="J196" s="3"/>
    </row>
    <row r="197" spans="1:13" x14ac:dyDescent="0.6">
      <c r="A197" s="14"/>
      <c r="C197" s="3"/>
      <c r="D197" s="3"/>
      <c r="E197" s="3"/>
      <c r="F197" s="3"/>
      <c r="G197" s="3"/>
    </row>
    <row r="198" spans="1:13" x14ac:dyDescent="0.6">
      <c r="A198" s="14"/>
      <c r="B198" s="30"/>
      <c r="E198" s="131"/>
      <c r="F198" s="132"/>
      <c r="G198" s="132"/>
      <c r="H198" s="132"/>
      <c r="I198" s="131"/>
      <c r="J198" s="131"/>
      <c r="K198" s="133"/>
      <c r="L198" s="133"/>
      <c r="M198" s="133"/>
    </row>
    <row r="199" spans="1:13" x14ac:dyDescent="0.6">
      <c r="A199" s="14"/>
      <c r="B199" s="53"/>
      <c r="C199" s="134"/>
      <c r="D199" s="135"/>
      <c r="E199" s="132"/>
      <c r="F199" s="131"/>
      <c r="G199" s="131"/>
      <c r="H199" s="131"/>
      <c r="I199" s="5"/>
      <c r="J199" s="136"/>
      <c r="K199" s="133"/>
      <c r="L199" s="133"/>
      <c r="M199" s="133"/>
    </row>
    <row r="200" spans="1:13" x14ac:dyDescent="0.6">
      <c r="A200" s="14"/>
      <c r="B200" s="53"/>
      <c r="C200" s="134"/>
      <c r="D200" s="135"/>
      <c r="E200" s="132"/>
      <c r="F200" s="131"/>
      <c r="G200" s="131"/>
      <c r="H200" s="137"/>
      <c r="I200" s="5"/>
      <c r="J200" s="136"/>
      <c r="K200" s="138"/>
      <c r="L200" s="133"/>
      <c r="M200" s="133"/>
    </row>
    <row r="201" spans="1:13" x14ac:dyDescent="0.6">
      <c r="A201" s="14"/>
      <c r="E201" s="134"/>
      <c r="F201" s="135"/>
      <c r="G201" s="135"/>
      <c r="L201" s="133"/>
      <c r="M201" s="133"/>
    </row>
    <row r="202" spans="1:13" x14ac:dyDescent="0.6">
      <c r="A202" s="14"/>
      <c r="B202" s="139"/>
      <c r="C202" s="132"/>
      <c r="D202" s="132"/>
      <c r="E202" s="134"/>
      <c r="F202" s="135"/>
      <c r="G202" s="135"/>
      <c r="H202" s="135"/>
      <c r="I202" s="135"/>
      <c r="J202" s="135"/>
      <c r="K202" s="133"/>
      <c r="L202" s="133"/>
      <c r="M202" s="133"/>
    </row>
    <row r="203" spans="1:13" x14ac:dyDescent="0.6">
      <c r="A203" s="2"/>
      <c r="B203" s="139"/>
      <c r="C203" s="140"/>
      <c r="D203" s="140"/>
      <c r="E203" s="7"/>
      <c r="F203" s="135"/>
      <c r="G203" s="135"/>
      <c r="H203" s="135"/>
      <c r="I203" s="135"/>
      <c r="J203" s="135"/>
      <c r="K203" s="133"/>
      <c r="L203" s="133"/>
      <c r="M203" s="133"/>
    </row>
    <row r="204" spans="1:13" x14ac:dyDescent="0.6">
      <c r="A204" s="2"/>
      <c r="B204" s="139"/>
      <c r="C204" s="140"/>
      <c r="D204" s="140"/>
      <c r="E204" s="7"/>
      <c r="F204" s="135"/>
      <c r="G204" s="135"/>
      <c r="H204" s="135"/>
      <c r="I204" s="135"/>
      <c r="J204" s="135"/>
      <c r="K204" s="133"/>
      <c r="L204" s="133"/>
      <c r="M204" s="133"/>
    </row>
    <row r="205" spans="1:13" x14ac:dyDescent="0.6">
      <c r="A205" s="14"/>
      <c r="G205" s="135"/>
      <c r="H205" s="135"/>
      <c r="I205" s="135"/>
      <c r="J205" s="135"/>
      <c r="K205" s="133"/>
      <c r="L205" s="133"/>
      <c r="M205" s="133"/>
    </row>
    <row r="206" spans="1:13" x14ac:dyDescent="0.6">
      <c r="A206" s="14"/>
      <c r="H206" s="135"/>
      <c r="I206" s="135"/>
      <c r="J206" s="135"/>
      <c r="K206" s="133"/>
      <c r="L206" s="133"/>
      <c r="M206" s="133"/>
    </row>
    <row r="207" spans="1:13" x14ac:dyDescent="0.6">
      <c r="A207" s="14"/>
      <c r="C207" s="135"/>
      <c r="D207" s="135"/>
      <c r="E207" s="135"/>
      <c r="F207" s="135"/>
      <c r="G207" s="135"/>
      <c r="H207" s="135"/>
      <c r="I207" s="135"/>
      <c r="J207" s="135"/>
      <c r="K207" s="133"/>
      <c r="L207" s="133"/>
      <c r="M207" s="133"/>
    </row>
    <row r="208" spans="1:13" x14ac:dyDescent="0.6">
      <c r="A208" s="14"/>
      <c r="B208" s="30"/>
      <c r="C208" s="132"/>
      <c r="D208" s="132"/>
      <c r="E208" s="131"/>
      <c r="F208" s="132"/>
      <c r="G208" s="132"/>
      <c r="H208" s="132"/>
      <c r="I208" s="131"/>
      <c r="J208" s="131"/>
      <c r="K208" s="133"/>
      <c r="L208" s="133"/>
      <c r="M208" s="133"/>
    </row>
    <row r="209" spans="1:13" x14ac:dyDescent="0.6">
      <c r="A209" s="14"/>
      <c r="B209" s="53"/>
      <c r="C209" s="135"/>
      <c r="D209" s="135"/>
      <c r="E209" s="132"/>
      <c r="F209" s="135"/>
      <c r="G209" s="135"/>
      <c r="H209" s="135"/>
      <c r="J209" s="136"/>
      <c r="K209" s="133"/>
      <c r="L209" s="133"/>
      <c r="M209" s="133"/>
    </row>
    <row r="210" spans="1:13" x14ac:dyDescent="0.6">
      <c r="A210" s="14"/>
      <c r="B210" s="53"/>
      <c r="C210" s="135"/>
      <c r="D210" s="135"/>
      <c r="E210" s="132"/>
      <c r="F210" s="135"/>
      <c r="G210" s="135"/>
      <c r="J210" s="136"/>
      <c r="K210" s="138"/>
      <c r="L210" s="133"/>
      <c r="M210" s="133"/>
    </row>
    <row r="211" spans="1:13" x14ac:dyDescent="0.6">
      <c r="A211" s="14"/>
      <c r="C211" s="135"/>
      <c r="D211" s="135"/>
      <c r="E211" s="135"/>
      <c r="F211" s="135"/>
      <c r="G211" s="135"/>
      <c r="K211" s="133"/>
      <c r="L211" s="133"/>
      <c r="M211" s="133"/>
    </row>
    <row r="212" spans="1:13" x14ac:dyDescent="0.6">
      <c r="A212" s="14"/>
      <c r="C212" s="131"/>
      <c r="D212" s="131"/>
      <c r="E212" s="131"/>
      <c r="F212" s="131"/>
      <c r="G212" s="131"/>
      <c r="H212" s="131"/>
      <c r="I212" s="131"/>
      <c r="J212" s="131"/>
      <c r="K212" s="133"/>
      <c r="L212" s="133"/>
      <c r="M212" s="133"/>
    </row>
    <row r="213" spans="1:13" x14ac:dyDescent="0.6">
      <c r="A213" s="14"/>
    </row>
    <row r="214" spans="1:13" x14ac:dyDescent="0.6">
      <c r="A214" s="14"/>
    </row>
    <row r="215" spans="1:13" x14ac:dyDescent="0.6">
      <c r="A215" s="14"/>
      <c r="B215" s="10"/>
    </row>
    <row r="216" spans="1:13" x14ac:dyDescent="0.6">
      <c r="A216" s="14"/>
      <c r="B216" s="11"/>
    </row>
    <row r="217" spans="1:13" x14ac:dyDescent="0.6">
      <c r="A217" s="14"/>
      <c r="B217" s="5"/>
    </row>
    <row r="218" spans="1:13" x14ac:dyDescent="0.6">
      <c r="A218" s="14"/>
      <c r="C218" s="3"/>
      <c r="D218" s="3"/>
      <c r="E218" s="3"/>
      <c r="F218" s="3"/>
      <c r="H218" s="10"/>
    </row>
    <row r="219" spans="1:13" x14ac:dyDescent="0.6">
      <c r="A219" s="14"/>
      <c r="C219" s="3"/>
      <c r="D219" s="141"/>
      <c r="E219" s="3"/>
      <c r="F219" s="141"/>
    </row>
    <row r="220" spans="1:13" x14ac:dyDescent="0.6">
      <c r="A220" s="14"/>
      <c r="B220" s="30"/>
      <c r="C220" s="132"/>
      <c r="D220" s="138"/>
      <c r="E220" s="137"/>
      <c r="F220" s="137"/>
      <c r="H220" s="123"/>
    </row>
    <row r="221" spans="1:13" x14ac:dyDescent="0.6">
      <c r="A221" s="14"/>
      <c r="B221" s="53"/>
      <c r="C221" s="131"/>
      <c r="D221" s="138"/>
      <c r="E221" s="132"/>
      <c r="F221" s="138"/>
      <c r="H221" s="87"/>
      <c r="I221" s="142"/>
      <c r="J221" s="142"/>
      <c r="K221" s="102"/>
    </row>
    <row r="222" spans="1:13" x14ac:dyDescent="0.6">
      <c r="A222" s="14"/>
      <c r="B222" s="53"/>
      <c r="C222" s="131"/>
      <c r="D222" s="138"/>
      <c r="E222" s="132"/>
      <c r="F222" s="138"/>
      <c r="H222" s="87"/>
      <c r="I222" s="142"/>
      <c r="J222" s="142"/>
      <c r="K222" s="102"/>
    </row>
    <row r="223" spans="1:13" x14ac:dyDescent="0.6">
      <c r="A223" s="14"/>
      <c r="C223" s="131"/>
      <c r="D223" s="138"/>
      <c r="E223" s="131"/>
      <c r="F223" s="138"/>
      <c r="H223" s="87"/>
      <c r="I223" s="142"/>
      <c r="J223" s="142"/>
      <c r="K223" s="102"/>
    </row>
    <row r="224" spans="1:13" x14ac:dyDescent="0.6">
      <c r="A224" s="14"/>
      <c r="B224" s="30"/>
      <c r="C224" s="132"/>
      <c r="D224" s="138"/>
      <c r="E224" s="132"/>
      <c r="F224" s="138"/>
    </row>
    <row r="225" spans="1:11" x14ac:dyDescent="0.6">
      <c r="A225" s="14"/>
      <c r="B225" s="53"/>
      <c r="C225" s="131"/>
      <c r="D225" s="137"/>
      <c r="E225" s="132"/>
      <c r="F225" s="138"/>
      <c r="H225" s="123"/>
      <c r="I225" s="126"/>
      <c r="J225" s="126"/>
    </row>
    <row r="226" spans="1:11" x14ac:dyDescent="0.6">
      <c r="A226" s="14"/>
      <c r="B226" s="53"/>
      <c r="C226" s="131"/>
      <c r="D226" s="137"/>
      <c r="E226" s="132"/>
      <c r="F226" s="138"/>
      <c r="H226" s="87"/>
      <c r="I226" s="142"/>
      <c r="J226" s="142"/>
      <c r="K226" s="102"/>
    </row>
    <row r="227" spans="1:11" x14ac:dyDescent="0.6">
      <c r="A227" s="14"/>
      <c r="C227" s="131"/>
      <c r="D227" s="137"/>
      <c r="E227" s="131"/>
      <c r="F227" s="137"/>
    </row>
    <row r="228" spans="1:11" x14ac:dyDescent="0.6">
      <c r="A228" s="14"/>
      <c r="C228" s="131"/>
      <c r="D228" s="137"/>
      <c r="E228" s="131"/>
      <c r="F228" s="137"/>
    </row>
    <row r="229" spans="1:11" x14ac:dyDescent="0.6">
      <c r="A229" s="14"/>
      <c r="C229" s="133"/>
      <c r="E229" s="133"/>
    </row>
    <row r="230" spans="1:11" x14ac:dyDescent="0.6">
      <c r="A230" s="14"/>
      <c r="C230" s="133"/>
      <c r="E230" s="133"/>
    </row>
    <row r="232" spans="1:11" x14ac:dyDescent="0.6">
      <c r="A232" s="10"/>
      <c r="E232" s="101"/>
    </row>
    <row r="233" spans="1:11" x14ac:dyDescent="0.6">
      <c r="A233" s="14"/>
      <c r="B233" s="87"/>
      <c r="C233" s="122"/>
      <c r="D233" s="102"/>
      <c r="E233" s="6"/>
    </row>
    <row r="234" spans="1:11" x14ac:dyDescent="0.6">
      <c r="A234" s="14"/>
      <c r="B234" s="87"/>
      <c r="C234" s="122"/>
      <c r="D234" s="102"/>
      <c r="E234" s="6"/>
    </row>
    <row r="235" spans="1:11" x14ac:dyDescent="0.6">
      <c r="A235" s="14"/>
      <c r="B235" s="87"/>
    </row>
    <row r="236" spans="1:11" x14ac:dyDescent="0.6">
      <c r="A236" s="14"/>
      <c r="B236" s="87"/>
      <c r="C236" s="122"/>
      <c r="D236" s="102"/>
      <c r="E236" s="103"/>
    </row>
    <row r="237" spans="1:11" x14ac:dyDescent="0.6">
      <c r="A237" s="14"/>
      <c r="B237" s="87"/>
      <c r="C237" s="143"/>
      <c r="E237" s="103"/>
    </row>
    <row r="238" spans="1:11" x14ac:dyDescent="0.6">
      <c r="A238" s="14"/>
      <c r="B238" s="87"/>
      <c r="C238" s="143"/>
      <c r="E238" s="103"/>
    </row>
    <row r="239" spans="1:11" x14ac:dyDescent="0.6">
      <c r="A239" s="14"/>
      <c r="B239" s="87"/>
      <c r="C239" s="144"/>
    </row>
    <row r="240" spans="1:11" x14ac:dyDescent="0.6">
      <c r="A240" s="14"/>
      <c r="B240" s="87"/>
      <c r="C240" s="5"/>
    </row>
    <row r="241" spans="1:13" x14ac:dyDescent="0.6">
      <c r="A241" s="14"/>
      <c r="B241" s="87"/>
      <c r="C241" s="7"/>
    </row>
    <row r="242" spans="1:13" x14ac:dyDescent="0.6">
      <c r="A242" s="14"/>
      <c r="B242" s="87"/>
      <c r="C242" s="6"/>
    </row>
    <row r="243" spans="1:13" x14ac:dyDescent="0.6">
      <c r="A243" s="14"/>
      <c r="B243" s="87"/>
    </row>
    <row r="244" spans="1:13" x14ac:dyDescent="0.6">
      <c r="A244" s="14"/>
      <c r="B244" s="87"/>
    </row>
    <row r="245" spans="1:13" x14ac:dyDescent="0.6">
      <c r="A245" s="14"/>
      <c r="B245" s="87"/>
    </row>
    <row r="247" spans="1:13" x14ac:dyDescent="0.6">
      <c r="B247" s="87"/>
    </row>
    <row r="248" spans="1:13" x14ac:dyDescent="0.6">
      <c r="A248" s="14"/>
      <c r="C248" s="133"/>
      <c r="E248" s="133"/>
    </row>
    <row r="249" spans="1:13" x14ac:dyDescent="0.6">
      <c r="A249" s="14"/>
      <c r="C249" s="133"/>
      <c r="E249" s="133"/>
    </row>
    <row r="250" spans="1:13" x14ac:dyDescent="0.6">
      <c r="A250" s="14"/>
      <c r="C250" s="133"/>
      <c r="E250" s="133"/>
    </row>
    <row r="251" spans="1:13" x14ac:dyDescent="0.6">
      <c r="A251" s="2"/>
      <c r="B251" s="10"/>
    </row>
    <row r="252" spans="1:13" x14ac:dyDescent="0.6">
      <c r="A252" s="14"/>
      <c r="B252" s="10"/>
    </row>
    <row r="253" spans="1:13" x14ac:dyDescent="0.6">
      <c r="A253" s="14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</row>
    <row r="254" spans="1:13" x14ac:dyDescent="0.6">
      <c r="A254" s="14"/>
    </row>
    <row r="255" spans="1:13" x14ac:dyDescent="0.6">
      <c r="A255" s="14"/>
      <c r="B255" s="39"/>
      <c r="C255" s="145"/>
      <c r="D255" s="145"/>
      <c r="E255" s="129"/>
      <c r="F255" s="129"/>
      <c r="G255" s="129"/>
      <c r="H255" s="129"/>
      <c r="I255" s="129"/>
      <c r="J255" s="129"/>
      <c r="K255" s="129"/>
      <c r="L255" s="129"/>
      <c r="M255" s="129"/>
    </row>
    <row r="256" spans="1:13" x14ac:dyDescent="0.6">
      <c r="A256" s="14"/>
      <c r="B256" s="39"/>
      <c r="C256" s="129"/>
      <c r="D256" s="129"/>
      <c r="E256" s="129"/>
      <c r="F256" s="129"/>
      <c r="G256" s="129"/>
      <c r="H256" s="129"/>
      <c r="I256" s="129"/>
      <c r="J256" s="129"/>
      <c r="K256" s="129"/>
      <c r="L256" s="129"/>
      <c r="M256" s="129"/>
    </row>
    <row r="257" spans="1:13" x14ac:dyDescent="0.6">
      <c r="A257" s="14"/>
      <c r="B257" s="39"/>
      <c r="C257" s="130"/>
      <c r="D257" s="130"/>
      <c r="E257" s="130"/>
      <c r="F257" s="130"/>
      <c r="G257" s="130"/>
      <c r="H257" s="130"/>
      <c r="I257" s="130"/>
      <c r="J257" s="129"/>
      <c r="K257" s="129"/>
      <c r="L257" s="129"/>
      <c r="M257" s="129"/>
    </row>
    <row r="258" spans="1:13" x14ac:dyDescent="0.6">
      <c r="A258" s="14"/>
      <c r="B258" s="39"/>
    </row>
    <row r="259" spans="1:13" x14ac:dyDescent="0.6">
      <c r="A259" s="14"/>
    </row>
    <row r="260" spans="1:13" x14ac:dyDescent="0.6">
      <c r="A260" s="14"/>
      <c r="B260" s="39"/>
      <c r="C260" s="146"/>
      <c r="D260" s="146"/>
      <c r="E260" s="146"/>
      <c r="F260" s="146"/>
      <c r="G260" s="146"/>
      <c r="H260" s="146"/>
      <c r="I260" s="146"/>
      <c r="J260" s="146"/>
      <c r="K260" s="146"/>
      <c r="L260" s="146"/>
      <c r="M260" s="146"/>
    </row>
    <row r="261" spans="1:13" x14ac:dyDescent="0.6">
      <c r="A261" s="14"/>
      <c r="B261" s="39"/>
      <c r="C261" s="146"/>
      <c r="D261" s="146"/>
      <c r="E261" s="146"/>
      <c r="F261" s="146"/>
      <c r="G261" s="146"/>
      <c r="H261" s="146"/>
      <c r="I261" s="146"/>
      <c r="J261" s="146"/>
      <c r="K261" s="146"/>
      <c r="L261" s="146"/>
      <c r="M261" s="146"/>
    </row>
    <row r="262" spans="1:13" x14ac:dyDescent="0.6">
      <c r="A262" s="14"/>
    </row>
    <row r="263" spans="1:13" x14ac:dyDescent="0.6">
      <c r="A263" s="14"/>
    </row>
    <row r="264" spans="1:13" x14ac:dyDescent="0.6">
      <c r="A264" s="14"/>
      <c r="B264" s="39"/>
      <c r="C264" s="147"/>
    </row>
    <row r="265" spans="1:13" x14ac:dyDescent="0.6">
      <c r="A265" s="14"/>
      <c r="B265" s="39"/>
      <c r="C265" s="147"/>
    </row>
    <row r="266" spans="1:13" x14ac:dyDescent="0.6">
      <c r="A266" s="14"/>
      <c r="B266" s="39"/>
      <c r="C266" s="130"/>
      <c r="D266" s="125"/>
    </row>
    <row r="267" spans="1:13" x14ac:dyDescent="0.6">
      <c r="A267" s="14"/>
      <c r="L267" s="148"/>
    </row>
    <row r="268" spans="1:13" x14ac:dyDescent="0.6">
      <c r="A268" s="14"/>
      <c r="K268" s="39"/>
    </row>
    <row r="269" spans="1:13" x14ac:dyDescent="0.6">
      <c r="A269" s="14"/>
      <c r="B269" s="39"/>
      <c r="C269" s="146"/>
      <c r="E269" s="101"/>
      <c r="K269" s="39"/>
      <c r="L269" s="67"/>
      <c r="M269" s="149"/>
    </row>
    <row r="270" spans="1:13" x14ac:dyDescent="0.6">
      <c r="A270" s="14"/>
      <c r="B270" s="39"/>
      <c r="C270" s="146"/>
      <c r="E270" s="101"/>
      <c r="K270" s="39"/>
      <c r="L270" s="67"/>
      <c r="M270" s="149"/>
    </row>
    <row r="271" spans="1:13" x14ac:dyDescent="0.6">
      <c r="A271" s="14"/>
    </row>
    <row r="272" spans="1:13" x14ac:dyDescent="0.6">
      <c r="A272" s="14"/>
      <c r="C272" s="133"/>
      <c r="E272" s="133"/>
    </row>
    <row r="273" spans="1:12" x14ac:dyDescent="0.6">
      <c r="A273" s="2"/>
      <c r="B273" s="10"/>
      <c r="C273" s="133"/>
      <c r="E273" s="133"/>
    </row>
    <row r="274" spans="1:12" x14ac:dyDescent="0.6">
      <c r="A274" s="14"/>
      <c r="C274" s="133"/>
      <c r="E274" s="133"/>
    </row>
    <row r="275" spans="1:12" x14ac:dyDescent="0.6">
      <c r="A275" s="14"/>
      <c r="B275" s="87"/>
      <c r="C275" s="55"/>
      <c r="E275" s="150"/>
    </row>
    <row r="276" spans="1:12" x14ac:dyDescent="0.6">
      <c r="A276" s="14"/>
      <c r="B276" s="87"/>
      <c r="C276" s="151"/>
      <c r="E276" s="133"/>
    </row>
    <row r="277" spans="1:12" x14ac:dyDescent="0.6">
      <c r="A277" s="14"/>
      <c r="B277" s="87"/>
      <c r="C277" s="151"/>
      <c r="E277" s="133"/>
    </row>
    <row r="278" spans="1:12" x14ac:dyDescent="0.6">
      <c r="A278" s="14"/>
      <c r="C278" s="133"/>
      <c r="E278" s="133"/>
    </row>
    <row r="279" spans="1:12" x14ac:dyDescent="0.6">
      <c r="A279" s="14"/>
      <c r="C279" s="3"/>
      <c r="D279" s="3"/>
      <c r="E279" s="3"/>
      <c r="F279" s="3"/>
      <c r="G279" s="3"/>
      <c r="H279" s="3"/>
      <c r="I279" s="3"/>
      <c r="J279" s="3"/>
      <c r="K279" s="3"/>
      <c r="L279" s="3"/>
    </row>
    <row r="280" spans="1:12" x14ac:dyDescent="0.6">
      <c r="A280" s="14"/>
    </row>
    <row r="281" spans="1:12" x14ac:dyDescent="0.6">
      <c r="A281" s="14"/>
      <c r="B281" s="39"/>
      <c r="C281" s="129"/>
      <c r="D281" s="129"/>
      <c r="E281" s="152"/>
      <c r="F281" s="129"/>
      <c r="G281" s="129"/>
      <c r="H281" s="129"/>
      <c r="I281" s="129"/>
      <c r="J281" s="129"/>
      <c r="K281" s="152"/>
      <c r="L281" s="152"/>
    </row>
    <row r="282" spans="1:12" x14ac:dyDescent="0.6">
      <c r="A282" s="14"/>
      <c r="B282" s="39"/>
      <c r="C282" s="129"/>
      <c r="D282" s="129"/>
      <c r="E282" s="152"/>
      <c r="F282" s="129"/>
      <c r="G282" s="129"/>
      <c r="H282" s="129"/>
      <c r="I282" s="129"/>
      <c r="J282" s="129"/>
      <c r="K282" s="152"/>
      <c r="L282" s="152"/>
    </row>
    <row r="283" spans="1:12" x14ac:dyDescent="0.6">
      <c r="A283" s="14"/>
      <c r="B283" s="39"/>
      <c r="C283" s="130"/>
      <c r="D283" s="130"/>
      <c r="E283" s="130"/>
      <c r="F283" s="130"/>
      <c r="G283" s="130"/>
      <c r="H283" s="130"/>
      <c r="I283" s="130"/>
      <c r="J283" s="130"/>
      <c r="K283" s="130"/>
      <c r="L283" s="130"/>
    </row>
    <row r="284" spans="1:12" x14ac:dyDescent="0.6">
      <c r="A284" s="14"/>
      <c r="B284" s="39"/>
      <c r="C284" s="130"/>
      <c r="D284" s="130"/>
      <c r="E284" s="130"/>
      <c r="F284" s="130"/>
      <c r="G284" s="130"/>
      <c r="H284" s="130"/>
      <c r="I284" s="130"/>
      <c r="J284" s="130"/>
      <c r="K284" s="130"/>
      <c r="L284" s="130"/>
    </row>
    <row r="285" spans="1:12" x14ac:dyDescent="0.6">
      <c r="A285" s="14"/>
      <c r="B285" s="39"/>
      <c r="C285" s="130"/>
      <c r="D285" s="130"/>
      <c r="E285" s="130"/>
      <c r="F285" s="130"/>
      <c r="G285" s="130"/>
      <c r="H285" s="130"/>
      <c r="I285" s="130"/>
      <c r="J285" s="130"/>
      <c r="K285" s="130"/>
      <c r="L285" s="130"/>
    </row>
    <row r="286" spans="1:12" x14ac:dyDescent="0.6">
      <c r="A286" s="14"/>
      <c r="B286" s="39"/>
      <c r="C286" s="130"/>
      <c r="E286" s="133"/>
    </row>
    <row r="287" spans="1:12" x14ac:dyDescent="0.6">
      <c r="A287" s="14"/>
      <c r="B287" s="39"/>
      <c r="C287" s="130"/>
      <c r="E287" s="133"/>
    </row>
    <row r="288" spans="1:12" x14ac:dyDescent="0.6">
      <c r="A288" s="14"/>
      <c r="B288" s="39"/>
      <c r="C288" s="133"/>
      <c r="E288" s="133"/>
    </row>
    <row r="289" spans="1:12" x14ac:dyDescent="0.6">
      <c r="A289" s="14"/>
      <c r="C289" s="3"/>
      <c r="D289" s="3"/>
      <c r="E289" s="3"/>
      <c r="F289" s="3"/>
      <c r="G289" s="3"/>
      <c r="H289" s="3"/>
      <c r="I289" s="3"/>
      <c r="J289" s="3"/>
      <c r="K289" s="3"/>
      <c r="L289" s="3"/>
    </row>
    <row r="290" spans="1:12" x14ac:dyDescent="0.6">
      <c r="A290" s="14"/>
    </row>
    <row r="291" spans="1:12" x14ac:dyDescent="0.6">
      <c r="A291" s="14"/>
      <c r="B291" s="39"/>
      <c r="C291" s="129"/>
      <c r="D291" s="129"/>
      <c r="E291" s="129"/>
      <c r="F291" s="129"/>
      <c r="G291" s="129"/>
      <c r="H291" s="129"/>
      <c r="I291" s="129"/>
      <c r="J291" s="129"/>
      <c r="K291" s="129"/>
      <c r="L291" s="129"/>
    </row>
    <row r="292" spans="1:12" x14ac:dyDescent="0.6">
      <c r="A292" s="14"/>
      <c r="B292" s="39"/>
      <c r="C292" s="129"/>
      <c r="D292" s="129"/>
      <c r="E292" s="129"/>
      <c r="F292" s="129"/>
      <c r="G292" s="129"/>
      <c r="H292" s="129"/>
      <c r="I292" s="129"/>
      <c r="J292" s="129"/>
      <c r="K292" s="129"/>
      <c r="L292" s="129"/>
    </row>
    <row r="293" spans="1:12" x14ac:dyDescent="0.6">
      <c r="A293" s="14"/>
      <c r="B293" s="39"/>
      <c r="C293" s="130"/>
      <c r="D293" s="130"/>
      <c r="E293" s="130"/>
      <c r="F293" s="130"/>
      <c r="G293" s="130"/>
      <c r="H293" s="130"/>
      <c r="I293" s="130"/>
      <c r="J293" s="129"/>
      <c r="K293" s="129"/>
      <c r="L293" s="129"/>
    </row>
    <row r="294" spans="1:12" x14ac:dyDescent="0.6">
      <c r="A294" s="14"/>
      <c r="C294" s="133"/>
      <c r="D294" s="133"/>
      <c r="E294" s="133"/>
      <c r="F294" s="133"/>
      <c r="G294" s="133"/>
      <c r="H294" s="133"/>
      <c r="I294" s="133"/>
      <c r="J294" s="133"/>
      <c r="K294" s="133"/>
      <c r="L294" s="133"/>
    </row>
    <row r="295" spans="1:12" x14ac:dyDescent="0.6">
      <c r="A295" s="14"/>
      <c r="B295" s="39"/>
      <c r="C295" s="130"/>
    </row>
    <row r="296" spans="1:12" x14ac:dyDescent="0.6">
      <c r="A296" s="14"/>
      <c r="B296" s="39"/>
      <c r="C296" s="130"/>
    </row>
    <row r="297" spans="1:12" x14ac:dyDescent="0.6">
      <c r="A297" s="14"/>
      <c r="B297" s="39"/>
      <c r="C297" s="130"/>
    </row>
    <row r="298" spans="1:12" x14ac:dyDescent="0.6">
      <c r="A298" s="14"/>
      <c r="C298" s="133"/>
      <c r="E298" s="133"/>
    </row>
    <row r="299" spans="1:12" x14ac:dyDescent="0.6">
      <c r="B299" s="87"/>
      <c r="C299" s="130"/>
    </row>
    <row r="303" spans="1:12" x14ac:dyDescent="0.6">
      <c r="A303" s="2"/>
      <c r="B303" s="10"/>
      <c r="C303" s="100"/>
    </row>
    <row r="304" spans="1:12" x14ac:dyDescent="0.6">
      <c r="B304" s="11"/>
    </row>
    <row r="305" spans="1:10" x14ac:dyDescent="0.6">
      <c r="B305" s="39"/>
      <c r="C305" s="42"/>
    </row>
    <row r="306" spans="1:10" x14ac:dyDescent="0.6">
      <c r="B306" s="39"/>
      <c r="C306" s="153"/>
    </row>
    <row r="307" spans="1:10" x14ac:dyDescent="0.6">
      <c r="B307" s="39"/>
      <c r="C307" s="42"/>
    </row>
    <row r="309" spans="1:10" hidden="1" outlineLevel="1" x14ac:dyDescent="0.6">
      <c r="A309" s="154"/>
    </row>
    <row r="310" spans="1:10" hidden="1" outlineLevel="1" x14ac:dyDescent="0.6">
      <c r="A310" s="2"/>
      <c r="B310" s="10"/>
    </row>
    <row r="311" spans="1:10" hidden="1" outlineLevel="1" x14ac:dyDescent="0.6"/>
    <row r="312" spans="1:10" hidden="1" outlineLevel="1" x14ac:dyDescent="0.6">
      <c r="A312" s="1"/>
      <c r="C312" s="155"/>
      <c r="D312" s="155"/>
      <c r="E312" s="155"/>
    </row>
    <row r="313" spans="1:10" hidden="1" outlineLevel="1" x14ac:dyDescent="0.6">
      <c r="A313" s="1"/>
      <c r="C313" s="144"/>
      <c r="D313" s="144"/>
      <c r="E313" s="144"/>
    </row>
    <row r="314" spans="1:10" hidden="1" outlineLevel="1" x14ac:dyDescent="0.6">
      <c r="A314" s="1"/>
      <c r="C314" s="122"/>
      <c r="D314" s="122"/>
      <c r="E314" s="122"/>
      <c r="F314" s="122"/>
      <c r="G314" s="122"/>
    </row>
    <row r="315" spans="1:10" hidden="1" outlineLevel="1" x14ac:dyDescent="0.6">
      <c r="A315" s="1"/>
    </row>
    <row r="316" spans="1:10" hidden="1" outlineLevel="1" x14ac:dyDescent="0.6">
      <c r="A316" s="1"/>
      <c r="C316" s="122"/>
      <c r="D316" s="122"/>
      <c r="E316" s="122"/>
      <c r="F316" s="122"/>
    </row>
    <row r="317" spans="1:10" hidden="1" outlineLevel="1" x14ac:dyDescent="0.6">
      <c r="A317" s="1"/>
    </row>
    <row r="318" spans="1:10" hidden="1" outlineLevel="1" x14ac:dyDescent="0.6">
      <c r="A318" s="1"/>
      <c r="C318" s="3"/>
      <c r="D318" s="3"/>
      <c r="E318" s="3"/>
      <c r="F318" s="3"/>
      <c r="G318" s="3"/>
      <c r="H318" s="3"/>
      <c r="I318" s="3"/>
      <c r="J318" s="3"/>
    </row>
    <row r="319" spans="1:10" hidden="1" outlineLevel="1" x14ac:dyDescent="0.6">
      <c r="A319" s="1"/>
      <c r="C319" s="156"/>
      <c r="D319" s="156"/>
      <c r="E319" s="156"/>
      <c r="F319" s="156"/>
      <c r="G319" s="156"/>
      <c r="H319" s="156"/>
      <c r="I319" s="156"/>
      <c r="J319" s="156"/>
    </row>
    <row r="320" spans="1:10" hidden="1" outlineLevel="1" x14ac:dyDescent="0.6">
      <c r="A320" s="1"/>
      <c r="C320" s="42"/>
      <c r="D320" s="42"/>
      <c r="E320" s="42"/>
      <c r="F320" s="42"/>
      <c r="G320" s="42"/>
      <c r="H320" s="42"/>
      <c r="I320" s="42"/>
      <c r="J320" s="42"/>
    </row>
    <row r="321" spans="1:12" hidden="1" outlineLevel="1" x14ac:dyDescent="0.6">
      <c r="A321" s="1"/>
    </row>
    <row r="322" spans="1:12" hidden="1" outlineLevel="1" x14ac:dyDescent="0.6">
      <c r="A322" s="1"/>
    </row>
    <row r="323" spans="1:12" hidden="1" outlineLevel="1" x14ac:dyDescent="0.6">
      <c r="A323" s="1"/>
    </row>
    <row r="324" spans="1:12" hidden="1" outlineLevel="1" x14ac:dyDescent="0.6">
      <c r="A324" s="1"/>
      <c r="C324" s="3"/>
      <c r="D324" s="3"/>
    </row>
    <row r="325" spans="1:12" hidden="1" outlineLevel="1" x14ac:dyDescent="0.6">
      <c r="A325" s="1"/>
      <c r="C325" s="122"/>
      <c r="D325" s="122"/>
    </row>
    <row r="326" spans="1:12" hidden="1" outlineLevel="1" x14ac:dyDescent="0.6">
      <c r="A326" s="1"/>
      <c r="C326" s="126"/>
      <c r="D326" s="126"/>
    </row>
    <row r="327" spans="1:12" hidden="1" outlineLevel="1" x14ac:dyDescent="0.6">
      <c r="A327" s="1"/>
      <c r="C327" s="122"/>
      <c r="D327" s="122"/>
    </row>
    <row r="328" spans="1:12" hidden="1" outlineLevel="1" x14ac:dyDescent="0.6">
      <c r="C328" s="122"/>
      <c r="D328" s="122"/>
    </row>
    <row r="329" spans="1:12" hidden="1" outlineLevel="1" x14ac:dyDescent="0.6">
      <c r="C329" s="126"/>
      <c r="D329" s="126"/>
    </row>
    <row r="330" spans="1:12" hidden="1" outlineLevel="1" x14ac:dyDescent="0.6"/>
    <row r="331" spans="1:12" hidden="1" outlineLevel="1" x14ac:dyDescent="0.6">
      <c r="C331" s="126"/>
      <c r="D331" s="126"/>
    </row>
    <row r="332" spans="1:12" hidden="1" outlineLevel="1" x14ac:dyDescent="0.6"/>
    <row r="333" spans="1:12" hidden="1" outlineLevel="1" x14ac:dyDescent="0.6">
      <c r="C333" s="126"/>
    </row>
    <row r="334" spans="1:12" hidden="1" outlineLevel="1" x14ac:dyDescent="0.6">
      <c r="A334" s="2"/>
      <c r="B334" s="10"/>
    </row>
    <row r="335" spans="1:12" hidden="1" outlineLevel="1" x14ac:dyDescent="0.6"/>
    <row r="336" spans="1:12" hidden="1" outlineLevel="1" x14ac:dyDescent="0.6">
      <c r="C336" s="3"/>
      <c r="D336" s="3"/>
      <c r="E336" s="3"/>
      <c r="F336" s="3"/>
      <c r="G336" s="3"/>
      <c r="H336" s="3"/>
      <c r="I336" s="3"/>
      <c r="J336" s="3"/>
      <c r="K336" s="3"/>
      <c r="L336" s="3"/>
    </row>
    <row r="337" spans="1:12" hidden="1" outlineLevel="1" x14ac:dyDescent="0.6">
      <c r="C337" s="3"/>
      <c r="D337" s="3"/>
      <c r="E337" s="3"/>
      <c r="F337" s="3"/>
      <c r="G337" s="3"/>
      <c r="H337" s="3"/>
      <c r="I337" s="3"/>
      <c r="J337" s="3"/>
      <c r="K337" s="3"/>
      <c r="L337" s="3"/>
    </row>
    <row r="338" spans="1:12" hidden="1" outlineLevel="1" x14ac:dyDescent="0.6">
      <c r="B338" s="39"/>
    </row>
    <row r="339" spans="1:12" hidden="1" outlineLevel="1" x14ac:dyDescent="0.6">
      <c r="B339" s="39"/>
      <c r="C339" s="122"/>
      <c r="D339" s="122"/>
      <c r="E339" s="122"/>
      <c r="F339" s="122"/>
      <c r="G339" s="122"/>
      <c r="H339" s="122"/>
      <c r="I339" s="122"/>
      <c r="J339" s="122"/>
    </row>
    <row r="340" spans="1:12" hidden="1" outlineLevel="1" x14ac:dyDescent="0.6">
      <c r="B340" s="39"/>
    </row>
    <row r="341" spans="1:12" hidden="1" outlineLevel="1" x14ac:dyDescent="0.6">
      <c r="A341" s="1"/>
      <c r="B341" s="39"/>
      <c r="C341" s="3"/>
      <c r="D341" s="3"/>
    </row>
    <row r="342" spans="1:12" hidden="1" outlineLevel="1" x14ac:dyDescent="0.6">
      <c r="A342" s="1"/>
      <c r="B342" s="39"/>
      <c r="C342" s="83"/>
      <c r="D342" s="83"/>
    </row>
    <row r="343" spans="1:12" hidden="1" outlineLevel="1" x14ac:dyDescent="0.6">
      <c r="A343" s="1"/>
      <c r="B343" s="39"/>
      <c r="C343" s="126"/>
      <c r="D343" s="126"/>
    </row>
    <row r="344" spans="1:12" hidden="1" outlineLevel="1" x14ac:dyDescent="0.6">
      <c r="A344" s="1"/>
      <c r="B344" s="39"/>
      <c r="C344" s="125"/>
      <c r="D344" s="125"/>
    </row>
    <row r="345" spans="1:12" hidden="1" outlineLevel="1" x14ac:dyDescent="0.6">
      <c r="A345" s="1"/>
      <c r="B345" s="39"/>
    </row>
    <row r="346" spans="1:12" hidden="1" outlineLevel="1" x14ac:dyDescent="0.6">
      <c r="A346" s="1"/>
      <c r="B346" s="39"/>
    </row>
    <row r="347" spans="1:12" hidden="1" outlineLevel="1" x14ac:dyDescent="0.6">
      <c r="A347" s="1"/>
      <c r="B347" s="39"/>
      <c r="C347" s="122"/>
    </row>
    <row r="348" spans="1:12" hidden="1" outlineLevel="1" x14ac:dyDescent="0.6">
      <c r="A348" s="1"/>
      <c r="B348" s="39"/>
      <c r="C348" s="122"/>
    </row>
    <row r="349" spans="1:12" hidden="1" outlineLevel="1" x14ac:dyDescent="0.6">
      <c r="A349" s="1"/>
      <c r="B349" s="39"/>
      <c r="C349" s="122"/>
    </row>
    <row r="350" spans="1:12" hidden="1" outlineLevel="1" x14ac:dyDescent="0.6">
      <c r="A350" s="1"/>
      <c r="B350" s="39"/>
      <c r="C350" s="122"/>
    </row>
    <row r="351" spans="1:12" hidden="1" outlineLevel="1" x14ac:dyDescent="0.6">
      <c r="A351" s="1"/>
      <c r="C351" s="3"/>
      <c r="D351" s="3"/>
      <c r="E351" s="3"/>
      <c r="F351" s="3"/>
      <c r="G351" s="3"/>
      <c r="H351" s="3"/>
      <c r="I351" s="3"/>
      <c r="J351" s="3"/>
      <c r="K351" s="3"/>
      <c r="L351" s="3"/>
    </row>
    <row r="352" spans="1:12" hidden="1" outlineLevel="1" x14ac:dyDescent="0.6">
      <c r="A352" s="1"/>
      <c r="C352" s="3"/>
      <c r="D352" s="3"/>
      <c r="E352" s="3"/>
      <c r="F352" s="3"/>
      <c r="G352" s="3"/>
      <c r="H352" s="3"/>
      <c r="I352" s="3"/>
      <c r="J352" s="3"/>
      <c r="K352" s="3"/>
      <c r="L352" s="3"/>
    </row>
    <row r="353" spans="1:12" hidden="1" outlineLevel="1" x14ac:dyDescent="0.6">
      <c r="A353" s="1"/>
      <c r="B353" s="39"/>
      <c r="C353" s="83"/>
      <c r="D353" s="83"/>
      <c r="E353" s="83"/>
      <c r="F353" s="83"/>
      <c r="G353" s="83"/>
      <c r="H353" s="83"/>
      <c r="I353" s="83"/>
      <c r="J353" s="83"/>
      <c r="K353" s="83"/>
      <c r="L353" s="83"/>
    </row>
    <row r="354" spans="1:12" hidden="1" outlineLevel="1" x14ac:dyDescent="0.6">
      <c r="A354" s="1"/>
      <c r="B354" s="39"/>
      <c r="C354" s="122"/>
      <c r="D354" s="122"/>
      <c r="E354" s="122"/>
      <c r="F354" s="122"/>
      <c r="G354" s="122"/>
      <c r="H354" s="122"/>
      <c r="I354" s="122"/>
      <c r="J354" s="122"/>
      <c r="K354" s="122"/>
      <c r="L354" s="122"/>
    </row>
    <row r="355" spans="1:12" hidden="1" outlineLevel="1" x14ac:dyDescent="0.6">
      <c r="A355" s="1"/>
      <c r="B355" s="39"/>
      <c r="C355" s="122"/>
      <c r="D355" s="122"/>
      <c r="E355" s="122"/>
      <c r="F355" s="122"/>
      <c r="G355" s="122"/>
      <c r="H355" s="122"/>
      <c r="I355" s="122"/>
      <c r="J355" s="122"/>
      <c r="K355" s="122"/>
      <c r="L355" s="122"/>
    </row>
    <row r="356" spans="1:12" hidden="1" outlineLevel="1" x14ac:dyDescent="0.6">
      <c r="A356" s="1"/>
      <c r="B356" s="39"/>
      <c r="C356" s="122"/>
      <c r="D356" s="122"/>
      <c r="E356" s="122"/>
      <c r="F356" s="122"/>
      <c r="G356" s="122"/>
      <c r="H356" s="122"/>
      <c r="I356" s="122"/>
      <c r="J356" s="122"/>
      <c r="K356" s="122"/>
      <c r="L356" s="122"/>
    </row>
    <row r="357" spans="1:12" hidden="1" outlineLevel="1" x14ac:dyDescent="0.6">
      <c r="B357" s="39"/>
      <c r="C357" s="122"/>
      <c r="D357" s="122"/>
      <c r="E357" s="122"/>
      <c r="F357" s="122"/>
      <c r="G357" s="122"/>
      <c r="H357" s="122"/>
      <c r="I357" s="122"/>
      <c r="J357" s="122"/>
      <c r="K357" s="122"/>
      <c r="L357" s="122"/>
    </row>
    <row r="358" spans="1:12" hidden="1" outlineLevel="1" x14ac:dyDescent="0.6">
      <c r="B358" s="39"/>
      <c r="C358" s="122"/>
      <c r="D358" s="122"/>
      <c r="E358" s="122"/>
      <c r="F358" s="122"/>
      <c r="G358" s="122"/>
      <c r="H358" s="122"/>
      <c r="I358" s="122"/>
      <c r="J358" s="122"/>
      <c r="K358" s="122"/>
      <c r="L358" s="122"/>
    </row>
    <row r="359" spans="1:12" hidden="1" outlineLevel="1" x14ac:dyDescent="0.6">
      <c r="B359" s="39"/>
      <c r="C359" s="122"/>
      <c r="D359" s="122"/>
      <c r="E359" s="122"/>
      <c r="F359" s="122"/>
      <c r="G359" s="122"/>
      <c r="H359" s="122"/>
      <c r="I359" s="122"/>
      <c r="J359" s="122"/>
      <c r="K359" s="122"/>
      <c r="L359" s="122"/>
    </row>
    <row r="360" spans="1:12" hidden="1" outlineLevel="1" x14ac:dyDescent="0.6">
      <c r="B360" s="39"/>
      <c r="C360" s="122"/>
    </row>
    <row r="361" spans="1:12" hidden="1" outlineLevel="1" x14ac:dyDescent="0.6">
      <c r="B361" s="39"/>
      <c r="C361" s="122"/>
    </row>
    <row r="362" spans="1:12" hidden="1" outlineLevel="1" x14ac:dyDescent="0.6"/>
    <row r="363" spans="1:12" hidden="1" outlineLevel="1" x14ac:dyDescent="0.6">
      <c r="B363" s="87"/>
      <c r="C363" s="130"/>
    </row>
    <row r="364" spans="1:12" hidden="1" outlineLevel="1" x14ac:dyDescent="0.6"/>
    <row r="365" spans="1:12" hidden="1" outlineLevel="1" x14ac:dyDescent="0.6"/>
    <row r="366" spans="1:12" hidden="1" outlineLevel="1" x14ac:dyDescent="0.6"/>
    <row r="367" spans="1:12" hidden="1" outlineLevel="1" x14ac:dyDescent="0.6"/>
    <row r="368" spans="1:12" hidden="1" outlineLevel="1" x14ac:dyDescent="0.6">
      <c r="A368" s="157"/>
    </row>
    <row r="369" spans="1:4" hidden="1" outlineLevel="1" x14ac:dyDescent="0.6">
      <c r="A369" s="87"/>
      <c r="C369" s="158"/>
    </row>
    <row r="370" spans="1:4" hidden="1" outlineLevel="1" x14ac:dyDescent="0.6">
      <c r="A370" s="87"/>
      <c r="C370" s="159"/>
    </row>
    <row r="371" spans="1:4" hidden="1" outlineLevel="1" x14ac:dyDescent="0.6">
      <c r="A371" s="87"/>
      <c r="C371" s="159"/>
    </row>
    <row r="372" spans="1:4" hidden="1" outlineLevel="1" x14ac:dyDescent="0.6">
      <c r="A372" s="87"/>
      <c r="C372" s="160"/>
      <c r="D372" s="102"/>
    </row>
    <row r="373" spans="1:4" hidden="1" outlineLevel="1" x14ac:dyDescent="0.6">
      <c r="A373" s="87"/>
      <c r="C373" s="86"/>
    </row>
    <row r="374" spans="1:4" hidden="1" outlineLevel="1" x14ac:dyDescent="0.6">
      <c r="A374" s="87"/>
      <c r="C374" s="161"/>
      <c r="D374" s="102"/>
    </row>
    <row r="375" spans="1:4" hidden="1" outlineLevel="1" x14ac:dyDescent="0.6"/>
    <row r="376" spans="1:4" hidden="1" outlineLevel="1" x14ac:dyDescent="0.6"/>
    <row r="377" spans="1:4" hidden="1" outlineLevel="1" x14ac:dyDescent="0.6">
      <c r="A377" s="87"/>
      <c r="C377" s="83"/>
      <c r="D377" s="102"/>
    </row>
    <row r="378" spans="1:4" hidden="1" outlineLevel="1" x14ac:dyDescent="0.6">
      <c r="A378" s="87"/>
      <c r="C378" s="162"/>
      <c r="D378" s="102"/>
    </row>
    <row r="379" spans="1:4" hidden="1" outlineLevel="1" x14ac:dyDescent="0.6"/>
    <row r="380" spans="1:4" hidden="1" outlineLevel="1" x14ac:dyDescent="0.6">
      <c r="A380" s="58"/>
      <c r="C380" s="163"/>
    </row>
    <row r="381" spans="1:4" hidden="1" outlineLevel="1" x14ac:dyDescent="0.6">
      <c r="A381" s="58"/>
      <c r="C381" s="162"/>
      <c r="D381" s="102"/>
    </row>
    <row r="382" spans="1:4" hidden="1" outlineLevel="1" x14ac:dyDescent="0.6">
      <c r="A382" s="58"/>
    </row>
    <row r="383" spans="1:4" hidden="1" outlineLevel="1" x14ac:dyDescent="0.6">
      <c r="A383" s="58"/>
      <c r="C383" s="162"/>
      <c r="D383" s="102"/>
    </row>
    <row r="384" spans="1:4" hidden="1" outlineLevel="1" x14ac:dyDescent="0.6">
      <c r="A384" s="58"/>
      <c r="C384" s="162"/>
    </row>
    <row r="385" spans="1:3" hidden="1" outlineLevel="1" x14ac:dyDescent="0.6">
      <c r="A385" s="58"/>
      <c r="C385" s="162"/>
    </row>
    <row r="386" spans="1:3" collapsed="1" x14ac:dyDescent="0.6">
      <c r="A386" s="58"/>
    </row>
    <row r="387" spans="1:3" x14ac:dyDescent="0.6">
      <c r="A387" s="58"/>
    </row>
    <row r="388" spans="1:3" x14ac:dyDescent="0.6">
      <c r="A388" s="58"/>
    </row>
    <row r="389" spans="1:3" x14ac:dyDescent="0.6">
      <c r="A389" s="58"/>
    </row>
    <row r="392" spans="1:3" x14ac:dyDescent="0.6">
      <c r="A392" s="1"/>
    </row>
    <row r="393" spans="1:3" x14ac:dyDescent="0.6">
      <c r="A393" s="1"/>
    </row>
    <row r="394" spans="1:3" x14ac:dyDescent="0.6">
      <c r="A394" s="1"/>
    </row>
  </sheetData>
  <mergeCells count="5">
    <mergeCell ref="B5:L5"/>
    <mergeCell ref="F78:G78"/>
    <mergeCell ref="E112:F112"/>
    <mergeCell ref="C113:D113"/>
    <mergeCell ref="C114:D114"/>
  </mergeCells>
  <hyperlinks>
    <hyperlink ref="P10" r:id="rId1" display="\\njnwkfp06\PSE&amp;G\Customer Operations\CS\regulato\2015 BGS-RSCP for 2016-2017\2015-07 Initial Filing\BGS-FP Initial Filing Supporting Documents\Table1&amp;2 - OnPeak%\Table 1 - Time period usage for 2016-17 Spreadsheet.xls" xr:uid="{00000000-0004-0000-0000-000000000000}"/>
  </hyperlinks>
  <pageMargins left="0.7" right="0.7" top="0.75" bottom="0.75" header="0.3" footer="0.3"/>
  <pageSetup scale="35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AM354"/>
  <sheetViews>
    <sheetView view="pageBreakPreview" topLeftCell="A328" zoomScaleNormal="70" zoomScaleSheetLayoutView="100" workbookViewId="0">
      <selection activeCell="C22" sqref="C22"/>
    </sheetView>
  </sheetViews>
  <sheetFormatPr defaultColWidth="9.08984375" defaultRowHeight="13" x14ac:dyDescent="0.6"/>
  <cols>
    <col min="1" max="1" width="13.08984375" style="164" customWidth="1"/>
    <col min="2" max="2" width="36.31640625" style="165" customWidth="1"/>
    <col min="3" max="3" width="13.453125" style="165" customWidth="1"/>
    <col min="4" max="4" width="12.54296875" style="165" customWidth="1"/>
    <col min="5" max="5" width="11.54296875" style="165" customWidth="1"/>
    <col min="6" max="6" width="12.6796875" style="165" customWidth="1"/>
    <col min="7" max="8" width="10.6796875" style="165" customWidth="1"/>
    <col min="9" max="9" width="11" style="165" customWidth="1"/>
    <col min="10" max="10" width="10.6796875" style="165" customWidth="1"/>
    <col min="11" max="11" width="12.31640625" style="165" customWidth="1"/>
    <col min="12" max="12" width="14.31640625" style="165" customWidth="1"/>
    <col min="13" max="13" width="16.54296875" style="165" customWidth="1"/>
    <col min="14" max="14" width="15.08984375" style="165" bestFit="1" customWidth="1"/>
    <col min="15" max="16" width="11.54296875" style="165" customWidth="1"/>
    <col min="17" max="17" width="15.6796875" style="165" customWidth="1"/>
    <col min="18" max="18" width="29" style="165" bestFit="1" customWidth="1"/>
    <col min="19" max="19" width="16.453125" style="165" customWidth="1"/>
    <col min="20" max="20" width="23.86328125" style="165" bestFit="1" customWidth="1"/>
    <col min="21" max="21" width="18" style="165" bestFit="1" customWidth="1"/>
    <col min="22" max="24" width="11.54296875" style="165" customWidth="1"/>
    <col min="25" max="25" width="11.31640625" style="165" bestFit="1" customWidth="1"/>
    <col min="26" max="26" width="10.08984375" style="165" customWidth="1"/>
    <col min="27" max="27" width="10.6796875" style="165" customWidth="1"/>
    <col min="28" max="28" width="12.86328125" style="165" bestFit="1" customWidth="1"/>
    <col min="29" max="29" width="9.08984375" style="165"/>
    <col min="30" max="30" width="17.54296875" style="165" customWidth="1"/>
    <col min="31" max="31" width="9.08984375" style="165"/>
    <col min="32" max="32" width="10.31640625" style="165" bestFit="1" customWidth="1"/>
    <col min="33" max="33" width="10.54296875" style="165" customWidth="1"/>
    <col min="34" max="16384" width="9.08984375" style="165"/>
  </cols>
  <sheetData>
    <row r="1" spans="1:24" x14ac:dyDescent="0.6">
      <c r="A1" s="164" t="s">
        <v>99</v>
      </c>
      <c r="C1" s="166"/>
      <c r="D1" s="166"/>
      <c r="E1" s="166"/>
      <c r="F1" s="166"/>
      <c r="G1" s="166"/>
      <c r="H1" s="166"/>
      <c r="I1" s="166"/>
      <c r="J1" s="166"/>
      <c r="K1" s="166"/>
      <c r="L1" s="166"/>
    </row>
    <row r="2" spans="1:24" ht="15.5" x14ac:dyDescent="0.7">
      <c r="B2" s="8" t="str">
        <f>Input!B7</f>
        <v>Development of BGS-RSCP Cost and Bid Factors for 2022/2023 BGS Filing</v>
      </c>
      <c r="C2" s="167"/>
      <c r="D2" s="167"/>
      <c r="E2" s="167"/>
      <c r="F2" s="167"/>
    </row>
    <row r="3" spans="1:24" x14ac:dyDescent="0.6">
      <c r="A3" s="168"/>
      <c r="B3" s="169" t="s">
        <v>0</v>
      </c>
      <c r="C3" s="167"/>
      <c r="D3" s="167"/>
      <c r="E3" s="167"/>
      <c r="F3" s="167"/>
    </row>
    <row r="4" spans="1:24" x14ac:dyDescent="0.6">
      <c r="B4" s="167"/>
      <c r="C4" s="167"/>
      <c r="D4" s="167"/>
      <c r="E4" s="170" t="str">
        <f>+Input!E9</f>
        <v>Based on average of year 2018,2019 &amp; 2020 Load Profile Information</v>
      </c>
      <c r="F4" s="167"/>
    </row>
    <row r="5" spans="1:24" x14ac:dyDescent="0.6">
      <c r="A5" s="171" t="s">
        <v>1</v>
      </c>
      <c r="B5" s="172" t="s">
        <v>2</v>
      </c>
      <c r="C5" s="173"/>
      <c r="D5" s="167"/>
      <c r="E5" s="170" t="s">
        <v>3</v>
      </c>
      <c r="F5" s="167"/>
      <c r="N5" s="172"/>
      <c r="O5" s="172" t="s">
        <v>100</v>
      </c>
      <c r="P5" s="167"/>
      <c r="Q5" s="167"/>
      <c r="R5" s="167"/>
      <c r="S5" s="167"/>
      <c r="T5" s="167"/>
      <c r="U5" s="167"/>
      <c r="V5" s="167"/>
      <c r="W5" s="167"/>
      <c r="X5" s="167"/>
    </row>
    <row r="6" spans="1:24" ht="26" x14ac:dyDescent="0.6">
      <c r="A6" s="174"/>
      <c r="B6" s="167"/>
      <c r="C6" s="175" t="s">
        <v>4</v>
      </c>
      <c r="D6" s="175" t="s">
        <v>4</v>
      </c>
      <c r="E6" s="175" t="s">
        <v>4</v>
      </c>
      <c r="F6" s="175" t="s">
        <v>4</v>
      </c>
      <c r="G6" s="175" t="s">
        <v>4</v>
      </c>
      <c r="H6" s="175" t="s">
        <v>4</v>
      </c>
      <c r="I6" s="170" t="s">
        <v>5</v>
      </c>
      <c r="J6" s="176"/>
      <c r="K6" s="175" t="s">
        <v>4</v>
      </c>
      <c r="L6" s="175" t="s">
        <v>4</v>
      </c>
      <c r="M6" s="175"/>
      <c r="N6" s="170"/>
      <c r="O6" s="175" t="s">
        <v>4</v>
      </c>
      <c r="P6" s="175" t="s">
        <v>4</v>
      </c>
      <c r="Q6" s="175" t="s">
        <v>4</v>
      </c>
      <c r="R6" s="175" t="s">
        <v>4</v>
      </c>
      <c r="S6" s="175" t="s">
        <v>4</v>
      </c>
      <c r="T6" s="175" t="s">
        <v>4</v>
      </c>
      <c r="U6" s="170" t="s">
        <v>101</v>
      </c>
      <c r="V6" s="176"/>
      <c r="W6" s="175" t="s">
        <v>4</v>
      </c>
      <c r="X6" s="175" t="s">
        <v>4</v>
      </c>
    </row>
    <row r="7" spans="1:24" x14ac:dyDescent="0.6">
      <c r="A7" s="174"/>
      <c r="B7" s="177" t="s">
        <v>6</v>
      </c>
      <c r="C7" s="166" t="s">
        <v>7</v>
      </c>
      <c r="D7" s="166" t="s">
        <v>8</v>
      </c>
      <c r="E7" s="166" t="s">
        <v>9</v>
      </c>
      <c r="F7" s="166" t="s">
        <v>10</v>
      </c>
      <c r="G7" s="166" t="s">
        <v>11</v>
      </c>
      <c r="H7" s="166" t="s">
        <v>12</v>
      </c>
      <c r="I7" s="166" t="s">
        <v>13</v>
      </c>
      <c r="J7" s="166" t="s">
        <v>14</v>
      </c>
      <c r="K7" s="166" t="s">
        <v>15</v>
      </c>
      <c r="L7" s="166" t="s">
        <v>16</v>
      </c>
      <c r="M7" s="178"/>
      <c r="N7" s="179"/>
      <c r="O7" s="166" t="str">
        <f>+C7</f>
        <v>RS</v>
      </c>
      <c r="P7" s="166" t="str">
        <f t="shared" ref="P7:X7" si="0">+D7</f>
        <v>RHS</v>
      </c>
      <c r="Q7" s="166" t="str">
        <f t="shared" si="0"/>
        <v>RLM</v>
      </c>
      <c r="R7" s="166" t="str">
        <f t="shared" si="0"/>
        <v>WH</v>
      </c>
      <c r="S7" s="166" t="str">
        <f t="shared" si="0"/>
        <v>WHS</v>
      </c>
      <c r="T7" s="166" t="str">
        <f t="shared" si="0"/>
        <v>HS</v>
      </c>
      <c r="U7" s="166" t="str">
        <f t="shared" si="0"/>
        <v>PSAL</v>
      </c>
      <c r="V7" s="166" t="str">
        <f t="shared" si="0"/>
        <v>BPL</v>
      </c>
      <c r="W7" s="166" t="str">
        <f t="shared" si="0"/>
        <v>GLP</v>
      </c>
      <c r="X7" s="166" t="str">
        <f t="shared" si="0"/>
        <v>LPL-S</v>
      </c>
    </row>
    <row r="8" spans="1:24" x14ac:dyDescent="0.6">
      <c r="A8" s="174"/>
      <c r="C8" s="166"/>
      <c r="D8" s="166"/>
      <c r="E8" s="166"/>
      <c r="F8" s="166"/>
      <c r="G8" s="166"/>
      <c r="H8" s="166"/>
      <c r="I8" s="166"/>
      <c r="J8" s="166"/>
      <c r="K8" s="166"/>
      <c r="L8" s="166"/>
      <c r="O8" s="167"/>
      <c r="P8" s="167"/>
      <c r="Q8" s="167"/>
      <c r="R8" s="167"/>
      <c r="S8" s="167"/>
      <c r="T8" s="167"/>
      <c r="U8" s="167"/>
      <c r="V8" s="167"/>
      <c r="W8" s="167"/>
      <c r="X8" s="167"/>
    </row>
    <row r="9" spans="1:24" x14ac:dyDescent="0.6">
      <c r="A9" s="174"/>
      <c r="B9" s="180" t="s">
        <v>17</v>
      </c>
      <c r="C9" s="181">
        <f>Input!C14</f>
        <v>0.49170000000000003</v>
      </c>
      <c r="D9" s="181">
        <f>Input!D14</f>
        <v>0.48699999999999999</v>
      </c>
      <c r="E9" s="181">
        <f>Input!E14</f>
        <v>0.48930000000000001</v>
      </c>
      <c r="F9" s="181">
        <f>Input!F14</f>
        <v>0.49170000000000003</v>
      </c>
      <c r="G9" s="181">
        <f>Input!G14</f>
        <v>0.49170000000000003</v>
      </c>
      <c r="H9" s="181">
        <f>Input!H14</f>
        <v>0.49230000000000002</v>
      </c>
      <c r="I9" s="181">
        <f>Input!I14</f>
        <v>0.314</v>
      </c>
      <c r="J9" s="181">
        <f>Input!J14</f>
        <v>0.314</v>
      </c>
      <c r="K9" s="181">
        <f>Input!K14</f>
        <v>0.55500000000000005</v>
      </c>
      <c r="L9" s="181">
        <f>Input!L14</f>
        <v>0.5373</v>
      </c>
      <c r="M9" s="182"/>
      <c r="N9" s="183"/>
      <c r="O9" s="184">
        <f t="shared" ref="O9:X20" si="1">1-C9</f>
        <v>0.50829999999999997</v>
      </c>
      <c r="P9" s="184">
        <f t="shared" si="1"/>
        <v>0.51300000000000001</v>
      </c>
      <c r="Q9" s="184">
        <f t="shared" si="1"/>
        <v>0.51069999999999993</v>
      </c>
      <c r="R9" s="184">
        <f t="shared" si="1"/>
        <v>0.50829999999999997</v>
      </c>
      <c r="S9" s="184">
        <f t="shared" si="1"/>
        <v>0.50829999999999997</v>
      </c>
      <c r="T9" s="184">
        <f t="shared" si="1"/>
        <v>0.50770000000000004</v>
      </c>
      <c r="U9" s="184">
        <f t="shared" si="1"/>
        <v>0.68599999999999994</v>
      </c>
      <c r="V9" s="184">
        <f t="shared" si="1"/>
        <v>0.68599999999999994</v>
      </c>
      <c r="W9" s="184">
        <f t="shared" si="1"/>
        <v>0.44499999999999995</v>
      </c>
      <c r="X9" s="184">
        <f t="shared" si="1"/>
        <v>0.4627</v>
      </c>
    </row>
    <row r="10" spans="1:24" x14ac:dyDescent="0.6">
      <c r="A10" s="174"/>
      <c r="B10" s="180" t="s">
        <v>18</v>
      </c>
      <c r="C10" s="181">
        <f>Input!C15</f>
        <v>0.48230000000000001</v>
      </c>
      <c r="D10" s="181">
        <f>Input!D15</f>
        <v>0.46870000000000001</v>
      </c>
      <c r="E10" s="181">
        <f>Input!E15</f>
        <v>0.47870000000000001</v>
      </c>
      <c r="F10" s="181">
        <f>Input!F15</f>
        <v>0.48230000000000001</v>
      </c>
      <c r="G10" s="181">
        <f>Input!G15</f>
        <v>0.48230000000000001</v>
      </c>
      <c r="H10" s="181">
        <f>Input!H15</f>
        <v>0.47670000000000001</v>
      </c>
      <c r="I10" s="181">
        <f>Input!I15</f>
        <v>0.29099999999999998</v>
      </c>
      <c r="J10" s="181">
        <f>Input!J15</f>
        <v>0.29099999999999998</v>
      </c>
      <c r="K10" s="181">
        <f>Input!K15</f>
        <v>0.54769999999999996</v>
      </c>
      <c r="L10" s="181">
        <f>Input!L15</f>
        <v>0.53300000000000003</v>
      </c>
      <c r="M10" s="182"/>
      <c r="N10" s="183"/>
      <c r="O10" s="184">
        <f t="shared" si="1"/>
        <v>0.51770000000000005</v>
      </c>
      <c r="P10" s="184">
        <f t="shared" si="1"/>
        <v>0.53129999999999999</v>
      </c>
      <c r="Q10" s="184">
        <f t="shared" si="1"/>
        <v>0.52129999999999999</v>
      </c>
      <c r="R10" s="184">
        <f t="shared" si="1"/>
        <v>0.51770000000000005</v>
      </c>
      <c r="S10" s="184">
        <f t="shared" si="1"/>
        <v>0.51770000000000005</v>
      </c>
      <c r="T10" s="184">
        <f t="shared" si="1"/>
        <v>0.52329999999999999</v>
      </c>
      <c r="U10" s="184">
        <f t="shared" si="1"/>
        <v>0.70900000000000007</v>
      </c>
      <c r="V10" s="184">
        <f t="shared" si="1"/>
        <v>0.70900000000000007</v>
      </c>
      <c r="W10" s="184">
        <f t="shared" si="1"/>
        <v>0.45230000000000004</v>
      </c>
      <c r="X10" s="184">
        <f t="shared" si="1"/>
        <v>0.46699999999999997</v>
      </c>
    </row>
    <row r="11" spans="1:24" x14ac:dyDescent="0.6">
      <c r="A11" s="174"/>
      <c r="B11" s="180" t="s">
        <v>19</v>
      </c>
      <c r="C11" s="181">
        <f>Input!C16</f>
        <v>0.48770000000000002</v>
      </c>
      <c r="D11" s="181">
        <f>Input!D16</f>
        <v>0.47799999999999998</v>
      </c>
      <c r="E11" s="181">
        <f>Input!E16</f>
        <v>0.48070000000000002</v>
      </c>
      <c r="F11" s="181">
        <f>Input!F16</f>
        <v>0.48770000000000002</v>
      </c>
      <c r="G11" s="181">
        <f>Input!G16</f>
        <v>0.48770000000000002</v>
      </c>
      <c r="H11" s="181">
        <f>Input!H16</f>
        <v>0.49099999999999999</v>
      </c>
      <c r="I11" s="181">
        <f>Input!I16</f>
        <v>0.24829999999999999</v>
      </c>
      <c r="J11" s="181">
        <f>Input!J16</f>
        <v>0.24829999999999999</v>
      </c>
      <c r="K11" s="181">
        <f>Input!K16</f>
        <v>0.54630000000000001</v>
      </c>
      <c r="L11" s="181">
        <f>Input!L16</f>
        <v>0.53129999999999999</v>
      </c>
      <c r="M11" s="182"/>
      <c r="N11" s="183"/>
      <c r="O11" s="184">
        <f t="shared" si="1"/>
        <v>0.51229999999999998</v>
      </c>
      <c r="P11" s="184">
        <f t="shared" si="1"/>
        <v>0.52200000000000002</v>
      </c>
      <c r="Q11" s="184">
        <f t="shared" si="1"/>
        <v>0.51929999999999998</v>
      </c>
      <c r="R11" s="184">
        <f t="shared" si="1"/>
        <v>0.51229999999999998</v>
      </c>
      <c r="S11" s="184">
        <f t="shared" si="1"/>
        <v>0.51229999999999998</v>
      </c>
      <c r="T11" s="184">
        <f t="shared" si="1"/>
        <v>0.50900000000000001</v>
      </c>
      <c r="U11" s="184">
        <f t="shared" si="1"/>
        <v>0.75170000000000003</v>
      </c>
      <c r="V11" s="184">
        <f t="shared" si="1"/>
        <v>0.75170000000000003</v>
      </c>
      <c r="W11" s="184">
        <f t="shared" si="1"/>
        <v>0.45369999999999999</v>
      </c>
      <c r="X11" s="184">
        <f t="shared" si="1"/>
        <v>0.46870000000000001</v>
      </c>
    </row>
    <row r="12" spans="1:24" x14ac:dyDescent="0.6">
      <c r="A12" s="174"/>
      <c r="B12" s="180" t="s">
        <v>20</v>
      </c>
      <c r="C12" s="181">
        <f>Input!C17</f>
        <v>0.504</v>
      </c>
      <c r="D12" s="181">
        <f>Input!D17</f>
        <v>0.50729999999999997</v>
      </c>
      <c r="E12" s="181">
        <f>Input!E17</f>
        <v>0.50129999999999997</v>
      </c>
      <c r="F12" s="181">
        <f>Input!F17</f>
        <v>0.504</v>
      </c>
      <c r="G12" s="181">
        <f>Input!G17</f>
        <v>0.504</v>
      </c>
      <c r="H12" s="181">
        <f>Input!H17</f>
        <v>0.53029999999999999</v>
      </c>
      <c r="I12" s="181">
        <f>Input!I17</f>
        <v>0.23</v>
      </c>
      <c r="J12" s="181">
        <f>Input!J17</f>
        <v>0.23</v>
      </c>
      <c r="K12" s="181">
        <f>Input!K17</f>
        <v>0.56630000000000003</v>
      </c>
      <c r="L12" s="181">
        <f>Input!L17</f>
        <v>0.54900000000000004</v>
      </c>
      <c r="M12" s="182"/>
      <c r="N12" s="183"/>
      <c r="O12" s="184">
        <f t="shared" si="1"/>
        <v>0.496</v>
      </c>
      <c r="P12" s="184">
        <f t="shared" si="1"/>
        <v>0.49270000000000003</v>
      </c>
      <c r="Q12" s="184">
        <f t="shared" si="1"/>
        <v>0.49870000000000003</v>
      </c>
      <c r="R12" s="184">
        <f t="shared" si="1"/>
        <v>0.496</v>
      </c>
      <c r="S12" s="184">
        <f t="shared" si="1"/>
        <v>0.496</v>
      </c>
      <c r="T12" s="184">
        <f t="shared" si="1"/>
        <v>0.46970000000000001</v>
      </c>
      <c r="U12" s="184">
        <f t="shared" si="1"/>
        <v>0.77</v>
      </c>
      <c r="V12" s="184">
        <f t="shared" si="1"/>
        <v>0.77</v>
      </c>
      <c r="W12" s="184">
        <f t="shared" si="1"/>
        <v>0.43369999999999997</v>
      </c>
      <c r="X12" s="184">
        <f t="shared" si="1"/>
        <v>0.45099999999999996</v>
      </c>
    </row>
    <row r="13" spans="1:24" x14ac:dyDescent="0.6">
      <c r="A13" s="174"/>
      <c r="B13" s="180" t="s">
        <v>21</v>
      </c>
      <c r="C13" s="181">
        <f>Input!C18</f>
        <v>0.48770000000000002</v>
      </c>
      <c r="D13" s="181">
        <f>Input!D18</f>
        <v>0.49769999999999998</v>
      </c>
      <c r="E13" s="181">
        <f>Input!E18</f>
        <v>0.49930000000000002</v>
      </c>
      <c r="F13" s="181">
        <f>Input!F18</f>
        <v>0.48770000000000002</v>
      </c>
      <c r="G13" s="181">
        <f>Input!G18</f>
        <v>0.48770000000000002</v>
      </c>
      <c r="H13" s="181">
        <f>Input!H18</f>
        <v>0.56769999999999998</v>
      </c>
      <c r="I13" s="181">
        <f>Input!I18</f>
        <v>0.20830000000000001</v>
      </c>
      <c r="J13" s="181">
        <f>Input!J18</f>
        <v>0.20830000000000001</v>
      </c>
      <c r="K13" s="181">
        <f>Input!K18</f>
        <v>0.56069999999999998</v>
      </c>
      <c r="L13" s="181">
        <f>Input!L18</f>
        <v>0.54169999999999996</v>
      </c>
      <c r="M13" s="182"/>
      <c r="N13" s="183"/>
      <c r="O13" s="184">
        <f t="shared" si="1"/>
        <v>0.51229999999999998</v>
      </c>
      <c r="P13" s="184">
        <f t="shared" si="1"/>
        <v>0.50229999999999997</v>
      </c>
      <c r="Q13" s="184">
        <f t="shared" si="1"/>
        <v>0.50069999999999992</v>
      </c>
      <c r="R13" s="184">
        <f t="shared" si="1"/>
        <v>0.51229999999999998</v>
      </c>
      <c r="S13" s="184">
        <f t="shared" si="1"/>
        <v>0.51229999999999998</v>
      </c>
      <c r="T13" s="184">
        <f t="shared" si="1"/>
        <v>0.43230000000000002</v>
      </c>
      <c r="U13" s="184">
        <f t="shared" si="1"/>
        <v>0.79169999999999996</v>
      </c>
      <c r="V13" s="184">
        <f t="shared" si="1"/>
        <v>0.79169999999999996</v>
      </c>
      <c r="W13" s="184">
        <f t="shared" si="1"/>
        <v>0.43930000000000002</v>
      </c>
      <c r="X13" s="184">
        <f t="shared" si="1"/>
        <v>0.45830000000000004</v>
      </c>
    </row>
    <row r="14" spans="1:24" x14ac:dyDescent="0.6">
      <c r="A14" s="174"/>
      <c r="B14" s="180" t="s">
        <v>22</v>
      </c>
      <c r="C14" s="181">
        <f>Input!C19</f>
        <v>0.50700000000000001</v>
      </c>
      <c r="D14" s="181">
        <f>Input!D19</f>
        <v>0.51500000000000001</v>
      </c>
      <c r="E14" s="181">
        <f>Input!E19</f>
        <v>0.52569999999999995</v>
      </c>
      <c r="F14" s="181">
        <f>Input!F19</f>
        <v>0.50700000000000001</v>
      </c>
      <c r="G14" s="181">
        <f>Input!G19</f>
        <v>0.50700000000000001</v>
      </c>
      <c r="H14" s="181">
        <f>Input!H19</f>
        <v>0.60670000000000002</v>
      </c>
      <c r="I14" s="181">
        <f>Input!I19</f>
        <v>0.1973</v>
      </c>
      <c r="J14" s="181">
        <f>Input!J19</f>
        <v>0.1973</v>
      </c>
      <c r="K14" s="181">
        <f>Input!K19</f>
        <v>0.57269999999999999</v>
      </c>
      <c r="L14" s="181">
        <f>Input!L19</f>
        <v>0.55330000000000001</v>
      </c>
      <c r="M14" s="182"/>
      <c r="N14" s="183"/>
      <c r="O14" s="184">
        <f t="shared" si="1"/>
        <v>0.49299999999999999</v>
      </c>
      <c r="P14" s="184">
        <f t="shared" si="1"/>
        <v>0.48499999999999999</v>
      </c>
      <c r="Q14" s="184">
        <f t="shared" si="1"/>
        <v>0.47430000000000005</v>
      </c>
      <c r="R14" s="184">
        <f t="shared" si="1"/>
        <v>0.49299999999999999</v>
      </c>
      <c r="S14" s="184">
        <f t="shared" si="1"/>
        <v>0.49299999999999999</v>
      </c>
      <c r="T14" s="184">
        <f t="shared" si="1"/>
        <v>0.39329999999999998</v>
      </c>
      <c r="U14" s="184">
        <f t="shared" si="1"/>
        <v>0.80269999999999997</v>
      </c>
      <c r="V14" s="184">
        <f t="shared" si="1"/>
        <v>0.80269999999999997</v>
      </c>
      <c r="W14" s="184">
        <f t="shared" si="1"/>
        <v>0.42730000000000001</v>
      </c>
      <c r="X14" s="184">
        <f t="shared" si="1"/>
        <v>0.44669999999999999</v>
      </c>
    </row>
    <row r="15" spans="1:24" x14ac:dyDescent="0.6">
      <c r="A15" s="174"/>
      <c r="B15" s="180" t="s">
        <v>23</v>
      </c>
      <c r="C15" s="181">
        <f>Input!C20</f>
        <v>0.50970000000000004</v>
      </c>
      <c r="D15" s="181">
        <f>Input!D20</f>
        <v>0.51900000000000002</v>
      </c>
      <c r="E15" s="181">
        <f>Input!E20</f>
        <v>0.52869999999999995</v>
      </c>
      <c r="F15" s="181">
        <f>Input!F20</f>
        <v>0.50970000000000004</v>
      </c>
      <c r="G15" s="181">
        <f>Input!G20</f>
        <v>0.50970000000000004</v>
      </c>
      <c r="H15" s="181">
        <f>Input!H20</f>
        <v>0.60870000000000002</v>
      </c>
      <c r="I15" s="181">
        <f>Input!I20</f>
        <v>0.19800000000000001</v>
      </c>
      <c r="J15" s="181">
        <f>Input!J20</f>
        <v>0.19800000000000001</v>
      </c>
      <c r="K15" s="181">
        <f>Input!K20</f>
        <v>0.57899999999999996</v>
      </c>
      <c r="L15" s="181">
        <f>Input!L20</f>
        <v>0.55269999999999997</v>
      </c>
      <c r="M15" s="182"/>
      <c r="N15" s="183"/>
      <c r="O15" s="184">
        <f t="shared" si="1"/>
        <v>0.49029999999999996</v>
      </c>
      <c r="P15" s="184">
        <f t="shared" si="1"/>
        <v>0.48099999999999998</v>
      </c>
      <c r="Q15" s="184">
        <f t="shared" si="1"/>
        <v>0.47130000000000005</v>
      </c>
      <c r="R15" s="184">
        <f t="shared" si="1"/>
        <v>0.49029999999999996</v>
      </c>
      <c r="S15" s="184">
        <f t="shared" si="1"/>
        <v>0.49029999999999996</v>
      </c>
      <c r="T15" s="184">
        <f t="shared" si="1"/>
        <v>0.39129999999999998</v>
      </c>
      <c r="U15" s="184">
        <f t="shared" si="1"/>
        <v>0.80200000000000005</v>
      </c>
      <c r="V15" s="184">
        <f t="shared" si="1"/>
        <v>0.80200000000000005</v>
      </c>
      <c r="W15" s="184">
        <f t="shared" si="1"/>
        <v>0.42100000000000004</v>
      </c>
      <c r="X15" s="184">
        <f t="shared" si="1"/>
        <v>0.44730000000000003</v>
      </c>
    </row>
    <row r="16" spans="1:24" x14ac:dyDescent="0.6">
      <c r="A16" s="174"/>
      <c r="B16" s="180" t="s">
        <v>24</v>
      </c>
      <c r="C16" s="181">
        <f>Input!C21</f>
        <v>0.52300000000000002</v>
      </c>
      <c r="D16" s="181">
        <f>Input!D21</f>
        <v>0.52929999999999999</v>
      </c>
      <c r="E16" s="181">
        <f>Input!E21</f>
        <v>0.53569999999999995</v>
      </c>
      <c r="F16" s="181">
        <f>Input!F21</f>
        <v>0.52300000000000002</v>
      </c>
      <c r="G16" s="181">
        <f>Input!G21</f>
        <v>0.52300000000000002</v>
      </c>
      <c r="H16" s="181">
        <f>Input!H21</f>
        <v>0.62170000000000003</v>
      </c>
      <c r="I16" s="181">
        <f>Input!I21</f>
        <v>0.2157</v>
      </c>
      <c r="J16" s="181">
        <f>Input!J21</f>
        <v>0.2157</v>
      </c>
      <c r="K16" s="181">
        <f>Input!K21</f>
        <v>0.58330000000000004</v>
      </c>
      <c r="L16" s="181">
        <f>Input!L21</f>
        <v>0.55269999999999997</v>
      </c>
      <c r="M16" s="182"/>
      <c r="N16" s="183"/>
      <c r="O16" s="184">
        <f t="shared" si="1"/>
        <v>0.47699999999999998</v>
      </c>
      <c r="P16" s="184">
        <f t="shared" si="1"/>
        <v>0.47070000000000001</v>
      </c>
      <c r="Q16" s="184">
        <f t="shared" si="1"/>
        <v>0.46430000000000005</v>
      </c>
      <c r="R16" s="184">
        <f t="shared" si="1"/>
        <v>0.47699999999999998</v>
      </c>
      <c r="S16" s="184">
        <f t="shared" si="1"/>
        <v>0.47699999999999998</v>
      </c>
      <c r="T16" s="184">
        <f t="shared" si="1"/>
        <v>0.37829999999999997</v>
      </c>
      <c r="U16" s="184">
        <f t="shared" si="1"/>
        <v>0.7843</v>
      </c>
      <c r="V16" s="184">
        <f t="shared" si="1"/>
        <v>0.7843</v>
      </c>
      <c r="W16" s="184">
        <f t="shared" si="1"/>
        <v>0.41669999999999996</v>
      </c>
      <c r="X16" s="184">
        <f t="shared" si="1"/>
        <v>0.44730000000000003</v>
      </c>
    </row>
    <row r="17" spans="1:24" x14ac:dyDescent="0.6">
      <c r="A17" s="174"/>
      <c r="B17" s="180" t="s">
        <v>25</v>
      </c>
      <c r="C17" s="181">
        <f>Input!C22</f>
        <v>0.48370000000000002</v>
      </c>
      <c r="D17" s="181">
        <f>Input!D22</f>
        <v>0.48970000000000002</v>
      </c>
      <c r="E17" s="181">
        <f>Input!E22</f>
        <v>0.49299999999999999</v>
      </c>
      <c r="F17" s="181">
        <f>Input!F22</f>
        <v>0.48370000000000002</v>
      </c>
      <c r="G17" s="181">
        <f>Input!G22</f>
        <v>0.48370000000000002</v>
      </c>
      <c r="H17" s="181">
        <f>Input!H22</f>
        <v>0.58599999999999997</v>
      </c>
      <c r="I17" s="181">
        <f>Input!I22</f>
        <v>0.22600000000000001</v>
      </c>
      <c r="J17" s="181">
        <f>Input!J22</f>
        <v>0.22600000000000001</v>
      </c>
      <c r="K17" s="181">
        <f>Input!K22</f>
        <v>0.55469999999999997</v>
      </c>
      <c r="L17" s="181">
        <f>Input!L22</f>
        <v>0.53200000000000003</v>
      </c>
      <c r="M17" s="182"/>
      <c r="N17" s="183"/>
      <c r="O17" s="184">
        <f t="shared" si="1"/>
        <v>0.51629999999999998</v>
      </c>
      <c r="P17" s="184">
        <f t="shared" si="1"/>
        <v>0.51029999999999998</v>
      </c>
      <c r="Q17" s="184">
        <f t="shared" si="1"/>
        <v>0.50700000000000001</v>
      </c>
      <c r="R17" s="184">
        <f t="shared" si="1"/>
        <v>0.51629999999999998</v>
      </c>
      <c r="S17" s="184">
        <f t="shared" si="1"/>
        <v>0.51629999999999998</v>
      </c>
      <c r="T17" s="184">
        <f t="shared" si="1"/>
        <v>0.41400000000000003</v>
      </c>
      <c r="U17" s="184">
        <f t="shared" si="1"/>
        <v>0.77400000000000002</v>
      </c>
      <c r="V17" s="184">
        <f t="shared" si="1"/>
        <v>0.77400000000000002</v>
      </c>
      <c r="W17" s="184">
        <f t="shared" si="1"/>
        <v>0.44530000000000003</v>
      </c>
      <c r="X17" s="184">
        <f t="shared" si="1"/>
        <v>0.46799999999999997</v>
      </c>
    </row>
    <row r="18" spans="1:24" x14ac:dyDescent="0.6">
      <c r="A18" s="174"/>
      <c r="B18" s="180" t="s">
        <v>26</v>
      </c>
      <c r="C18" s="181">
        <f>Input!C23</f>
        <v>0.52229999999999999</v>
      </c>
      <c r="D18" s="181">
        <f>Input!D23</f>
        <v>0.52270000000000005</v>
      </c>
      <c r="E18" s="181">
        <f>Input!E23</f>
        <v>0.52270000000000005</v>
      </c>
      <c r="F18" s="181">
        <f>Input!F23</f>
        <v>0.52229999999999999</v>
      </c>
      <c r="G18" s="181">
        <f>Input!G23</f>
        <v>0.52229999999999999</v>
      </c>
      <c r="H18" s="181">
        <f>Input!H23</f>
        <v>0.59130000000000005</v>
      </c>
      <c r="I18" s="181">
        <f>Input!I23</f>
        <v>0.27729999999999999</v>
      </c>
      <c r="J18" s="181">
        <f>Input!J23</f>
        <v>0.27729999999999999</v>
      </c>
      <c r="K18" s="181">
        <f>Input!K23</f>
        <v>0.59</v>
      </c>
      <c r="L18" s="181">
        <f>Input!L23</f>
        <v>0.57130000000000003</v>
      </c>
      <c r="M18" s="182"/>
      <c r="N18" s="183"/>
      <c r="O18" s="184">
        <f t="shared" si="1"/>
        <v>0.47770000000000001</v>
      </c>
      <c r="P18" s="184">
        <f t="shared" si="1"/>
        <v>0.47729999999999995</v>
      </c>
      <c r="Q18" s="184">
        <f t="shared" si="1"/>
        <v>0.47729999999999995</v>
      </c>
      <c r="R18" s="184">
        <f t="shared" si="1"/>
        <v>0.47770000000000001</v>
      </c>
      <c r="S18" s="184">
        <f t="shared" si="1"/>
        <v>0.47770000000000001</v>
      </c>
      <c r="T18" s="184">
        <f t="shared" si="1"/>
        <v>0.40869999999999995</v>
      </c>
      <c r="U18" s="184">
        <f t="shared" si="1"/>
        <v>0.72270000000000001</v>
      </c>
      <c r="V18" s="184">
        <f t="shared" si="1"/>
        <v>0.72270000000000001</v>
      </c>
      <c r="W18" s="184">
        <f t="shared" si="1"/>
        <v>0.41000000000000003</v>
      </c>
      <c r="X18" s="184">
        <f t="shared" si="1"/>
        <v>0.42869999999999997</v>
      </c>
    </row>
    <row r="19" spans="1:24" x14ac:dyDescent="0.6">
      <c r="A19" s="174"/>
      <c r="B19" s="180" t="s">
        <v>27</v>
      </c>
      <c r="C19" s="181">
        <f>Input!C24</f>
        <v>0.47299999999999998</v>
      </c>
      <c r="D19" s="181">
        <f>Input!D24</f>
        <v>0.46429999999999999</v>
      </c>
      <c r="E19" s="181">
        <f>Input!E24</f>
        <v>0.46629999999999999</v>
      </c>
      <c r="F19" s="181">
        <f>Input!F24</f>
        <v>0.47299999999999998</v>
      </c>
      <c r="G19" s="181">
        <f>Input!G24</f>
        <v>0.47299999999999998</v>
      </c>
      <c r="H19" s="181">
        <f>Input!H24</f>
        <v>0.49230000000000002</v>
      </c>
      <c r="I19" s="181">
        <f>Input!I24</f>
        <v>0.30299999999999999</v>
      </c>
      <c r="J19" s="181">
        <f>Input!J24</f>
        <v>0.30299999999999999</v>
      </c>
      <c r="K19" s="181">
        <f>Input!K24</f>
        <v>0.5363</v>
      </c>
      <c r="L19" s="181">
        <f>Input!L24</f>
        <v>0.51929999999999998</v>
      </c>
      <c r="M19" s="182"/>
      <c r="N19" s="183"/>
      <c r="O19" s="184">
        <f t="shared" si="1"/>
        <v>0.52700000000000002</v>
      </c>
      <c r="P19" s="184">
        <f t="shared" si="1"/>
        <v>0.53570000000000007</v>
      </c>
      <c r="Q19" s="184">
        <f t="shared" si="1"/>
        <v>0.53370000000000006</v>
      </c>
      <c r="R19" s="184">
        <f t="shared" si="1"/>
        <v>0.52700000000000002</v>
      </c>
      <c r="S19" s="184">
        <f t="shared" si="1"/>
        <v>0.52700000000000002</v>
      </c>
      <c r="T19" s="184">
        <f t="shared" si="1"/>
        <v>0.50770000000000004</v>
      </c>
      <c r="U19" s="184">
        <f t="shared" si="1"/>
        <v>0.69700000000000006</v>
      </c>
      <c r="V19" s="184">
        <f t="shared" si="1"/>
        <v>0.69700000000000006</v>
      </c>
      <c r="W19" s="184">
        <f t="shared" si="1"/>
        <v>0.4637</v>
      </c>
      <c r="X19" s="184">
        <f t="shared" si="1"/>
        <v>0.48070000000000002</v>
      </c>
    </row>
    <row r="20" spans="1:24" x14ac:dyDescent="0.6">
      <c r="A20" s="174"/>
      <c r="B20" s="180" t="s">
        <v>28</v>
      </c>
      <c r="C20" s="181">
        <f>Input!C25</f>
        <v>0.4773</v>
      </c>
      <c r="D20" s="181">
        <f>Input!D25</f>
        <v>0.46600000000000003</v>
      </c>
      <c r="E20" s="181">
        <f>Input!E25</f>
        <v>0.47599999999999998</v>
      </c>
      <c r="F20" s="181">
        <f>Input!F25</f>
        <v>0.4773</v>
      </c>
      <c r="G20" s="181">
        <f>Input!G25</f>
        <v>0.4773</v>
      </c>
      <c r="H20" s="181">
        <f>Input!H25</f>
        <v>0.48070000000000002</v>
      </c>
      <c r="I20" s="181">
        <f>Input!I25</f>
        <v>0.30830000000000002</v>
      </c>
      <c r="J20" s="181">
        <f>Input!J25</f>
        <v>0.30830000000000002</v>
      </c>
      <c r="K20" s="181">
        <f>Input!K25</f>
        <v>0.52800000000000002</v>
      </c>
      <c r="L20" s="181">
        <f>Input!L25</f>
        <v>0.51100000000000001</v>
      </c>
      <c r="M20" s="182"/>
      <c r="N20" s="183"/>
      <c r="O20" s="184">
        <f t="shared" si="1"/>
        <v>0.52269999999999994</v>
      </c>
      <c r="P20" s="184">
        <f t="shared" si="1"/>
        <v>0.53400000000000003</v>
      </c>
      <c r="Q20" s="184">
        <f t="shared" si="1"/>
        <v>0.52400000000000002</v>
      </c>
      <c r="R20" s="184">
        <f t="shared" si="1"/>
        <v>0.52269999999999994</v>
      </c>
      <c r="S20" s="184">
        <f t="shared" si="1"/>
        <v>0.52269999999999994</v>
      </c>
      <c r="T20" s="184">
        <f t="shared" si="1"/>
        <v>0.51929999999999998</v>
      </c>
      <c r="U20" s="184">
        <f t="shared" si="1"/>
        <v>0.69169999999999998</v>
      </c>
      <c r="V20" s="184">
        <f t="shared" si="1"/>
        <v>0.69169999999999998</v>
      </c>
      <c r="W20" s="184">
        <f t="shared" si="1"/>
        <v>0.47199999999999998</v>
      </c>
      <c r="X20" s="184">
        <f t="shared" si="1"/>
        <v>0.48899999999999999</v>
      </c>
    </row>
    <row r="21" spans="1:24" x14ac:dyDescent="0.6">
      <c r="A21" s="174"/>
      <c r="B21" s="180"/>
      <c r="C21" s="183"/>
      <c r="D21" s="183"/>
      <c r="E21" s="183"/>
      <c r="F21" s="183"/>
      <c r="G21" s="183"/>
      <c r="H21" s="183"/>
      <c r="I21" s="183"/>
      <c r="J21" s="183"/>
      <c r="K21" s="183"/>
      <c r="L21" s="183"/>
      <c r="M21" s="183"/>
      <c r="N21" s="183"/>
      <c r="O21" s="184"/>
      <c r="P21" s="184"/>
      <c r="Q21" s="184"/>
      <c r="R21" s="184"/>
      <c r="S21" s="184"/>
      <c r="T21" s="184"/>
      <c r="U21" s="184"/>
      <c r="V21" s="184"/>
      <c r="W21" s="184"/>
      <c r="X21" s="184"/>
    </row>
    <row r="22" spans="1:24" x14ac:dyDescent="0.6">
      <c r="A22" s="174"/>
      <c r="B22" s="180"/>
      <c r="C22" s="183"/>
      <c r="D22" s="183"/>
      <c r="E22" s="170" t="str">
        <f>+Input!E9</f>
        <v>Based on average of year 2018,2019 &amp; 2020 Load Profile Information</v>
      </c>
      <c r="K22" s="183"/>
      <c r="L22" s="183"/>
      <c r="M22" s="183"/>
      <c r="N22" s="183"/>
      <c r="O22" s="184"/>
      <c r="P22" s="184"/>
      <c r="Q22" s="184"/>
      <c r="R22" s="184"/>
      <c r="S22" s="184"/>
      <c r="T22" s="184"/>
      <c r="U22" s="184"/>
      <c r="V22" s="184"/>
      <c r="W22" s="184"/>
      <c r="X22" s="184"/>
    </row>
    <row r="23" spans="1:24" x14ac:dyDescent="0.6">
      <c r="A23" s="171" t="s">
        <v>29</v>
      </c>
      <c r="B23" s="172" t="s">
        <v>30</v>
      </c>
      <c r="C23" s="183"/>
      <c r="D23" s="183"/>
      <c r="E23" s="185" t="str">
        <f>Input!E28</f>
        <v>On-Peak periods as defined in specified rate schedule (average of %s for 2018, 2019 &amp; 2020)</v>
      </c>
      <c r="G23" s="183"/>
      <c r="H23" s="183"/>
      <c r="I23" s="186"/>
      <c r="J23" s="186"/>
      <c r="K23" s="183"/>
      <c r="L23" s="183"/>
      <c r="M23" s="183"/>
      <c r="N23" s="183"/>
      <c r="O23" s="184"/>
      <c r="P23" s="184"/>
      <c r="Q23" s="184"/>
      <c r="R23" s="184"/>
      <c r="S23" s="184"/>
      <c r="T23" s="184"/>
      <c r="U23" s="184"/>
      <c r="V23" s="184"/>
      <c r="W23" s="184"/>
      <c r="X23" s="184"/>
    </row>
    <row r="24" spans="1:24" ht="26" x14ac:dyDescent="0.6">
      <c r="A24" s="174"/>
      <c r="C24" s="175" t="s">
        <v>102</v>
      </c>
      <c r="D24" s="175" t="s">
        <v>102</v>
      </c>
      <c r="E24" s="175" t="s">
        <v>4</v>
      </c>
      <c r="F24" s="175" t="s">
        <v>102</v>
      </c>
      <c r="G24" s="175" t="s">
        <v>102</v>
      </c>
      <c r="H24" s="175" t="s">
        <v>102</v>
      </c>
      <c r="I24" s="175" t="s">
        <v>102</v>
      </c>
      <c r="J24" s="175" t="s">
        <v>102</v>
      </c>
      <c r="K24" s="175" t="s">
        <v>102</v>
      </c>
      <c r="L24" s="175" t="s">
        <v>4</v>
      </c>
      <c r="M24" s="175"/>
      <c r="N24" s="170"/>
      <c r="O24" s="175" t="s">
        <v>102</v>
      </c>
      <c r="P24" s="175" t="s">
        <v>102</v>
      </c>
      <c r="Q24" s="175" t="s">
        <v>103</v>
      </c>
      <c r="R24" s="175" t="s">
        <v>102</v>
      </c>
      <c r="S24" s="175" t="s">
        <v>102</v>
      </c>
      <c r="T24" s="175" t="s">
        <v>102</v>
      </c>
      <c r="U24" s="175" t="s">
        <v>102</v>
      </c>
      <c r="V24" s="175" t="s">
        <v>102</v>
      </c>
      <c r="W24" s="175" t="s">
        <v>102</v>
      </c>
      <c r="X24" s="175" t="s">
        <v>103</v>
      </c>
    </row>
    <row r="25" spans="1:24" x14ac:dyDescent="0.6">
      <c r="A25" s="174"/>
      <c r="B25" s="177" t="s">
        <v>6</v>
      </c>
      <c r="C25" s="166" t="str">
        <f>+C7</f>
        <v>RS</v>
      </c>
      <c r="D25" s="166" t="str">
        <f t="shared" ref="D25:L25" si="2">+D7</f>
        <v>RHS</v>
      </c>
      <c r="E25" s="166" t="str">
        <f t="shared" si="2"/>
        <v>RLM</v>
      </c>
      <c r="F25" s="166" t="str">
        <f t="shared" si="2"/>
        <v>WH</v>
      </c>
      <c r="G25" s="166" t="str">
        <f t="shared" si="2"/>
        <v>WHS</v>
      </c>
      <c r="H25" s="166" t="str">
        <f t="shared" si="2"/>
        <v>HS</v>
      </c>
      <c r="I25" s="166" t="str">
        <f t="shared" si="2"/>
        <v>PSAL</v>
      </c>
      <c r="J25" s="166" t="str">
        <f t="shared" si="2"/>
        <v>BPL</v>
      </c>
      <c r="K25" s="166" t="str">
        <f t="shared" si="2"/>
        <v>GLP</v>
      </c>
      <c r="L25" s="166" t="str">
        <f t="shared" si="2"/>
        <v>LPL-S</v>
      </c>
      <c r="M25" s="166"/>
      <c r="N25" s="179"/>
      <c r="O25" s="166" t="str">
        <f>+C7</f>
        <v>RS</v>
      </c>
      <c r="P25" s="166" t="str">
        <f t="shared" ref="P25:X25" si="3">+D7</f>
        <v>RHS</v>
      </c>
      <c r="Q25" s="166" t="str">
        <f t="shared" si="3"/>
        <v>RLM</v>
      </c>
      <c r="R25" s="166" t="str">
        <f t="shared" si="3"/>
        <v>WH</v>
      </c>
      <c r="S25" s="166" t="str">
        <f t="shared" si="3"/>
        <v>WHS</v>
      </c>
      <c r="T25" s="166" t="str">
        <f t="shared" si="3"/>
        <v>HS</v>
      </c>
      <c r="U25" s="166" t="str">
        <f t="shared" si="3"/>
        <v>PSAL</v>
      </c>
      <c r="V25" s="166" t="str">
        <f t="shared" si="3"/>
        <v>BPL</v>
      </c>
      <c r="W25" s="166" t="str">
        <f t="shared" si="3"/>
        <v>GLP</v>
      </c>
      <c r="X25" s="166" t="str">
        <f t="shared" si="3"/>
        <v>LPL-S</v>
      </c>
    </row>
    <row r="26" spans="1:24" x14ac:dyDescent="0.6">
      <c r="A26" s="174"/>
      <c r="O26" s="167"/>
      <c r="P26" s="167"/>
      <c r="Q26" s="167"/>
      <c r="R26" s="167"/>
      <c r="S26" s="167"/>
      <c r="T26" s="167"/>
      <c r="U26" s="167"/>
      <c r="V26" s="167"/>
      <c r="W26" s="167"/>
      <c r="X26" s="167"/>
    </row>
    <row r="27" spans="1:24" x14ac:dyDescent="0.6">
      <c r="A27" s="174"/>
      <c r="B27" s="180" t="s">
        <v>17</v>
      </c>
      <c r="C27" s="187">
        <v>0</v>
      </c>
      <c r="D27" s="187">
        <v>0</v>
      </c>
      <c r="E27" s="187">
        <f>Input!C32</f>
        <v>0.42520000000000002</v>
      </c>
      <c r="F27" s="187">
        <v>0</v>
      </c>
      <c r="G27" s="187">
        <v>0</v>
      </c>
      <c r="H27" s="187">
        <v>0</v>
      </c>
      <c r="I27" s="187">
        <v>0</v>
      </c>
      <c r="J27" s="187">
        <v>0</v>
      </c>
      <c r="K27" s="187">
        <v>0</v>
      </c>
      <c r="L27" s="187">
        <f>Input!D32</f>
        <v>0.4703</v>
      </c>
      <c r="M27" s="182"/>
      <c r="N27" s="183"/>
      <c r="O27" s="184"/>
      <c r="P27" s="184"/>
      <c r="Q27" s="184">
        <f t="shared" ref="Q27:Q38" si="4">1-E27</f>
        <v>0.57479999999999998</v>
      </c>
      <c r="R27" s="184"/>
      <c r="S27" s="184"/>
      <c r="T27" s="184"/>
      <c r="U27" s="184"/>
      <c r="V27" s="184"/>
      <c r="W27" s="184"/>
      <c r="X27" s="184">
        <f t="shared" ref="X27:X38" si="5">1-L27</f>
        <v>0.52970000000000006</v>
      </c>
    </row>
    <row r="28" spans="1:24" x14ac:dyDescent="0.6">
      <c r="A28" s="174"/>
      <c r="B28" s="180" t="s">
        <v>18</v>
      </c>
      <c r="C28" s="187">
        <v>0</v>
      </c>
      <c r="D28" s="187">
        <v>0</v>
      </c>
      <c r="E28" s="187">
        <f>Input!C33</f>
        <v>0.41510000000000002</v>
      </c>
      <c r="F28" s="187">
        <v>0</v>
      </c>
      <c r="G28" s="187">
        <v>0</v>
      </c>
      <c r="H28" s="187">
        <v>0</v>
      </c>
      <c r="I28" s="187">
        <v>0</v>
      </c>
      <c r="J28" s="187">
        <v>0</v>
      </c>
      <c r="K28" s="187">
        <v>0</v>
      </c>
      <c r="L28" s="187">
        <f>Input!D33</f>
        <v>0.47770000000000001</v>
      </c>
      <c r="M28" s="182"/>
      <c r="N28" s="183"/>
      <c r="O28" s="184"/>
      <c r="P28" s="184"/>
      <c r="Q28" s="184">
        <f t="shared" si="4"/>
        <v>0.58489999999999998</v>
      </c>
      <c r="R28" s="184"/>
      <c r="S28" s="184"/>
      <c r="T28" s="184"/>
      <c r="U28" s="184"/>
      <c r="V28" s="184"/>
      <c r="W28" s="184"/>
      <c r="X28" s="184">
        <f t="shared" si="5"/>
        <v>0.52229999999999999</v>
      </c>
    </row>
    <row r="29" spans="1:24" x14ac:dyDescent="0.6">
      <c r="A29" s="174"/>
      <c r="B29" s="180" t="s">
        <v>19</v>
      </c>
      <c r="C29" s="187">
        <v>0</v>
      </c>
      <c r="D29" s="187">
        <v>0</v>
      </c>
      <c r="E29" s="187">
        <f>Input!C34</f>
        <v>0.41599999999999998</v>
      </c>
      <c r="F29" s="187">
        <v>0</v>
      </c>
      <c r="G29" s="187">
        <v>0</v>
      </c>
      <c r="H29" s="187">
        <v>0</v>
      </c>
      <c r="I29" s="187">
        <v>0</v>
      </c>
      <c r="J29" s="187">
        <v>0</v>
      </c>
      <c r="K29" s="187">
        <v>0</v>
      </c>
      <c r="L29" s="187">
        <f>Input!D34</f>
        <v>0.4753</v>
      </c>
      <c r="M29" s="182"/>
      <c r="N29" s="183"/>
      <c r="O29" s="184"/>
      <c r="P29" s="184"/>
      <c r="Q29" s="184">
        <f t="shared" si="4"/>
        <v>0.58400000000000007</v>
      </c>
      <c r="R29" s="184"/>
      <c r="S29" s="184"/>
      <c r="T29" s="184"/>
      <c r="U29" s="184"/>
      <c r="V29" s="184"/>
      <c r="W29" s="184"/>
      <c r="X29" s="184">
        <f t="shared" si="5"/>
        <v>0.52469999999999994</v>
      </c>
    </row>
    <row r="30" spans="1:24" x14ac:dyDescent="0.6">
      <c r="A30" s="174"/>
      <c r="B30" s="180" t="s">
        <v>20</v>
      </c>
      <c r="C30" s="187">
        <v>0</v>
      </c>
      <c r="D30" s="187">
        <v>0</v>
      </c>
      <c r="E30" s="187">
        <f>Input!C35</f>
        <v>0.42380000000000001</v>
      </c>
      <c r="F30" s="187">
        <v>0</v>
      </c>
      <c r="G30" s="187">
        <v>0</v>
      </c>
      <c r="H30" s="187">
        <v>0</v>
      </c>
      <c r="I30" s="187">
        <v>0</v>
      </c>
      <c r="J30" s="187">
        <v>0</v>
      </c>
      <c r="K30" s="187">
        <v>0</v>
      </c>
      <c r="L30" s="187">
        <f>Input!D35</f>
        <v>0.4748</v>
      </c>
      <c r="M30" s="182"/>
      <c r="N30" s="183"/>
      <c r="O30" s="184"/>
      <c r="P30" s="184"/>
      <c r="Q30" s="184">
        <f t="shared" si="4"/>
        <v>0.57620000000000005</v>
      </c>
      <c r="R30" s="184"/>
      <c r="S30" s="184"/>
      <c r="T30" s="184"/>
      <c r="U30" s="184"/>
      <c r="V30" s="184"/>
      <c r="W30" s="184"/>
      <c r="X30" s="184">
        <f t="shared" si="5"/>
        <v>0.5252</v>
      </c>
    </row>
    <row r="31" spans="1:24" x14ac:dyDescent="0.6">
      <c r="A31" s="174"/>
      <c r="B31" s="180" t="s">
        <v>21</v>
      </c>
      <c r="C31" s="187">
        <v>0</v>
      </c>
      <c r="D31" s="187">
        <v>0</v>
      </c>
      <c r="E31" s="187">
        <f>Input!C36</f>
        <v>0.4405</v>
      </c>
      <c r="F31" s="187">
        <v>0</v>
      </c>
      <c r="G31" s="187">
        <v>0</v>
      </c>
      <c r="H31" s="187">
        <v>0</v>
      </c>
      <c r="I31" s="187">
        <v>0</v>
      </c>
      <c r="J31" s="187">
        <v>0</v>
      </c>
      <c r="K31" s="187">
        <v>0</v>
      </c>
      <c r="L31" s="187">
        <f>Input!D36</f>
        <v>0.48499999999999999</v>
      </c>
      <c r="M31" s="182"/>
      <c r="N31" s="188"/>
      <c r="O31" s="184"/>
      <c r="P31" s="184"/>
      <c r="Q31" s="184">
        <f t="shared" si="4"/>
        <v>0.5595</v>
      </c>
      <c r="R31" s="184"/>
      <c r="S31" s="184"/>
      <c r="T31" s="184"/>
      <c r="U31" s="184"/>
      <c r="V31" s="184"/>
      <c r="W31" s="184"/>
      <c r="X31" s="184">
        <f t="shared" si="5"/>
        <v>0.51500000000000001</v>
      </c>
    </row>
    <row r="32" spans="1:24" x14ac:dyDescent="0.6">
      <c r="A32" s="174"/>
      <c r="B32" s="180" t="s">
        <v>22</v>
      </c>
      <c r="C32" s="187">
        <v>0</v>
      </c>
      <c r="D32" s="187">
        <v>0</v>
      </c>
      <c r="E32" s="187">
        <f>Input!C37</f>
        <v>0.4597</v>
      </c>
      <c r="F32" s="187">
        <v>0</v>
      </c>
      <c r="G32" s="187">
        <v>0</v>
      </c>
      <c r="H32" s="187">
        <v>0</v>
      </c>
      <c r="I32" s="187">
        <v>0</v>
      </c>
      <c r="J32" s="187">
        <v>0</v>
      </c>
      <c r="K32" s="187">
        <v>0</v>
      </c>
      <c r="L32" s="187">
        <f>Input!D37</f>
        <v>0.49509999999999998</v>
      </c>
      <c r="M32" s="182"/>
      <c r="N32" s="188"/>
      <c r="O32" s="184"/>
      <c r="P32" s="184"/>
      <c r="Q32" s="184">
        <f t="shared" si="4"/>
        <v>0.5403</v>
      </c>
      <c r="R32" s="184"/>
      <c r="S32" s="184"/>
      <c r="T32" s="184"/>
      <c r="U32" s="184"/>
      <c r="V32" s="184"/>
      <c r="W32" s="184"/>
      <c r="X32" s="184">
        <f t="shared" si="5"/>
        <v>0.50490000000000002</v>
      </c>
    </row>
    <row r="33" spans="1:32" x14ac:dyDescent="0.6">
      <c r="A33" s="174"/>
      <c r="B33" s="180" t="s">
        <v>23</v>
      </c>
      <c r="C33" s="187">
        <v>0</v>
      </c>
      <c r="D33" s="187">
        <v>0</v>
      </c>
      <c r="E33" s="187">
        <f>Input!C38</f>
        <v>0.48149999999999998</v>
      </c>
      <c r="F33" s="187">
        <v>0</v>
      </c>
      <c r="G33" s="187">
        <v>0</v>
      </c>
      <c r="H33" s="187">
        <v>0</v>
      </c>
      <c r="I33" s="187">
        <v>0</v>
      </c>
      <c r="J33" s="187">
        <v>0</v>
      </c>
      <c r="K33" s="187">
        <v>0</v>
      </c>
      <c r="L33" s="187">
        <f>Input!D38</f>
        <v>0.49480000000000002</v>
      </c>
      <c r="M33" s="182"/>
      <c r="N33" s="188"/>
      <c r="O33" s="184"/>
      <c r="P33" s="184"/>
      <c r="Q33" s="184">
        <f t="shared" si="4"/>
        <v>0.51849999999999996</v>
      </c>
      <c r="R33" s="184"/>
      <c r="S33" s="184"/>
      <c r="T33" s="184"/>
      <c r="U33" s="184"/>
      <c r="V33" s="184"/>
      <c r="W33" s="184"/>
      <c r="X33" s="184">
        <f t="shared" si="5"/>
        <v>0.50519999999999998</v>
      </c>
    </row>
    <row r="34" spans="1:32" x14ac:dyDescent="0.6">
      <c r="A34" s="174"/>
      <c r="B34" s="180" t="s">
        <v>24</v>
      </c>
      <c r="C34" s="187">
        <v>0</v>
      </c>
      <c r="D34" s="187">
        <v>0</v>
      </c>
      <c r="E34" s="187">
        <f>Input!C39</f>
        <v>0.48089999999999999</v>
      </c>
      <c r="F34" s="187">
        <v>0</v>
      </c>
      <c r="G34" s="187">
        <v>0</v>
      </c>
      <c r="H34" s="187">
        <v>0</v>
      </c>
      <c r="I34" s="187">
        <v>0</v>
      </c>
      <c r="J34" s="187">
        <v>0</v>
      </c>
      <c r="K34" s="187">
        <v>0</v>
      </c>
      <c r="L34" s="187">
        <f>Input!D39</f>
        <v>0.49249999999999999</v>
      </c>
      <c r="M34" s="182"/>
      <c r="N34" s="188"/>
      <c r="O34" s="184"/>
      <c r="P34" s="184"/>
      <c r="Q34" s="184">
        <f t="shared" si="4"/>
        <v>0.51910000000000001</v>
      </c>
      <c r="R34" s="184"/>
      <c r="S34" s="184"/>
      <c r="T34" s="184"/>
      <c r="U34" s="184"/>
      <c r="V34" s="184"/>
      <c r="W34" s="184"/>
      <c r="X34" s="184">
        <f t="shared" si="5"/>
        <v>0.50750000000000006</v>
      </c>
    </row>
    <row r="35" spans="1:32" x14ac:dyDescent="0.6">
      <c r="A35" s="174"/>
      <c r="B35" s="180" t="s">
        <v>25</v>
      </c>
      <c r="C35" s="187">
        <v>0</v>
      </c>
      <c r="D35" s="187">
        <v>0</v>
      </c>
      <c r="E35" s="187">
        <f>Input!C40</f>
        <v>0.48949999999999999</v>
      </c>
      <c r="F35" s="187">
        <v>0</v>
      </c>
      <c r="G35" s="187">
        <v>0</v>
      </c>
      <c r="H35" s="187">
        <v>0</v>
      </c>
      <c r="I35" s="187">
        <v>0</v>
      </c>
      <c r="J35" s="187">
        <v>0</v>
      </c>
      <c r="K35" s="187">
        <v>0</v>
      </c>
      <c r="L35" s="187">
        <f>Input!D40</f>
        <v>0.49690000000000001</v>
      </c>
      <c r="M35" s="182"/>
      <c r="N35" s="188"/>
      <c r="O35" s="184"/>
      <c r="P35" s="184"/>
      <c r="Q35" s="184">
        <f t="shared" si="4"/>
        <v>0.51049999999999995</v>
      </c>
      <c r="R35" s="184"/>
      <c r="S35" s="184"/>
      <c r="T35" s="184"/>
      <c r="U35" s="184"/>
      <c r="V35" s="184"/>
      <c r="W35" s="184"/>
      <c r="X35" s="184">
        <f t="shared" si="5"/>
        <v>0.50309999999999999</v>
      </c>
    </row>
    <row r="36" spans="1:32" x14ac:dyDescent="0.6">
      <c r="A36" s="174"/>
      <c r="B36" s="180" t="s">
        <v>26</v>
      </c>
      <c r="C36" s="187">
        <v>0</v>
      </c>
      <c r="D36" s="187">
        <v>0</v>
      </c>
      <c r="E36" s="187">
        <f>Input!C41</f>
        <v>0.45569999999999999</v>
      </c>
      <c r="F36" s="187">
        <v>0</v>
      </c>
      <c r="G36" s="187">
        <v>0</v>
      </c>
      <c r="H36" s="187">
        <v>0</v>
      </c>
      <c r="I36" s="187">
        <v>0</v>
      </c>
      <c r="J36" s="187">
        <v>0</v>
      </c>
      <c r="K36" s="187">
        <v>0</v>
      </c>
      <c r="L36" s="187">
        <f>Input!D41</f>
        <v>0.49809999999999999</v>
      </c>
      <c r="M36" s="182"/>
      <c r="N36" s="188"/>
      <c r="O36" s="184"/>
      <c r="P36" s="184"/>
      <c r="Q36" s="184">
        <f t="shared" si="4"/>
        <v>0.54430000000000001</v>
      </c>
      <c r="R36" s="184"/>
      <c r="S36" s="184"/>
      <c r="T36" s="184"/>
      <c r="U36" s="184"/>
      <c r="V36" s="184"/>
      <c r="W36" s="184"/>
      <c r="X36" s="184">
        <f t="shared" si="5"/>
        <v>0.50190000000000001</v>
      </c>
    </row>
    <row r="37" spans="1:32" x14ac:dyDescent="0.6">
      <c r="A37" s="174"/>
      <c r="B37" s="180" t="s">
        <v>27</v>
      </c>
      <c r="C37" s="187">
        <v>0</v>
      </c>
      <c r="D37" s="187">
        <v>0</v>
      </c>
      <c r="E37" s="187">
        <f>Input!C42</f>
        <v>0.42949999999999999</v>
      </c>
      <c r="F37" s="187">
        <v>0</v>
      </c>
      <c r="G37" s="187">
        <v>0</v>
      </c>
      <c r="H37" s="187">
        <v>0</v>
      </c>
      <c r="I37" s="187">
        <v>0</v>
      </c>
      <c r="J37" s="187">
        <v>0</v>
      </c>
      <c r="K37" s="187">
        <v>0</v>
      </c>
      <c r="L37" s="187">
        <f>Input!D42</f>
        <v>0.4899</v>
      </c>
      <c r="M37" s="182"/>
      <c r="N37" s="188"/>
      <c r="O37" s="184"/>
      <c r="P37" s="184"/>
      <c r="Q37" s="184">
        <f t="shared" si="4"/>
        <v>0.57050000000000001</v>
      </c>
      <c r="R37" s="184"/>
      <c r="S37" s="184"/>
      <c r="T37" s="184"/>
      <c r="U37" s="184"/>
      <c r="V37" s="184"/>
      <c r="W37" s="184"/>
      <c r="X37" s="184">
        <f t="shared" si="5"/>
        <v>0.5101</v>
      </c>
    </row>
    <row r="38" spans="1:32" x14ac:dyDescent="0.6">
      <c r="A38" s="174"/>
      <c r="B38" s="180" t="s">
        <v>28</v>
      </c>
      <c r="C38" s="187">
        <v>0</v>
      </c>
      <c r="D38" s="187">
        <v>0</v>
      </c>
      <c r="E38" s="187">
        <f>Input!C43</f>
        <v>0.42749999999999999</v>
      </c>
      <c r="F38" s="187">
        <v>0</v>
      </c>
      <c r="G38" s="187">
        <v>0</v>
      </c>
      <c r="H38" s="187">
        <v>0</v>
      </c>
      <c r="I38" s="187">
        <v>0</v>
      </c>
      <c r="J38" s="187">
        <v>0</v>
      </c>
      <c r="K38" s="187">
        <v>0</v>
      </c>
      <c r="L38" s="187">
        <f>Input!D43</f>
        <v>0.47549999999999998</v>
      </c>
      <c r="M38" s="182"/>
      <c r="N38" s="188"/>
      <c r="O38" s="184"/>
      <c r="P38" s="184"/>
      <c r="Q38" s="184">
        <f t="shared" si="4"/>
        <v>0.57250000000000001</v>
      </c>
      <c r="R38" s="184"/>
      <c r="S38" s="184"/>
      <c r="T38" s="184"/>
      <c r="U38" s="184"/>
      <c r="V38" s="184"/>
      <c r="W38" s="184"/>
      <c r="X38" s="184">
        <f t="shared" si="5"/>
        <v>0.52449999999999997</v>
      </c>
    </row>
    <row r="39" spans="1:32" x14ac:dyDescent="0.6">
      <c r="A39" s="174"/>
      <c r="B39" s="180"/>
      <c r="C39" s="183"/>
      <c r="D39" s="183"/>
      <c r="E39" s="183"/>
      <c r="F39" s="183"/>
      <c r="G39" s="183"/>
      <c r="H39" s="183"/>
      <c r="I39" s="186"/>
      <c r="J39" s="186"/>
      <c r="K39" s="183"/>
      <c r="L39" s="183"/>
      <c r="M39" s="183"/>
      <c r="N39" s="188"/>
      <c r="O39" s="184"/>
      <c r="P39" s="184"/>
      <c r="Q39" s="184"/>
      <c r="R39" s="184"/>
      <c r="S39" s="184"/>
      <c r="T39" s="184"/>
      <c r="U39" s="184"/>
      <c r="V39" s="184"/>
      <c r="W39" s="184"/>
      <c r="X39" s="184"/>
    </row>
    <row r="40" spans="1:32" x14ac:dyDescent="0.6">
      <c r="A40" s="174"/>
      <c r="B40" s="180"/>
      <c r="C40" s="183"/>
      <c r="D40" s="183"/>
      <c r="E40" s="183"/>
      <c r="F40" s="183"/>
      <c r="G40" s="183"/>
      <c r="H40" s="183"/>
      <c r="I40" s="186"/>
      <c r="J40" s="186"/>
      <c r="K40" s="183"/>
      <c r="L40" s="183"/>
      <c r="M40" s="183"/>
      <c r="N40" s="188"/>
      <c r="O40" s="184"/>
      <c r="P40" s="184"/>
      <c r="Q40" s="184"/>
      <c r="R40" s="184"/>
      <c r="S40" s="184"/>
      <c r="T40" s="184"/>
      <c r="U40" s="184"/>
      <c r="V40" s="184"/>
      <c r="W40" s="184"/>
      <c r="X40" s="184"/>
    </row>
    <row r="41" spans="1:32" x14ac:dyDescent="0.6">
      <c r="A41" s="171" t="s">
        <v>31</v>
      </c>
      <c r="B41" s="189" t="s">
        <v>32</v>
      </c>
      <c r="C41" s="166"/>
      <c r="D41" s="166"/>
      <c r="E41" s="166"/>
      <c r="F41" s="166"/>
      <c r="G41" s="166"/>
      <c r="H41" s="166"/>
      <c r="I41" s="166"/>
      <c r="J41" s="166"/>
      <c r="K41" s="166"/>
      <c r="L41" s="166"/>
      <c r="O41" s="169" t="s">
        <v>104</v>
      </c>
    </row>
    <row r="42" spans="1:32" x14ac:dyDescent="0.6">
      <c r="A42" s="174"/>
      <c r="B42" s="190" t="str">
        <f>Input!B47</f>
        <v>Calendar month sales forecasted for 2021, less % for LPL-Sec &gt; 500 kW Peak Load Share</v>
      </c>
      <c r="G42" s="191"/>
      <c r="L42" s="166" t="s">
        <v>105</v>
      </c>
      <c r="AB42" s="192" t="s">
        <v>106</v>
      </c>
      <c r="AD42" s="169" t="s">
        <v>34</v>
      </c>
    </row>
    <row r="43" spans="1:32" x14ac:dyDescent="0.6">
      <c r="A43" s="174"/>
      <c r="B43" s="170" t="s">
        <v>33</v>
      </c>
      <c r="C43" s="166" t="str">
        <f>+C7</f>
        <v>RS</v>
      </c>
      <c r="D43" s="166" t="str">
        <f t="shared" ref="D43:L43" si="6">+D7</f>
        <v>RHS</v>
      </c>
      <c r="E43" s="166" t="str">
        <f t="shared" si="6"/>
        <v>RLM</v>
      </c>
      <c r="F43" s="166" t="str">
        <f t="shared" si="6"/>
        <v>WH</v>
      </c>
      <c r="G43" s="166" t="str">
        <f t="shared" si="6"/>
        <v>WHS</v>
      </c>
      <c r="H43" s="166" t="str">
        <f t="shared" si="6"/>
        <v>HS</v>
      </c>
      <c r="I43" s="166" t="str">
        <f t="shared" si="6"/>
        <v>PSAL</v>
      </c>
      <c r="J43" s="166" t="str">
        <f t="shared" si="6"/>
        <v>BPL</v>
      </c>
      <c r="K43" s="166" t="str">
        <f t="shared" si="6"/>
        <v>GLP</v>
      </c>
      <c r="L43" s="166" t="str">
        <f t="shared" si="6"/>
        <v>LPL-S</v>
      </c>
      <c r="M43" s="166"/>
      <c r="N43" s="166"/>
      <c r="O43" s="166" t="str">
        <f>+C7</f>
        <v>RS</v>
      </c>
      <c r="P43" s="166" t="str">
        <f t="shared" ref="P43:X43" si="7">+D7</f>
        <v>RHS</v>
      </c>
      <c r="Q43" s="166" t="str">
        <f t="shared" si="7"/>
        <v>RLM</v>
      </c>
      <c r="R43" s="166" t="str">
        <f t="shared" si="7"/>
        <v>WH</v>
      </c>
      <c r="S43" s="166" t="str">
        <f t="shared" si="7"/>
        <v>WHS</v>
      </c>
      <c r="T43" s="166" t="str">
        <f t="shared" si="7"/>
        <v>HS</v>
      </c>
      <c r="U43" s="166" t="str">
        <f t="shared" si="7"/>
        <v>PSAL</v>
      </c>
      <c r="V43" s="166" t="str">
        <f t="shared" si="7"/>
        <v>BPL</v>
      </c>
      <c r="W43" s="166" t="str">
        <f t="shared" si="7"/>
        <v>GLP</v>
      </c>
      <c r="X43" s="166" t="str">
        <f t="shared" si="7"/>
        <v>LPL-S</v>
      </c>
      <c r="Y43" s="166"/>
      <c r="Z43" s="166" t="s">
        <v>107</v>
      </c>
      <c r="AB43" s="192" t="s">
        <v>16</v>
      </c>
      <c r="AD43" s="193" t="s">
        <v>35</v>
      </c>
      <c r="AE43" s="193" t="s">
        <v>35</v>
      </c>
      <c r="AF43" s="192" t="s">
        <v>35</v>
      </c>
    </row>
    <row r="44" spans="1:32" x14ac:dyDescent="0.6">
      <c r="A44" s="174"/>
      <c r="C44" s="166"/>
      <c r="D44" s="166"/>
      <c r="E44" s="166"/>
      <c r="F44" s="166"/>
      <c r="G44" s="166"/>
      <c r="H44" s="166"/>
      <c r="I44" s="166"/>
      <c r="J44" s="166"/>
      <c r="K44" s="166"/>
      <c r="L44" s="166"/>
      <c r="Y44" s="194"/>
      <c r="AB44" s="192"/>
      <c r="AD44" s="192" t="s">
        <v>36</v>
      </c>
      <c r="AE44" s="192" t="s">
        <v>37</v>
      </c>
      <c r="AF44" s="192" t="s">
        <v>108</v>
      </c>
    </row>
    <row r="45" spans="1:32" x14ac:dyDescent="0.6">
      <c r="A45" s="174"/>
      <c r="B45" s="180" t="s">
        <v>17</v>
      </c>
      <c r="C45" s="195">
        <f>Input!C50</f>
        <v>1158782.9408249238</v>
      </c>
      <c r="D45" s="195">
        <f>Input!D50</f>
        <v>13581.145419587001</v>
      </c>
      <c r="E45" s="195">
        <f>Input!E50</f>
        <v>13959.307427872749</v>
      </c>
      <c r="F45" s="195">
        <f>Input!F50</f>
        <v>83</v>
      </c>
      <c r="G45" s="195">
        <f>Input!G50</f>
        <v>2</v>
      </c>
      <c r="H45" s="195">
        <f>Input!H50</f>
        <v>1504.1042452061643</v>
      </c>
      <c r="I45" s="195">
        <f>Input!I50</f>
        <v>15729</v>
      </c>
      <c r="J45" s="195">
        <f>Input!J50</f>
        <v>32396</v>
      </c>
      <c r="K45" s="195">
        <f>Input!K50</f>
        <v>545909.97467966552</v>
      </c>
      <c r="L45" s="196">
        <f>AB45*$M$45</f>
        <v>368686.27671271987</v>
      </c>
      <c r="M45" s="197">
        <f>(1-AD45)</f>
        <v>0.64049951465717692</v>
      </c>
      <c r="N45" s="198" t="s">
        <v>109</v>
      </c>
      <c r="O45" s="199">
        <f>SUM(C45:C49,C54:C56)</f>
        <v>7441969.3694402296</v>
      </c>
      <c r="P45" s="200">
        <f t="shared" ref="P45:X45" si="8">SUM(D45:D49,D54:D56)</f>
        <v>67942.459021489762</v>
      </c>
      <c r="Q45" s="200">
        <f t="shared" si="8"/>
        <v>91481.756479920892</v>
      </c>
      <c r="R45" s="200">
        <f t="shared" si="8"/>
        <v>598</v>
      </c>
      <c r="S45" s="200">
        <f t="shared" si="8"/>
        <v>10</v>
      </c>
      <c r="T45" s="200">
        <f t="shared" si="8"/>
        <v>7218.691475315889</v>
      </c>
      <c r="U45" s="200">
        <f t="shared" si="8"/>
        <v>105237</v>
      </c>
      <c r="V45" s="200">
        <f t="shared" si="8"/>
        <v>213955</v>
      </c>
      <c r="W45" s="200">
        <f t="shared" si="8"/>
        <v>4014550.6096786102</v>
      </c>
      <c r="X45" s="200">
        <f t="shared" si="8"/>
        <v>2780997.5588851064</v>
      </c>
      <c r="Y45" s="194">
        <f>SUM(O45:X45)</f>
        <v>14723960.444980673</v>
      </c>
      <c r="Z45" s="201">
        <f>+Y45/(Y45+Y49)</f>
        <v>0.60432238408482142</v>
      </c>
      <c r="AB45" s="202">
        <f>Input!L50</f>
        <v>575623.03838755714</v>
      </c>
      <c r="AD45" s="203">
        <f>Input!C66</f>
        <v>0.35950048534282308</v>
      </c>
      <c r="AE45" s="204">
        <f>Input!D66</f>
        <v>0.34374667027301709</v>
      </c>
      <c r="AF45" s="205">
        <f>AE45</f>
        <v>0.34374667027301709</v>
      </c>
    </row>
    <row r="46" spans="1:32" x14ac:dyDescent="0.6">
      <c r="A46" s="174"/>
      <c r="B46" s="180" t="s">
        <v>18</v>
      </c>
      <c r="C46" s="195">
        <f>Input!C51</f>
        <v>968636.16641473677</v>
      </c>
      <c r="D46" s="195">
        <f>Input!D51</f>
        <v>11629.520323348841</v>
      </c>
      <c r="E46" s="195">
        <f>Input!E51</f>
        <v>11728.526775786637</v>
      </c>
      <c r="F46" s="195">
        <f>Input!F51</f>
        <v>80</v>
      </c>
      <c r="G46" s="195">
        <f>Input!G51</f>
        <v>2</v>
      </c>
      <c r="H46" s="195">
        <f>Input!H51</f>
        <v>1297.2794020978824</v>
      </c>
      <c r="I46" s="195">
        <f>Input!I51</f>
        <v>12919</v>
      </c>
      <c r="J46" s="195">
        <f>Input!J51</f>
        <v>27002</v>
      </c>
      <c r="K46" s="195">
        <f>Input!K51</f>
        <v>502749.34791265213</v>
      </c>
      <c r="L46" s="196">
        <f t="shared" ref="L46:L56" si="9">AB46*$M$45</f>
        <v>336397.79084391845</v>
      </c>
      <c r="M46" s="206"/>
      <c r="N46" s="198" t="s">
        <v>110</v>
      </c>
      <c r="O46" s="200"/>
      <c r="P46" s="200"/>
      <c r="Q46" s="200">
        <f>SUMPRODUCT(E27:E31,E45:E49)+SUMPRODUCT(E36:E38,E54:E56)</f>
        <v>39222.670626409068</v>
      </c>
      <c r="R46" s="200"/>
      <c r="X46" s="200">
        <f>SUMPRODUCT(L27:L31,L45:L49)+SUMPRODUCT(L36:L38,L54:L56)</f>
        <v>1337047.7138142153</v>
      </c>
      <c r="Y46" s="194"/>
      <c r="Z46" s="201"/>
      <c r="AB46" s="202">
        <f>Input!L51</f>
        <v>525211.62490493548</v>
      </c>
      <c r="AD46" s="207"/>
    </row>
    <row r="47" spans="1:32" x14ac:dyDescent="0.6">
      <c r="A47" s="174"/>
      <c r="B47" s="180" t="s">
        <v>19</v>
      </c>
      <c r="C47" s="195">
        <f>Input!C52</f>
        <v>927889.04863921273</v>
      </c>
      <c r="D47" s="195">
        <f>Input!D52</f>
        <v>9396.6060230466355</v>
      </c>
      <c r="E47" s="195">
        <f>Input!E52</f>
        <v>11682.444038875919</v>
      </c>
      <c r="F47" s="195">
        <f>Input!F52</f>
        <v>89</v>
      </c>
      <c r="G47" s="195">
        <f>Input!G52</f>
        <v>1</v>
      </c>
      <c r="H47" s="195">
        <f>Input!H52</f>
        <v>1045.0539836731482</v>
      </c>
      <c r="I47" s="195">
        <f>Input!I52</f>
        <v>12905</v>
      </c>
      <c r="J47" s="195">
        <f>Input!J52</f>
        <v>27387</v>
      </c>
      <c r="K47" s="195">
        <f>Input!K52</f>
        <v>530255.17994208238</v>
      </c>
      <c r="L47" s="196">
        <f t="shared" si="9"/>
        <v>357188.13412251527</v>
      </c>
      <c r="M47" s="206"/>
      <c r="N47" s="198" t="s">
        <v>111</v>
      </c>
      <c r="O47" s="200">
        <f>+O45-O46</f>
        <v>7441969.3694402296</v>
      </c>
      <c r="P47" s="200">
        <f>+P45-P46</f>
        <v>67942.459021489762</v>
      </c>
      <c r="Q47" s="200">
        <f>+Q45-Q46</f>
        <v>52259.085853511824</v>
      </c>
      <c r="R47" s="200">
        <f>+R45-R46</f>
        <v>598</v>
      </c>
      <c r="X47" s="200">
        <f>+X45-X46</f>
        <v>1443949.8450708911</v>
      </c>
      <c r="Y47" s="194"/>
      <c r="Z47" s="208"/>
      <c r="AB47" s="202">
        <f>Input!L52</f>
        <v>557671.20184891601</v>
      </c>
    </row>
    <row r="48" spans="1:32" x14ac:dyDescent="0.6">
      <c r="A48" s="174"/>
      <c r="B48" s="180" t="s">
        <v>20</v>
      </c>
      <c r="C48" s="195">
        <f>Input!C53</f>
        <v>768432.33583040151</v>
      </c>
      <c r="D48" s="195">
        <f>Input!D53</f>
        <v>5786.2445894411239</v>
      </c>
      <c r="E48" s="195">
        <f>Input!E53</f>
        <v>9646.3394386371201</v>
      </c>
      <c r="F48" s="195">
        <f>Input!F53</f>
        <v>74</v>
      </c>
      <c r="G48" s="195">
        <f>Input!G53</f>
        <v>2</v>
      </c>
      <c r="H48" s="195">
        <f>Input!H53</f>
        <v>696.98290624701519</v>
      </c>
      <c r="I48" s="195">
        <f>Input!I53</f>
        <v>10619</v>
      </c>
      <c r="J48" s="195">
        <f>Input!J53</f>
        <v>23671</v>
      </c>
      <c r="K48" s="195">
        <f>Input!K53</f>
        <v>465334.98321957642</v>
      </c>
      <c r="L48" s="196">
        <f t="shared" si="9"/>
        <v>311375.29090070876</v>
      </c>
      <c r="M48" s="206"/>
      <c r="Y48" s="194"/>
      <c r="AB48" s="202">
        <f>Input!L53</f>
        <v>486144.46033947472</v>
      </c>
    </row>
    <row r="49" spans="1:28" x14ac:dyDescent="0.6">
      <c r="A49" s="174"/>
      <c r="B49" s="180" t="s">
        <v>21</v>
      </c>
      <c r="C49" s="195">
        <f>Input!C54</f>
        <v>921193.68524272228</v>
      </c>
      <c r="D49" s="195">
        <f>Input!D54</f>
        <v>4420.39701094458</v>
      </c>
      <c r="E49" s="195">
        <f>Input!E54</f>
        <v>12618.20573736904</v>
      </c>
      <c r="F49" s="195">
        <f>Input!F54</f>
        <v>94</v>
      </c>
      <c r="G49" s="195">
        <f>Input!G54</f>
        <v>1</v>
      </c>
      <c r="H49" s="195">
        <f>Input!H54</f>
        <v>348.07107742613306</v>
      </c>
      <c r="I49" s="195">
        <f>Input!I54</f>
        <v>10441</v>
      </c>
      <c r="J49" s="195">
        <f>Input!J54</f>
        <v>22013</v>
      </c>
      <c r="K49" s="195">
        <f>Input!K54</f>
        <v>509010.76321916585</v>
      </c>
      <c r="L49" s="196">
        <f t="shared" si="9"/>
        <v>370254.16529950622</v>
      </c>
      <c r="N49" s="198" t="s">
        <v>112</v>
      </c>
      <c r="O49" s="199">
        <f>SUM(C50:C53)</f>
        <v>5568874.5442893105</v>
      </c>
      <c r="P49" s="200">
        <f t="shared" ref="P49:X49" si="10">+SUM(D50:D53)</f>
        <v>21087.990638698222</v>
      </c>
      <c r="Q49" s="200">
        <f t="shared" si="10"/>
        <v>77452.85471467278</v>
      </c>
      <c r="R49" s="200">
        <f t="shared" si="10"/>
        <v>236</v>
      </c>
      <c r="S49" s="200">
        <f t="shared" si="10"/>
        <v>4</v>
      </c>
      <c r="T49" s="200">
        <f t="shared" si="10"/>
        <v>2034.618375292855</v>
      </c>
      <c r="U49" s="200">
        <f t="shared" si="10"/>
        <v>39848</v>
      </c>
      <c r="V49" s="200">
        <f t="shared" si="10"/>
        <v>77902</v>
      </c>
      <c r="W49" s="200">
        <f t="shared" si="10"/>
        <v>2311619.0393461389</v>
      </c>
      <c r="X49" s="200">
        <f t="shared" si="10"/>
        <v>1541393.9941396869</v>
      </c>
      <c r="Y49" s="194">
        <f>SUM(O49:X49)</f>
        <v>9640453.0415038001</v>
      </c>
      <c r="Z49" s="208">
        <f>1-Z45</f>
        <v>0.39567761591517858</v>
      </c>
      <c r="AB49" s="202">
        <f>Input!L54</f>
        <v>578070.95372692402</v>
      </c>
    </row>
    <row r="50" spans="1:28" x14ac:dyDescent="0.6">
      <c r="A50" s="174"/>
      <c r="B50" s="180" t="s">
        <v>22</v>
      </c>
      <c r="C50" s="195">
        <f>Input!C55</f>
        <v>1231483.0499116252</v>
      </c>
      <c r="D50" s="195">
        <f>Input!D55</f>
        <v>5157.9353707413693</v>
      </c>
      <c r="E50" s="195">
        <f>Input!E55</f>
        <v>17644.045452692895</v>
      </c>
      <c r="F50" s="195">
        <f>Input!F55</f>
        <v>66</v>
      </c>
      <c r="G50" s="195">
        <f>Input!G55</f>
        <v>1</v>
      </c>
      <c r="H50" s="195">
        <f>Input!H55</f>
        <v>469.98002966475451</v>
      </c>
      <c r="I50" s="195">
        <f>Input!I55</f>
        <v>8686</v>
      </c>
      <c r="J50" s="195">
        <f>Input!J55</f>
        <v>18965</v>
      </c>
      <c r="K50" s="195">
        <f>Input!K55</f>
        <v>529954.46447786316</v>
      </c>
      <c r="L50" s="196">
        <f t="shared" si="9"/>
        <v>367185.18158590881</v>
      </c>
      <c r="M50" s="206"/>
      <c r="N50" s="198" t="s">
        <v>110</v>
      </c>
      <c r="O50" s="199"/>
      <c r="Q50" s="200">
        <f>+SUMPRODUCT(E32:E35,E50:E53)</f>
        <v>37011.272279421195</v>
      </c>
      <c r="X50" s="200">
        <f>+SUMPRODUCT(L32:L35,L50:L53)</f>
        <v>762563.21842791082</v>
      </c>
      <c r="Y50" s="194"/>
      <c r="Z50" s="201"/>
      <c r="AB50" s="202">
        <f>Input!L55</f>
        <v>573279.40643708722</v>
      </c>
    </row>
    <row r="51" spans="1:28" x14ac:dyDescent="0.6">
      <c r="A51" s="174"/>
      <c r="B51" s="180" t="s">
        <v>23</v>
      </c>
      <c r="C51" s="195">
        <f>Input!C56</f>
        <v>1634450.390346756</v>
      </c>
      <c r="D51" s="195">
        <f>Input!D56</f>
        <v>5632.5504882514915</v>
      </c>
      <c r="E51" s="195">
        <f>Input!E56</f>
        <v>23239.806363279895</v>
      </c>
      <c r="F51" s="195">
        <f>Input!F56</f>
        <v>51</v>
      </c>
      <c r="G51" s="195">
        <f>Input!G56</f>
        <v>1</v>
      </c>
      <c r="H51" s="195">
        <f>Input!H56</f>
        <v>517.06210777070487</v>
      </c>
      <c r="I51" s="195">
        <f>Input!I56</f>
        <v>9402</v>
      </c>
      <c r="J51" s="195">
        <f>Input!J56</f>
        <v>16483</v>
      </c>
      <c r="K51" s="195">
        <f>Input!K56</f>
        <v>608058.39571665262</v>
      </c>
      <c r="L51" s="196">
        <f t="shared" si="9"/>
        <v>393837.09040798724</v>
      </c>
      <c r="M51" s="206"/>
      <c r="N51" s="198" t="s">
        <v>111</v>
      </c>
      <c r="O51" s="199"/>
      <c r="Q51" s="200">
        <f>+Q49-Q50</f>
        <v>40441.582435251585</v>
      </c>
      <c r="X51" s="200">
        <f>+X49-X50</f>
        <v>778830.77571177611</v>
      </c>
      <c r="Y51" s="194"/>
      <c r="Z51" s="208"/>
      <c r="AB51" s="202">
        <f>Input!L56</f>
        <v>614890.53683168814</v>
      </c>
    </row>
    <row r="52" spans="1:28" x14ac:dyDescent="0.6">
      <c r="A52" s="174"/>
      <c r="B52" s="180" t="s">
        <v>24</v>
      </c>
      <c r="C52" s="195">
        <f>Input!C57</f>
        <v>1648641.1980882569</v>
      </c>
      <c r="D52" s="195">
        <f>Input!D57</f>
        <v>5820.0766242941872</v>
      </c>
      <c r="E52" s="195">
        <f>Input!E57</f>
        <v>22115.011397050977</v>
      </c>
      <c r="F52" s="195">
        <f>Input!F57</f>
        <v>58</v>
      </c>
      <c r="G52" s="195">
        <f>Input!G57</f>
        <v>1</v>
      </c>
      <c r="H52" s="195">
        <f>Input!H57</f>
        <v>615.4300209563512</v>
      </c>
      <c r="I52" s="195">
        <f>Input!I57</f>
        <v>10382</v>
      </c>
      <c r="J52" s="195">
        <f>Input!J57</f>
        <v>19112</v>
      </c>
      <c r="K52" s="195">
        <f>Input!K57</f>
        <v>639486.0934939218</v>
      </c>
      <c r="L52" s="196">
        <f t="shared" si="9"/>
        <v>424424.10077005194</v>
      </c>
      <c r="M52" s="206"/>
      <c r="AB52" s="202">
        <f>Input!L57</f>
        <v>662645.46819714934</v>
      </c>
    </row>
    <row r="53" spans="1:28" x14ac:dyDescent="0.6">
      <c r="A53" s="174"/>
      <c r="B53" s="180" t="s">
        <v>25</v>
      </c>
      <c r="C53" s="195">
        <f>Input!C58</f>
        <v>1054299.9059426729</v>
      </c>
      <c r="D53" s="195">
        <f>Input!D58</f>
        <v>4477.4281554111731</v>
      </c>
      <c r="E53" s="195">
        <f>Input!E58</f>
        <v>14453.99150164901</v>
      </c>
      <c r="F53" s="195">
        <f>Input!F58</f>
        <v>61</v>
      </c>
      <c r="G53" s="195">
        <f>Input!G58</f>
        <v>1</v>
      </c>
      <c r="H53" s="195">
        <f>Input!H58</f>
        <v>432.1462169010444</v>
      </c>
      <c r="I53" s="195">
        <f>Input!I58</f>
        <v>11378</v>
      </c>
      <c r="J53" s="195">
        <f>Input!J58</f>
        <v>23342</v>
      </c>
      <c r="K53" s="195">
        <f>Input!K58</f>
        <v>534120.08565770159</v>
      </c>
      <c r="L53" s="196">
        <f t="shared" si="9"/>
        <v>355947.62137573893</v>
      </c>
      <c r="M53" s="206"/>
      <c r="N53" s="198" t="s">
        <v>113</v>
      </c>
      <c r="O53" s="199">
        <f>+O49*C163</f>
        <v>3597492.9556108946</v>
      </c>
      <c r="P53" s="199">
        <f>+P49*D163</f>
        <v>13939.161812179525</v>
      </c>
      <c r="AB53" s="202">
        <f>Input!L58</f>
        <v>555734.41233012883</v>
      </c>
    </row>
    <row r="54" spans="1:28" x14ac:dyDescent="0.6">
      <c r="A54" s="174"/>
      <c r="B54" s="180" t="s">
        <v>26</v>
      </c>
      <c r="C54" s="195">
        <f>Input!C59</f>
        <v>822041.62450658728</v>
      </c>
      <c r="D54" s="195">
        <f>Input!D59</f>
        <v>4946.2434955179133</v>
      </c>
      <c r="E54" s="195">
        <f>Input!E59</f>
        <v>9887.0982273951486</v>
      </c>
      <c r="F54" s="195">
        <f>Input!F59</f>
        <v>29</v>
      </c>
      <c r="G54" s="195">
        <f>Input!G59</f>
        <v>0</v>
      </c>
      <c r="H54" s="195">
        <f>Input!H59</f>
        <v>469.98002966475451</v>
      </c>
      <c r="I54" s="195">
        <f>Input!I59</f>
        <v>13237</v>
      </c>
      <c r="J54" s="195">
        <f>Input!J59</f>
        <v>25275</v>
      </c>
      <c r="K54" s="195">
        <f>Input!K59</f>
        <v>493453.97324290196</v>
      </c>
      <c r="L54" s="196">
        <f t="shared" si="9"/>
        <v>351137.17396555131</v>
      </c>
      <c r="M54" s="206"/>
      <c r="N54" s="198" t="s">
        <v>114</v>
      </c>
      <c r="O54" s="200">
        <f>+O49-O53</f>
        <v>1971381.5886784159</v>
      </c>
      <c r="P54" s="200">
        <f>+P49-P53</f>
        <v>7148.8288265186966</v>
      </c>
      <c r="AB54" s="202">
        <f>Input!L59</f>
        <v>548223.95010477898</v>
      </c>
    </row>
    <row r="55" spans="1:28" x14ac:dyDescent="0.6">
      <c r="A55" s="174"/>
      <c r="B55" s="180" t="s">
        <v>27</v>
      </c>
      <c r="C55" s="195">
        <f>Input!C60</f>
        <v>817903.04153254069</v>
      </c>
      <c r="D55" s="195">
        <f>Input!D60</f>
        <v>7127.9264287569067</v>
      </c>
      <c r="E55" s="195">
        <f>Input!E60</f>
        <v>9473.2940592172872</v>
      </c>
      <c r="F55" s="195">
        <f>Input!F60</f>
        <v>67</v>
      </c>
      <c r="G55" s="195">
        <f>Input!G60</f>
        <v>1</v>
      </c>
      <c r="H55" s="195">
        <f>Input!H60</f>
        <v>655.7860879043086</v>
      </c>
      <c r="I55" s="195">
        <f>Input!I60</f>
        <v>14087</v>
      </c>
      <c r="J55" s="195">
        <f>Input!J60</f>
        <v>24078</v>
      </c>
      <c r="K55" s="195">
        <f>Input!K60</f>
        <v>451146.07166412013</v>
      </c>
      <c r="L55" s="196">
        <f t="shared" si="9"/>
        <v>326163.45082534984</v>
      </c>
      <c r="M55" s="206"/>
      <c r="AB55" s="202">
        <f>Input!L60</f>
        <v>509232.93985620991</v>
      </c>
    </row>
    <row r="56" spans="1:28" x14ac:dyDescent="0.6">
      <c r="A56" s="174"/>
      <c r="B56" s="180" t="s">
        <v>28</v>
      </c>
      <c r="C56" s="195">
        <f>Input!C61</f>
        <v>1057090.5264491045</v>
      </c>
      <c r="D56" s="195">
        <f>Input!D61</f>
        <v>11054.375730846758</v>
      </c>
      <c r="E56" s="195">
        <f>Input!E61</f>
        <v>12486.540774766992</v>
      </c>
      <c r="F56" s="195">
        <f>Input!F61</f>
        <v>82</v>
      </c>
      <c r="G56" s="195">
        <f>Input!G61</f>
        <v>1</v>
      </c>
      <c r="H56" s="195">
        <f>Input!H61</f>
        <v>1201.4337430964833</v>
      </c>
      <c r="I56" s="195">
        <f>Input!I61</f>
        <v>15300</v>
      </c>
      <c r="J56" s="195">
        <f>Input!J61</f>
        <v>32133</v>
      </c>
      <c r="K56" s="195">
        <f>Input!K61</f>
        <v>516690.31579844584</v>
      </c>
      <c r="L56" s="196">
        <f t="shared" si="9"/>
        <v>359795.27621483675</v>
      </c>
      <c r="M56" s="206"/>
      <c r="AB56" s="202">
        <f>Input!L61</f>
        <v>561741.68439052568</v>
      </c>
    </row>
    <row r="57" spans="1:28" x14ac:dyDescent="0.6">
      <c r="A57" s="174"/>
      <c r="B57" s="209" t="s">
        <v>106</v>
      </c>
      <c r="C57" s="200">
        <f>SUM(C45:C56)</f>
        <v>13010843.913729541</v>
      </c>
      <c r="D57" s="200">
        <f>SUM(D45:D56)</f>
        <v>89030.449660187995</v>
      </c>
      <c r="E57" s="200">
        <f t="shared" ref="E57:K57" si="11">SUM(E45:E56)</f>
        <v>168934.61119459369</v>
      </c>
      <c r="F57" s="200">
        <f t="shared" si="11"/>
        <v>834</v>
      </c>
      <c r="G57" s="200">
        <f t="shared" si="11"/>
        <v>14</v>
      </c>
      <c r="H57" s="200">
        <f>SUM(H45:H56)</f>
        <v>9253.3098506087445</v>
      </c>
      <c r="I57" s="200">
        <f>SUM(I45:I56)</f>
        <v>145085</v>
      </c>
      <c r="J57" s="200">
        <f>SUM(J45:J56)</f>
        <v>291857</v>
      </c>
      <c r="K57" s="200">
        <f t="shared" si="11"/>
        <v>6326169.6490247501</v>
      </c>
      <c r="L57" s="200">
        <f>SUM(L45:L56)</f>
        <v>4322391.553024794</v>
      </c>
      <c r="M57" s="200"/>
      <c r="O57" s="169" t="s">
        <v>115</v>
      </c>
      <c r="AB57" s="200">
        <f>SUM(AB45:AB56)</f>
        <v>6748469.6773553751</v>
      </c>
    </row>
    <row r="58" spans="1:28" x14ac:dyDescent="0.6">
      <c r="A58" s="174"/>
      <c r="B58" s="180"/>
      <c r="C58" s="210"/>
      <c r="D58" s="210"/>
      <c r="E58" s="210"/>
      <c r="F58" s="210"/>
      <c r="G58" s="210"/>
      <c r="H58" s="210"/>
      <c r="I58" s="210"/>
      <c r="J58" s="210"/>
      <c r="K58" s="210"/>
      <c r="L58" s="210"/>
      <c r="O58" s="170" t="s">
        <v>116</v>
      </c>
      <c r="AB58" s="211"/>
    </row>
    <row r="59" spans="1:28" x14ac:dyDescent="0.6">
      <c r="A59" s="174"/>
      <c r="L59" s="200"/>
      <c r="Y59" s="166" t="s">
        <v>106</v>
      </c>
      <c r="Z59" s="166" t="s">
        <v>107</v>
      </c>
      <c r="AB59" s="211"/>
    </row>
    <row r="60" spans="1:28" x14ac:dyDescent="0.6">
      <c r="A60" s="171" t="s">
        <v>38</v>
      </c>
      <c r="B60" s="169" t="s">
        <v>39</v>
      </c>
      <c r="G60" s="212" t="s">
        <v>40</v>
      </c>
      <c r="H60" s="169" t="s">
        <v>41</v>
      </c>
      <c r="N60" s="192" t="s">
        <v>47</v>
      </c>
    </row>
    <row r="61" spans="1:28" s="213" customFormat="1" x14ac:dyDescent="0.6">
      <c r="A61" s="174"/>
      <c r="B61" s="170" t="s">
        <v>42</v>
      </c>
      <c r="D61" s="166" t="s">
        <v>43</v>
      </c>
      <c r="E61" s="166" t="s">
        <v>117</v>
      </c>
      <c r="G61" s="167"/>
      <c r="N61" s="198" t="s">
        <v>110</v>
      </c>
      <c r="O61" s="199">
        <f>SUMPRODUCT(C9:C13,C45:C49)+SUMPRODUCT(C18:C20,C54:C56)</f>
        <v>3646804.1290370245</v>
      </c>
      <c r="P61" s="199">
        <f t="shared" ref="P61:X61" si="12">SUMPRODUCT(D9:D13,D45:D49)+SUMPRODUCT(D18:D20,D54:D56)</f>
        <v>32737.981953032999</v>
      </c>
      <c r="Q61" s="199">
        <f t="shared" si="12"/>
        <v>44725.442498833552</v>
      </c>
      <c r="R61" s="199">
        <f t="shared" si="12"/>
        <v>291.91649999999998</v>
      </c>
      <c r="S61" s="199">
        <f t="shared" si="12"/>
        <v>4.8817000000000004</v>
      </c>
      <c r="T61" s="199">
        <f t="shared" si="12"/>
        <v>3617.486985638719</v>
      </c>
      <c r="U61" s="199">
        <f t="shared" si="12"/>
        <v>29175.847900000001</v>
      </c>
      <c r="V61" s="199">
        <f t="shared" si="12"/>
        <v>59070.751400000001</v>
      </c>
      <c r="W61" s="199">
        <f t="shared" si="12"/>
        <v>2222835.7637239248</v>
      </c>
      <c r="X61" s="199">
        <f t="shared" si="12"/>
        <v>1492517.664349982</v>
      </c>
      <c r="Y61" s="194">
        <f>SUM(O61:X61)</f>
        <v>7531781.8660484366</v>
      </c>
      <c r="Z61" s="201">
        <f>+Y61/(Y61+Y62)</f>
        <v>0.51153233494429717</v>
      </c>
    </row>
    <row r="62" spans="1:28" x14ac:dyDescent="0.6">
      <c r="A62" s="174"/>
      <c r="C62" s="166" t="s">
        <v>44</v>
      </c>
      <c r="D62" s="166" t="s">
        <v>45</v>
      </c>
      <c r="E62" s="166" t="s">
        <v>49</v>
      </c>
      <c r="G62" s="166"/>
      <c r="H62" s="166" t="s">
        <v>44</v>
      </c>
      <c r="I62" s="166" t="s">
        <v>49</v>
      </c>
      <c r="N62" s="198" t="s">
        <v>111</v>
      </c>
      <c r="O62" s="200">
        <f>+O45-O61</f>
        <v>3795165.2404032052</v>
      </c>
      <c r="P62" s="200">
        <f t="shared" ref="P62:X62" si="13">+P45-P61</f>
        <v>35204.477068456763</v>
      </c>
      <c r="Q62" s="200">
        <f t="shared" si="13"/>
        <v>46756.31398108734</v>
      </c>
      <c r="R62" s="200">
        <f t="shared" si="13"/>
        <v>306.08350000000002</v>
      </c>
      <c r="S62" s="200">
        <f t="shared" si="13"/>
        <v>5.1182999999999996</v>
      </c>
      <c r="T62" s="200">
        <f t="shared" si="13"/>
        <v>3601.2044896771699</v>
      </c>
      <c r="U62" s="200">
        <f t="shared" si="13"/>
        <v>76061.152100000007</v>
      </c>
      <c r="V62" s="200">
        <f t="shared" si="13"/>
        <v>154884.24859999999</v>
      </c>
      <c r="W62" s="200">
        <f t="shared" si="13"/>
        <v>1791714.8459546855</v>
      </c>
      <c r="X62" s="200">
        <f t="shared" si="13"/>
        <v>1288479.8945351243</v>
      </c>
      <c r="Y62" s="194">
        <f t="shared" ref="Y62:Y69" si="14">SUM(O62:X62)</f>
        <v>7192178.5789322369</v>
      </c>
      <c r="Z62" s="208">
        <f>1-Z61</f>
        <v>0.48846766505570283</v>
      </c>
    </row>
    <row r="63" spans="1:28" x14ac:dyDescent="0.6">
      <c r="A63" s="174"/>
      <c r="B63" s="180" t="s">
        <v>17</v>
      </c>
      <c r="C63" s="214">
        <f>Input!C73</f>
        <v>71.45</v>
      </c>
      <c r="D63" s="215">
        <f>Input!F74</f>
        <v>0.77165615665449716</v>
      </c>
      <c r="E63" s="216">
        <f>ROUND(+C63*D63,3)</f>
        <v>55.134999999999998</v>
      </c>
      <c r="H63" s="186">
        <f>Input!F81</f>
        <v>0.90395846852693051</v>
      </c>
      <c r="I63" s="186">
        <f>Input!G81</f>
        <v>0.94218684541265174</v>
      </c>
      <c r="J63" s="217" t="s">
        <v>118</v>
      </c>
      <c r="Y63" s="194"/>
    </row>
    <row r="64" spans="1:28" x14ac:dyDescent="0.6">
      <c r="A64" s="174"/>
      <c r="B64" s="180" t="s">
        <v>18</v>
      </c>
      <c r="C64" s="214">
        <f>Input!C74</f>
        <v>66.599999999999994</v>
      </c>
      <c r="D64" s="218">
        <f>+$D$63</f>
        <v>0.77165615665449716</v>
      </c>
      <c r="E64" s="216">
        <f>ROUND(+C64*D64,3)</f>
        <v>51.392000000000003</v>
      </c>
      <c r="H64" s="219">
        <f>+$H$63</f>
        <v>0.90395846852693051</v>
      </c>
      <c r="I64" s="219">
        <f>+$I$63</f>
        <v>0.94218684541265174</v>
      </c>
      <c r="J64" s="220"/>
      <c r="N64" s="192" t="s">
        <v>46</v>
      </c>
      <c r="Y64" s="194"/>
    </row>
    <row r="65" spans="1:26" x14ac:dyDescent="0.6">
      <c r="A65" s="174"/>
      <c r="B65" s="180" t="s">
        <v>19</v>
      </c>
      <c r="C65" s="214">
        <f>Input!C75</f>
        <v>48.45</v>
      </c>
      <c r="D65" s="218">
        <f>+$D$63</f>
        <v>0.77165615665449716</v>
      </c>
      <c r="E65" s="216">
        <f t="shared" ref="E65:E74" si="15">ROUND(+C65*D65,3)</f>
        <v>37.387</v>
      </c>
      <c r="H65" s="219">
        <f>+$H$63</f>
        <v>0.90395846852693051</v>
      </c>
      <c r="I65" s="219">
        <f>+$I$63</f>
        <v>0.94218684541265174</v>
      </c>
      <c r="J65" s="220" t="s">
        <v>119</v>
      </c>
      <c r="N65" s="198" t="s">
        <v>110</v>
      </c>
      <c r="O65" s="199">
        <f>SUMPRODUCT(C14:C17,C50:C53)</f>
        <v>2829645.4813695648</v>
      </c>
      <c r="P65" s="199">
        <f t="shared" ref="P65:X65" si="16">SUMPRODUCT(D14:D17,D50:D53)</f>
        <v>10852.793544278094</v>
      </c>
      <c r="Q65" s="199">
        <f t="shared" si="16"/>
        <v>40535.189734459898</v>
      </c>
      <c r="R65" s="199">
        <f t="shared" si="16"/>
        <v>119.29640000000001</v>
      </c>
      <c r="S65" s="199">
        <f t="shared" si="16"/>
        <v>2.0234000000000005</v>
      </c>
      <c r="T65" s="199">
        <f t="shared" si="16"/>
        <v>1235.7231161302102</v>
      </c>
      <c r="U65" s="199">
        <f t="shared" si="16"/>
        <v>8386.1692000000003</v>
      </c>
      <c r="V65" s="199">
        <f t="shared" si="16"/>
        <v>16403.178900000003</v>
      </c>
      <c r="W65" s="199">
        <f t="shared" si="16"/>
        <v>1324859.3827757458</v>
      </c>
      <c r="X65" s="199">
        <f t="shared" si="16"/>
        <v>844780.65590747865</v>
      </c>
      <c r="Y65" s="194">
        <f t="shared" si="14"/>
        <v>5076819.8943476565</v>
      </c>
      <c r="Z65" s="201">
        <f>+Y65/(Y65+Y66)</f>
        <v>0.526616319014374</v>
      </c>
    </row>
    <row r="66" spans="1:26" x14ac:dyDescent="0.6">
      <c r="A66" s="174"/>
      <c r="B66" s="180" t="s">
        <v>20</v>
      </c>
      <c r="C66" s="214">
        <f>Input!C76</f>
        <v>40.200000000000003</v>
      </c>
      <c r="D66" s="218">
        <f>+$D$63</f>
        <v>0.77165615665449716</v>
      </c>
      <c r="E66" s="216">
        <f t="shared" si="15"/>
        <v>31.021000000000001</v>
      </c>
      <c r="H66" s="219">
        <f>+$H$63</f>
        <v>0.90395846852693051</v>
      </c>
      <c r="I66" s="219">
        <f>+$I$63</f>
        <v>0.94218684541265174</v>
      </c>
      <c r="J66" s="221" t="s">
        <v>120</v>
      </c>
      <c r="N66" s="198" t="s">
        <v>111</v>
      </c>
      <c r="O66" s="200">
        <f>+O49-O65</f>
        <v>2739229.0629197457</v>
      </c>
      <c r="P66" s="200">
        <f t="shared" ref="P66:X66" si="17">+P49-P65</f>
        <v>10235.197094420128</v>
      </c>
      <c r="Q66" s="200">
        <f t="shared" si="17"/>
        <v>36917.664980212881</v>
      </c>
      <c r="R66" s="200">
        <f t="shared" si="17"/>
        <v>116.70359999999999</v>
      </c>
      <c r="S66" s="200">
        <f t="shared" si="17"/>
        <v>1.9765999999999995</v>
      </c>
      <c r="T66" s="200">
        <f t="shared" si="17"/>
        <v>798.89525916264483</v>
      </c>
      <c r="U66" s="200">
        <f t="shared" si="17"/>
        <v>31461.8308</v>
      </c>
      <c r="V66" s="200">
        <f t="shared" si="17"/>
        <v>61498.821100000001</v>
      </c>
      <c r="W66" s="200">
        <f t="shared" si="17"/>
        <v>986759.65657039313</v>
      </c>
      <c r="X66" s="200">
        <f t="shared" si="17"/>
        <v>696613.33823220828</v>
      </c>
      <c r="Y66" s="194">
        <f t="shared" si="14"/>
        <v>4563633.1471561426</v>
      </c>
      <c r="Z66" s="208">
        <f>1-Z65</f>
        <v>0.473383680985626</v>
      </c>
    </row>
    <row r="67" spans="1:26" x14ac:dyDescent="0.6">
      <c r="A67" s="174"/>
      <c r="B67" s="180" t="s">
        <v>21</v>
      </c>
      <c r="C67" s="214">
        <f>Input!C77</f>
        <v>40.200000000000003</v>
      </c>
      <c r="D67" s="218">
        <f>+$D$63</f>
        <v>0.77165615665449716</v>
      </c>
      <c r="E67" s="216">
        <f t="shared" si="15"/>
        <v>31.021000000000001</v>
      </c>
      <c r="H67" s="219">
        <f>+$H$63</f>
        <v>0.90395846852693051</v>
      </c>
      <c r="I67" s="219">
        <f>+$I$63</f>
        <v>0.94218684541265174</v>
      </c>
      <c r="J67" s="221" t="s">
        <v>121</v>
      </c>
      <c r="Y67" s="194"/>
    </row>
    <row r="68" spans="1:26" x14ac:dyDescent="0.6">
      <c r="A68" s="174"/>
      <c r="B68" s="180" t="s">
        <v>22</v>
      </c>
      <c r="C68" s="214">
        <f>Input!C78</f>
        <v>47</v>
      </c>
      <c r="D68" s="222">
        <f>Input!F73</f>
        <v>0.66836581709145426</v>
      </c>
      <c r="E68" s="216">
        <f t="shared" si="15"/>
        <v>31.413</v>
      </c>
      <c r="H68" s="223">
        <f>Input!F80</f>
        <v>0.8879039176436947</v>
      </c>
      <c r="I68" s="223">
        <f>Input!G80</f>
        <v>0.89475926714955267</v>
      </c>
      <c r="N68" s="198" t="s">
        <v>122</v>
      </c>
      <c r="O68" s="200">
        <f>+O61+O65</f>
        <v>6476449.6104065888</v>
      </c>
      <c r="P68" s="200">
        <f t="shared" ref="P68:X69" si="18">+P61+P65</f>
        <v>43590.775497311093</v>
      </c>
      <c r="Q68" s="200">
        <f t="shared" si="18"/>
        <v>85260.632233293451</v>
      </c>
      <c r="R68" s="200">
        <f t="shared" si="18"/>
        <v>411.21289999999999</v>
      </c>
      <c r="S68" s="200">
        <f t="shared" si="18"/>
        <v>6.9051000000000009</v>
      </c>
      <c r="T68" s="200">
        <f t="shared" si="18"/>
        <v>4853.2101017689292</v>
      </c>
      <c r="U68" s="200">
        <f t="shared" si="18"/>
        <v>37562.017099999997</v>
      </c>
      <c r="V68" s="200">
        <f t="shared" si="18"/>
        <v>75473.930300000007</v>
      </c>
      <c r="W68" s="200">
        <f t="shared" si="18"/>
        <v>3547695.1464996706</v>
      </c>
      <c r="X68" s="200">
        <f t="shared" si="18"/>
        <v>2337298.3202574607</v>
      </c>
      <c r="Y68" s="194">
        <f t="shared" si="14"/>
        <v>12608601.760396093</v>
      </c>
      <c r="Z68" s="201">
        <f>+Y68/(Y68+Y69)</f>
        <v>0.51750072979964767</v>
      </c>
    </row>
    <row r="69" spans="1:26" x14ac:dyDescent="0.6">
      <c r="A69" s="174"/>
      <c r="B69" s="180" t="s">
        <v>23</v>
      </c>
      <c r="C69" s="214">
        <f>Input!C79</f>
        <v>55.4</v>
      </c>
      <c r="D69" s="224">
        <f>+$D$68</f>
        <v>0.66836581709145426</v>
      </c>
      <c r="E69" s="216">
        <f t="shared" si="15"/>
        <v>37.027000000000001</v>
      </c>
      <c r="H69" s="225">
        <f>+$H$68</f>
        <v>0.8879039176436947</v>
      </c>
      <c r="I69" s="225">
        <f>+$I$68</f>
        <v>0.89475926714955267</v>
      </c>
      <c r="N69" s="198" t="s">
        <v>123</v>
      </c>
      <c r="O69" s="200">
        <f>+O62+O66</f>
        <v>6534394.3033229504</v>
      </c>
      <c r="P69" s="200">
        <f t="shared" si="18"/>
        <v>45439.674162876894</v>
      </c>
      <c r="Q69" s="200">
        <f t="shared" si="18"/>
        <v>83673.978961300221</v>
      </c>
      <c r="R69" s="200">
        <f t="shared" si="18"/>
        <v>422.78710000000001</v>
      </c>
      <c r="S69" s="200">
        <f t="shared" si="18"/>
        <v>7.0948999999999991</v>
      </c>
      <c r="T69" s="200">
        <f t="shared" si="18"/>
        <v>4400.0997488398152</v>
      </c>
      <c r="U69" s="200">
        <f t="shared" si="18"/>
        <v>107522.9829</v>
      </c>
      <c r="V69" s="200">
        <f t="shared" si="18"/>
        <v>216383.06969999999</v>
      </c>
      <c r="W69" s="200">
        <f t="shared" si="18"/>
        <v>2778474.5025250786</v>
      </c>
      <c r="X69" s="200">
        <f t="shared" si="18"/>
        <v>1985093.2327673326</v>
      </c>
      <c r="Y69" s="194">
        <f t="shared" si="14"/>
        <v>11755811.726088379</v>
      </c>
      <c r="Z69" s="208">
        <f>1-Z68</f>
        <v>0.48249927020035233</v>
      </c>
    </row>
    <row r="70" spans="1:26" x14ac:dyDescent="0.6">
      <c r="A70" s="174"/>
      <c r="B70" s="180" t="s">
        <v>24</v>
      </c>
      <c r="C70" s="214">
        <f>Input!C80</f>
        <v>51.75</v>
      </c>
      <c r="D70" s="224">
        <f>+$D$68</f>
        <v>0.66836581709145426</v>
      </c>
      <c r="E70" s="216">
        <f t="shared" si="15"/>
        <v>34.588000000000001</v>
      </c>
      <c r="H70" s="225">
        <f>+$H$68</f>
        <v>0.8879039176436947</v>
      </c>
      <c r="I70" s="225">
        <f>+$I$68</f>
        <v>0.89475926714955267</v>
      </c>
    </row>
    <row r="71" spans="1:26" x14ac:dyDescent="0.6">
      <c r="A71" s="174"/>
      <c r="B71" s="180" t="s">
        <v>25</v>
      </c>
      <c r="C71" s="214">
        <f>Input!C81</f>
        <v>47.5</v>
      </c>
      <c r="D71" s="226">
        <f>+$D$68</f>
        <v>0.66836581709145426</v>
      </c>
      <c r="E71" s="216">
        <f t="shared" si="15"/>
        <v>31.747</v>
      </c>
      <c r="H71" s="227">
        <f>+$H$68</f>
        <v>0.8879039176436947</v>
      </c>
      <c r="I71" s="227">
        <f>+$I$68</f>
        <v>0.89475926714955267</v>
      </c>
    </row>
    <row r="72" spans="1:26" x14ac:dyDescent="0.6">
      <c r="A72" s="174"/>
      <c r="B72" s="180" t="s">
        <v>26</v>
      </c>
      <c r="C72" s="214">
        <f>Input!C82</f>
        <v>45.45</v>
      </c>
      <c r="D72" s="228">
        <f>+$D$63</f>
        <v>0.77165615665449716</v>
      </c>
      <c r="E72" s="216">
        <f t="shared" si="15"/>
        <v>35.072000000000003</v>
      </c>
      <c r="H72" s="219">
        <f>+$H$63</f>
        <v>0.90395846852693051</v>
      </c>
      <c r="I72" s="219">
        <f>+$I$63</f>
        <v>0.94218684541265174</v>
      </c>
    </row>
    <row r="73" spans="1:26" x14ac:dyDescent="0.6">
      <c r="A73" s="174"/>
      <c r="B73" s="180" t="s">
        <v>27</v>
      </c>
      <c r="C73" s="214">
        <f>Input!C83</f>
        <v>46.65</v>
      </c>
      <c r="D73" s="218">
        <f>+$D$63</f>
        <v>0.77165615665449716</v>
      </c>
      <c r="E73" s="216">
        <f t="shared" si="15"/>
        <v>35.997999999999998</v>
      </c>
      <c r="H73" s="219">
        <f>+$H$63</f>
        <v>0.90395846852693051</v>
      </c>
      <c r="I73" s="219">
        <f>+$I$63</f>
        <v>0.94218684541265174</v>
      </c>
    </row>
    <row r="74" spans="1:26" x14ac:dyDescent="0.6">
      <c r="A74" s="174"/>
      <c r="B74" s="180" t="s">
        <v>28</v>
      </c>
      <c r="C74" s="214">
        <f>Input!C84</f>
        <v>50.25</v>
      </c>
      <c r="D74" s="218">
        <f>+$D$63</f>
        <v>0.77165615665449716</v>
      </c>
      <c r="E74" s="216">
        <f t="shared" si="15"/>
        <v>38.776000000000003</v>
      </c>
      <c r="H74" s="219">
        <f>+$H$63</f>
        <v>0.90395846852693051</v>
      </c>
      <c r="I74" s="219">
        <f>+$I$63</f>
        <v>0.94218684541265174</v>
      </c>
    </row>
    <row r="75" spans="1:26" x14ac:dyDescent="0.6">
      <c r="A75" s="174"/>
      <c r="B75" s="180"/>
      <c r="C75" s="229"/>
      <c r="D75" s="229"/>
      <c r="G75" s="230"/>
      <c r="K75" s="230"/>
    </row>
    <row r="76" spans="1:26" x14ac:dyDescent="0.6">
      <c r="A76" s="174"/>
      <c r="B76" s="231"/>
      <c r="C76" s="231"/>
      <c r="D76" s="229"/>
      <c r="G76" s="230"/>
      <c r="K76" s="230"/>
    </row>
    <row r="77" spans="1:26" x14ac:dyDescent="0.6">
      <c r="A77" s="171" t="s">
        <v>50</v>
      </c>
      <c r="B77" s="189" t="s">
        <v>124</v>
      </c>
      <c r="C77" s="166" t="str">
        <f>+C7</f>
        <v>RS</v>
      </c>
      <c r="D77" s="166" t="str">
        <f t="shared" ref="D77:L77" si="19">+D7</f>
        <v>RHS</v>
      </c>
      <c r="E77" s="166" t="str">
        <f t="shared" si="19"/>
        <v>RLM</v>
      </c>
      <c r="F77" s="166" t="str">
        <f t="shared" si="19"/>
        <v>WH</v>
      </c>
      <c r="G77" s="166" t="str">
        <f t="shared" si="19"/>
        <v>WHS</v>
      </c>
      <c r="H77" s="166" t="str">
        <f t="shared" si="19"/>
        <v>HS</v>
      </c>
      <c r="I77" s="166" t="str">
        <f t="shared" si="19"/>
        <v>PSAL</v>
      </c>
      <c r="J77" s="166" t="str">
        <f t="shared" si="19"/>
        <v>BPL</v>
      </c>
      <c r="K77" s="166" t="str">
        <f t="shared" si="19"/>
        <v>GLP</v>
      </c>
      <c r="L77" s="166" t="str">
        <f t="shared" si="19"/>
        <v>LPL-S</v>
      </c>
      <c r="M77" s="166"/>
      <c r="P77" s="232" t="s">
        <v>51</v>
      </c>
      <c r="Q77" s="232" t="s">
        <v>52</v>
      </c>
      <c r="R77" s="232" t="s">
        <v>53</v>
      </c>
    </row>
    <row r="78" spans="1:26" x14ac:dyDescent="0.6">
      <c r="A78" s="174"/>
      <c r="B78" s="190" t="s">
        <v>125</v>
      </c>
      <c r="C78" s="233"/>
      <c r="D78" s="192"/>
      <c r="E78" s="192"/>
      <c r="F78" s="192"/>
      <c r="P78" s="165" t="s">
        <v>54</v>
      </c>
      <c r="Q78" s="234">
        <f>Input!C89</f>
        <v>5.8326999999999997E-2</v>
      </c>
      <c r="R78" s="167" t="s">
        <v>126</v>
      </c>
    </row>
    <row r="79" spans="1:26" x14ac:dyDescent="0.6">
      <c r="A79" s="174"/>
      <c r="B79" s="180" t="s">
        <v>127</v>
      </c>
      <c r="C79" s="235">
        <f>1-((1-$Q$78)*(1-$Q$79))</f>
        <v>6.2621028879999985E-2</v>
      </c>
      <c r="D79" s="235">
        <f>+$C79</f>
        <v>6.2621028879999985E-2</v>
      </c>
      <c r="E79" s="235">
        <f t="shared" ref="E79:L79" si="20">+$C79</f>
        <v>6.2621028879999985E-2</v>
      </c>
      <c r="F79" s="235">
        <f t="shared" si="20"/>
        <v>6.2621028879999985E-2</v>
      </c>
      <c r="G79" s="235">
        <f t="shared" si="20"/>
        <v>6.2621028879999985E-2</v>
      </c>
      <c r="H79" s="235">
        <f t="shared" si="20"/>
        <v>6.2621028879999985E-2</v>
      </c>
      <c r="I79" s="235">
        <f t="shared" si="20"/>
        <v>6.2621028879999985E-2</v>
      </c>
      <c r="J79" s="235">
        <f t="shared" si="20"/>
        <v>6.2621028879999985E-2</v>
      </c>
      <c r="K79" s="235">
        <f t="shared" si="20"/>
        <v>6.2621028879999985E-2</v>
      </c>
      <c r="L79" s="235">
        <f t="shared" si="20"/>
        <v>6.2621028879999985E-2</v>
      </c>
      <c r="M79" s="231"/>
      <c r="N79" s="236"/>
      <c r="P79" s="165" t="s">
        <v>56</v>
      </c>
      <c r="Q79" s="234">
        <f>Input!C90</f>
        <v>4.5599999999999998E-3</v>
      </c>
      <c r="R79" s="165" t="s">
        <v>128</v>
      </c>
    </row>
    <row r="80" spans="1:26" x14ac:dyDescent="0.6">
      <c r="A80" s="174"/>
      <c r="B80" s="165" t="s">
        <v>129</v>
      </c>
      <c r="C80" s="237">
        <f>ROUND(1/(1-C79),6)</f>
        <v>1.0668040000000001</v>
      </c>
      <c r="D80" s="237">
        <f t="shared" ref="D80:L80" si="21">ROUND(1/(1-D79),6)</f>
        <v>1.0668040000000001</v>
      </c>
      <c r="E80" s="237">
        <f t="shared" si="21"/>
        <v>1.0668040000000001</v>
      </c>
      <c r="F80" s="237">
        <f t="shared" si="21"/>
        <v>1.0668040000000001</v>
      </c>
      <c r="G80" s="237">
        <f t="shared" si="21"/>
        <v>1.0668040000000001</v>
      </c>
      <c r="H80" s="237">
        <f t="shared" si="21"/>
        <v>1.0668040000000001</v>
      </c>
      <c r="I80" s="237">
        <f t="shared" si="21"/>
        <v>1.0668040000000001</v>
      </c>
      <c r="J80" s="237">
        <f t="shared" si="21"/>
        <v>1.0668040000000001</v>
      </c>
      <c r="K80" s="237">
        <f t="shared" si="21"/>
        <v>1.0668040000000001</v>
      </c>
      <c r="L80" s="237">
        <f t="shared" si="21"/>
        <v>1.0668040000000001</v>
      </c>
      <c r="M80" s="238"/>
      <c r="P80" s="165" t="s">
        <v>58</v>
      </c>
      <c r="Q80" s="234">
        <f>+Input!C91</f>
        <v>1.1688694814362801E-2</v>
      </c>
      <c r="R80" s="165" t="s">
        <v>59</v>
      </c>
    </row>
    <row r="81" spans="1:17" x14ac:dyDescent="0.6">
      <c r="A81" s="174"/>
      <c r="B81" s="165" t="s">
        <v>130</v>
      </c>
      <c r="C81" s="237">
        <f>1/C80</f>
        <v>0.93737931241352668</v>
      </c>
      <c r="D81" s="237">
        <f t="shared" ref="D81:L81" si="22">1/D80</f>
        <v>0.93737931241352668</v>
      </c>
      <c r="E81" s="237">
        <f t="shared" si="22"/>
        <v>0.93737931241352668</v>
      </c>
      <c r="F81" s="237">
        <f t="shared" si="22"/>
        <v>0.93737931241352668</v>
      </c>
      <c r="G81" s="237">
        <f t="shared" si="22"/>
        <v>0.93737931241352668</v>
      </c>
      <c r="H81" s="237">
        <f t="shared" si="22"/>
        <v>0.93737931241352668</v>
      </c>
      <c r="I81" s="237">
        <f t="shared" si="22"/>
        <v>0.93737931241352668</v>
      </c>
      <c r="J81" s="237">
        <f t="shared" si="22"/>
        <v>0.93737931241352668</v>
      </c>
      <c r="K81" s="237">
        <f t="shared" si="22"/>
        <v>0.93737931241352668</v>
      </c>
      <c r="L81" s="237">
        <f t="shared" si="22"/>
        <v>0.93737931241352668</v>
      </c>
      <c r="M81" s="238"/>
      <c r="P81" s="165" t="s">
        <v>131</v>
      </c>
      <c r="Q81" s="239">
        <f>ROUND(1-((1-Q80)/(1-Q79)),7)</f>
        <v>7.1614000000000001E-3</v>
      </c>
    </row>
    <row r="82" spans="1:17" x14ac:dyDescent="0.6">
      <c r="A82" s="174"/>
      <c r="C82" s="238"/>
      <c r="D82" s="238"/>
      <c r="E82" s="238"/>
      <c r="F82" s="238"/>
      <c r="G82" s="238"/>
      <c r="H82" s="238"/>
      <c r="I82" s="238"/>
      <c r="J82" s="238"/>
      <c r="K82" s="238"/>
      <c r="L82" s="238"/>
      <c r="M82" s="238"/>
    </row>
    <row r="83" spans="1:17" x14ac:dyDescent="0.6">
      <c r="A83" s="174"/>
      <c r="B83" s="190" t="s">
        <v>132</v>
      </c>
      <c r="C83" s="238"/>
      <c r="D83" s="238"/>
      <c r="E83" s="238"/>
      <c r="F83" s="238"/>
      <c r="G83" s="238"/>
      <c r="H83" s="238"/>
      <c r="I83" s="238"/>
      <c r="J83" s="238"/>
      <c r="K83" s="238"/>
      <c r="L83" s="238"/>
      <c r="M83" s="238"/>
    </row>
    <row r="84" spans="1:17" x14ac:dyDescent="0.6">
      <c r="A84" s="174"/>
      <c r="B84" s="180" t="s">
        <v>127</v>
      </c>
      <c r="C84" s="235">
        <f>1-((1-$Q$78)/((1-$Q$80)/(1-$Q$79)))</f>
        <v>5.153470753435363E-2</v>
      </c>
      <c r="D84" s="235">
        <f>+$C84</f>
        <v>5.153470753435363E-2</v>
      </c>
      <c r="E84" s="235">
        <f t="shared" ref="E84:L84" si="23">+$C84</f>
        <v>5.153470753435363E-2</v>
      </c>
      <c r="F84" s="235">
        <f t="shared" si="23"/>
        <v>5.153470753435363E-2</v>
      </c>
      <c r="G84" s="235">
        <f t="shared" si="23"/>
        <v>5.153470753435363E-2</v>
      </c>
      <c r="H84" s="235">
        <f t="shared" si="23"/>
        <v>5.153470753435363E-2</v>
      </c>
      <c r="I84" s="235">
        <f t="shared" si="23"/>
        <v>5.153470753435363E-2</v>
      </c>
      <c r="J84" s="235">
        <f t="shared" si="23"/>
        <v>5.153470753435363E-2</v>
      </c>
      <c r="K84" s="235">
        <f t="shared" si="23"/>
        <v>5.153470753435363E-2</v>
      </c>
      <c r="L84" s="235">
        <f t="shared" si="23"/>
        <v>5.153470753435363E-2</v>
      </c>
      <c r="M84" s="238"/>
    </row>
    <row r="85" spans="1:17" x14ac:dyDescent="0.6">
      <c r="A85" s="174"/>
      <c r="B85" s="165" t="s">
        <v>129</v>
      </c>
      <c r="C85" s="237">
        <f>ROUND(1/(1-C84),6)</f>
        <v>1.054335</v>
      </c>
      <c r="D85" s="237">
        <f>+$C$85</f>
        <v>1.054335</v>
      </c>
      <c r="E85" s="237">
        <f t="shared" ref="E85:L85" si="24">+$C$85</f>
        <v>1.054335</v>
      </c>
      <c r="F85" s="237">
        <f t="shared" si="24"/>
        <v>1.054335</v>
      </c>
      <c r="G85" s="237">
        <f t="shared" si="24"/>
        <v>1.054335</v>
      </c>
      <c r="H85" s="237">
        <f t="shared" si="24"/>
        <v>1.054335</v>
      </c>
      <c r="I85" s="237">
        <f t="shared" si="24"/>
        <v>1.054335</v>
      </c>
      <c r="J85" s="237">
        <f t="shared" si="24"/>
        <v>1.054335</v>
      </c>
      <c r="K85" s="237">
        <f t="shared" si="24"/>
        <v>1.054335</v>
      </c>
      <c r="L85" s="237">
        <f t="shared" si="24"/>
        <v>1.054335</v>
      </c>
      <c r="M85" s="238"/>
    </row>
    <row r="86" spans="1:17" x14ac:dyDescent="0.6">
      <c r="A86" s="174"/>
      <c r="B86" s="165" t="s">
        <v>130</v>
      </c>
      <c r="C86" s="237">
        <f>1/C85</f>
        <v>0.94846514627703715</v>
      </c>
      <c r="D86" s="237">
        <f t="shared" ref="D86:L86" si="25">1/D85</f>
        <v>0.94846514627703715</v>
      </c>
      <c r="E86" s="237">
        <f t="shared" si="25"/>
        <v>0.94846514627703715</v>
      </c>
      <c r="F86" s="237">
        <f t="shared" si="25"/>
        <v>0.94846514627703715</v>
      </c>
      <c r="G86" s="237">
        <f t="shared" si="25"/>
        <v>0.94846514627703715</v>
      </c>
      <c r="H86" s="237">
        <f t="shared" si="25"/>
        <v>0.94846514627703715</v>
      </c>
      <c r="I86" s="237">
        <f t="shared" si="25"/>
        <v>0.94846514627703715</v>
      </c>
      <c r="J86" s="237">
        <f t="shared" si="25"/>
        <v>0.94846514627703715</v>
      </c>
      <c r="K86" s="237">
        <f t="shared" si="25"/>
        <v>0.94846514627703715</v>
      </c>
      <c r="L86" s="237">
        <f t="shared" si="25"/>
        <v>0.94846514627703715</v>
      </c>
      <c r="M86" s="238"/>
    </row>
    <row r="87" spans="1:17" x14ac:dyDescent="0.6">
      <c r="A87" s="174"/>
      <c r="C87" s="240"/>
      <c r="D87" s="238"/>
      <c r="E87" s="238"/>
      <c r="F87" s="238"/>
      <c r="G87" s="238"/>
      <c r="H87" s="238"/>
      <c r="I87" s="238"/>
      <c r="J87" s="238"/>
      <c r="K87" s="238"/>
      <c r="L87" s="238"/>
      <c r="M87" s="238"/>
    </row>
    <row r="88" spans="1:17" x14ac:dyDescent="0.6">
      <c r="A88" s="174"/>
    </row>
    <row r="89" spans="1:17" x14ac:dyDescent="0.6">
      <c r="A89" s="171" t="s">
        <v>133</v>
      </c>
      <c r="B89" s="169" t="s">
        <v>134</v>
      </c>
    </row>
    <row r="90" spans="1:17" x14ac:dyDescent="0.6">
      <c r="B90" s="170" t="s">
        <v>135</v>
      </c>
    </row>
    <row r="91" spans="1:17" x14ac:dyDescent="0.6">
      <c r="A91" s="174"/>
      <c r="B91" s="170" t="s">
        <v>136</v>
      </c>
    </row>
    <row r="92" spans="1:17" x14ac:dyDescent="0.6">
      <c r="A92" s="174"/>
      <c r="B92" s="169"/>
      <c r="C92" s="166" t="str">
        <f>+C7</f>
        <v>RS</v>
      </c>
      <c r="D92" s="166" t="str">
        <f t="shared" ref="D92:L92" si="26">+D7</f>
        <v>RHS</v>
      </c>
      <c r="E92" s="166" t="str">
        <f t="shared" si="26"/>
        <v>RLM</v>
      </c>
      <c r="F92" s="166" t="str">
        <f t="shared" si="26"/>
        <v>WH</v>
      </c>
      <c r="G92" s="166" t="str">
        <f t="shared" si="26"/>
        <v>WHS</v>
      </c>
      <c r="H92" s="166" t="str">
        <f t="shared" si="26"/>
        <v>HS</v>
      </c>
      <c r="I92" s="166" t="str">
        <f t="shared" si="26"/>
        <v>PSAL</v>
      </c>
      <c r="J92" s="166" t="str">
        <f t="shared" si="26"/>
        <v>BPL</v>
      </c>
      <c r="K92" s="166" t="str">
        <f t="shared" si="26"/>
        <v>GLP</v>
      </c>
      <c r="L92" s="166" t="str">
        <f t="shared" si="26"/>
        <v>LPL-S</v>
      </c>
      <c r="M92" s="166"/>
    </row>
    <row r="93" spans="1:17" x14ac:dyDescent="0.6">
      <c r="A93" s="174"/>
    </row>
    <row r="94" spans="1:17" x14ac:dyDescent="0.6">
      <c r="A94" s="174"/>
      <c r="B94" s="180" t="s">
        <v>137</v>
      </c>
      <c r="C94" s="241">
        <f t="shared" ref="C94:L94" si="27">(SUMPRODUCT(C14:C17,C50:C53,$C68:$C71,$H68:$H71)*C80+SUMPRODUCT(O14:O17,C50:C53,$E68:$E71,$I68:$I71)*C80)/SUM(C50:C53)</f>
        <v>40.530565820019184</v>
      </c>
      <c r="D94" s="241">
        <f t="shared" si="27"/>
        <v>40.391053938634009</v>
      </c>
      <c r="E94" s="241">
        <f t="shared" si="27"/>
        <v>40.775186872821003</v>
      </c>
      <c r="F94" s="241">
        <f t="shared" si="27"/>
        <v>39.811401102494358</v>
      </c>
      <c r="G94" s="241">
        <f t="shared" si="27"/>
        <v>40.055885585683782</v>
      </c>
      <c r="H94" s="241">
        <f t="shared" si="27"/>
        <v>41.855865515235074</v>
      </c>
      <c r="I94" s="241">
        <f t="shared" si="27"/>
        <v>35.40250311812877</v>
      </c>
      <c r="J94" s="241">
        <f t="shared" si="27"/>
        <v>35.215084698539513</v>
      </c>
      <c r="K94" s="241">
        <f t="shared" si="27"/>
        <v>41.289090350312684</v>
      </c>
      <c r="L94" s="241">
        <f t="shared" si="27"/>
        <v>40.837305208895707</v>
      </c>
      <c r="M94" s="241"/>
    </row>
    <row r="95" spans="1:17" x14ac:dyDescent="0.6">
      <c r="A95" s="174"/>
      <c r="B95" s="242" t="s">
        <v>138</v>
      </c>
      <c r="C95" s="241">
        <f t="shared" ref="C95:L95" si="28">(SUMPRODUCT(C14:C17,C50:C53,$C68:$C71,$H68:$H71)*C80)/SUMPRODUCT(C14:C17,C50:C53)</f>
        <v>48.318202336846298</v>
      </c>
      <c r="D95" s="241">
        <f t="shared" si="28"/>
        <v>48.035313102911175</v>
      </c>
      <c r="E95" s="241">
        <f t="shared" si="28"/>
        <v>48.329346763648921</v>
      </c>
      <c r="F95" s="241">
        <f t="shared" si="28"/>
        <v>47.514260226730066</v>
      </c>
      <c r="G95" s="241">
        <f t="shared" si="28"/>
        <v>47.799790660450817</v>
      </c>
      <c r="H95" s="241">
        <f t="shared" si="28"/>
        <v>48.036010287587438</v>
      </c>
      <c r="I95" s="241">
        <f t="shared" si="28"/>
        <v>47.632250730860108</v>
      </c>
      <c r="J95" s="241">
        <f t="shared" si="28"/>
        <v>47.385474924315055</v>
      </c>
      <c r="K95" s="241">
        <f t="shared" si="28"/>
        <v>48.006380584312502</v>
      </c>
      <c r="L95" s="241">
        <f t="shared" si="28"/>
        <v>47.925023795502383</v>
      </c>
      <c r="M95" s="241"/>
    </row>
    <row r="96" spans="1:17" x14ac:dyDescent="0.6">
      <c r="A96" s="174"/>
      <c r="B96" s="242" t="s">
        <v>139</v>
      </c>
      <c r="C96" s="241">
        <f t="shared" ref="C96:L96" si="29">(SUMPRODUCT(O14:O17,C50:C53,$E68:$E71,$I68:$I71)*C80)/SUMPRODUCT(O14:O17,C50:C53)</f>
        <v>32.485875151871852</v>
      </c>
      <c r="D96" s="241">
        <f t="shared" si="29"/>
        <v>32.285536698122463</v>
      </c>
      <c r="E96" s="241">
        <f t="shared" si="29"/>
        <v>32.480802473827225</v>
      </c>
      <c r="F96" s="241">
        <f t="shared" si="29"/>
        <v>31.93740781326872</v>
      </c>
      <c r="G96" s="241">
        <f t="shared" si="29"/>
        <v>32.128627906697822</v>
      </c>
      <c r="H96" s="241">
        <f t="shared" si="29"/>
        <v>32.296480015524281</v>
      </c>
      <c r="I96" s="241">
        <f t="shared" si="29"/>
        <v>32.142656817205271</v>
      </c>
      <c r="J96" s="241">
        <f t="shared" si="29"/>
        <v>31.968955999070708</v>
      </c>
      <c r="K96" s="241">
        <f t="shared" si="29"/>
        <v>32.27021231442523</v>
      </c>
      <c r="L96" s="241">
        <f t="shared" si="29"/>
        <v>32.242052680892407</v>
      </c>
      <c r="M96" s="241"/>
    </row>
    <row r="97" spans="1:13" x14ac:dyDescent="0.6">
      <c r="A97" s="174"/>
      <c r="C97" s="243"/>
      <c r="D97" s="243"/>
      <c r="E97" s="243"/>
      <c r="F97" s="243"/>
      <c r="G97" s="243"/>
      <c r="H97" s="243"/>
      <c r="I97" s="243"/>
      <c r="J97" s="243"/>
      <c r="K97" s="243"/>
      <c r="L97" s="243"/>
      <c r="M97" s="243"/>
    </row>
    <row r="98" spans="1:13" x14ac:dyDescent="0.6">
      <c r="A98" s="174"/>
      <c r="B98" s="180" t="s">
        <v>140</v>
      </c>
      <c r="C98" s="241">
        <f t="shared" ref="C98:L98" si="30">(SUMPRODUCT(C9:C13,C45:C49,$C63:$C67,$H63:$H67)*C80+SUMPRODUCT(O9:O13,C45:C49,$E63:$E67,$I63:$I67)*C80+SUMPRODUCT(C18:C20,C54:C56,$C72:$C74,$H72:$H74)*C80+SUMPRODUCT(O18:O20,C54:C56,$E72:$E74,$I72:$I74)*C80)/SUM(C45:C49,C54:C56)</f>
        <v>45.349622997758935</v>
      </c>
      <c r="D98" s="241">
        <f t="shared" si="30"/>
        <v>47.477514134779803</v>
      </c>
      <c r="E98" s="241">
        <f t="shared" si="30"/>
        <v>45.131704671920872</v>
      </c>
      <c r="F98" s="241">
        <f t="shared" si="30"/>
        <v>44.816792049868852</v>
      </c>
      <c r="G98" s="241">
        <f t="shared" si="30"/>
        <v>47.030672105466202</v>
      </c>
      <c r="H98" s="241">
        <f t="shared" si="30"/>
        <v>48.042043342451002</v>
      </c>
      <c r="I98" s="241">
        <f t="shared" si="30"/>
        <v>43.190544579196718</v>
      </c>
      <c r="J98" s="241">
        <f t="shared" si="30"/>
        <v>43.237160812824271</v>
      </c>
      <c r="K98" s="241">
        <f t="shared" si="30"/>
        <v>45.325355538879094</v>
      </c>
      <c r="L98" s="241">
        <f t="shared" si="30"/>
        <v>44.9916231192392</v>
      </c>
      <c r="M98" s="241"/>
    </row>
    <row r="99" spans="1:13" x14ac:dyDescent="0.6">
      <c r="A99" s="174"/>
      <c r="B99" s="242" t="s">
        <v>138</v>
      </c>
      <c r="C99" s="241">
        <f t="shared" ref="C99:L99" si="31">(SUMPRODUCT(C9:C13,C45:C49,$C63:$C67,$H63:$H67)*C80+SUMPRODUCT(C18:C20,C54:C56,$C72:$C74,$H72:$H74)*C80)/(SUMPRODUCT(C9:C13,C45:C49)+SUMPRODUCT(C18:C20,C54:C56))</f>
        <v>50.320549787268064</v>
      </c>
      <c r="D99" s="241">
        <f t="shared" si="31"/>
        <v>52.7389542787623</v>
      </c>
      <c r="E99" s="241">
        <f t="shared" si="31"/>
        <v>50.05103761113002</v>
      </c>
      <c r="F99" s="241">
        <f t="shared" si="31"/>
        <v>49.765169612842506</v>
      </c>
      <c r="G99" s="241">
        <f t="shared" si="31"/>
        <v>52.213084609892967</v>
      </c>
      <c r="H99" s="241">
        <f t="shared" si="31"/>
        <v>52.907297088720036</v>
      </c>
      <c r="I99" s="241">
        <f t="shared" si="31"/>
        <v>51.136208713281661</v>
      </c>
      <c r="J99" s="241">
        <f t="shared" si="31"/>
        <v>51.252983767337739</v>
      </c>
      <c r="K99" s="241">
        <f t="shared" si="31"/>
        <v>49.594490817441603</v>
      </c>
      <c r="L99" s="241">
        <f t="shared" si="31"/>
        <v>49.416756243281313</v>
      </c>
      <c r="M99" s="241"/>
    </row>
    <row r="100" spans="1:13" x14ac:dyDescent="0.6">
      <c r="A100" s="174"/>
      <c r="B100" s="242" t="s">
        <v>139</v>
      </c>
      <c r="C100" s="241">
        <f t="shared" ref="C100:L100" si="32">(SUMPRODUCT(O9:O13,C45:C49,$E63:$E67,$I63:$I67)*C80+SUMPRODUCT(O18:O20,C54:C56,$E72:$E74,$I72:$I74)*C80)/(SUMPRODUCT(O9:O13,C45:C49)+SUMPRODUCT(O18:O20,C54:C56))</f>
        <v>40.573020348648285</v>
      </c>
      <c r="D100" s="241">
        <f t="shared" si="32"/>
        <v>42.584700867145791</v>
      </c>
      <c r="E100" s="241">
        <f t="shared" si="32"/>
        <v>40.426044114627722</v>
      </c>
      <c r="F100" s="241">
        <f t="shared" si="32"/>
        <v>40.097448933164443</v>
      </c>
      <c r="G100" s="241">
        <f t="shared" si="32"/>
        <v>42.087823284009836</v>
      </c>
      <c r="H100" s="241">
        <f t="shared" si="32"/>
        <v>43.154791824407923</v>
      </c>
      <c r="I100" s="241">
        <f t="shared" si="32"/>
        <v>40.142714223751078</v>
      </c>
      <c r="J100" s="241">
        <f t="shared" si="32"/>
        <v>40.180034673191258</v>
      </c>
      <c r="K100" s="241">
        <f t="shared" si="32"/>
        <v>40.028984523820668</v>
      </c>
      <c r="L100" s="241">
        <f t="shared" si="32"/>
        <v>39.865746198112717</v>
      </c>
      <c r="M100" s="241"/>
    </row>
    <row r="101" spans="1:13" x14ac:dyDescent="0.6">
      <c r="A101" s="174"/>
      <c r="C101" s="243"/>
      <c r="D101" s="243"/>
      <c r="E101" s="243"/>
      <c r="F101" s="243"/>
      <c r="G101" s="243"/>
      <c r="H101" s="243"/>
      <c r="I101" s="243"/>
      <c r="J101" s="243"/>
      <c r="K101" s="243"/>
      <c r="L101" s="243"/>
      <c r="M101" s="243"/>
    </row>
    <row r="102" spans="1:13" x14ac:dyDescent="0.6">
      <c r="A102" s="174"/>
      <c r="B102" s="165" t="s">
        <v>141</v>
      </c>
      <c r="C102" s="241">
        <f t="shared" ref="C102:L102" si="33">(C94*SUM(C50:C53)+C98*SUM(C45:C49,C54:C56))/C57</f>
        <v>43.286980095996775</v>
      </c>
      <c r="D102" s="244">
        <f t="shared" si="33"/>
        <v>45.798996202452024</v>
      </c>
      <c r="E102" s="244">
        <f t="shared" si="33"/>
        <v>43.134335762320141</v>
      </c>
      <c r="F102" s="244">
        <f t="shared" si="33"/>
        <v>43.400398448453537</v>
      </c>
      <c r="G102" s="244">
        <f t="shared" si="33"/>
        <v>45.037875956956945</v>
      </c>
      <c r="H102" s="244">
        <f t="shared" si="33"/>
        <v>46.681826157110045</v>
      </c>
      <c r="I102" s="244">
        <f t="shared" si="33"/>
        <v>41.051537265272913</v>
      </c>
      <c r="J102" s="244">
        <f t="shared" si="33"/>
        <v>41.095921187065727</v>
      </c>
      <c r="K102" s="244">
        <f t="shared" si="33"/>
        <v>43.850480855558111</v>
      </c>
      <c r="L102" s="244">
        <f t="shared" si="33"/>
        <v>43.510165320195213</v>
      </c>
      <c r="M102" s="244"/>
    </row>
    <row r="103" spans="1:13" x14ac:dyDescent="0.6">
      <c r="A103" s="174"/>
      <c r="C103" s="241"/>
      <c r="D103" s="244"/>
      <c r="E103" s="244"/>
      <c r="F103" s="244"/>
      <c r="G103" s="244"/>
      <c r="H103" s="244"/>
      <c r="I103" s="244"/>
      <c r="J103" s="244"/>
      <c r="K103" s="244"/>
      <c r="L103" s="244"/>
      <c r="M103" s="244"/>
    </row>
    <row r="104" spans="1:13" x14ac:dyDescent="0.6">
      <c r="A104" s="174"/>
      <c r="B104" s="165" t="s">
        <v>142</v>
      </c>
      <c r="C104" s="245">
        <f>SUMPRODUCT(C102:L102,C57:L57)/SUM(C57:L57)</f>
        <v>43.442743414801789</v>
      </c>
      <c r="D104" s="244"/>
      <c r="E104" s="244"/>
      <c r="F104" s="244"/>
      <c r="G104" s="244"/>
      <c r="H104" s="244"/>
      <c r="I104" s="244"/>
      <c r="J104" s="244"/>
      <c r="K104" s="244"/>
      <c r="L104" s="244"/>
      <c r="M104" s="244"/>
    </row>
    <row r="105" spans="1:13" x14ac:dyDescent="0.6">
      <c r="A105" s="174"/>
      <c r="C105" s="241"/>
      <c r="D105" s="244"/>
      <c r="E105" s="244"/>
      <c r="F105" s="244"/>
      <c r="G105" s="244"/>
      <c r="H105" s="244"/>
      <c r="I105" s="244"/>
      <c r="J105" s="244"/>
      <c r="K105" s="244"/>
      <c r="L105" s="244"/>
      <c r="M105" s="244"/>
    </row>
    <row r="106" spans="1:13" x14ac:dyDescent="0.6">
      <c r="A106" s="174"/>
      <c r="C106" s="244"/>
      <c r="D106" s="244"/>
      <c r="E106" s="244"/>
      <c r="F106" s="244"/>
      <c r="G106" s="244"/>
      <c r="H106" s="244"/>
      <c r="I106" s="244"/>
      <c r="J106" s="244"/>
      <c r="K106" s="244"/>
      <c r="L106" s="244"/>
      <c r="M106" s="244"/>
    </row>
    <row r="107" spans="1:13" x14ac:dyDescent="0.6">
      <c r="A107" s="171" t="s">
        <v>143</v>
      </c>
      <c r="B107" s="169" t="s">
        <v>144</v>
      </c>
      <c r="C107" s="244"/>
      <c r="D107" s="244"/>
      <c r="E107" s="244"/>
      <c r="F107" s="244"/>
      <c r="G107" s="244"/>
      <c r="H107" s="244"/>
      <c r="I107" s="244"/>
      <c r="J107" s="244"/>
      <c r="K107" s="244"/>
      <c r="L107" s="244"/>
      <c r="M107" s="244"/>
    </row>
    <row r="108" spans="1:13" x14ac:dyDescent="0.6">
      <c r="A108" s="174"/>
      <c r="B108" s="170" t="s">
        <v>145</v>
      </c>
      <c r="C108" s="244"/>
      <c r="D108" s="244"/>
      <c r="E108" s="244"/>
      <c r="F108" s="244"/>
      <c r="G108" s="244"/>
      <c r="H108" s="244"/>
      <c r="I108" s="244"/>
      <c r="J108" s="244"/>
      <c r="K108" s="244"/>
      <c r="L108" s="244"/>
      <c r="M108" s="244"/>
    </row>
    <row r="109" spans="1:13" x14ac:dyDescent="0.6">
      <c r="A109" s="174"/>
      <c r="B109" s="170" t="s">
        <v>146</v>
      </c>
      <c r="C109" s="244"/>
      <c r="D109" s="244"/>
      <c r="E109" s="244"/>
      <c r="F109" s="244"/>
      <c r="G109" s="244"/>
      <c r="H109" s="244"/>
      <c r="I109" s="244"/>
      <c r="J109" s="244"/>
      <c r="K109" s="244"/>
      <c r="L109" s="244"/>
      <c r="M109" s="244"/>
    </row>
    <row r="110" spans="1:13" x14ac:dyDescent="0.6">
      <c r="A110" s="174"/>
      <c r="B110" s="169"/>
      <c r="C110" s="166" t="str">
        <f>+C7</f>
        <v>RS</v>
      </c>
      <c r="D110" s="166" t="str">
        <f t="shared" ref="D110:L110" si="34">+D7</f>
        <v>RHS</v>
      </c>
      <c r="E110" s="166" t="str">
        <f t="shared" si="34"/>
        <v>RLM</v>
      </c>
      <c r="F110" s="166" t="str">
        <f t="shared" si="34"/>
        <v>WH</v>
      </c>
      <c r="G110" s="166" t="str">
        <f t="shared" si="34"/>
        <v>WHS</v>
      </c>
      <c r="H110" s="166" t="str">
        <f t="shared" si="34"/>
        <v>HS</v>
      </c>
      <c r="I110" s="166" t="str">
        <f t="shared" si="34"/>
        <v>PSAL</v>
      </c>
      <c r="J110" s="166" t="str">
        <f t="shared" si="34"/>
        <v>BPL</v>
      </c>
      <c r="K110" s="166" t="str">
        <f t="shared" si="34"/>
        <v>GLP</v>
      </c>
      <c r="L110" s="166" t="str">
        <f t="shared" si="34"/>
        <v>LPL-S</v>
      </c>
      <c r="M110" s="166"/>
    </row>
    <row r="111" spans="1:13" x14ac:dyDescent="0.6">
      <c r="A111" s="174"/>
      <c r="C111" s="246"/>
    </row>
    <row r="112" spans="1:13" x14ac:dyDescent="0.6">
      <c r="A112" s="174"/>
      <c r="B112" s="180" t="s">
        <v>137</v>
      </c>
      <c r="C112" s="247">
        <f t="shared" ref="C112:L112" si="35">SUM(C50:C53)*C94/1000</f>
        <v>225709.63626074721</v>
      </c>
      <c r="D112" s="247">
        <f t="shared" si="35"/>
        <v>851.76616734506888</v>
      </c>
      <c r="E112" s="247">
        <f t="shared" si="35"/>
        <v>3158.154624824238</v>
      </c>
      <c r="F112" s="247">
        <f t="shared" si="35"/>
        <v>9.3954906601886687</v>
      </c>
      <c r="G112" s="247">
        <f t="shared" si="35"/>
        <v>0.16022354234273514</v>
      </c>
      <c r="H112" s="247">
        <f t="shared" si="35"/>
        <v>85.160713091083835</v>
      </c>
      <c r="I112" s="247">
        <f t="shared" si="35"/>
        <v>1410.7189442511954</v>
      </c>
      <c r="J112" s="247">
        <f t="shared" si="35"/>
        <v>2743.325528185625</v>
      </c>
      <c r="K112" s="247">
        <f t="shared" si="35"/>
        <v>95444.64737106573</v>
      </c>
      <c r="L112" s="247">
        <f t="shared" si="35"/>
        <v>62946.376985841191</v>
      </c>
      <c r="M112" s="247"/>
    </row>
    <row r="113" spans="1:30" x14ac:dyDescent="0.6">
      <c r="A113" s="174"/>
      <c r="B113" s="242" t="s">
        <v>138</v>
      </c>
      <c r="C113" s="247">
        <f t="shared" ref="C113:L113" si="36">SUMPRODUCT(C50:C53,C14:C17)*C95/1000</f>
        <v>136723.38291035747</v>
      </c>
      <c r="D113" s="247">
        <f t="shared" si="36"/>
        <v>521.31733594065133</v>
      </c>
      <c r="E113" s="247">
        <f t="shared" si="36"/>
        <v>1959.0392408070145</v>
      </c>
      <c r="F113" s="247">
        <f t="shared" si="36"/>
        <v>5.6682801937120812</v>
      </c>
      <c r="G113" s="247">
        <f t="shared" si="36"/>
        <v>9.6718096422356209E-2</v>
      </c>
      <c r="H113" s="247">
        <f t="shared" si="36"/>
        <v>59.359208319040384</v>
      </c>
      <c r="I113" s="247">
        <f t="shared" si="36"/>
        <v>399.4521140058165</v>
      </c>
      <c r="J113" s="247">
        <f t="shared" si="36"/>
        <v>777.27242244500383</v>
      </c>
      <c r="K113" s="247">
        <f t="shared" si="36"/>
        <v>63601.703750229812</v>
      </c>
      <c r="L113" s="247">
        <f t="shared" si="36"/>
        <v>40486.133036346029</v>
      </c>
      <c r="M113" s="247"/>
    </row>
    <row r="114" spans="1:30" x14ac:dyDescent="0.6">
      <c r="A114" s="174"/>
      <c r="B114" s="242" t="s">
        <v>139</v>
      </c>
      <c r="C114" s="247">
        <f t="shared" ref="C114:L114" si="37">SUMPRODUCT(C50:C53,O14:O17)*C96/1000</f>
        <v>88986.253350389787</v>
      </c>
      <c r="D114" s="247">
        <f t="shared" si="37"/>
        <v>330.44883140441749</v>
      </c>
      <c r="E114" s="247">
        <f t="shared" si="37"/>
        <v>1199.1153840172233</v>
      </c>
      <c r="F114" s="247">
        <f t="shared" si="37"/>
        <v>3.727210466476587</v>
      </c>
      <c r="G114" s="247">
        <f t="shared" si="37"/>
        <v>6.3505445920378906E-2</v>
      </c>
      <c r="H114" s="247">
        <f t="shared" si="37"/>
        <v>25.801504772043447</v>
      </c>
      <c r="I114" s="247">
        <f t="shared" si="37"/>
        <v>1011.2668302453789</v>
      </c>
      <c r="J114" s="247">
        <f t="shared" si="37"/>
        <v>1966.0531057406213</v>
      </c>
      <c r="K114" s="247">
        <f t="shared" si="37"/>
        <v>31842.943620835922</v>
      </c>
      <c r="L114" s="247">
        <f t="shared" si="37"/>
        <v>22460.243949495183</v>
      </c>
      <c r="M114" s="247"/>
    </row>
    <row r="115" spans="1:30" x14ac:dyDescent="0.6">
      <c r="A115" s="174"/>
      <c r="C115" s="248"/>
      <c r="D115" s="248"/>
      <c r="E115" s="248"/>
      <c r="F115" s="248"/>
      <c r="G115" s="248"/>
      <c r="H115" s="248"/>
      <c r="I115" s="248"/>
      <c r="J115" s="248"/>
      <c r="K115" s="248"/>
      <c r="L115" s="248"/>
      <c r="M115" s="248"/>
    </row>
    <row r="116" spans="1:30" x14ac:dyDescent="0.6">
      <c r="A116" s="174"/>
      <c r="B116" s="180" t="s">
        <v>140</v>
      </c>
      <c r="C116" s="248">
        <f t="shared" ref="C116:L116" si="38">SUM(C45:C49,C54:C56)*C98/1000</f>
        <v>337490.50526498421</v>
      </c>
      <c r="D116" s="248">
        <f t="shared" si="38"/>
        <v>3225.7390585444773</v>
      </c>
      <c r="E116" s="248">
        <f t="shared" si="38"/>
        <v>4128.7276163203733</v>
      </c>
      <c r="F116" s="248">
        <f t="shared" si="38"/>
        <v>26.800441645821575</v>
      </c>
      <c r="G116" s="248">
        <f t="shared" si="38"/>
        <v>0.47030672105466204</v>
      </c>
      <c r="H116" s="248">
        <f t="shared" si="38"/>
        <v>346.80068873290753</v>
      </c>
      <c r="I116" s="248">
        <f t="shared" si="38"/>
        <v>4545.2433398809244</v>
      </c>
      <c r="J116" s="248">
        <f t="shared" si="38"/>
        <v>9250.8067417078164</v>
      </c>
      <c r="K116" s="248">
        <f t="shared" si="38"/>
        <v>181960.93371250684</v>
      </c>
      <c r="L116" s="248">
        <f t="shared" si="38"/>
        <v>125121.59406488293</v>
      </c>
      <c r="M116" s="248"/>
    </row>
    <row r="117" spans="1:30" x14ac:dyDescent="0.6">
      <c r="A117" s="174"/>
      <c r="B117" s="242" t="s">
        <v>138</v>
      </c>
      <c r="C117" s="247">
        <f t="shared" ref="C117:L117" si="39">(SUMPRODUCT(C45:C49,C9:C13)+SUMPRODUCT(C54:C56,C18:C20))*C99/1000</f>
        <v>183509.18873962233</v>
      </c>
      <c r="D117" s="247">
        <f t="shared" si="39"/>
        <v>1726.5669333999526</v>
      </c>
      <c r="E117" s="247">
        <f t="shared" si="39"/>
        <v>2238.5548046835511</v>
      </c>
      <c r="F117" s="247">
        <f t="shared" si="39"/>
        <v>14.527274135287339</v>
      </c>
      <c r="G117" s="247">
        <f t="shared" si="39"/>
        <v>0.25488861514011452</v>
      </c>
      <c r="H117" s="247">
        <f t="shared" si="39"/>
        <v>191.391458663766</v>
      </c>
      <c r="I117" s="247">
        <f t="shared" si="39"/>
        <v>1491.9422476013606</v>
      </c>
      <c r="J117" s="247">
        <f t="shared" si="39"/>
        <v>3027.5522626286429</v>
      </c>
      <c r="K117" s="247">
        <f t="shared" si="39"/>
        <v>110240.40787268698</v>
      </c>
      <c r="L117" s="247">
        <f t="shared" si="39"/>
        <v>73755.381607974618</v>
      </c>
      <c r="M117" s="247"/>
    </row>
    <row r="118" spans="1:30" x14ac:dyDescent="0.6">
      <c r="A118" s="174"/>
      <c r="B118" s="242" t="s">
        <v>139</v>
      </c>
      <c r="C118" s="247">
        <f t="shared" ref="C118:L118" si="40">+(SUMPRODUCT(C45:C49,O9:O13)+SUMPRODUCT(C54:C56,O18:O20))*C100/1000</f>
        <v>153981.31652536191</v>
      </c>
      <c r="D118" s="247">
        <f t="shared" si="40"/>
        <v>1499.1721251445247</v>
      </c>
      <c r="E118" s="247">
        <f t="shared" si="40"/>
        <v>1890.1728116368215</v>
      </c>
      <c r="F118" s="247">
        <f t="shared" si="40"/>
        <v>12.273167510534236</v>
      </c>
      <c r="G118" s="247">
        <f t="shared" si="40"/>
        <v>0.21541810591454755</v>
      </c>
      <c r="H118" s="247">
        <f t="shared" si="40"/>
        <v>155.40923006914147</v>
      </c>
      <c r="I118" s="247">
        <f t="shared" si="40"/>
        <v>3053.3010922795647</v>
      </c>
      <c r="J118" s="247">
        <f t="shared" si="40"/>
        <v>6223.2544790791735</v>
      </c>
      <c r="K118" s="247">
        <f t="shared" si="40"/>
        <v>71720.525839819835</v>
      </c>
      <c r="L118" s="247">
        <f t="shared" si="40"/>
        <v>51366.21245690831</v>
      </c>
      <c r="M118" s="247"/>
    </row>
    <row r="119" spans="1:30" x14ac:dyDescent="0.6">
      <c r="A119" s="174"/>
      <c r="C119" s="243"/>
      <c r="D119" s="243"/>
      <c r="E119" s="243"/>
      <c r="F119" s="243"/>
      <c r="G119" s="243"/>
      <c r="H119" s="243"/>
      <c r="I119" s="243"/>
      <c r="J119" s="243"/>
      <c r="K119" s="243"/>
      <c r="L119" s="243"/>
      <c r="M119" s="243"/>
    </row>
    <row r="120" spans="1:30" x14ac:dyDescent="0.6">
      <c r="A120" s="174"/>
      <c r="B120" s="165" t="s">
        <v>141</v>
      </c>
      <c r="C120" s="248">
        <f>+C112+C116</f>
        <v>563200.14152573142</v>
      </c>
      <c r="D120" s="248">
        <f t="shared" ref="D120:L120" si="41">+D112+D116</f>
        <v>4077.5052258895462</v>
      </c>
      <c r="E120" s="248">
        <f t="shared" si="41"/>
        <v>7286.8822411446108</v>
      </c>
      <c r="F120" s="248">
        <f t="shared" si="41"/>
        <v>36.195932306010242</v>
      </c>
      <c r="G120" s="248">
        <f t="shared" si="41"/>
        <v>0.63053026339739715</v>
      </c>
      <c r="H120" s="248">
        <f t="shared" si="41"/>
        <v>431.96140182399137</v>
      </c>
      <c r="I120" s="248">
        <f t="shared" si="41"/>
        <v>5955.9622841321197</v>
      </c>
      <c r="J120" s="248">
        <f t="shared" si="41"/>
        <v>11994.132269893442</v>
      </c>
      <c r="K120" s="248">
        <f t="shared" si="41"/>
        <v>277405.58108357259</v>
      </c>
      <c r="L120" s="248">
        <f t="shared" si="41"/>
        <v>188067.97105072413</v>
      </c>
      <c r="M120" s="248"/>
    </row>
    <row r="121" spans="1:30" x14ac:dyDescent="0.6">
      <c r="A121" s="174"/>
    </row>
    <row r="122" spans="1:30" x14ac:dyDescent="0.6">
      <c r="A122" s="174"/>
      <c r="B122" s="165" t="s">
        <v>142</v>
      </c>
      <c r="C122" s="247">
        <f>SUM(C120:L120)</f>
        <v>1058456.9635454812</v>
      </c>
      <c r="E122" s="249"/>
      <c r="F122" s="241"/>
    </row>
    <row r="123" spans="1:30" x14ac:dyDescent="0.6">
      <c r="A123" s="174"/>
    </row>
    <row r="124" spans="1:30" x14ac:dyDescent="0.6">
      <c r="A124" s="174"/>
    </row>
    <row r="125" spans="1:30" x14ac:dyDescent="0.6">
      <c r="A125" s="171" t="s">
        <v>147</v>
      </c>
      <c r="B125" s="169" t="s">
        <v>148</v>
      </c>
      <c r="C125" s="244"/>
      <c r="Q125" s="165" t="s">
        <v>149</v>
      </c>
      <c r="T125" s="165" t="s">
        <v>150</v>
      </c>
      <c r="W125" s="165" t="s">
        <v>151</v>
      </c>
      <c r="Z125" s="165" t="s">
        <v>152</v>
      </c>
    </row>
    <row r="126" spans="1:30" x14ac:dyDescent="0.6">
      <c r="A126" s="174"/>
      <c r="B126" s="170" t="s">
        <v>153</v>
      </c>
      <c r="C126" s="244"/>
      <c r="W126" s="165" t="s">
        <v>154</v>
      </c>
      <c r="Z126" s="165" t="s">
        <v>155</v>
      </c>
      <c r="AC126" s="165" t="s">
        <v>156</v>
      </c>
    </row>
    <row r="127" spans="1:30" x14ac:dyDescent="0.6">
      <c r="A127" s="174"/>
      <c r="B127" s="170" t="s">
        <v>136</v>
      </c>
      <c r="C127" s="244"/>
    </row>
    <row r="128" spans="1:30" x14ac:dyDescent="0.6">
      <c r="A128" s="174"/>
      <c r="B128" s="169"/>
      <c r="C128" s="166" t="str">
        <f>+C7</f>
        <v>RS</v>
      </c>
      <c r="D128" s="166" t="str">
        <f t="shared" ref="D128:L128" si="42">+D7</f>
        <v>RHS</v>
      </c>
      <c r="E128" s="166" t="str">
        <f t="shared" si="42"/>
        <v>RLM</v>
      </c>
      <c r="F128" s="166" t="str">
        <f t="shared" si="42"/>
        <v>WH</v>
      </c>
      <c r="G128" s="166" t="str">
        <f t="shared" si="42"/>
        <v>WHS</v>
      </c>
      <c r="H128" s="166" t="str">
        <f t="shared" si="42"/>
        <v>HS</v>
      </c>
      <c r="I128" s="166" t="str">
        <f t="shared" si="42"/>
        <v>PSAL</v>
      </c>
      <c r="J128" s="166" t="str">
        <f t="shared" si="42"/>
        <v>BPL</v>
      </c>
      <c r="K128" s="166" t="str">
        <f t="shared" si="42"/>
        <v>GLP</v>
      </c>
      <c r="L128" s="166" t="str">
        <f t="shared" si="42"/>
        <v>LPL-S</v>
      </c>
      <c r="M128" s="166"/>
      <c r="O128" s="166"/>
      <c r="P128" s="166"/>
      <c r="Q128" s="166" t="str">
        <f>+E128</f>
        <v>RLM</v>
      </c>
      <c r="R128" s="166" t="str">
        <f>+L128</f>
        <v>LPL-S</v>
      </c>
      <c r="S128" s="166"/>
      <c r="T128" s="166" t="str">
        <f>+E128</f>
        <v>RLM</v>
      </c>
      <c r="U128" s="166" t="str">
        <f>+L128</f>
        <v>LPL-S</v>
      </c>
      <c r="V128" s="166"/>
      <c r="W128" s="166" t="str">
        <f>+E128</f>
        <v>RLM</v>
      </c>
      <c r="X128" s="166" t="str">
        <f>+L128</f>
        <v>LPL-S</v>
      </c>
      <c r="Z128" s="166" t="str">
        <f>+E128</f>
        <v>RLM</v>
      </c>
      <c r="AA128" s="166" t="str">
        <f>+L128</f>
        <v>LPL-S</v>
      </c>
      <c r="AC128" s="250" t="str">
        <f>+E128</f>
        <v>RLM</v>
      </c>
      <c r="AD128" s="166" t="str">
        <f>+L128</f>
        <v>LPL-S</v>
      </c>
    </row>
    <row r="129" spans="1:39" x14ac:dyDescent="0.6">
      <c r="A129" s="174"/>
      <c r="C129" s="246"/>
    </row>
    <row r="130" spans="1:39" x14ac:dyDescent="0.6">
      <c r="A130" s="174"/>
      <c r="B130" s="180" t="s">
        <v>137</v>
      </c>
      <c r="C130" s="245">
        <f t="shared" ref="C130:L130" si="43">+C112/SUM(C50:C53)*1000</f>
        <v>40.530565820019184</v>
      </c>
      <c r="D130" s="245">
        <f t="shared" si="43"/>
        <v>40.391053938634009</v>
      </c>
      <c r="E130" s="245">
        <f t="shared" si="43"/>
        <v>40.77518687282101</v>
      </c>
      <c r="F130" s="245">
        <f t="shared" si="43"/>
        <v>39.811401102494358</v>
      </c>
      <c r="G130" s="245">
        <f t="shared" si="43"/>
        <v>40.055885585683782</v>
      </c>
      <c r="H130" s="245">
        <f t="shared" si="43"/>
        <v>41.855865515235074</v>
      </c>
      <c r="I130" s="245">
        <f t="shared" si="43"/>
        <v>35.40250311812877</v>
      </c>
      <c r="J130" s="245">
        <f t="shared" si="43"/>
        <v>35.215084698539513</v>
      </c>
      <c r="K130" s="245">
        <f t="shared" si="43"/>
        <v>41.289090350312684</v>
      </c>
      <c r="L130" s="245">
        <f t="shared" si="43"/>
        <v>40.837305208895707</v>
      </c>
      <c r="M130" s="245"/>
    </row>
    <row r="131" spans="1:39" x14ac:dyDescent="0.6">
      <c r="A131" s="174"/>
      <c r="B131" s="242" t="s">
        <v>157</v>
      </c>
      <c r="C131" s="247"/>
      <c r="E131" s="245">
        <f>+(E113*1000-W131*AVERAGE(E$95,E$96))/Q131</f>
        <v>49.083832605667787</v>
      </c>
      <c r="F131" s="245"/>
      <c r="G131" s="247"/>
      <c r="H131" s="247"/>
      <c r="I131" s="247"/>
      <c r="J131" s="247"/>
      <c r="K131" s="247"/>
      <c r="L131" s="245">
        <f>+(L113*1000-X131*AVERAGE(L$95,L$96))/R131</f>
        <v>48.770470878412802</v>
      </c>
      <c r="M131" s="245"/>
      <c r="N131" s="245"/>
      <c r="Q131" s="200">
        <f>SUMPRODUCT(E50:E53,E32:E35)</f>
        <v>37011.272279421195</v>
      </c>
      <c r="R131" s="200">
        <f>SUMPRODUCT(L50:L53,L32:L35)</f>
        <v>762563.21842791082</v>
      </c>
      <c r="T131" s="200">
        <f>SUMPRODUCT(E50:E53,E14:E17)</f>
        <v>40535.189734459898</v>
      </c>
      <c r="U131" s="200">
        <f>SUMPRODUCT(L50:L53,L14:L17)</f>
        <v>844780.65590747865</v>
      </c>
      <c r="W131" s="200">
        <f>+T131-Q131</f>
        <v>3523.9174550387033</v>
      </c>
      <c r="X131" s="200">
        <f>+U131-R131</f>
        <v>82217.43747956783</v>
      </c>
      <c r="Z131" s="251">
        <f>+E131*Q131/1000</f>
        <v>1816.6550930859023</v>
      </c>
      <c r="AA131" s="251">
        <f>+L131*R131/1000</f>
        <v>37190.567237287163</v>
      </c>
    </row>
    <row r="132" spans="1:39" ht="15.25" x14ac:dyDescent="1.05">
      <c r="A132" s="174"/>
      <c r="B132" s="242" t="s">
        <v>158</v>
      </c>
      <c r="C132" s="245"/>
      <c r="D132" s="245"/>
      <c r="E132" s="245">
        <f>+(E114*1000-W132*AVERAGE(E$95,E$96))/Q132</f>
        <v>33.171291798141787</v>
      </c>
      <c r="F132" s="247"/>
      <c r="G132" s="247"/>
      <c r="H132" s="247"/>
      <c r="I132" s="247"/>
      <c r="J132" s="247"/>
      <c r="K132" s="247"/>
      <c r="L132" s="245">
        <f>+(L114*1000-X132*AVERAGE(L$95,L$96))/R132</f>
        <v>33.069840781542972</v>
      </c>
      <c r="M132" s="245"/>
      <c r="N132" s="245"/>
      <c r="Q132" s="200">
        <f>SUMPRODUCT(E50:E53,Q32:Q35)</f>
        <v>40441.582435251585</v>
      </c>
      <c r="R132" s="200">
        <f>SUMPRODUCT(L50:L53,X32:X35)</f>
        <v>778830.77571177622</v>
      </c>
      <c r="T132" s="200">
        <f>SUMPRODUCT(E50:E53,Q14:Q17)</f>
        <v>36917.664980212881</v>
      </c>
      <c r="U132" s="200">
        <f>SUMPRODUCT(L50:L53,X14:X17)</f>
        <v>696613.33823220828</v>
      </c>
      <c r="W132" s="200">
        <f>+T132-Q132</f>
        <v>-3523.9174550387033</v>
      </c>
      <c r="X132" s="200">
        <f>+U132-R132</f>
        <v>-82217.437479567947</v>
      </c>
      <c r="Z132" s="252">
        <f>+E132*Q132/1000</f>
        <v>1341.4995317383359</v>
      </c>
      <c r="AA132" s="252">
        <f>+L132*R132/1000</f>
        <v>25755.809748554042</v>
      </c>
    </row>
    <row r="133" spans="1:39" x14ac:dyDescent="0.6">
      <c r="A133" s="174"/>
      <c r="C133" s="245"/>
      <c r="D133" s="245"/>
      <c r="E133" s="248"/>
      <c r="F133" s="248"/>
      <c r="G133" s="248"/>
      <c r="H133" s="248"/>
      <c r="I133" s="248"/>
      <c r="J133" s="248"/>
      <c r="K133" s="248"/>
      <c r="L133" s="248"/>
      <c r="M133" s="248"/>
      <c r="Q133" s="200"/>
      <c r="R133" s="200"/>
      <c r="T133" s="200"/>
      <c r="U133" s="200"/>
      <c r="W133" s="200"/>
      <c r="X133" s="200"/>
      <c r="Z133" s="251">
        <f>+Z132+Z131</f>
        <v>3158.1546248242385</v>
      </c>
      <c r="AA133" s="251">
        <f>+AA132+AA131</f>
        <v>62946.376985841205</v>
      </c>
      <c r="AC133" s="246">
        <f>+E112</f>
        <v>3158.154624824238</v>
      </c>
      <c r="AD133" s="246">
        <f>+L112</f>
        <v>62946.376985841191</v>
      </c>
    </row>
    <row r="134" spans="1:39" x14ac:dyDescent="0.6">
      <c r="A134" s="174"/>
      <c r="B134" s="180" t="s">
        <v>140</v>
      </c>
      <c r="C134" s="244">
        <f t="shared" ref="C134:L134" si="44">+C116/SUM(C45:C49,C54:C56)*1000</f>
        <v>45.349622997758935</v>
      </c>
      <c r="D134" s="244">
        <f t="shared" si="44"/>
        <v>47.477514134779796</v>
      </c>
      <c r="E134" s="244">
        <f t="shared" si="44"/>
        <v>45.131704671920872</v>
      </c>
      <c r="F134" s="244">
        <f t="shared" si="44"/>
        <v>44.816792049868852</v>
      </c>
      <c r="G134" s="244">
        <f t="shared" si="44"/>
        <v>47.030672105466202</v>
      </c>
      <c r="H134" s="244">
        <f t="shared" si="44"/>
        <v>48.042043342451002</v>
      </c>
      <c r="I134" s="244">
        <f t="shared" si="44"/>
        <v>43.190544579196711</v>
      </c>
      <c r="J134" s="244">
        <f t="shared" si="44"/>
        <v>43.237160812824271</v>
      </c>
      <c r="K134" s="244">
        <f t="shared" si="44"/>
        <v>45.325355538879094</v>
      </c>
      <c r="L134" s="244">
        <f t="shared" si="44"/>
        <v>44.991623119239193</v>
      </c>
      <c r="M134" s="244"/>
      <c r="Q134" s="200"/>
      <c r="R134" s="200"/>
      <c r="T134" s="200"/>
      <c r="U134" s="200"/>
      <c r="W134" s="200"/>
      <c r="X134" s="200"/>
      <c r="Z134" s="251"/>
      <c r="AA134" s="251"/>
      <c r="AC134" s="246"/>
    </row>
    <row r="135" spans="1:39" x14ac:dyDescent="0.6">
      <c r="A135" s="174"/>
      <c r="B135" s="242" t="s">
        <v>157</v>
      </c>
      <c r="C135" s="247"/>
      <c r="D135" s="247"/>
      <c r="E135" s="245">
        <f>+(E117*1000-W135*AVERAGE(E$99,E$100))/Q135</f>
        <v>50.726210191667668</v>
      </c>
      <c r="F135" s="245"/>
      <c r="G135" s="245"/>
      <c r="H135" s="247"/>
      <c r="I135" s="247"/>
      <c r="J135" s="247"/>
      <c r="K135" s="247"/>
      <c r="L135" s="245">
        <f>+(L117*1000-X135*AVERAGE(L$99,L$100))/R135</f>
        <v>49.972044975294097</v>
      </c>
      <c r="M135" s="245"/>
      <c r="N135" s="245"/>
      <c r="Q135" s="200">
        <f>SUMPRODUCT(E45:E49,E27:E31)+SUMPRODUCT(E54:E56,E36:E38)</f>
        <v>39222.670626409068</v>
      </c>
      <c r="R135" s="200">
        <f>SUMPRODUCT(L45:L49,L27:L31)+SUMPRODUCT(L54:L56,L36:L38)</f>
        <v>1337047.7138142153</v>
      </c>
      <c r="T135" s="200">
        <f>SUMPRODUCT(E45:E49,E9:E13)+SUMPRODUCT(E54:E56,E18:E20)</f>
        <v>44725.442498833552</v>
      </c>
      <c r="U135" s="200">
        <f>SUMPRODUCT(L45:L49,L9:L13)+SUMPRODUCT(L54:L56,L18:L20)</f>
        <v>1492517.664349982</v>
      </c>
      <c r="W135" s="200">
        <f>+T135-Q135</f>
        <v>5502.7718724244842</v>
      </c>
      <c r="X135" s="200">
        <f>+U135-R135</f>
        <v>155469.95053576678</v>
      </c>
      <c r="Z135" s="251">
        <f>+E135*Q135/1000</f>
        <v>1989.6174344737758</v>
      </c>
      <c r="AA135" s="251">
        <f>+L135*R135/1000</f>
        <v>66815.00848883811</v>
      </c>
      <c r="AC135" s="246"/>
    </row>
    <row r="136" spans="1:39" ht="15.25" x14ac:dyDescent="1.05">
      <c r="A136" s="174"/>
      <c r="B136" s="242" t="s">
        <v>158</v>
      </c>
      <c r="C136" s="247"/>
      <c r="D136" s="247"/>
      <c r="E136" s="245">
        <f>+(E118*1000-W136*AVERAGE(E$99,E$100))/Q136</f>
        <v>40.93278990456831</v>
      </c>
      <c r="F136" s="245"/>
      <c r="G136" s="245"/>
      <c r="H136" s="247"/>
      <c r="I136" s="247"/>
      <c r="J136" s="247"/>
      <c r="K136" s="247"/>
      <c r="L136" s="245">
        <f>+(L118*1000-X136*AVERAGE(L$99,L$100))/R136</f>
        <v>40.379924396322949</v>
      </c>
      <c r="M136" s="245"/>
      <c r="N136" s="245"/>
      <c r="Q136" s="200">
        <f>SUMPRODUCT(E45:E49,Q27:Q31)+SUMPRODUCT(E54:E56,Q36:Q38)</f>
        <v>52259.085853511824</v>
      </c>
      <c r="R136" s="200">
        <f>SUMPRODUCT(L45:L49,X27:X31)+SUMPRODUCT(L54:L56,X36:X38)</f>
        <v>1443949.8450708911</v>
      </c>
      <c r="T136" s="200">
        <f>SUMPRODUCT(E45:E49,Q9:Q13)+SUMPRODUCT(E54:E56,Q18:Q20)</f>
        <v>46756.31398108734</v>
      </c>
      <c r="U136" s="200">
        <f>SUMPRODUCT(L45:L49,X9:X13)+SUMPRODUCT(L54:L56,X18:X20)</f>
        <v>1288479.8945351243</v>
      </c>
      <c r="W136" s="200">
        <f>+T136-Q136</f>
        <v>-5502.7718724244842</v>
      </c>
      <c r="X136" s="200">
        <f>+U136-R136</f>
        <v>-155469.95053576678</v>
      </c>
      <c r="Z136" s="252">
        <f>+E136*Q136/1000</f>
        <v>2139.1101818465972</v>
      </c>
      <c r="AA136" s="252">
        <f>+L136*R136/1000</f>
        <v>58306.585576044818</v>
      </c>
      <c r="AC136" s="246"/>
    </row>
    <row r="137" spans="1:39" x14ac:dyDescent="0.6">
      <c r="A137" s="174"/>
      <c r="C137" s="243"/>
      <c r="D137" s="243"/>
      <c r="E137" s="243"/>
      <c r="F137" s="243"/>
      <c r="G137" s="243"/>
      <c r="H137" s="243"/>
      <c r="I137" s="243"/>
      <c r="J137" s="243"/>
      <c r="K137" s="243"/>
      <c r="L137" s="243"/>
      <c r="M137" s="243"/>
      <c r="Z137" s="251">
        <f>+Z136+Z135</f>
        <v>4128.7276163203733</v>
      </c>
      <c r="AA137" s="251">
        <f>+AA136+AA135</f>
        <v>125121.59406488293</v>
      </c>
      <c r="AC137" s="246">
        <f>+E116</f>
        <v>4128.7276163203733</v>
      </c>
      <c r="AD137" s="246">
        <f>+L116</f>
        <v>125121.59406488293</v>
      </c>
    </row>
    <row r="138" spans="1:39" x14ac:dyDescent="0.6">
      <c r="A138" s="174"/>
      <c r="B138" s="165" t="s">
        <v>159</v>
      </c>
      <c r="C138" s="241">
        <f t="shared" ref="C138:L138" si="45">(C130*SUM(C50:C53)+C134*SUM(C45:C49,C54:C56))/C57</f>
        <v>43.286980095996775</v>
      </c>
      <c r="D138" s="241">
        <f t="shared" si="45"/>
        <v>45.798996202452024</v>
      </c>
      <c r="E138" s="241">
        <f t="shared" si="45"/>
        <v>43.134335762320141</v>
      </c>
      <c r="F138" s="241">
        <f t="shared" si="45"/>
        <v>43.400398448453537</v>
      </c>
      <c r="G138" s="241">
        <f t="shared" si="45"/>
        <v>45.037875956956945</v>
      </c>
      <c r="H138" s="241">
        <f t="shared" si="45"/>
        <v>46.681826157110045</v>
      </c>
      <c r="I138" s="241">
        <f t="shared" si="45"/>
        <v>41.051537265272913</v>
      </c>
      <c r="J138" s="241">
        <f t="shared" si="45"/>
        <v>41.095921187065727</v>
      </c>
      <c r="K138" s="241">
        <f t="shared" si="45"/>
        <v>43.850480855558111</v>
      </c>
      <c r="L138" s="241">
        <f t="shared" si="45"/>
        <v>43.510165320195206</v>
      </c>
      <c r="M138" s="241"/>
      <c r="AC138" s="246"/>
    </row>
    <row r="139" spans="1:39" x14ac:dyDescent="0.6">
      <c r="A139" s="174"/>
      <c r="B139" s="165" t="s">
        <v>160</v>
      </c>
      <c r="C139" s="245">
        <f>+C122/SUM(C57:L57)*1000</f>
        <v>43.442743414801782</v>
      </c>
      <c r="T139" s="200"/>
      <c r="U139" s="200"/>
    </row>
    <row r="140" spans="1:39" x14ac:dyDescent="0.6">
      <c r="A140" s="174"/>
      <c r="T140" s="200"/>
      <c r="U140" s="200"/>
    </row>
    <row r="141" spans="1:39" x14ac:dyDescent="0.6">
      <c r="A141" s="174"/>
      <c r="T141" s="200"/>
      <c r="U141" s="200"/>
    </row>
    <row r="142" spans="1:39" x14ac:dyDescent="0.6">
      <c r="A142" s="171" t="s">
        <v>60</v>
      </c>
      <c r="B142" s="169" t="s">
        <v>61</v>
      </c>
      <c r="L142" s="166" t="s">
        <v>161</v>
      </c>
      <c r="T142" s="200"/>
      <c r="U142" s="200"/>
    </row>
    <row r="143" spans="1:39" x14ac:dyDescent="0.6">
      <c r="A143" s="174"/>
      <c r="B143" s="170" t="str">
        <f>Input!B97</f>
        <v>Obligations - Peak Load shares eff 1/1/21, scaling factors eff 6/1/21, Transmission Loads eff 1/1/21; costs are market estimates</v>
      </c>
      <c r="L143" s="166" t="s">
        <v>162</v>
      </c>
      <c r="T143" s="200"/>
      <c r="U143" s="200"/>
    </row>
    <row r="144" spans="1:39" x14ac:dyDescent="0.6">
      <c r="A144" s="174"/>
      <c r="B144" s="170" t="s">
        <v>63</v>
      </c>
      <c r="C144" s="166" t="str">
        <f>+C7</f>
        <v>RS</v>
      </c>
      <c r="D144" s="166" t="str">
        <f t="shared" ref="D144:L144" si="46">+D7</f>
        <v>RHS</v>
      </c>
      <c r="E144" s="166" t="str">
        <f t="shared" si="46"/>
        <v>RLM</v>
      </c>
      <c r="F144" s="166" t="str">
        <f t="shared" si="46"/>
        <v>WH</v>
      </c>
      <c r="G144" s="166" t="str">
        <f t="shared" si="46"/>
        <v>WHS</v>
      </c>
      <c r="H144" s="166" t="str">
        <f t="shared" si="46"/>
        <v>HS</v>
      </c>
      <c r="I144" s="166" t="str">
        <f t="shared" si="46"/>
        <v>PSAL</v>
      </c>
      <c r="J144" s="166" t="str">
        <f t="shared" si="46"/>
        <v>BPL</v>
      </c>
      <c r="K144" s="166" t="str">
        <f t="shared" si="46"/>
        <v>GLP</v>
      </c>
      <c r="L144" s="166" t="str">
        <f t="shared" si="46"/>
        <v>LPL-S</v>
      </c>
      <c r="M144" s="166"/>
      <c r="T144" s="200"/>
      <c r="U144" s="200"/>
      <c r="AD144" s="166" t="s">
        <v>7</v>
      </c>
      <c r="AE144" s="166" t="s">
        <v>8</v>
      </c>
      <c r="AF144" s="166" t="s">
        <v>9</v>
      </c>
      <c r="AG144" s="166" t="s">
        <v>10</v>
      </c>
      <c r="AH144" s="166" t="s">
        <v>11</v>
      </c>
      <c r="AI144" s="166" t="s">
        <v>12</v>
      </c>
      <c r="AJ144" s="166" t="s">
        <v>13</v>
      </c>
      <c r="AK144" s="166" t="s">
        <v>14</v>
      </c>
      <c r="AL144" s="166" t="s">
        <v>15</v>
      </c>
      <c r="AM144" s="166" t="s">
        <v>16</v>
      </c>
    </row>
    <row r="145" spans="1:39" x14ac:dyDescent="0.6">
      <c r="A145" s="174"/>
      <c r="B145" s="170"/>
      <c r="C145" s="166"/>
      <c r="D145" s="166"/>
      <c r="E145" s="166"/>
      <c r="F145" s="166"/>
      <c r="G145" s="166"/>
      <c r="H145" s="166"/>
      <c r="I145" s="166"/>
      <c r="J145" s="166"/>
      <c r="K145" s="166"/>
      <c r="M145" s="166"/>
      <c r="R145" s="463" t="s">
        <v>163</v>
      </c>
      <c r="S145" s="464"/>
      <c r="T145" s="464"/>
      <c r="U145" s="464"/>
      <c r="V145" s="464"/>
      <c r="AC145" s="253" t="s">
        <v>64</v>
      </c>
      <c r="AD145" s="254">
        <f>Input!C101</f>
        <v>4420.8580457335147</v>
      </c>
      <c r="AE145" s="254">
        <f>Input!D101</f>
        <v>19.232054315231025</v>
      </c>
      <c r="AF145" s="254">
        <f>Input!E101</f>
        <v>65.417800504333897</v>
      </c>
      <c r="AG145" s="254">
        <f>Input!F101</f>
        <v>0</v>
      </c>
      <c r="AH145" s="254">
        <f>Input!G101</f>
        <v>0</v>
      </c>
      <c r="AI145" s="254">
        <f>Input!H101</f>
        <v>2.7679390495108045</v>
      </c>
      <c r="AJ145" s="254">
        <f>Input!I101</f>
        <v>0</v>
      </c>
      <c r="AK145" s="254">
        <f>Input!J101</f>
        <v>0</v>
      </c>
      <c r="AL145" s="254">
        <f>Input!K101</f>
        <v>1507.5032902830221</v>
      </c>
      <c r="AM145" s="254">
        <f>Input!L101</f>
        <v>1270.5185877781889</v>
      </c>
    </row>
    <row r="146" spans="1:39" x14ac:dyDescent="0.6">
      <c r="A146" s="174"/>
      <c r="T146" s="167" t="s">
        <v>68</v>
      </c>
      <c r="U146" s="165" t="s">
        <v>67</v>
      </c>
      <c r="AC146" s="198" t="s">
        <v>65</v>
      </c>
      <c r="AD146" s="254">
        <f>Input!C102</f>
        <v>4459.7259198356678</v>
      </c>
      <c r="AE146" s="254">
        <f>Input!D102</f>
        <v>19.446342823740217</v>
      </c>
      <c r="AF146" s="254">
        <f>Input!E102</f>
        <v>66.033991271042851</v>
      </c>
      <c r="AG146" s="254">
        <f>Input!F102</f>
        <v>0</v>
      </c>
      <c r="AH146" s="254">
        <f>Input!G102</f>
        <v>0</v>
      </c>
      <c r="AI146" s="254">
        <f>Input!H102</f>
        <v>2.9486570290106227</v>
      </c>
      <c r="AJ146" s="254">
        <f>Input!I102</f>
        <v>0</v>
      </c>
      <c r="AK146" s="254">
        <f>Input!J102</f>
        <v>0</v>
      </c>
      <c r="AL146" s="254">
        <f>Input!K102</f>
        <v>1565.569245459986</v>
      </c>
      <c r="AM146" s="254">
        <f>Input!L102</f>
        <v>1260.9197948606477</v>
      </c>
    </row>
    <row r="147" spans="1:39" x14ac:dyDescent="0.6">
      <c r="A147" s="255"/>
      <c r="B147" s="165" t="s">
        <v>164</v>
      </c>
      <c r="C147" s="256">
        <f>ROUND(AD145*$AD$148*$AD$149,1)</f>
        <v>5161.8999999999996</v>
      </c>
      <c r="D147" s="256">
        <f t="shared" ref="D147:K147" si="47">ROUND(AE145*$AD$148*$AD$149,1)</f>
        <v>22.5</v>
      </c>
      <c r="E147" s="256">
        <f t="shared" si="47"/>
        <v>76.400000000000006</v>
      </c>
      <c r="F147" s="256">
        <f t="shared" si="47"/>
        <v>0</v>
      </c>
      <c r="G147" s="256">
        <f t="shared" si="47"/>
        <v>0</v>
      </c>
      <c r="H147" s="256">
        <f t="shared" si="47"/>
        <v>3.2</v>
      </c>
      <c r="I147" s="256">
        <f t="shared" si="47"/>
        <v>0</v>
      </c>
      <c r="J147" s="256">
        <f t="shared" si="47"/>
        <v>0</v>
      </c>
      <c r="K147" s="256">
        <f t="shared" si="47"/>
        <v>1760.2</v>
      </c>
      <c r="L147" s="256">
        <f>ROUND(AM145*$AD$148*$AD$149*(1-AE45),1)</f>
        <v>973.5</v>
      </c>
      <c r="M147" s="257"/>
      <c r="R147" s="258">
        <f>Input!C108</f>
        <v>2019</v>
      </c>
      <c r="S147" s="253" t="s">
        <v>165</v>
      </c>
      <c r="T147" s="258">
        <f>Input!D108</f>
        <v>28</v>
      </c>
      <c r="U147" s="259">
        <f>Input!E108</f>
        <v>104709.15</v>
      </c>
      <c r="V147" s="260">
        <f>U147/$T$150*T147</f>
        <v>34492.425882352938</v>
      </c>
    </row>
    <row r="148" spans="1:39" x14ac:dyDescent="0.6">
      <c r="A148" s="165"/>
      <c r="C148" s="261"/>
      <c r="D148" s="167"/>
      <c r="E148" s="167"/>
      <c r="F148" s="167"/>
      <c r="G148" s="167"/>
      <c r="H148" s="167"/>
      <c r="I148" s="167"/>
      <c r="J148" s="167"/>
      <c r="K148" s="167"/>
      <c r="L148" s="167"/>
      <c r="R148" s="258">
        <f>Input!C109</f>
        <v>2020</v>
      </c>
      <c r="S148" s="253" t="s">
        <v>165</v>
      </c>
      <c r="T148" s="258">
        <f>Input!D109</f>
        <v>28</v>
      </c>
      <c r="U148" s="259">
        <f>Input!E109</f>
        <v>138497.08431889772</v>
      </c>
      <c r="V148" s="260">
        <f>U148/$T$150*T148</f>
        <v>45622.568952107482</v>
      </c>
      <c r="AC148" s="198" t="s">
        <v>66</v>
      </c>
      <c r="AD148" s="262">
        <f>Input!C104</f>
        <v>1.0740768592912917</v>
      </c>
    </row>
    <row r="149" spans="1:39" x14ac:dyDescent="0.6">
      <c r="A149" s="255"/>
      <c r="B149" s="165" t="s">
        <v>166</v>
      </c>
      <c r="C149" s="256">
        <f>ROUND(AD146,1)</f>
        <v>4459.7</v>
      </c>
      <c r="D149" s="256">
        <f t="shared" ref="D149:K149" si="48">ROUND(AE146,1)</f>
        <v>19.399999999999999</v>
      </c>
      <c r="E149" s="256">
        <f t="shared" si="48"/>
        <v>66</v>
      </c>
      <c r="F149" s="256">
        <f t="shared" si="48"/>
        <v>0</v>
      </c>
      <c r="G149" s="256">
        <f t="shared" si="48"/>
        <v>0</v>
      </c>
      <c r="H149" s="256">
        <f t="shared" si="48"/>
        <v>2.9</v>
      </c>
      <c r="I149" s="256">
        <f t="shared" si="48"/>
        <v>0</v>
      </c>
      <c r="J149" s="256">
        <f t="shared" si="48"/>
        <v>0</v>
      </c>
      <c r="K149" s="256">
        <f t="shared" si="48"/>
        <v>1565.6</v>
      </c>
      <c r="L149" s="256">
        <f>ROUND(AM146*(1-AF45),1)</f>
        <v>827.5</v>
      </c>
      <c r="M149" s="257"/>
      <c r="R149" s="258">
        <f>Input!C110</f>
        <v>2021</v>
      </c>
      <c r="S149" s="253" t="s">
        <v>165</v>
      </c>
      <c r="T149" s="258">
        <f>Input!D110</f>
        <v>29</v>
      </c>
      <c r="U149" s="259">
        <f>Input!E110</f>
        <v>144787.97744165195</v>
      </c>
      <c r="V149" s="263">
        <f>U149/$T$150*T149</f>
        <v>49398.251127151845</v>
      </c>
      <c r="X149" s="165" t="str">
        <f>+Input!B105</f>
        <v>PJM June 1, 2021 (through May 31, 2022) Forecast Pool Requirement</v>
      </c>
      <c r="AD149" s="262">
        <f>Input!C105</f>
        <v>1.0871</v>
      </c>
    </row>
    <row r="150" spans="1:39" x14ac:dyDescent="0.6">
      <c r="A150" s="165"/>
      <c r="C150" s="254"/>
      <c r="D150" s="254"/>
      <c r="E150" s="254"/>
      <c r="F150" s="254"/>
      <c r="G150" s="254"/>
      <c r="H150" s="254"/>
      <c r="I150" s="254"/>
      <c r="J150" s="254"/>
      <c r="K150" s="254"/>
      <c r="M150" s="254"/>
      <c r="T150" s="165">
        <f>SUM(T147:T149)</f>
        <v>85</v>
      </c>
      <c r="V150" s="260">
        <f>ROUND(SUM(V147:V149),2)</f>
        <v>129513.25</v>
      </c>
    </row>
    <row r="151" spans="1:39" x14ac:dyDescent="0.6">
      <c r="A151" s="174"/>
      <c r="B151" s="165" t="s">
        <v>167</v>
      </c>
      <c r="I151" s="254"/>
      <c r="K151" s="166"/>
      <c r="M151" s="254"/>
    </row>
    <row r="152" spans="1:39" x14ac:dyDescent="0.6">
      <c r="A152" s="174"/>
      <c r="D152" s="198" t="s">
        <v>168</v>
      </c>
      <c r="E152" s="264">
        <v>122</v>
      </c>
      <c r="G152" s="198" t="s">
        <v>169</v>
      </c>
      <c r="H152" s="167">
        <v>4</v>
      </c>
      <c r="I152" s="254"/>
      <c r="M152" s="254"/>
    </row>
    <row r="153" spans="1:39" x14ac:dyDescent="0.6">
      <c r="A153" s="174"/>
      <c r="D153" s="265" t="s">
        <v>170</v>
      </c>
      <c r="E153" s="266">
        <v>243</v>
      </c>
      <c r="G153" s="265" t="s">
        <v>171</v>
      </c>
      <c r="H153" s="167">
        <v>8</v>
      </c>
      <c r="I153" s="254"/>
      <c r="K153" s="267"/>
      <c r="L153" s="267"/>
      <c r="M153" s="254"/>
    </row>
    <row r="154" spans="1:39" x14ac:dyDescent="0.6">
      <c r="A154" s="174"/>
      <c r="G154" s="198" t="s">
        <v>172</v>
      </c>
      <c r="H154" s="165">
        <f>+H152+H153</f>
        <v>12</v>
      </c>
      <c r="I154" s="254"/>
      <c r="J154" s="268"/>
      <c r="K154" s="267"/>
      <c r="L154" s="267"/>
      <c r="M154" s="254"/>
    </row>
    <row r="155" spans="1:39" x14ac:dyDescent="0.6">
      <c r="A155" s="174"/>
      <c r="B155" s="167" t="s">
        <v>173</v>
      </c>
      <c r="C155" s="198" t="s">
        <v>174</v>
      </c>
      <c r="D155" s="269">
        <v>0</v>
      </c>
      <c r="E155" s="236" t="s">
        <v>175</v>
      </c>
      <c r="K155" s="270"/>
      <c r="L155" s="271"/>
    </row>
    <row r="156" spans="1:39" x14ac:dyDescent="0.6">
      <c r="A156" s="174"/>
      <c r="B156" s="167"/>
      <c r="C156" s="198"/>
      <c r="D156" s="269"/>
      <c r="E156" s="236"/>
      <c r="K156" s="270"/>
      <c r="L156" s="271"/>
    </row>
    <row r="157" spans="1:39" ht="26" x14ac:dyDescent="0.6">
      <c r="A157" s="174"/>
      <c r="B157" s="167"/>
      <c r="D157" s="272" t="s">
        <v>176</v>
      </c>
      <c r="E157" s="272"/>
      <c r="F157" s="273"/>
      <c r="I157" s="274"/>
      <c r="K157" s="270"/>
      <c r="L157" s="271"/>
    </row>
    <row r="158" spans="1:39" x14ac:dyDescent="0.6">
      <c r="A158" s="174"/>
      <c r="B158" s="167" t="s">
        <v>70</v>
      </c>
      <c r="C158" s="198" t="s">
        <v>71</v>
      </c>
      <c r="D158" s="274">
        <f>Input!E113</f>
        <v>104.84</v>
      </c>
      <c r="E158" s="236" t="s">
        <v>72</v>
      </c>
      <c r="F158" s="275"/>
      <c r="G158" s="236"/>
      <c r="K158" s="276"/>
    </row>
    <row r="159" spans="1:39" x14ac:dyDescent="0.6">
      <c r="A159" s="174"/>
      <c r="C159" s="198" t="s">
        <v>73</v>
      </c>
      <c r="D159" s="274">
        <f>Input!E114</f>
        <v>104.84</v>
      </c>
      <c r="E159" s="236" t="s">
        <v>72</v>
      </c>
      <c r="F159" s="275"/>
      <c r="G159" s="236"/>
      <c r="Q159" s="198" t="s">
        <v>177</v>
      </c>
    </row>
    <row r="160" spans="1:39" x14ac:dyDescent="0.6">
      <c r="A160" s="174"/>
      <c r="E160" s="277"/>
      <c r="F160" s="167"/>
      <c r="G160" s="167"/>
      <c r="H160" s="167"/>
      <c r="I160" s="167"/>
      <c r="J160" s="167"/>
      <c r="P160" s="198" t="s">
        <v>178</v>
      </c>
      <c r="Q160" s="278">
        <f>(D158*E152+D159*E153)/1000</f>
        <v>38.266600000000004</v>
      </c>
      <c r="R160" s="165" t="s">
        <v>179</v>
      </c>
    </row>
    <row r="161" spans="1:18" x14ac:dyDescent="0.6">
      <c r="A161" s="171"/>
      <c r="C161" s="166" t="str">
        <f>+C7</f>
        <v>RS</v>
      </c>
      <c r="D161" s="166" t="str">
        <f>+D7</f>
        <v>RHS</v>
      </c>
      <c r="F161" s="167"/>
      <c r="G161" s="167"/>
      <c r="H161" s="167"/>
      <c r="I161" s="167"/>
      <c r="J161" s="253"/>
    </row>
    <row r="162" spans="1:18" x14ac:dyDescent="0.6">
      <c r="A162" s="171"/>
      <c r="B162" s="279" t="s">
        <v>180</v>
      </c>
      <c r="C162" s="279"/>
      <c r="D162" s="279"/>
      <c r="F162" s="167"/>
      <c r="G162" s="167"/>
      <c r="H162" s="167"/>
      <c r="I162" s="167"/>
      <c r="J162" s="253"/>
      <c r="K162" s="243"/>
    </row>
    <row r="163" spans="1:18" x14ac:dyDescent="0.6">
      <c r="A163" s="171"/>
      <c r="B163" s="253" t="s">
        <v>181</v>
      </c>
      <c r="C163" s="205">
        <f>ROUND(Q165/Q167,3)</f>
        <v>0.64600000000000002</v>
      </c>
      <c r="D163" s="205">
        <f>ROUND(R165/R167,3)</f>
        <v>0.66100000000000003</v>
      </c>
      <c r="F163" s="170" t="s">
        <v>182</v>
      </c>
      <c r="G163" s="280"/>
      <c r="H163" s="281"/>
      <c r="I163" s="281"/>
      <c r="J163" s="253"/>
      <c r="K163" s="243"/>
      <c r="P163" s="282" t="s">
        <v>183</v>
      </c>
      <c r="Q163" s="213"/>
      <c r="R163" s="213"/>
    </row>
    <row r="164" spans="1:18" x14ac:dyDescent="0.6">
      <c r="A164" s="171"/>
      <c r="B164" s="253" t="s">
        <v>184</v>
      </c>
      <c r="C164" s="205">
        <f>1-C163</f>
        <v>0.35399999999999998</v>
      </c>
      <c r="D164" s="205">
        <f>1-D163</f>
        <v>0.33899999999999997</v>
      </c>
      <c r="F164" s="167"/>
      <c r="H164" s="167"/>
      <c r="I164" s="167"/>
      <c r="J164" s="253"/>
      <c r="K164" s="243"/>
      <c r="N164" s="258"/>
      <c r="Q164" s="165" t="s">
        <v>7</v>
      </c>
      <c r="R164" s="165" t="s">
        <v>8</v>
      </c>
    </row>
    <row r="165" spans="1:18" x14ac:dyDescent="0.6">
      <c r="A165" s="171"/>
      <c r="F165" s="167"/>
      <c r="H165" s="167"/>
      <c r="I165" s="167"/>
      <c r="J165" s="253"/>
      <c r="K165" s="243"/>
      <c r="P165" s="165" t="s">
        <v>185</v>
      </c>
      <c r="Q165" s="283">
        <v>3528124</v>
      </c>
      <c r="R165" s="283">
        <v>19973</v>
      </c>
    </row>
    <row r="166" spans="1:18" x14ac:dyDescent="0.6">
      <c r="A166" s="171"/>
      <c r="B166" s="253" t="s">
        <v>74</v>
      </c>
      <c r="C166" s="215">
        <f>Input!C119</f>
        <v>0.86519999999999975</v>
      </c>
      <c r="D166" s="215">
        <f>Input!D119</f>
        <v>1.1569000000000003</v>
      </c>
      <c r="E166" s="167" t="s">
        <v>75</v>
      </c>
      <c r="F166" s="177" t="s">
        <v>186</v>
      </c>
      <c r="I166" s="167"/>
      <c r="J166" s="253"/>
      <c r="K166" s="243"/>
      <c r="P166" s="165" t="s">
        <v>187</v>
      </c>
      <c r="Q166" s="284">
        <v>1931618</v>
      </c>
      <c r="R166" s="284">
        <v>10227</v>
      </c>
    </row>
    <row r="167" spans="1:18" x14ac:dyDescent="0.6">
      <c r="A167" s="171"/>
      <c r="F167" s="167"/>
      <c r="H167" s="167"/>
      <c r="I167" s="167"/>
      <c r="J167" s="253"/>
      <c r="K167" s="243"/>
      <c r="P167" s="165" t="s">
        <v>188</v>
      </c>
      <c r="Q167" s="285">
        <f>SUM(Q165:Q166)</f>
        <v>5459742</v>
      </c>
      <c r="R167" s="285">
        <f>SUM(R165:R166)</f>
        <v>30200</v>
      </c>
    </row>
    <row r="168" spans="1:18" x14ac:dyDescent="0.6">
      <c r="A168" s="171" t="s">
        <v>77</v>
      </c>
      <c r="B168" s="10" t="s">
        <v>78</v>
      </c>
      <c r="F168" s="167"/>
      <c r="H168" s="167"/>
      <c r="I168" s="167"/>
      <c r="J168" s="253"/>
      <c r="K168" s="243"/>
      <c r="Q168" s="285"/>
      <c r="R168" s="285"/>
    </row>
    <row r="169" spans="1:18" x14ac:dyDescent="0.6">
      <c r="A169" s="165"/>
      <c r="B169" s="286" t="s">
        <v>79</v>
      </c>
      <c r="C169" s="167"/>
      <c r="D169" s="267">
        <f>+Input!D123</f>
        <v>2</v>
      </c>
      <c r="E169" s="167"/>
      <c r="F169" s="167"/>
      <c r="G169" s="167"/>
      <c r="H169" s="167"/>
      <c r="I169" s="167"/>
      <c r="J169" s="167"/>
    </row>
    <row r="170" spans="1:18" x14ac:dyDescent="0.6">
      <c r="A170" s="171"/>
      <c r="B170" s="286" t="s">
        <v>81</v>
      </c>
      <c r="D170" s="267">
        <f>+Input!D124</f>
        <v>16.09</v>
      </c>
      <c r="I170" s="167"/>
      <c r="J170" s="167"/>
    </row>
    <row r="171" spans="1:18" x14ac:dyDescent="0.6">
      <c r="A171" s="174"/>
      <c r="B171" s="286" t="s">
        <v>189</v>
      </c>
      <c r="D171" s="287">
        <f>SUM(D169:D170)</f>
        <v>18.09</v>
      </c>
      <c r="E171" s="236" t="s">
        <v>80</v>
      </c>
    </row>
    <row r="172" spans="1:18" x14ac:dyDescent="0.6">
      <c r="A172" s="174"/>
      <c r="B172" s="170"/>
      <c r="F172" s="236"/>
    </row>
    <row r="173" spans="1:18" x14ac:dyDescent="0.6">
      <c r="A173" s="174"/>
      <c r="B173" s="169"/>
      <c r="E173" s="288"/>
      <c r="F173" s="236"/>
    </row>
    <row r="174" spans="1:18" x14ac:dyDescent="0.6">
      <c r="A174" s="171" t="s">
        <v>190</v>
      </c>
      <c r="B174" s="169" t="s">
        <v>191</v>
      </c>
    </row>
    <row r="175" spans="1:18" x14ac:dyDescent="0.6">
      <c r="A175" s="171"/>
      <c r="B175" s="169"/>
    </row>
    <row r="176" spans="1:18" x14ac:dyDescent="0.6">
      <c r="A176" s="171"/>
      <c r="B176" s="169"/>
      <c r="C176" s="166" t="str">
        <f t="shared" ref="C176:J176" si="49">+C7</f>
        <v>RS</v>
      </c>
      <c r="D176" s="166" t="str">
        <f t="shared" si="49"/>
        <v>RHS</v>
      </c>
      <c r="E176" s="166" t="str">
        <f t="shared" si="49"/>
        <v>RLM</v>
      </c>
      <c r="F176" s="166" t="str">
        <f t="shared" si="49"/>
        <v>WH</v>
      </c>
      <c r="G176" s="166" t="str">
        <f t="shared" si="49"/>
        <v>WHS</v>
      </c>
      <c r="H176" s="166" t="str">
        <f t="shared" si="49"/>
        <v>HS</v>
      </c>
      <c r="I176" s="166" t="str">
        <f t="shared" si="49"/>
        <v>PSAL</v>
      </c>
      <c r="J176" s="166" t="str">
        <f t="shared" si="49"/>
        <v>BPL</v>
      </c>
    </row>
    <row r="177" spans="1:13" x14ac:dyDescent="0.6">
      <c r="A177" s="171"/>
      <c r="B177" s="169"/>
    </row>
    <row r="178" spans="1:13" x14ac:dyDescent="0.6">
      <c r="A178" s="174"/>
      <c r="B178" s="198" t="s">
        <v>192</v>
      </c>
      <c r="C178" s="278">
        <f>(+$D$155*C149*$H$154/12)/C57</f>
        <v>0</v>
      </c>
      <c r="D178" s="278">
        <f>(+$D$155*D149*$H$154/12)/D57</f>
        <v>0</v>
      </c>
      <c r="E178" s="278">
        <f>(+$D$155*E149*$H$154/12)/SUMPRODUCT(E27:E38,E45:E56)</f>
        <v>0</v>
      </c>
      <c r="F178" s="278">
        <f>(+$D$155*F149*$H$154/12)/F57</f>
        <v>0</v>
      </c>
      <c r="G178" s="278">
        <f>(+$D$155*G149*$H$154/12)/G57</f>
        <v>0</v>
      </c>
      <c r="H178" s="278">
        <f>(+$D$155*H149*$H$154/12)/H57</f>
        <v>0</v>
      </c>
      <c r="I178" s="278">
        <f>(+$D$155*I149*$H$154/12)/I57</f>
        <v>0</v>
      </c>
      <c r="J178" s="278">
        <f>(+$D$155*J149*$H$154/12)/J57</f>
        <v>0</v>
      </c>
      <c r="K178" s="278"/>
      <c r="L178" s="278"/>
      <c r="M178" s="278"/>
    </row>
    <row r="179" spans="1:13" x14ac:dyDescent="0.6">
      <c r="A179" s="174"/>
      <c r="B179" s="198"/>
      <c r="C179" s="278"/>
      <c r="D179" s="278"/>
      <c r="E179" s="278"/>
      <c r="F179" s="278"/>
      <c r="G179" s="278"/>
      <c r="H179" s="278"/>
      <c r="I179" s="278"/>
      <c r="J179" s="278"/>
      <c r="K179" s="278"/>
      <c r="L179" s="278"/>
      <c r="M179" s="278"/>
    </row>
    <row r="180" spans="1:13" x14ac:dyDescent="0.6">
      <c r="A180" s="174"/>
      <c r="B180" s="198" t="s">
        <v>193</v>
      </c>
      <c r="K180" s="278"/>
      <c r="L180" s="278"/>
      <c r="M180" s="278"/>
    </row>
    <row r="181" spans="1:13" x14ac:dyDescent="0.6">
      <c r="A181" s="171"/>
      <c r="B181" s="253" t="s">
        <v>194</v>
      </c>
      <c r="C181" s="241">
        <f>((+$Q$160*C147*1000)/C57)</f>
        <v>15.181825548730201</v>
      </c>
      <c r="D181" s="241">
        <f>((+$Q$160*D147*1000)/D57)</f>
        <v>9.6708317579689282</v>
      </c>
      <c r="E181" s="241">
        <f>(+$Q$160*E147*1000)/SUMPRODUCT(E45:E56,E27:E38)</f>
        <v>38.349954476464717</v>
      </c>
      <c r="F181" s="241">
        <f>((+$Q$160*F147*1000)/F57)</f>
        <v>0</v>
      </c>
      <c r="G181" s="241">
        <f>((+$Q$160*G147*1000)/G57)</f>
        <v>0</v>
      </c>
      <c r="H181" s="241">
        <f>((+$Q$160*H147*1000)/H57)</f>
        <v>13.233439923331241</v>
      </c>
      <c r="I181" s="241">
        <f>((+$Q$160*I147*1000)/I57)</f>
        <v>0</v>
      </c>
      <c r="J181" s="241">
        <f>((+$Q$160*J147*1000)/J57)</f>
        <v>0</v>
      </c>
      <c r="K181" s="278"/>
      <c r="L181" s="278"/>
      <c r="M181" s="278"/>
    </row>
    <row r="182" spans="1:13" x14ac:dyDescent="0.6">
      <c r="A182" s="174"/>
      <c r="B182" s="198" t="s">
        <v>195</v>
      </c>
      <c r="C182" s="289">
        <f>(C147*$D$158*$E$152)/SUM(C50:C53)</f>
        <v>11.855748982476991</v>
      </c>
      <c r="D182" s="289">
        <f>(D147*$D$158*$E$152)/SUM(D50:D53)</f>
        <v>13.646904768247053</v>
      </c>
      <c r="E182" s="289">
        <f>(E147*$D$158*$E$152)/SUMPRODUCT(E50:E53,E32:E35)</f>
        <v>26.402569050384507</v>
      </c>
      <c r="F182" s="289">
        <f>(F147*$D$158*$E$152)/SUM(F50:F53)</f>
        <v>0</v>
      </c>
      <c r="G182" s="289">
        <f>(G147*$D$158*$E$152)/SUM(G50:G53)</f>
        <v>0</v>
      </c>
      <c r="H182" s="289">
        <f>(H147*$D$158*$E$152)/SUM(H50:H53)</f>
        <v>20.116566574362512</v>
      </c>
      <c r="I182" s="289">
        <f>(I147*$D$158*$E$152)/SUM(I50:I53)</f>
        <v>0</v>
      </c>
      <c r="J182" s="289">
        <f>(J147*$D$158*$E$152)/SUM(J50:J53)</f>
        <v>0</v>
      </c>
      <c r="K182" s="278"/>
      <c r="L182" s="278"/>
      <c r="M182" s="278"/>
    </row>
    <row r="183" spans="1:13" x14ac:dyDescent="0.6">
      <c r="A183" s="174"/>
      <c r="B183" s="198" t="s">
        <v>196</v>
      </c>
      <c r="C183" s="278">
        <f>(C147*$D$159*$E$153)/SUM(C45:C49,C54:C56)</f>
        <v>17.67075048279748</v>
      </c>
      <c r="D183" s="278">
        <f>(D147*$D$159*$E$153)/SUM(D45:D49,D54:D56)</f>
        <v>8.4367376196775066</v>
      </c>
      <c r="E183" s="278">
        <f>(E147*$D$159*$E$153)/(SUMPRODUCT(E45:E49,E27:E31)+SUMPRODUCT(E54:E56,E36:E38))</f>
        <v>49.623738947788105</v>
      </c>
      <c r="F183" s="278">
        <f>(F147*$D$159*$E$153)/SUM(F45:F49,F54:F56)</f>
        <v>0</v>
      </c>
      <c r="G183" s="278">
        <f>(G147*$D$159*$E$153)/SUM(G45:G49,G54:G56)</f>
        <v>0</v>
      </c>
      <c r="H183" s="278">
        <f>(H147*$D$159*$E$153)/SUM(H45:H49,H54:H56)</f>
        <v>11.293401896835126</v>
      </c>
      <c r="I183" s="278">
        <f>(I147*$D$159*$E$153)/SUM(I45:I49,I54:I56)</f>
        <v>0</v>
      </c>
      <c r="J183" s="278">
        <f>(J147*$D$159*$E$153)/SUM(J45:J49,J54:J56)</f>
        <v>0</v>
      </c>
      <c r="K183" s="278"/>
      <c r="L183" s="278"/>
      <c r="M183" s="278"/>
    </row>
    <row r="184" spans="1:13" x14ac:dyDescent="0.6">
      <c r="A184" s="174"/>
      <c r="E184" s="290" t="s">
        <v>197</v>
      </c>
      <c r="F184" s="278"/>
      <c r="G184" s="278"/>
      <c r="H184" s="278"/>
      <c r="K184" s="278"/>
      <c r="L184" s="278"/>
      <c r="M184" s="278"/>
    </row>
    <row r="185" spans="1:13" x14ac:dyDescent="0.6">
      <c r="A185" s="174"/>
      <c r="E185" s="290" t="s">
        <v>198</v>
      </c>
      <c r="F185" s="278"/>
      <c r="G185" s="278"/>
      <c r="H185" s="278"/>
      <c r="K185" s="278"/>
      <c r="L185" s="278"/>
      <c r="M185" s="278"/>
    </row>
    <row r="186" spans="1:13" x14ac:dyDescent="0.6">
      <c r="A186" s="174"/>
    </row>
    <row r="187" spans="1:13" x14ac:dyDescent="0.6">
      <c r="A187" s="171" t="s">
        <v>199</v>
      </c>
      <c r="B187" s="169" t="s">
        <v>200</v>
      </c>
    </row>
    <row r="188" spans="1:13" x14ac:dyDescent="0.6">
      <c r="A188" s="174"/>
      <c r="B188" s="169"/>
      <c r="K188" s="291"/>
    </row>
    <row r="189" spans="1:13" x14ac:dyDescent="0.6">
      <c r="A189" s="174"/>
      <c r="B189" s="169" t="s">
        <v>201</v>
      </c>
    </row>
    <row r="190" spans="1:13" x14ac:dyDescent="0.6">
      <c r="A190" s="174"/>
      <c r="B190" s="170" t="s">
        <v>202</v>
      </c>
    </row>
    <row r="191" spans="1:13" x14ac:dyDescent="0.6">
      <c r="A191" s="174"/>
      <c r="B191" s="170" t="s">
        <v>136</v>
      </c>
    </row>
    <row r="192" spans="1:13" x14ac:dyDescent="0.6">
      <c r="A192" s="174"/>
      <c r="C192" s="166" t="str">
        <f t="shared" ref="C192:J192" si="50">+C7</f>
        <v>RS</v>
      </c>
      <c r="D192" s="166" t="str">
        <f t="shared" si="50"/>
        <v>RHS</v>
      </c>
      <c r="E192" s="166" t="str">
        <f t="shared" si="50"/>
        <v>RLM</v>
      </c>
      <c r="F192" s="166" t="str">
        <f t="shared" si="50"/>
        <v>WH</v>
      </c>
      <c r="G192" s="166" t="str">
        <f t="shared" si="50"/>
        <v>WHS</v>
      </c>
      <c r="H192" s="166" t="str">
        <f t="shared" si="50"/>
        <v>HS</v>
      </c>
      <c r="I192" s="166" t="str">
        <f t="shared" si="50"/>
        <v>PSAL</v>
      </c>
      <c r="J192" s="166" t="str">
        <f t="shared" si="50"/>
        <v>BPL</v>
      </c>
    </row>
    <row r="193" spans="1:11" x14ac:dyDescent="0.6">
      <c r="A193" s="174"/>
      <c r="C193" s="166"/>
      <c r="D193" s="166"/>
      <c r="E193" s="241"/>
      <c r="F193" s="166"/>
      <c r="G193" s="166"/>
    </row>
    <row r="194" spans="1:11" x14ac:dyDescent="0.6">
      <c r="A194" s="174"/>
      <c r="B194" s="180" t="s">
        <v>137</v>
      </c>
      <c r="C194" s="241">
        <f>+C130+($D$171*C80)+C$178+C181</f>
        <v>75.010875728749383</v>
      </c>
      <c r="D194" s="241">
        <f>+D130+($D$171*D80)+D$178+D181</f>
        <v>69.360370056602932</v>
      </c>
      <c r="E194" s="241"/>
      <c r="F194" s="241">
        <f>+F130+($D$171*F80)+F$178+F181</f>
        <v>59.109885462494361</v>
      </c>
      <c r="G194" s="241">
        <f>+G130+($D$171*G80)+G$178+G181</f>
        <v>59.354369945683786</v>
      </c>
      <c r="H194" s="241">
        <f>+H130+($D$171*H80)+H$178+H181</f>
        <v>74.387789798566317</v>
      </c>
      <c r="I194" s="241">
        <f>+I130+($D$171*I80)+I$178+I181</f>
        <v>54.700987478128766</v>
      </c>
      <c r="J194" s="241">
        <f>+J130+($D$171*J80)+J$178+J181</f>
        <v>54.513569058539517</v>
      </c>
      <c r="K194" s="241"/>
    </row>
    <row r="195" spans="1:11" x14ac:dyDescent="0.6">
      <c r="A195" s="174"/>
      <c r="B195" s="242" t="s">
        <v>157</v>
      </c>
      <c r="C195" s="241"/>
      <c r="D195" s="241"/>
      <c r="E195" s="241">
        <f>+E131+($D$171*E80)+E$178+E181</f>
        <v>106.7322714421325</v>
      </c>
      <c r="F195" s="241"/>
      <c r="G195" s="241"/>
      <c r="H195" s="241"/>
      <c r="I195" s="241"/>
      <c r="J195" s="241"/>
    </row>
    <row r="196" spans="1:11" x14ac:dyDescent="0.6">
      <c r="A196" s="174"/>
      <c r="B196" s="242" t="s">
        <v>158</v>
      </c>
      <c r="C196" s="241"/>
      <c r="D196" s="241"/>
      <c r="E196" s="241">
        <f>+E132+($D$171*E80)</f>
        <v>52.469776158141784</v>
      </c>
      <c r="F196" s="241"/>
      <c r="G196" s="241"/>
      <c r="H196" s="241"/>
      <c r="I196" s="241"/>
      <c r="J196" s="241"/>
    </row>
    <row r="197" spans="1:11" x14ac:dyDescent="0.6">
      <c r="A197" s="174"/>
      <c r="B197" s="253" t="s">
        <v>181</v>
      </c>
      <c r="C197" s="241">
        <f>(C194*SUM(C50:C53)-C166*10*C164*SUM(C50:C53))/SUM(C50:C53)</f>
        <v>71.948067728749393</v>
      </c>
      <c r="D197" s="241">
        <f>(D194*SUM(D50:D53)-D166*10*D164*SUM(D50:D53))/SUM(D50:D53)</f>
        <v>65.43847905660293</v>
      </c>
      <c r="E197" s="241"/>
      <c r="F197" s="241"/>
      <c r="G197" s="241"/>
      <c r="H197" s="241"/>
      <c r="I197" s="241"/>
      <c r="J197" s="241"/>
    </row>
    <row r="198" spans="1:11" x14ac:dyDescent="0.6">
      <c r="A198" s="174"/>
      <c r="B198" s="253" t="s">
        <v>203</v>
      </c>
      <c r="C198" s="241">
        <f>+C197+C166*10</f>
        <v>80.600067728749394</v>
      </c>
      <c r="D198" s="241">
        <f>+D197+D166*10</f>
        <v>77.007479056602932</v>
      </c>
      <c r="E198" s="241"/>
      <c r="F198" s="241"/>
      <c r="G198" s="241"/>
      <c r="H198" s="241"/>
      <c r="I198" s="241"/>
      <c r="J198" s="241"/>
    </row>
    <row r="199" spans="1:11" x14ac:dyDescent="0.6">
      <c r="A199" s="174"/>
      <c r="C199" s="241"/>
      <c r="D199" s="241"/>
      <c r="E199" s="241"/>
      <c r="F199" s="241"/>
      <c r="G199" s="241"/>
      <c r="H199" s="241"/>
      <c r="I199" s="241"/>
      <c r="J199" s="241"/>
    </row>
    <row r="200" spans="1:11" x14ac:dyDescent="0.6">
      <c r="A200" s="174"/>
      <c r="B200" s="180" t="s">
        <v>140</v>
      </c>
      <c r="C200" s="241">
        <f>+C134+($D$171*C80)+C$178+C181</f>
        <v>79.829932906489134</v>
      </c>
      <c r="D200" s="241">
        <f>+D134+($D$171*D80)+D$178+D181</f>
        <v>76.446830252748725</v>
      </c>
      <c r="E200" s="241"/>
      <c r="F200" s="241">
        <f>+F134+($D$171*F80)+F$178+F181</f>
        <v>64.115276409868855</v>
      </c>
      <c r="G200" s="241">
        <f>+G134+($D$171*G80)+G$178+G181</f>
        <v>66.329156465466198</v>
      </c>
      <c r="H200" s="241">
        <f>+H134+($D$171*H80)+H$178+H181</f>
        <v>80.573967625782245</v>
      </c>
      <c r="I200" s="241">
        <f>+I134+($D$171*I80)+I$178+I181</f>
        <v>62.489028939196714</v>
      </c>
      <c r="J200" s="241">
        <f>+J134+($D$171*J80)+J$178+J181</f>
        <v>62.535645172824275</v>
      </c>
      <c r="K200" s="241"/>
    </row>
    <row r="201" spans="1:11" x14ac:dyDescent="0.6">
      <c r="A201" s="174"/>
      <c r="B201" s="242" t="s">
        <v>157</v>
      </c>
      <c r="C201" s="241"/>
      <c r="D201" s="241"/>
      <c r="E201" s="241">
        <f>+E135+($D$171*E80)+E$178+E181</f>
        <v>108.37464902813238</v>
      </c>
      <c r="F201" s="241"/>
      <c r="G201" s="241"/>
      <c r="H201" s="241"/>
      <c r="I201" s="241"/>
      <c r="J201" s="241"/>
    </row>
    <row r="202" spans="1:11" x14ac:dyDescent="0.6">
      <c r="A202" s="174"/>
      <c r="B202" s="242" t="s">
        <v>158</v>
      </c>
      <c r="C202" s="241"/>
      <c r="D202" s="241"/>
      <c r="E202" s="241">
        <f>+E136+($D$171*E80)</f>
        <v>60.231274264568313</v>
      </c>
      <c r="F202" s="241"/>
      <c r="G202" s="241"/>
      <c r="H202" s="241"/>
      <c r="I202" s="241"/>
      <c r="J202" s="241"/>
    </row>
    <row r="203" spans="1:11" x14ac:dyDescent="0.6">
      <c r="A203" s="174"/>
      <c r="C203" s="241"/>
      <c r="D203" s="241"/>
      <c r="E203" s="241"/>
      <c r="F203" s="241"/>
      <c r="G203" s="241"/>
      <c r="H203" s="241"/>
      <c r="I203" s="241"/>
      <c r="J203" s="241"/>
    </row>
    <row r="204" spans="1:11" x14ac:dyDescent="0.6">
      <c r="A204" s="174"/>
      <c r="B204" s="165" t="s">
        <v>204</v>
      </c>
      <c r="C204" s="241">
        <f>+C138+($D$171*C80)+C$178+C181</f>
        <v>77.767290004726974</v>
      </c>
      <c r="D204" s="241">
        <f>+D138+($D$171*D80)+D$178+D181</f>
        <v>74.768312320420947</v>
      </c>
      <c r="E204" s="241">
        <f>((E195*SUMPRODUCT(E32:E35,E50:E53)+E196*SUMPRODUCT(Q32:Q35,E50:E53))+(E201*(SUMPRODUCT(E27:E31,E45:E49)+SUMPRODUCT(E36:E38,E54:E56))+E202*(SUMPRODUCT(Q27:Q31,E45:E49)+SUMPRODUCT(Q36:Q38,E54:E56))))/E57</f>
        <v>79.738736413401412</v>
      </c>
      <c r="F204" s="241">
        <f>+F138+($D$171*F80)+F$178+F181</f>
        <v>62.698882808453533</v>
      </c>
      <c r="G204" s="241">
        <f>+G138+($D$171*G80)+G$178+G181</f>
        <v>64.336360316956942</v>
      </c>
      <c r="H204" s="241">
        <f>+H138+($D$171*H80)+H$178+H181</f>
        <v>79.213750440441288</v>
      </c>
      <c r="I204" s="241">
        <f>+I138+($D$171*I80)+I$178+I181</f>
        <v>60.350021625272916</v>
      </c>
      <c r="J204" s="241">
        <f>+J138+($D$171*J80)+J$178+J181</f>
        <v>60.39440554706573</v>
      </c>
      <c r="K204" s="241"/>
    </row>
    <row r="205" spans="1:11" x14ac:dyDescent="0.6">
      <c r="A205" s="174"/>
      <c r="C205" s="241"/>
      <c r="D205" s="241"/>
      <c r="E205" s="241"/>
      <c r="F205" s="241"/>
      <c r="G205" s="241"/>
      <c r="H205" s="241"/>
      <c r="I205" s="241"/>
      <c r="J205" s="241"/>
      <c r="K205" s="241"/>
    </row>
    <row r="206" spans="1:11" x14ac:dyDescent="0.6">
      <c r="A206" s="174"/>
      <c r="B206" s="169" t="s">
        <v>205</v>
      </c>
    </row>
    <row r="207" spans="1:11" x14ac:dyDescent="0.6">
      <c r="A207" s="174"/>
      <c r="B207" s="170" t="s">
        <v>206</v>
      </c>
    </row>
    <row r="208" spans="1:11" x14ac:dyDescent="0.6">
      <c r="A208" s="174"/>
      <c r="B208" s="170" t="s">
        <v>136</v>
      </c>
    </row>
    <row r="209" spans="1:15" x14ac:dyDescent="0.6">
      <c r="A209" s="174"/>
      <c r="C209" s="166" t="str">
        <f>+K7</f>
        <v>GLP</v>
      </c>
      <c r="D209" s="166" t="str">
        <f>+L7</f>
        <v>LPL-S</v>
      </c>
      <c r="E209" s="166"/>
      <c r="H209" s="169" t="s">
        <v>207</v>
      </c>
      <c r="I209" s="166" t="str">
        <f>+C209</f>
        <v>GLP</v>
      </c>
      <c r="J209" s="166" t="str">
        <f>+D209</f>
        <v>LPL-S</v>
      </c>
    </row>
    <row r="210" spans="1:15" x14ac:dyDescent="0.6">
      <c r="A210" s="174"/>
      <c r="C210" s="166"/>
      <c r="D210" s="166"/>
      <c r="F210" s="169"/>
    </row>
    <row r="211" spans="1:15" x14ac:dyDescent="0.6">
      <c r="A211" s="174"/>
      <c r="B211" s="180" t="s">
        <v>137</v>
      </c>
      <c r="C211" s="241">
        <f>+K130+($D$171*K80)</f>
        <v>60.58757471031268</v>
      </c>
      <c r="D211" s="241">
        <f>+L130+($D$171*L$80)</f>
        <v>60.135789568895703</v>
      </c>
      <c r="E211" s="277"/>
      <c r="H211" s="292" t="s">
        <v>208</v>
      </c>
    </row>
    <row r="212" spans="1:15" x14ac:dyDescent="0.6">
      <c r="A212" s="174"/>
      <c r="B212" s="242" t="s">
        <v>157</v>
      </c>
      <c r="C212" s="241"/>
      <c r="D212" s="241">
        <f>+L131+($D$171*L$80)</f>
        <v>68.068955238412798</v>
      </c>
      <c r="H212" s="198" t="s">
        <v>209</v>
      </c>
      <c r="I212" s="293">
        <f>+$D158*$E152/$H152/1000</f>
        <v>3.1976199999999997</v>
      </c>
      <c r="J212" s="293">
        <f>+$D158*$E152/$H152/1000</f>
        <v>3.1976199999999997</v>
      </c>
      <c r="K212" s="236" t="s">
        <v>210</v>
      </c>
      <c r="O212" s="294"/>
    </row>
    <row r="213" spans="1:15" x14ac:dyDescent="0.6">
      <c r="A213" s="174"/>
      <c r="B213" s="242" t="s">
        <v>158</v>
      </c>
      <c r="C213" s="241"/>
      <c r="D213" s="241">
        <f>+L132+($D$171*L$80)</f>
        <v>52.368325141542968</v>
      </c>
      <c r="H213" s="198" t="s">
        <v>211</v>
      </c>
      <c r="I213" s="293">
        <f>+$D159*$E153/$H153/1000</f>
        <v>3.1845150000000002</v>
      </c>
      <c r="J213" s="293">
        <f>+$D159*$E153/$H153/1000</f>
        <v>3.1845150000000002</v>
      </c>
      <c r="K213" s="236" t="s">
        <v>210</v>
      </c>
    </row>
    <row r="214" spans="1:15" x14ac:dyDescent="0.6">
      <c r="A214" s="174"/>
      <c r="C214" s="241"/>
      <c r="D214" s="241"/>
      <c r="H214" s="198" t="s">
        <v>212</v>
      </c>
      <c r="I214" s="293">
        <f>($D$158*$E$152+$D$159*$E$153)/$H$154/1000</f>
        <v>3.1888833333333335</v>
      </c>
      <c r="J214" s="293">
        <f>($D$158*$E$152+$D$159*$E$153)/$H$154/1000</f>
        <v>3.1888833333333335</v>
      </c>
      <c r="K214" s="236" t="s">
        <v>210</v>
      </c>
    </row>
    <row r="215" spans="1:15" x14ac:dyDescent="0.6">
      <c r="A215" s="174"/>
      <c r="B215" s="180" t="s">
        <v>140</v>
      </c>
      <c r="C215" s="241">
        <f>+K134+($D$171*K80)</f>
        <v>64.623839898879098</v>
      </c>
      <c r="D215" s="241">
        <f>+L134+($D$171*L$80)</f>
        <v>64.290107479239197</v>
      </c>
    </row>
    <row r="216" spans="1:15" x14ac:dyDescent="0.6">
      <c r="A216" s="174"/>
      <c r="B216" s="242" t="s">
        <v>157</v>
      </c>
      <c r="C216" s="241"/>
      <c r="D216" s="241">
        <f>+L135+($D$171*L$80)</f>
        <v>69.2705293352941</v>
      </c>
      <c r="H216" s="292" t="s">
        <v>213</v>
      </c>
      <c r="I216" s="295"/>
      <c r="J216" s="295"/>
      <c r="K216" s="236"/>
    </row>
    <row r="217" spans="1:15" x14ac:dyDescent="0.6">
      <c r="A217" s="174"/>
      <c r="B217" s="242" t="s">
        <v>158</v>
      </c>
      <c r="C217" s="241"/>
      <c r="D217" s="241">
        <f>+L136+($D$171*L$80)</f>
        <v>59.678408756322952</v>
      </c>
      <c r="H217" s="198" t="s">
        <v>214</v>
      </c>
      <c r="I217" s="293">
        <f>+$D155/1000/12</f>
        <v>0</v>
      </c>
      <c r="J217" s="293">
        <f>+$D155/1000/12</f>
        <v>0</v>
      </c>
      <c r="K217" s="236" t="s">
        <v>215</v>
      </c>
    </row>
    <row r="218" spans="1:15" x14ac:dyDescent="0.6">
      <c r="A218" s="174"/>
      <c r="B218" s="242"/>
      <c r="C218" s="241"/>
      <c r="D218" s="241"/>
    </row>
    <row r="219" spans="1:15" x14ac:dyDescent="0.6">
      <c r="A219" s="174"/>
      <c r="B219" s="165" t="s">
        <v>216</v>
      </c>
      <c r="C219" s="241">
        <f>+K138+($D$171*K80)</f>
        <v>63.148965215558107</v>
      </c>
      <c r="D219" s="241">
        <f>+L138+($D$171*L$80)</f>
        <v>62.808649680195202</v>
      </c>
    </row>
    <row r="220" spans="1:15" x14ac:dyDescent="0.6">
      <c r="A220" s="174"/>
      <c r="C220" s="241"/>
      <c r="D220" s="241"/>
    </row>
    <row r="221" spans="1:15" x14ac:dyDescent="0.6">
      <c r="A221" s="174"/>
      <c r="B221" s="296" t="s">
        <v>217</v>
      </c>
      <c r="C221" s="241"/>
      <c r="D221" s="241"/>
    </row>
    <row r="222" spans="1:15" x14ac:dyDescent="0.6">
      <c r="A222" s="174"/>
      <c r="B222" s="180" t="s">
        <v>137</v>
      </c>
      <c r="C222" s="241">
        <f>(C211*W49+((I214*$H152)*K147*1000)+(I217*$H152*K149*1000))/W49</f>
        <v>70.300373139107492</v>
      </c>
      <c r="D222" s="241">
        <f>(D211*X49+((J214*$H152)*L147*1000)+(J217*$H152*L149*1000))/X49</f>
        <v>68.191816611436963</v>
      </c>
      <c r="F222" s="165" t="s">
        <v>218</v>
      </c>
    </row>
    <row r="223" spans="1:15" x14ac:dyDescent="0.6">
      <c r="A223" s="174"/>
      <c r="B223" s="242" t="s">
        <v>157</v>
      </c>
      <c r="C223" s="241"/>
      <c r="D223" s="241">
        <f>(D212*X50+((J214*$H152)*L147*1000)+(J217*$H152*L149*1000))/X50</f>
        <v>84.352866394788478</v>
      </c>
    </row>
    <row r="224" spans="1:15" x14ac:dyDescent="0.6">
      <c r="A224" s="174"/>
      <c r="B224" s="242" t="s">
        <v>158</v>
      </c>
      <c r="C224" s="241"/>
      <c r="D224" s="241">
        <f>+D213</f>
        <v>52.368325141542968</v>
      </c>
    </row>
    <row r="225" spans="1:7" x14ac:dyDescent="0.6">
      <c r="A225" s="174"/>
      <c r="C225" s="241"/>
      <c r="D225" s="241"/>
    </row>
    <row r="226" spans="1:7" x14ac:dyDescent="0.6">
      <c r="A226" s="174"/>
      <c r="B226" s="180" t="s">
        <v>140</v>
      </c>
      <c r="C226" s="241">
        <f>(C215*W45+((I214*$H153)*K147*1000)+(I217*$H153*K149*1000))/W45</f>
        <v>75.809295984152257</v>
      </c>
      <c r="D226" s="241">
        <f>(D215*X45+((J214*$H153)*L147*1000)+(J217*$H153*L149*1000))/X45</f>
        <v>73.220364652839976</v>
      </c>
    </row>
    <row r="227" spans="1:7" x14ac:dyDescent="0.6">
      <c r="A227" s="174"/>
      <c r="B227" s="242" t="s">
        <v>157</v>
      </c>
      <c r="C227" s="241"/>
      <c r="D227" s="241">
        <f>(D216*X46+((J214*$H153)*L147*1000)+(J217*$H153*L149*1000))/X46</f>
        <v>87.845052251273501</v>
      </c>
    </row>
    <row r="228" spans="1:7" x14ac:dyDescent="0.6">
      <c r="A228" s="174"/>
      <c r="B228" s="242" t="s">
        <v>158</v>
      </c>
      <c r="C228" s="241"/>
      <c r="D228" s="241">
        <f>+D217</f>
        <v>59.678408756322952</v>
      </c>
    </row>
    <row r="229" spans="1:7" x14ac:dyDescent="0.6">
      <c r="A229" s="174"/>
      <c r="B229" s="242"/>
      <c r="C229" s="241"/>
      <c r="D229" s="241"/>
    </row>
    <row r="230" spans="1:7" x14ac:dyDescent="0.6">
      <c r="A230" s="174"/>
      <c r="B230" s="167" t="s">
        <v>219</v>
      </c>
      <c r="C230" s="241">
        <f>(C219*K57+((I214*$H152+I214*$H153)*K147*1000)+(I217*$H154*K149*1000))/K57</f>
        <v>73.796303661561339</v>
      </c>
      <c r="D230" s="241">
        <f>(D219*L57+((J214*$H152+J214*$H153)*L147*1000)+(J217*$H154*L149*1000))/L57</f>
        <v>71.427150489991305</v>
      </c>
    </row>
    <row r="231" spans="1:7" x14ac:dyDescent="0.6">
      <c r="A231" s="174"/>
      <c r="C231" s="247"/>
      <c r="D231" s="247"/>
    </row>
    <row r="232" spans="1:7" x14ac:dyDescent="0.6">
      <c r="A232" s="174"/>
      <c r="B232" s="169" t="s">
        <v>220</v>
      </c>
      <c r="C232" s="241"/>
      <c r="D232" s="241"/>
    </row>
    <row r="233" spans="1:7" x14ac:dyDescent="0.6">
      <c r="A233" s="174"/>
      <c r="B233" s="198" t="s">
        <v>221</v>
      </c>
      <c r="C233" s="251">
        <f>(+SUMPRODUCT(C204:J204,C57:J57)+SUMPRODUCT(C230:D230,K57:L57))/1000</f>
        <v>1834698.0029749752</v>
      </c>
      <c r="G233" s="246"/>
    </row>
    <row r="234" spans="1:7" x14ac:dyDescent="0.6">
      <c r="A234" s="174"/>
      <c r="C234" s="198" t="s">
        <v>222</v>
      </c>
      <c r="D234" s="278">
        <f>+C233/SUM(C57:L57)*1000</f>
        <v>75.302366871779043</v>
      </c>
      <c r="E234" s="165" t="s">
        <v>223</v>
      </c>
    </row>
    <row r="235" spans="1:7" x14ac:dyDescent="0.6">
      <c r="A235" s="174"/>
      <c r="C235" s="198" t="s">
        <v>224</v>
      </c>
      <c r="D235" s="278">
        <f>+C233/SUMPRODUCT(C57:L57,C85:L85)*1000</f>
        <v>71.421670410049032</v>
      </c>
      <c r="E235" s="165" t="s">
        <v>225</v>
      </c>
    </row>
    <row r="236" spans="1:7" x14ac:dyDescent="0.6">
      <c r="A236" s="174"/>
    </row>
    <row r="237" spans="1:7" x14ac:dyDescent="0.6">
      <c r="A237" s="174"/>
      <c r="E237" s="295"/>
    </row>
    <row r="238" spans="1:7" x14ac:dyDescent="0.6">
      <c r="A238" s="171" t="s">
        <v>226</v>
      </c>
      <c r="B238" s="169" t="s">
        <v>227</v>
      </c>
    </row>
    <row r="239" spans="1:7" x14ac:dyDescent="0.6">
      <c r="A239" s="174"/>
      <c r="B239" s="169"/>
    </row>
    <row r="240" spans="1:7" x14ac:dyDescent="0.6">
      <c r="A240" s="174"/>
      <c r="B240" s="169" t="s">
        <v>201</v>
      </c>
    </row>
    <row r="241" spans="1:13" x14ac:dyDescent="0.6">
      <c r="A241" s="174"/>
      <c r="B241" s="170" t="s">
        <v>202</v>
      </c>
    </row>
    <row r="242" spans="1:13" x14ac:dyDescent="0.6">
      <c r="A242" s="174"/>
      <c r="B242" s="169"/>
    </row>
    <row r="243" spans="1:13" x14ac:dyDescent="0.6">
      <c r="A243" s="174"/>
      <c r="C243" s="166" t="str">
        <f t="shared" ref="C243:J243" si="51">+C7</f>
        <v>RS</v>
      </c>
      <c r="D243" s="166" t="str">
        <f t="shared" si="51"/>
        <v>RHS</v>
      </c>
      <c r="E243" s="166" t="str">
        <f t="shared" si="51"/>
        <v>RLM</v>
      </c>
      <c r="F243" s="166" t="str">
        <f t="shared" si="51"/>
        <v>WH</v>
      </c>
      <c r="G243" s="166" t="str">
        <f t="shared" si="51"/>
        <v>WHS</v>
      </c>
      <c r="H243" s="166" t="str">
        <f t="shared" si="51"/>
        <v>HS</v>
      </c>
      <c r="I243" s="166" t="str">
        <f t="shared" si="51"/>
        <v>PSAL</v>
      </c>
      <c r="J243" s="166" t="str">
        <f t="shared" si="51"/>
        <v>BPL</v>
      </c>
    </row>
    <row r="244" spans="1:13" x14ac:dyDescent="0.6">
      <c r="A244" s="174"/>
      <c r="C244" s="166"/>
      <c r="D244" s="166"/>
      <c r="E244" s="166"/>
      <c r="F244" s="166"/>
      <c r="G244" s="166"/>
    </row>
    <row r="245" spans="1:13" x14ac:dyDescent="0.6">
      <c r="A245" s="174"/>
      <c r="B245" s="180" t="s">
        <v>137</v>
      </c>
      <c r="E245" s="297"/>
      <c r="F245" s="298">
        <f>ROUND(+F194/$D$235,3)</f>
        <v>0.82799999999999996</v>
      </c>
      <c r="G245" s="298">
        <f>ROUND(+G194/$D$235,3)</f>
        <v>0.83099999999999996</v>
      </c>
      <c r="H245" s="298">
        <f>ROUND(+H194/$D$235,3)</f>
        <v>1.042</v>
      </c>
      <c r="I245" s="297">
        <f>ROUND(+I194/$D$235,3)</f>
        <v>0.76600000000000001</v>
      </c>
      <c r="J245" s="297">
        <f>ROUND(+J194/$D$235,3)</f>
        <v>0.76300000000000001</v>
      </c>
      <c r="K245" s="299"/>
      <c r="L245" s="299"/>
      <c r="M245" s="299"/>
    </row>
    <row r="246" spans="1:13" x14ac:dyDescent="0.6">
      <c r="A246" s="174"/>
      <c r="B246" s="242" t="s">
        <v>157</v>
      </c>
      <c r="C246" s="300"/>
      <c r="D246" s="301"/>
      <c r="E246" s="298">
        <f>ROUND(+E195/$D$235,3)</f>
        <v>1.494</v>
      </c>
      <c r="F246" s="297"/>
      <c r="G246" s="297"/>
      <c r="H246" s="297"/>
      <c r="I246" s="167"/>
      <c r="J246" s="302" t="s">
        <v>228</v>
      </c>
      <c r="K246" s="299"/>
      <c r="L246" s="299"/>
      <c r="M246" s="299"/>
    </row>
    <row r="247" spans="1:13" x14ac:dyDescent="0.6">
      <c r="A247" s="174"/>
      <c r="B247" s="242" t="s">
        <v>158</v>
      </c>
      <c r="C247" s="300"/>
      <c r="D247" s="301"/>
      <c r="E247" s="298">
        <f>ROUND(+E196/$D$235,3)</f>
        <v>0.73499999999999999</v>
      </c>
      <c r="F247" s="297"/>
      <c r="G247" s="297"/>
      <c r="H247" s="303"/>
      <c r="I247" s="167"/>
      <c r="J247" s="302" t="s">
        <v>229</v>
      </c>
      <c r="K247" s="304">
        <f>ROUND((I245*U49+J245*V49)/(U49+V49),3)</f>
        <v>0.76400000000000001</v>
      </c>
      <c r="L247" s="299"/>
      <c r="M247" s="299"/>
    </row>
    <row r="248" spans="1:13" x14ac:dyDescent="0.6">
      <c r="A248" s="174"/>
      <c r="E248" s="300"/>
      <c r="F248" s="301"/>
      <c r="G248" s="301"/>
      <c r="L248" s="299"/>
      <c r="M248" s="299"/>
    </row>
    <row r="249" spans="1:13" x14ac:dyDescent="0.6">
      <c r="A249" s="174"/>
      <c r="B249" s="305" t="s">
        <v>230</v>
      </c>
      <c r="C249" s="298">
        <f>ROUND(+C194/$D$235,3)</f>
        <v>1.05</v>
      </c>
      <c r="D249" s="298">
        <f>ROUND(+D194/$D$235,3)</f>
        <v>0.97099999999999997</v>
      </c>
      <c r="E249" s="300"/>
      <c r="F249" s="301"/>
      <c r="G249" s="301"/>
      <c r="H249" s="301"/>
      <c r="I249" s="301"/>
      <c r="J249" s="301"/>
      <c r="K249" s="299"/>
      <c r="L249" s="299"/>
      <c r="M249" s="299"/>
    </row>
    <row r="250" spans="1:13" x14ac:dyDescent="0.6">
      <c r="A250" s="171"/>
      <c r="B250" s="305" t="s">
        <v>231</v>
      </c>
      <c r="C250" s="306">
        <f>ROUND(+C197-C194,3)</f>
        <v>-3.0630000000000002</v>
      </c>
      <c r="D250" s="306">
        <f>ROUND(D197-D194,3)</f>
        <v>-3.9220000000000002</v>
      </c>
      <c r="E250" s="286" t="s">
        <v>232</v>
      </c>
      <c r="F250" s="301"/>
      <c r="G250" s="301"/>
      <c r="H250" s="301"/>
      <c r="I250" s="301"/>
      <c r="J250" s="301"/>
      <c r="K250" s="299"/>
      <c r="L250" s="299"/>
      <c r="M250" s="299"/>
    </row>
    <row r="251" spans="1:13" x14ac:dyDescent="0.6">
      <c r="A251" s="171"/>
      <c r="B251" s="305" t="s">
        <v>231</v>
      </c>
      <c r="C251" s="306">
        <f>ROUND(+C198-C194,3)</f>
        <v>5.5890000000000004</v>
      </c>
      <c r="D251" s="306">
        <f>ROUND(D198-D194,3)</f>
        <v>7.6470000000000002</v>
      </c>
      <c r="E251" s="286" t="s">
        <v>233</v>
      </c>
      <c r="F251" s="301"/>
      <c r="G251" s="301"/>
      <c r="H251" s="301"/>
      <c r="I251" s="301"/>
      <c r="J251" s="301"/>
      <c r="K251" s="299"/>
      <c r="L251" s="299"/>
      <c r="M251" s="299"/>
    </row>
    <row r="252" spans="1:13" x14ac:dyDescent="0.6">
      <c r="A252" s="174"/>
      <c r="G252" s="301"/>
      <c r="H252" s="301"/>
      <c r="I252" s="301"/>
      <c r="J252" s="301"/>
      <c r="K252" s="299"/>
      <c r="L252" s="299"/>
      <c r="M252" s="299"/>
    </row>
    <row r="253" spans="1:13" x14ac:dyDescent="0.6">
      <c r="A253" s="174"/>
      <c r="H253" s="301"/>
      <c r="I253" s="301"/>
      <c r="J253" s="301"/>
      <c r="K253" s="299"/>
      <c r="L253" s="299"/>
      <c r="M253" s="299"/>
    </row>
    <row r="254" spans="1:13" x14ac:dyDescent="0.6">
      <c r="A254" s="174"/>
      <c r="C254" s="301"/>
      <c r="D254" s="301"/>
      <c r="E254" s="301"/>
      <c r="F254" s="301"/>
      <c r="G254" s="301"/>
      <c r="H254" s="301"/>
      <c r="I254" s="301"/>
      <c r="J254" s="301"/>
      <c r="K254" s="299"/>
      <c r="L254" s="299"/>
      <c r="M254" s="299"/>
    </row>
    <row r="255" spans="1:13" x14ac:dyDescent="0.6">
      <c r="A255" s="174"/>
      <c r="B255" s="180" t="s">
        <v>140</v>
      </c>
      <c r="C255" s="298">
        <f>ROUND(+C200/$D$235,3)</f>
        <v>1.1180000000000001</v>
      </c>
      <c r="D255" s="298">
        <f>ROUND(+D200/$D$235,3)</f>
        <v>1.07</v>
      </c>
      <c r="E255" s="297"/>
      <c r="F255" s="298">
        <f>ROUND(+F200/$D$235,3)</f>
        <v>0.89800000000000002</v>
      </c>
      <c r="G255" s="298">
        <f>ROUND(+G200/$D$235,3)</f>
        <v>0.92900000000000005</v>
      </c>
      <c r="H255" s="298">
        <f>ROUND(+H200/$D$235,3)</f>
        <v>1.1279999999999999</v>
      </c>
      <c r="I255" s="297">
        <f>ROUND(+I200/$D$235,3)</f>
        <v>0.875</v>
      </c>
      <c r="J255" s="297">
        <f>ROUND(+J200/$D$235,3)</f>
        <v>0.876</v>
      </c>
      <c r="K255" s="299"/>
      <c r="L255" s="299"/>
      <c r="M255" s="299"/>
    </row>
    <row r="256" spans="1:13" x14ac:dyDescent="0.6">
      <c r="A256" s="174"/>
      <c r="B256" s="242" t="s">
        <v>157</v>
      </c>
      <c r="C256" s="301"/>
      <c r="D256" s="301"/>
      <c r="E256" s="298">
        <f>ROUND(+E201/$D$235,3)</f>
        <v>1.5169999999999999</v>
      </c>
      <c r="F256" s="301"/>
      <c r="G256" s="301"/>
      <c r="H256" s="301"/>
      <c r="J256" s="302" t="s">
        <v>228</v>
      </c>
      <c r="K256" s="299"/>
      <c r="L256" s="299"/>
      <c r="M256" s="299"/>
    </row>
    <row r="257" spans="1:13" x14ac:dyDescent="0.6">
      <c r="A257" s="174"/>
      <c r="B257" s="242" t="s">
        <v>158</v>
      </c>
      <c r="C257" s="301"/>
      <c r="D257" s="301"/>
      <c r="E257" s="298">
        <f>ROUND(+E202/$D$235,3)</f>
        <v>0.84299999999999997</v>
      </c>
      <c r="F257" s="301"/>
      <c r="G257" s="301"/>
      <c r="J257" s="302" t="s">
        <v>229</v>
      </c>
      <c r="K257" s="304">
        <f>ROUND((I255*U45+J255*V45)/(U45+V45),3)</f>
        <v>0.876</v>
      </c>
      <c r="L257" s="299"/>
      <c r="M257" s="299"/>
    </row>
    <row r="258" spans="1:13" x14ac:dyDescent="0.6">
      <c r="A258" s="174"/>
      <c r="C258" s="307"/>
      <c r="D258" s="307"/>
      <c r="E258" s="307"/>
      <c r="F258" s="307"/>
      <c r="G258" s="307"/>
      <c r="K258" s="299"/>
      <c r="L258" s="299"/>
      <c r="M258" s="299"/>
    </row>
    <row r="259" spans="1:13" x14ac:dyDescent="0.6">
      <c r="A259" s="174"/>
      <c r="B259" s="165" t="s">
        <v>234</v>
      </c>
      <c r="C259" s="308">
        <f>ROUND(+C204/$D$235,3)</f>
        <v>1.089</v>
      </c>
      <c r="D259" s="308">
        <f t="shared" ref="D259:J259" si="52">ROUND(+D204/$D$235,3)</f>
        <v>1.0469999999999999</v>
      </c>
      <c r="E259" s="308">
        <f t="shared" si="52"/>
        <v>1.1160000000000001</v>
      </c>
      <c r="F259" s="308">
        <f t="shared" si="52"/>
        <v>0.878</v>
      </c>
      <c r="G259" s="308">
        <f t="shared" si="52"/>
        <v>0.90100000000000002</v>
      </c>
      <c r="H259" s="308">
        <f t="shared" si="52"/>
        <v>1.109</v>
      </c>
      <c r="I259" s="308">
        <f t="shared" si="52"/>
        <v>0.84499999999999997</v>
      </c>
      <c r="J259" s="308">
        <f t="shared" si="52"/>
        <v>0.84599999999999997</v>
      </c>
      <c r="K259" s="299"/>
      <c r="L259" s="299"/>
      <c r="M259" s="299"/>
    </row>
    <row r="260" spans="1:13" x14ac:dyDescent="0.6">
      <c r="A260" s="174"/>
    </row>
    <row r="261" spans="1:13" x14ac:dyDescent="0.6">
      <c r="A261" s="174"/>
    </row>
    <row r="262" spans="1:13" x14ac:dyDescent="0.6">
      <c r="A262" s="174"/>
      <c r="B262" s="169" t="s">
        <v>205</v>
      </c>
    </row>
    <row r="263" spans="1:13" x14ac:dyDescent="0.6">
      <c r="A263" s="174"/>
      <c r="B263" s="170" t="s">
        <v>206</v>
      </c>
    </row>
    <row r="264" spans="1:13" x14ac:dyDescent="0.6">
      <c r="A264" s="174"/>
      <c r="B264" s="167"/>
    </row>
    <row r="265" spans="1:13" x14ac:dyDescent="0.6">
      <c r="A265" s="174"/>
      <c r="C265" s="166" t="str">
        <f>+K7</f>
        <v>GLP</v>
      </c>
      <c r="D265" s="166" t="str">
        <f>+C265</f>
        <v>GLP</v>
      </c>
      <c r="E265" s="166" t="str">
        <f>+L7</f>
        <v>LPL-S</v>
      </c>
      <c r="F265" s="166" t="str">
        <f>+E265</f>
        <v>LPL-S</v>
      </c>
      <c r="H265" s="169" t="s">
        <v>207</v>
      </c>
    </row>
    <row r="266" spans="1:13" ht="26" x14ac:dyDescent="0.6">
      <c r="A266" s="174"/>
      <c r="C266" s="166" t="s">
        <v>235</v>
      </c>
      <c r="D266" s="309" t="s">
        <v>231</v>
      </c>
      <c r="E266" s="166" t="s">
        <v>235</v>
      </c>
      <c r="F266" s="309" t="s">
        <v>231</v>
      </c>
    </row>
    <row r="267" spans="1:13" x14ac:dyDescent="0.6">
      <c r="A267" s="174"/>
      <c r="B267" s="180" t="s">
        <v>137</v>
      </c>
      <c r="C267" s="298">
        <f>ROUND(+C222/$D$235,3)</f>
        <v>0.98399999999999999</v>
      </c>
      <c r="D267" s="304">
        <f>ROUND(+C211-C222,3)</f>
        <v>-9.7129999999999992</v>
      </c>
      <c r="E267" s="303"/>
      <c r="F267" s="303"/>
      <c r="H267" s="292" t="s">
        <v>208</v>
      </c>
    </row>
    <row r="268" spans="1:13" x14ac:dyDescent="0.6">
      <c r="A268" s="174"/>
      <c r="B268" s="242" t="s">
        <v>157</v>
      </c>
      <c r="C268" s="297"/>
      <c r="D268" s="304"/>
      <c r="E268" s="298">
        <f>ROUND(D223/$D$235,3)</f>
        <v>1.181</v>
      </c>
      <c r="F268" s="304">
        <f>ROUND(+D212-D223,3)</f>
        <v>-16.283999999999999</v>
      </c>
      <c r="H268" s="198" t="s">
        <v>209</v>
      </c>
      <c r="I268" s="310">
        <f t="shared" ref="I268:J270" si="53">ROUND(+I212,4)</f>
        <v>3.1976</v>
      </c>
      <c r="J268" s="310">
        <f t="shared" si="53"/>
        <v>3.1976</v>
      </c>
      <c r="K268" s="236" t="s">
        <v>210</v>
      </c>
    </row>
    <row r="269" spans="1:13" x14ac:dyDescent="0.6">
      <c r="A269" s="174"/>
      <c r="B269" s="242" t="s">
        <v>158</v>
      </c>
      <c r="C269" s="297"/>
      <c r="D269" s="304"/>
      <c r="E269" s="298">
        <f>ROUND(D224/$D$235,3)</f>
        <v>0.73299999999999998</v>
      </c>
      <c r="F269" s="304">
        <f>ROUND(+D213-D224,3)</f>
        <v>0</v>
      </c>
      <c r="H269" s="198" t="s">
        <v>211</v>
      </c>
      <c r="I269" s="310">
        <f t="shared" si="53"/>
        <v>3.1844999999999999</v>
      </c>
      <c r="J269" s="310">
        <f t="shared" si="53"/>
        <v>3.1844999999999999</v>
      </c>
      <c r="K269" s="236" t="s">
        <v>210</v>
      </c>
    </row>
    <row r="270" spans="1:13" x14ac:dyDescent="0.6">
      <c r="A270" s="174"/>
      <c r="C270" s="297"/>
      <c r="D270" s="304"/>
      <c r="E270" s="297"/>
      <c r="F270" s="304"/>
      <c r="H270" s="198" t="s">
        <v>212</v>
      </c>
      <c r="I270" s="310">
        <f t="shared" si="53"/>
        <v>3.1888999999999998</v>
      </c>
      <c r="J270" s="310">
        <f t="shared" si="53"/>
        <v>3.1888999999999998</v>
      </c>
      <c r="K270" s="236" t="s">
        <v>210</v>
      </c>
    </row>
    <row r="271" spans="1:13" x14ac:dyDescent="0.6">
      <c r="A271" s="174"/>
      <c r="B271" s="180" t="s">
        <v>140</v>
      </c>
      <c r="C271" s="298">
        <f>ROUND(+C226/$D$235,3)</f>
        <v>1.0609999999999999</v>
      </c>
      <c r="D271" s="304">
        <f>ROUND(+C215-C226,3)</f>
        <v>-11.185</v>
      </c>
      <c r="E271" s="298"/>
      <c r="F271" s="304"/>
    </row>
    <row r="272" spans="1:13" x14ac:dyDescent="0.6">
      <c r="A272" s="174"/>
      <c r="B272" s="242" t="s">
        <v>157</v>
      </c>
      <c r="C272" s="297"/>
      <c r="D272" s="303"/>
      <c r="E272" s="298">
        <f>ROUND(D227/$D$235,3)</f>
        <v>1.23</v>
      </c>
      <c r="F272" s="304">
        <f>ROUND(+D216-D227,3)</f>
        <v>-18.574999999999999</v>
      </c>
      <c r="H272" s="292" t="s">
        <v>213</v>
      </c>
      <c r="I272" s="295"/>
      <c r="J272" s="295"/>
    </row>
    <row r="273" spans="1:11" x14ac:dyDescent="0.6">
      <c r="A273" s="174"/>
      <c r="B273" s="242" t="s">
        <v>158</v>
      </c>
      <c r="C273" s="297"/>
      <c r="D273" s="303"/>
      <c r="E273" s="298">
        <f>ROUND(D228/$D$235,3)</f>
        <v>0.83599999999999997</v>
      </c>
      <c r="F273" s="304">
        <f>ROUND(+D217-D228,3)</f>
        <v>0</v>
      </c>
      <c r="H273" s="198" t="s">
        <v>214</v>
      </c>
      <c r="I273" s="310">
        <f>ROUND(+I217,4)</f>
        <v>0</v>
      </c>
      <c r="J273" s="310">
        <f>ROUND(+J217,4)</f>
        <v>0</v>
      </c>
      <c r="K273" s="236" t="s">
        <v>215</v>
      </c>
    </row>
    <row r="274" spans="1:11" x14ac:dyDescent="0.6">
      <c r="A274" s="174"/>
      <c r="C274" s="308"/>
      <c r="D274" s="303"/>
      <c r="E274" s="308"/>
      <c r="F274" s="303"/>
    </row>
    <row r="275" spans="1:11" x14ac:dyDescent="0.6">
      <c r="A275" s="174"/>
      <c r="B275" s="167" t="s">
        <v>219</v>
      </c>
      <c r="C275" s="308">
        <f>ROUND(+C230/$D$235,3)</f>
        <v>1.0329999999999999</v>
      </c>
      <c r="D275" s="303"/>
      <c r="E275" s="308">
        <f>ROUND(+D230/$D$235,3)</f>
        <v>1</v>
      </c>
      <c r="F275" s="303"/>
    </row>
    <row r="276" spans="1:11" x14ac:dyDescent="0.6">
      <c r="A276" s="174"/>
      <c r="C276" s="299"/>
      <c r="E276" s="299"/>
    </row>
    <row r="277" spans="1:11" x14ac:dyDescent="0.6">
      <c r="A277" s="174"/>
      <c r="C277" s="299"/>
      <c r="E277" s="299"/>
    </row>
    <row r="279" spans="1:11" x14ac:dyDescent="0.6">
      <c r="A279" s="169" t="s">
        <v>236</v>
      </c>
      <c r="E279" s="243"/>
      <c r="G279" s="294"/>
    </row>
    <row r="280" spans="1:11" x14ac:dyDescent="0.6">
      <c r="A280" s="174"/>
      <c r="B280" s="198" t="s">
        <v>237</v>
      </c>
      <c r="C280" s="277">
        <f>+D158</f>
        <v>104.84</v>
      </c>
      <c r="D280" s="236" t="s">
        <v>238</v>
      </c>
      <c r="E280" s="164" t="s">
        <v>209</v>
      </c>
      <c r="G280" s="294"/>
    </row>
    <row r="281" spans="1:11" x14ac:dyDescent="0.6">
      <c r="A281" s="174"/>
      <c r="B281" s="198"/>
      <c r="C281" s="277">
        <f>+D159</f>
        <v>104.84</v>
      </c>
      <c r="D281" s="236" t="s">
        <v>238</v>
      </c>
      <c r="E281" s="164" t="s">
        <v>211</v>
      </c>
    </row>
    <row r="282" spans="1:11" x14ac:dyDescent="0.6">
      <c r="A282" s="174"/>
      <c r="B282" s="198"/>
    </row>
    <row r="283" spans="1:11" x14ac:dyDescent="0.6">
      <c r="A283" s="174"/>
      <c r="B283" s="198" t="s">
        <v>239</v>
      </c>
      <c r="C283" s="277">
        <f>+D155</f>
        <v>0</v>
      </c>
      <c r="D283" s="236" t="s">
        <v>175</v>
      </c>
      <c r="E283" s="288"/>
    </row>
    <row r="284" spans="1:11" x14ac:dyDescent="0.6">
      <c r="A284" s="174"/>
      <c r="B284" s="198" t="s">
        <v>240</v>
      </c>
      <c r="C284" s="311">
        <f>+H152</f>
        <v>4</v>
      </c>
      <c r="D284" s="165" t="s">
        <v>241</v>
      </c>
      <c r="E284" s="288"/>
    </row>
    <row r="285" spans="1:11" x14ac:dyDescent="0.6">
      <c r="A285" s="174"/>
      <c r="B285" s="198"/>
      <c r="C285" s="311">
        <f>+H153</f>
        <v>8</v>
      </c>
      <c r="D285" s="165" t="s">
        <v>242</v>
      </c>
      <c r="E285" s="288"/>
    </row>
    <row r="286" spans="1:11" x14ac:dyDescent="0.6">
      <c r="A286" s="174"/>
      <c r="B286" s="253" t="s">
        <v>243</v>
      </c>
      <c r="C286" s="275">
        <f>+D171</f>
        <v>18.09</v>
      </c>
      <c r="D286" s="165" t="s">
        <v>85</v>
      </c>
    </row>
    <row r="287" spans="1:11" x14ac:dyDescent="0.6">
      <c r="A287" s="174"/>
      <c r="B287" s="198" t="s">
        <v>244</v>
      </c>
      <c r="C287" s="167" t="s">
        <v>245</v>
      </c>
    </row>
    <row r="288" spans="1:11" x14ac:dyDescent="0.6">
      <c r="A288" s="174"/>
      <c r="B288" s="198" t="s">
        <v>246</v>
      </c>
      <c r="C288" s="286" t="str">
        <f>" forecasted "&amp;(Input!D2-1)&amp;" energy use by class, PJM and PSE&amp;G on/off % from "&amp;(Input!D2-4)&amp;", "&amp;(Input!D2-3)&amp;" &amp; "&amp;(Input!D2-2)&amp;" class load profiles"</f>
        <v xml:space="preserve"> forecasted 2021 energy use by class, PJM and PSE&amp;G on/off % from 2018, 2019 &amp; 2020 class load profiles</v>
      </c>
    </row>
    <row r="289" spans="1:13" x14ac:dyDescent="0.6">
      <c r="A289" s="174"/>
      <c r="B289" s="198"/>
      <c r="C289" s="164"/>
    </row>
    <row r="290" spans="1:13" x14ac:dyDescent="0.6">
      <c r="A290" s="174"/>
      <c r="B290" s="198" t="s">
        <v>247</v>
      </c>
      <c r="C290" s="165" t="s">
        <v>248</v>
      </c>
    </row>
    <row r="291" spans="1:13" x14ac:dyDescent="0.6">
      <c r="A291" s="174"/>
      <c r="B291" s="198" t="s">
        <v>249</v>
      </c>
      <c r="C291" s="165" t="s">
        <v>250</v>
      </c>
    </row>
    <row r="292" spans="1:13" x14ac:dyDescent="0.6">
      <c r="A292" s="174"/>
      <c r="B292" s="198" t="s">
        <v>251</v>
      </c>
      <c r="C292" s="165" t="s">
        <v>252</v>
      </c>
    </row>
    <row r="293" spans="1:13" x14ac:dyDescent="0.6">
      <c r="C293" s="165" t="s">
        <v>253</v>
      </c>
    </row>
    <row r="294" spans="1:13" x14ac:dyDescent="0.6">
      <c r="B294" s="198" t="s">
        <v>254</v>
      </c>
      <c r="C294" s="165" t="s">
        <v>255</v>
      </c>
    </row>
    <row r="295" spans="1:13" x14ac:dyDescent="0.6">
      <c r="A295" s="174"/>
      <c r="B295" s="253" t="s">
        <v>256</v>
      </c>
      <c r="C295" s="299" t="s">
        <v>257</v>
      </c>
      <c r="E295" s="299"/>
    </row>
    <row r="296" spans="1:13" x14ac:dyDescent="0.6">
      <c r="A296" s="174"/>
      <c r="C296" s="299"/>
      <c r="E296" s="299"/>
    </row>
    <row r="297" spans="1:13" x14ac:dyDescent="0.6">
      <c r="A297" s="174"/>
      <c r="C297" s="299"/>
      <c r="E297" s="299"/>
    </row>
    <row r="298" spans="1:13" x14ac:dyDescent="0.6">
      <c r="A298" s="171" t="s">
        <v>258</v>
      </c>
      <c r="B298" s="169" t="s">
        <v>259</v>
      </c>
    </row>
    <row r="299" spans="1:13" x14ac:dyDescent="0.6">
      <c r="A299" s="174"/>
      <c r="B299" s="169"/>
    </row>
    <row r="300" spans="1:13" x14ac:dyDescent="0.6">
      <c r="A300" s="174"/>
      <c r="C300" s="166" t="s">
        <v>7</v>
      </c>
      <c r="D300" s="166" t="s">
        <v>8</v>
      </c>
      <c r="E300" s="166" t="s">
        <v>9</v>
      </c>
      <c r="F300" s="166" t="s">
        <v>10</v>
      </c>
      <c r="G300" s="166" t="s">
        <v>11</v>
      </c>
      <c r="H300" s="166" t="s">
        <v>12</v>
      </c>
      <c r="I300" s="166" t="s">
        <v>13</v>
      </c>
      <c r="J300" s="166" t="s">
        <v>14</v>
      </c>
      <c r="K300" s="166" t="s">
        <v>15</v>
      </c>
      <c r="L300" s="166" t="s">
        <v>16</v>
      </c>
      <c r="M300" s="166"/>
    </row>
    <row r="301" spans="1:13" x14ac:dyDescent="0.6">
      <c r="A301" s="174"/>
      <c r="B301" s="165" t="s">
        <v>260</v>
      </c>
    </row>
    <row r="302" spans="1:13" x14ac:dyDescent="0.6">
      <c r="A302" s="174"/>
      <c r="B302" s="192" t="s">
        <v>46</v>
      </c>
      <c r="C302" s="248">
        <f>(+C197*SUM(C50:C53)*C163+C198*SUM(C50:C53)*C164)/1000</f>
        <v>417726.1563906814</v>
      </c>
      <c r="D302" s="248">
        <f>(+D197*SUM(D50:D53)*D163+D198*SUM(D50:D53)*D164)/1000</f>
        <v>1462.670834450287</v>
      </c>
      <c r="E302" s="251">
        <f>(E195*SUMPRODUCT(E32:E35,E50:E53)+E196*SUMPRODUCT(Q32:Q35,E50:E53))/1000</f>
        <v>6072.2579372045457</v>
      </c>
      <c r="F302" s="251">
        <f>+F194*SUM(F50:F53)/1000</f>
        <v>13.949932969148669</v>
      </c>
      <c r="G302" s="251">
        <f>+G194*SUM(G50:G53)/1000</f>
        <v>0.23741747978273514</v>
      </c>
      <c r="H302" s="251">
        <f>+H194*SUM(H50:H53)/1000</f>
        <v>151.35076402158541</v>
      </c>
      <c r="I302" s="251">
        <f>+I194*SUM(I50:I53)/1000</f>
        <v>2179.7249490284753</v>
      </c>
      <c r="J302" s="251">
        <f>+J194*SUM(J50:J53)/1000</f>
        <v>4246.7160567983456</v>
      </c>
      <c r="K302" s="251">
        <f>(C211*SUM(K50:K53)/1000)+(I212*$H152*K147)+(I217*$H152*K149)</f>
        <v>162569.19414416543</v>
      </c>
      <c r="L302" s="251">
        <f>(D211*SUM(L50:L53)/1000)+(J212*$H152*L147)+(J217*$H152*L149)</f>
        <v>105144.47715434387</v>
      </c>
      <c r="M302" s="251"/>
    </row>
    <row r="303" spans="1:13" x14ac:dyDescent="0.6">
      <c r="A303" s="174"/>
      <c r="B303" s="192" t="s">
        <v>47</v>
      </c>
      <c r="C303" s="251">
        <f>+C200*SUM(C45:C49,C54:C56)/1000</f>
        <v>594091.91545456077</v>
      </c>
      <c r="D303" s="251">
        <f>+D200*SUM(D45:D49,D54:D56)/1000</f>
        <v>5193.9856317701642</v>
      </c>
      <c r="E303" s="251">
        <f>(E201*(SUMPRODUCT(E27:E31,E45:E49)+SUMPRODUCT(E36:E38,E54:E56))+E202*(SUMPRODUCT(Q27:Q31,E45:E49)+SUMPRODUCT(Q36:Q38,E54:E56)))/1000</f>
        <v>7398.3744959416126</v>
      </c>
      <c r="F303" s="251">
        <f>+F200*SUM(F45:F49,F54:F56)/1000</f>
        <v>38.340935293101573</v>
      </c>
      <c r="G303" s="251">
        <f>+G200*SUM(G45:G49,G54:G56)/1000</f>
        <v>0.66329156465466199</v>
      </c>
      <c r="H303" s="251">
        <f>+H200*SUM(H45:H49,H54:H56)/1000</f>
        <v>581.63861323261267</v>
      </c>
      <c r="I303" s="251">
        <f>+I200*SUM(I45:I49,I54:I56)/1000</f>
        <v>6576.1579384742445</v>
      </c>
      <c r="J303" s="251">
        <f>+J200*SUM(J45:J49,J54:J56)/1000</f>
        <v>13379.813962951617</v>
      </c>
      <c r="K303" s="251">
        <f>(C215*SUM(K45:K49,K54:K56)/1000)+(I213*$H153*K147)+(I217*$H153*K149)</f>
        <v>304278.74228981795</v>
      </c>
      <c r="L303" s="251">
        <f>(D215*SUM(L45:L49,L54:L56)/1000)+(J213*$H153*L147)+(J217*$H153*L149)</f>
        <v>203591.63478022531</v>
      </c>
      <c r="M303" s="251"/>
    </row>
    <row r="304" spans="1:13" x14ac:dyDescent="0.6">
      <c r="A304" s="174"/>
      <c r="B304" s="192" t="s">
        <v>106</v>
      </c>
      <c r="C304" s="246">
        <f>+C303+C302</f>
        <v>1011818.0718452422</v>
      </c>
      <c r="D304" s="246">
        <f t="shared" ref="D304:J304" si="54">+D303+D302</f>
        <v>6656.656466220451</v>
      </c>
      <c r="E304" s="246">
        <f t="shared" si="54"/>
        <v>13470.632433146158</v>
      </c>
      <c r="F304" s="246">
        <f t="shared" si="54"/>
        <v>52.290868262250243</v>
      </c>
      <c r="G304" s="246">
        <f t="shared" si="54"/>
        <v>0.90070904443739708</v>
      </c>
      <c r="H304" s="246">
        <f t="shared" si="54"/>
        <v>732.98937725419808</v>
      </c>
      <c r="I304" s="246">
        <f t="shared" si="54"/>
        <v>8755.8828875027193</v>
      </c>
      <c r="J304" s="251">
        <f t="shared" si="54"/>
        <v>17626.530019749964</v>
      </c>
      <c r="K304" s="251">
        <f>+K303+K302</f>
        <v>466847.93643398338</v>
      </c>
      <c r="L304" s="251">
        <f>+L303+L302</f>
        <v>308736.1119345692</v>
      </c>
      <c r="M304" s="251"/>
    </row>
    <row r="305" spans="1:13" x14ac:dyDescent="0.6">
      <c r="A305" s="174"/>
      <c r="B305" s="192"/>
    </row>
    <row r="306" spans="1:13" x14ac:dyDescent="0.6">
      <c r="A306" s="174"/>
      <c r="B306" s="165" t="s">
        <v>261</v>
      </c>
    </row>
    <row r="307" spans="1:13" x14ac:dyDescent="0.6">
      <c r="A307" s="174"/>
      <c r="B307" s="192" t="s">
        <v>46</v>
      </c>
      <c r="C307" s="210">
        <f>+C302/C304</f>
        <v>0.41284709970526473</v>
      </c>
      <c r="D307" s="210">
        <f t="shared" ref="D307:I307" si="55">+D302/D304</f>
        <v>0.21973055720581136</v>
      </c>
      <c r="E307" s="210">
        <f t="shared" si="55"/>
        <v>0.45077749447479565</v>
      </c>
      <c r="F307" s="210">
        <f t="shared" si="55"/>
        <v>0.26677569971083054</v>
      </c>
      <c r="G307" s="210">
        <f t="shared" si="55"/>
        <v>0.26358953676437363</v>
      </c>
      <c r="H307" s="210">
        <f t="shared" si="55"/>
        <v>0.2064842530031612</v>
      </c>
      <c r="I307" s="210">
        <f t="shared" si="55"/>
        <v>0.248944050192768</v>
      </c>
      <c r="J307" s="210">
        <f>+J302/J304</f>
        <v>0.24092751392588535</v>
      </c>
      <c r="K307" s="210">
        <f>+K302/K304</f>
        <v>0.3482272951358632</v>
      </c>
      <c r="L307" s="210">
        <f>+L302/L304</f>
        <v>0.34056423298038829</v>
      </c>
      <c r="M307" s="210"/>
    </row>
    <row r="308" spans="1:13" x14ac:dyDescent="0.6">
      <c r="A308" s="174"/>
      <c r="B308" s="192" t="s">
        <v>47</v>
      </c>
      <c r="C308" s="210">
        <f>+C303/C304</f>
        <v>0.58715290029473532</v>
      </c>
      <c r="D308" s="210">
        <f t="shared" ref="D308:I308" si="56">+D303/D304</f>
        <v>0.78026944279418864</v>
      </c>
      <c r="E308" s="210">
        <f t="shared" si="56"/>
        <v>0.54922250552520435</v>
      </c>
      <c r="F308" s="210">
        <f t="shared" si="56"/>
        <v>0.73322430028916952</v>
      </c>
      <c r="G308" s="210">
        <f t="shared" si="56"/>
        <v>0.73641046323562642</v>
      </c>
      <c r="H308" s="210">
        <f t="shared" si="56"/>
        <v>0.7935157469968388</v>
      </c>
      <c r="I308" s="210">
        <f t="shared" si="56"/>
        <v>0.75105594980723211</v>
      </c>
      <c r="J308" s="210">
        <f>+J303/J304</f>
        <v>0.75907248607411459</v>
      </c>
      <c r="K308" s="210">
        <f>+K303/K304</f>
        <v>0.65177270486413685</v>
      </c>
      <c r="L308" s="210">
        <f>+L303/L304</f>
        <v>0.6594357670196116</v>
      </c>
      <c r="M308" s="210"/>
    </row>
    <row r="309" spans="1:13" x14ac:dyDescent="0.6">
      <c r="A309" s="174"/>
    </row>
    <row r="310" spans="1:13" x14ac:dyDescent="0.6">
      <c r="A310" s="174"/>
      <c r="B310" s="165" t="s">
        <v>262</v>
      </c>
    </row>
    <row r="311" spans="1:13" x14ac:dyDescent="0.6">
      <c r="A311" s="174"/>
      <c r="B311" s="192" t="s">
        <v>46</v>
      </c>
      <c r="C311" s="312">
        <f>+SUM(C302:L302)</f>
        <v>699566.73558114283</v>
      </c>
    </row>
    <row r="312" spans="1:13" x14ac:dyDescent="0.6">
      <c r="A312" s="174"/>
      <c r="B312" s="192" t="s">
        <v>47</v>
      </c>
      <c r="C312" s="312">
        <f>+SUM(C303:L303)</f>
        <v>1135131.2673938321</v>
      </c>
    </row>
    <row r="313" spans="1:13" x14ac:dyDescent="0.6">
      <c r="A313" s="174"/>
      <c r="B313" s="192" t="s">
        <v>106</v>
      </c>
      <c r="C313" s="246">
        <f>+C312+C311</f>
        <v>1834698.0029749749</v>
      </c>
      <c r="D313" s="294"/>
    </row>
    <row r="314" spans="1:13" x14ac:dyDescent="0.6">
      <c r="A314" s="174"/>
      <c r="L314" s="313" t="s">
        <v>263</v>
      </c>
    </row>
    <row r="315" spans="1:13" x14ac:dyDescent="0.6">
      <c r="A315" s="174"/>
      <c r="B315" s="165" t="s">
        <v>264</v>
      </c>
      <c r="D315" s="165" t="s">
        <v>265</v>
      </c>
      <c r="K315" s="192" t="s">
        <v>99</v>
      </c>
    </row>
    <row r="316" spans="1:13" x14ac:dyDescent="0.6">
      <c r="A316" s="174"/>
      <c r="B316" s="192" t="s">
        <v>46</v>
      </c>
      <c r="C316" s="210">
        <f>+C311/C313</f>
        <v>0.38129803076407709</v>
      </c>
      <c r="E316" s="243">
        <f>+C311/SUMPRODUCT(O49:X49,C85:L85)*1000</f>
        <v>68.826087667973042</v>
      </c>
      <c r="F316" s="165" t="s">
        <v>266</v>
      </c>
      <c r="I316" s="165" t="s">
        <v>267</v>
      </c>
      <c r="K316" s="192" t="s">
        <v>46</v>
      </c>
      <c r="L316" s="228">
        <f>IF(ROUND(E316/$D$235,4)&lt;ROUND(E317/$D$235,4),1,ROUND(E316/$D$235,4))</f>
        <v>1</v>
      </c>
      <c r="M316" s="314"/>
    </row>
    <row r="317" spans="1:13" x14ac:dyDescent="0.6">
      <c r="A317" s="174"/>
      <c r="B317" s="192" t="s">
        <v>47</v>
      </c>
      <c r="C317" s="210">
        <f>+C312/C313</f>
        <v>0.61870196923592291</v>
      </c>
      <c r="E317" s="243">
        <f>+C312/SUMPRODUCT(O45:X45,C85:L85)*1000</f>
        <v>73.121117622898012</v>
      </c>
      <c r="F317" s="165" t="s">
        <v>266</v>
      </c>
      <c r="K317" s="192" t="s">
        <v>47</v>
      </c>
      <c r="L317" s="228">
        <f>IF(ROUND(E316/$D$235,4)&lt;ROUND(E317/$D$235,4),1,ROUND(E317/$D$235,4))</f>
        <v>1</v>
      </c>
      <c r="M317" s="314"/>
    </row>
    <row r="318" spans="1:13" x14ac:dyDescent="0.6">
      <c r="A318" s="174"/>
    </row>
    <row r="319" spans="1:13" x14ac:dyDescent="0.6">
      <c r="A319" s="174"/>
      <c r="C319" s="299"/>
      <c r="E319" s="299"/>
    </row>
    <row r="320" spans="1:13" x14ac:dyDescent="0.6">
      <c r="A320" s="171" t="s">
        <v>268</v>
      </c>
      <c r="B320" s="169" t="s">
        <v>269</v>
      </c>
      <c r="C320" s="299"/>
      <c r="E320" s="299"/>
    </row>
    <row r="321" spans="1:12" x14ac:dyDescent="0.6">
      <c r="A321" s="174"/>
      <c r="C321" s="299"/>
      <c r="E321" s="299"/>
    </row>
    <row r="322" spans="1:12" x14ac:dyDescent="0.6">
      <c r="A322" s="174"/>
      <c r="B322" s="198" t="s">
        <v>270</v>
      </c>
      <c r="C322" s="241">
        <f>D235</f>
        <v>71.421670410049032</v>
      </c>
      <c r="E322" s="315" t="s">
        <v>271</v>
      </c>
    </row>
    <row r="323" spans="1:12" x14ac:dyDescent="0.6">
      <c r="A323" s="174"/>
      <c r="B323" s="198" t="s">
        <v>272</v>
      </c>
      <c r="C323" s="316">
        <f>+L316</f>
        <v>1</v>
      </c>
      <c r="E323" s="299"/>
    </row>
    <row r="324" spans="1:12" x14ac:dyDescent="0.6">
      <c r="A324" s="174"/>
      <c r="B324" s="198" t="s">
        <v>273</v>
      </c>
      <c r="C324" s="316">
        <f>+L317</f>
        <v>1</v>
      </c>
      <c r="E324" s="299"/>
    </row>
    <row r="325" spans="1:12" x14ac:dyDescent="0.6">
      <c r="A325" s="174"/>
      <c r="C325" s="299"/>
      <c r="E325" s="299"/>
    </row>
    <row r="326" spans="1:12" x14ac:dyDescent="0.6">
      <c r="A326" s="174"/>
      <c r="C326" s="166" t="s">
        <v>7</v>
      </c>
      <c r="D326" s="166" t="s">
        <v>8</v>
      </c>
      <c r="E326" s="166" t="s">
        <v>9</v>
      </c>
      <c r="F326" s="166" t="s">
        <v>10</v>
      </c>
      <c r="G326" s="166" t="s">
        <v>11</v>
      </c>
      <c r="H326" s="166" t="s">
        <v>12</v>
      </c>
      <c r="I326" s="166" t="s">
        <v>13</v>
      </c>
      <c r="J326" s="166" t="s">
        <v>14</v>
      </c>
      <c r="K326" s="166" t="s">
        <v>15</v>
      </c>
      <c r="L326" s="166" t="s">
        <v>16</v>
      </c>
    </row>
    <row r="327" spans="1:12" x14ac:dyDescent="0.6">
      <c r="A327" s="174"/>
      <c r="B327" s="165" t="s">
        <v>274</v>
      </c>
    </row>
    <row r="328" spans="1:12" x14ac:dyDescent="0.6">
      <c r="A328" s="174"/>
      <c r="B328" s="192" t="s">
        <v>46</v>
      </c>
      <c r="C328" s="251">
        <f>+($C$322*C249*O49+C250*O53+C251*O54)/1000</f>
        <v>417624.16914608784</v>
      </c>
      <c r="D328" s="251">
        <f>+($C$322*D249*P49+D250*P53+D251*P54)/1000</f>
        <v>1462.4591724231125</v>
      </c>
      <c r="E328" s="317">
        <f>(($C$322*E246*Q50)+(C322*E247*Q51))/1000</f>
        <v>6072.2278420451767</v>
      </c>
      <c r="F328" s="251">
        <f>+$C$322*F245*R49/1000</f>
        <v>13.95636577148686</v>
      </c>
      <c r="G328" s="251">
        <f>+$C$322*G245*S49/1000</f>
        <v>0.23740563244300295</v>
      </c>
      <c r="H328" s="251">
        <f>+$C$322*H245*T49/1000</f>
        <v>151.41910841683236</v>
      </c>
      <c r="I328" s="251">
        <f>+$C$322*K247*U49/1000</f>
        <v>2174.3521919897203</v>
      </c>
      <c r="J328" s="251">
        <f>+$C$322*K247*V49/1000</f>
        <v>4250.8126997687004</v>
      </c>
      <c r="K328" s="317">
        <f>+($C$322*C267+D267)*W49/1000+(I268*H152*K147)+(I273*H152*K149)</f>
        <v>162519.00440233666</v>
      </c>
      <c r="L328" s="317">
        <f>(($C$322*E268+F268)*X50+(C322*E269*X51))/1000+(J268*$H$152*L147)+(J273*$H$152*L149)</f>
        <v>105128.72884857643</v>
      </c>
    </row>
    <row r="329" spans="1:12" x14ac:dyDescent="0.6">
      <c r="A329" s="174"/>
      <c r="B329" s="192" t="s">
        <v>47</v>
      </c>
      <c r="C329" s="251">
        <f>+$C$322*C255*O45/1000</f>
        <v>594236.99375952967</v>
      </c>
      <c r="D329" s="251">
        <f>+$C$322*D255*P45/1000</f>
        <v>5192.2433891367818</v>
      </c>
      <c r="E329" s="317">
        <f>(($C$322*E256*Q46)+(C322*E257*Q47))/1000</f>
        <v>7396.0854146969923</v>
      </c>
      <c r="F329" s="251">
        <f>+$C$322*F255*R45/1000</f>
        <v>38.353722696877973</v>
      </c>
      <c r="G329" s="251">
        <f>+$C$322*G255*S45/1000</f>
        <v>0.66350731810935559</v>
      </c>
      <c r="H329" s="251">
        <f>+$C$322*H255*T45/1000</f>
        <v>581.56409176959778</v>
      </c>
      <c r="I329" s="251">
        <f>+$C$322*K257*U45/1000</f>
        <v>6584.1932401534814</v>
      </c>
      <c r="J329" s="251">
        <f>+$C$322*K257*V45/1000</f>
        <v>13386.176579501867</v>
      </c>
      <c r="K329" s="317">
        <f>+($C$322*C271+D271)*W45/1000+(I269*H153*K147)+(I273*H153*K149)</f>
        <v>304156.29765949637</v>
      </c>
      <c r="L329" s="317">
        <f>(($C$322*E272+F272)*X46+C322*E273*X47)/1000+(J269*$H$153*L147)+(J273*$H$153*L149)</f>
        <v>203639.17061218977</v>
      </c>
    </row>
    <row r="330" spans="1:12" x14ac:dyDescent="0.6">
      <c r="A330" s="174"/>
      <c r="B330" s="192" t="s">
        <v>106</v>
      </c>
      <c r="C330" s="246">
        <f>+C329+C328</f>
        <v>1011861.1629056175</v>
      </c>
      <c r="D330" s="246">
        <f t="shared" ref="D330:L330" si="57">+D329+D328</f>
        <v>6654.7025615598941</v>
      </c>
      <c r="E330" s="246">
        <f t="shared" si="57"/>
        <v>13468.313256742169</v>
      </c>
      <c r="F330" s="246">
        <f t="shared" si="57"/>
        <v>52.310088468364832</v>
      </c>
      <c r="G330" s="246">
        <f t="shared" si="57"/>
        <v>0.90091295055235854</v>
      </c>
      <c r="H330" s="246">
        <f t="shared" si="57"/>
        <v>732.98320018643017</v>
      </c>
      <c r="I330" s="246">
        <f t="shared" si="57"/>
        <v>8758.5454321432007</v>
      </c>
      <c r="J330" s="246">
        <f t="shared" si="57"/>
        <v>17636.989279270569</v>
      </c>
      <c r="K330" s="246">
        <f t="shared" si="57"/>
        <v>466675.30206183303</v>
      </c>
      <c r="L330" s="246">
        <f t="shared" si="57"/>
        <v>308767.89946076623</v>
      </c>
    </row>
    <row r="331" spans="1:12" x14ac:dyDescent="0.6">
      <c r="A331" s="174"/>
      <c r="B331" s="192"/>
      <c r="C331" s="246"/>
      <c r="D331" s="246"/>
      <c r="E331" s="246"/>
      <c r="F331" s="246"/>
      <c r="G331" s="246"/>
      <c r="H331" s="246"/>
      <c r="I331" s="246"/>
      <c r="J331" s="246"/>
      <c r="K331" s="246"/>
      <c r="L331" s="246"/>
    </row>
    <row r="332" spans="1:12" x14ac:dyDescent="0.6">
      <c r="A332" s="174"/>
      <c r="B332" s="192" t="s">
        <v>275</v>
      </c>
      <c r="C332" s="246">
        <f>SUM(C328:L328)</f>
        <v>699397.36718304839</v>
      </c>
      <c r="D332" s="246"/>
      <c r="E332" s="246"/>
      <c r="F332" s="246"/>
      <c r="G332" s="246"/>
      <c r="H332" s="246"/>
      <c r="I332" s="246"/>
      <c r="J332" s="246"/>
      <c r="K332" s="246"/>
      <c r="L332" s="246"/>
    </row>
    <row r="333" spans="1:12" x14ac:dyDescent="0.6">
      <c r="A333" s="174"/>
      <c r="B333" s="192" t="s">
        <v>276</v>
      </c>
      <c r="C333" s="246">
        <f>SUM(C329:L329)</f>
        <v>1135211.7419764893</v>
      </c>
      <c r="E333" s="299"/>
    </row>
    <row r="334" spans="1:12" x14ac:dyDescent="0.6">
      <c r="A334" s="174"/>
      <c r="B334" s="192" t="s">
        <v>277</v>
      </c>
      <c r="C334" s="246">
        <f>+C333+C332</f>
        <v>1834609.1091595376</v>
      </c>
      <c r="E334" s="299"/>
    </row>
    <row r="335" spans="1:12" x14ac:dyDescent="0.6">
      <c r="A335" s="174"/>
      <c r="B335" s="192"/>
      <c r="C335" s="299"/>
      <c r="E335" s="299"/>
    </row>
    <row r="336" spans="1:12" x14ac:dyDescent="0.6">
      <c r="A336" s="174"/>
      <c r="C336" s="166" t="s">
        <v>7</v>
      </c>
      <c r="D336" s="166" t="s">
        <v>8</v>
      </c>
      <c r="E336" s="166" t="s">
        <v>9</v>
      </c>
      <c r="F336" s="166" t="s">
        <v>10</v>
      </c>
      <c r="G336" s="166" t="s">
        <v>11</v>
      </c>
      <c r="H336" s="166" t="s">
        <v>12</v>
      </c>
      <c r="I336" s="166" t="s">
        <v>13</v>
      </c>
      <c r="J336" s="166" t="s">
        <v>14</v>
      </c>
      <c r="K336" s="166" t="s">
        <v>15</v>
      </c>
      <c r="L336" s="166" t="s">
        <v>16</v>
      </c>
    </row>
    <row r="337" spans="1:12" x14ac:dyDescent="0.6">
      <c r="A337" s="174"/>
      <c r="B337" s="165" t="s">
        <v>278</v>
      </c>
    </row>
    <row r="338" spans="1:12" x14ac:dyDescent="0.6">
      <c r="A338" s="174"/>
      <c r="B338" s="192" t="s">
        <v>46</v>
      </c>
      <c r="C338" s="251">
        <f t="shared" ref="C338:L338" si="58">+$C$322*$C$323*O49*C85/1000</f>
        <v>419349.43399698503</v>
      </c>
      <c r="D338" s="251">
        <f t="shared" si="58"/>
        <v>1587.9756076638957</v>
      </c>
      <c r="E338" s="251">
        <f t="shared" si="58"/>
        <v>5832.3832809908909</v>
      </c>
      <c r="F338" s="251">
        <f t="shared" si="58"/>
        <v>17.771358581739857</v>
      </c>
      <c r="G338" s="251">
        <f t="shared" si="58"/>
        <v>0.30120946748711619</v>
      </c>
      <c r="H338" s="251">
        <f t="shared" si="58"/>
        <v>153.2115793403656</v>
      </c>
      <c r="I338" s="251">
        <f t="shared" si="58"/>
        <v>3000.6487151066513</v>
      </c>
      <c r="J338" s="251">
        <f t="shared" si="58"/>
        <v>5866.204984045331</v>
      </c>
      <c r="K338" s="251">
        <f t="shared" si="58"/>
        <v>174070.3849686324</v>
      </c>
      <c r="L338" s="251">
        <f t="shared" si="58"/>
        <v>116070.61604066355</v>
      </c>
    </row>
    <row r="339" spans="1:12" x14ac:dyDescent="0.6">
      <c r="A339" s="174"/>
      <c r="B339" s="192" t="s">
        <v>47</v>
      </c>
      <c r="C339" s="251">
        <f t="shared" ref="C339:L339" si="59">+$C$322*$C$324*O45*C85/1000</f>
        <v>560397.90770613041</v>
      </c>
      <c r="D339" s="251">
        <f t="shared" si="59"/>
        <v>5116.227975407036</v>
      </c>
      <c r="E339" s="251">
        <f t="shared" si="59"/>
        <v>6888.7927885257532</v>
      </c>
      <c r="F339" s="251">
        <f t="shared" si="59"/>
        <v>45.03081538932387</v>
      </c>
      <c r="G339" s="251">
        <f t="shared" si="59"/>
        <v>0.75302366871779058</v>
      </c>
      <c r="H339" s="251">
        <f t="shared" si="59"/>
        <v>543.58455380842099</v>
      </c>
      <c r="I339" s="251">
        <f t="shared" si="59"/>
        <v>7924.595182485411</v>
      </c>
      <c r="J339" s="251">
        <f t="shared" si="59"/>
        <v>16111.317904051484</v>
      </c>
      <c r="K339" s="251">
        <f t="shared" si="59"/>
        <v>302305.16283534298</v>
      </c>
      <c r="L339" s="251">
        <f t="shared" si="59"/>
        <v>209415.6984486882</v>
      </c>
    </row>
    <row r="340" spans="1:12" x14ac:dyDescent="0.6">
      <c r="A340" s="174"/>
      <c r="B340" s="192" t="s">
        <v>106</v>
      </c>
      <c r="C340" s="246">
        <f t="shared" ref="C340:L340" si="60">+C339+C338</f>
        <v>979747.3417031155</v>
      </c>
      <c r="D340" s="246">
        <f t="shared" si="60"/>
        <v>6704.2035830709319</v>
      </c>
      <c r="E340" s="246">
        <f t="shared" si="60"/>
        <v>12721.176069516645</v>
      </c>
      <c r="F340" s="246">
        <f t="shared" si="60"/>
        <v>62.802173971063723</v>
      </c>
      <c r="G340" s="246">
        <f t="shared" si="60"/>
        <v>1.0542331362049069</v>
      </c>
      <c r="H340" s="246">
        <f t="shared" si="60"/>
        <v>696.79613314878657</v>
      </c>
      <c r="I340" s="246">
        <f t="shared" si="60"/>
        <v>10925.243897592063</v>
      </c>
      <c r="J340" s="251">
        <f t="shared" si="60"/>
        <v>21977.522888096813</v>
      </c>
      <c r="K340" s="251">
        <f t="shared" si="60"/>
        <v>476375.54780397541</v>
      </c>
      <c r="L340" s="251">
        <f t="shared" si="60"/>
        <v>325486.31448935176</v>
      </c>
    </row>
    <row r="341" spans="1:12" x14ac:dyDescent="0.6">
      <c r="A341" s="174"/>
      <c r="C341" s="299"/>
      <c r="D341" s="299"/>
      <c r="E341" s="299"/>
      <c r="F341" s="299"/>
      <c r="G341" s="299"/>
      <c r="H341" s="299"/>
      <c r="I341" s="299"/>
      <c r="J341" s="299"/>
      <c r="K341" s="299"/>
      <c r="L341" s="299"/>
    </row>
    <row r="342" spans="1:12" x14ac:dyDescent="0.6">
      <c r="A342" s="174"/>
      <c r="B342" s="192" t="s">
        <v>275</v>
      </c>
      <c r="C342" s="246">
        <f>SUM(C338:L338)</f>
        <v>725948.93174147734</v>
      </c>
    </row>
    <row r="343" spans="1:12" x14ac:dyDescent="0.6">
      <c r="A343" s="174"/>
      <c r="B343" s="192" t="s">
        <v>276</v>
      </c>
      <c r="C343" s="246">
        <f>SUM(C339:L339)</f>
        <v>1108749.0712334979</v>
      </c>
    </row>
    <row r="344" spans="1:12" x14ac:dyDescent="0.6">
      <c r="A344" s="174"/>
      <c r="B344" s="192" t="s">
        <v>277</v>
      </c>
      <c r="C344" s="246">
        <f>+C343+C342</f>
        <v>1834698.0029749754</v>
      </c>
    </row>
    <row r="345" spans="1:12" x14ac:dyDescent="0.6">
      <c r="A345" s="174"/>
      <c r="C345" s="299"/>
      <c r="E345" s="299"/>
    </row>
    <row r="346" spans="1:12" x14ac:dyDescent="0.6">
      <c r="B346" s="198" t="s">
        <v>279</v>
      </c>
      <c r="C346" s="246">
        <f>+C334-C344</f>
        <v>-88.893815437797457</v>
      </c>
    </row>
    <row r="347" spans="1:12" x14ac:dyDescent="0.6">
      <c r="C347" s="165" t="s">
        <v>280</v>
      </c>
    </row>
    <row r="350" spans="1:12" x14ac:dyDescent="0.6">
      <c r="A350" s="171" t="s">
        <v>281</v>
      </c>
      <c r="B350" s="169" t="s">
        <v>282</v>
      </c>
      <c r="C350" s="177" t="s">
        <v>283</v>
      </c>
    </row>
    <row r="351" spans="1:12" x14ac:dyDescent="0.6">
      <c r="B351" s="170" t="s">
        <v>33</v>
      </c>
    </row>
    <row r="352" spans="1:12" x14ac:dyDescent="0.6">
      <c r="B352" s="192" t="s">
        <v>46</v>
      </c>
      <c r="C352" s="200">
        <f>SUMPRODUCT(O49:X49,C85:L85)</f>
        <v>10164267.057513909</v>
      </c>
    </row>
    <row r="353" spans="2:3" x14ac:dyDescent="0.6">
      <c r="B353" s="192" t="s">
        <v>47</v>
      </c>
      <c r="C353" s="318">
        <f>SUMPRODUCT(O45:X45,C85:L85)</f>
        <v>15523986.835758697</v>
      </c>
    </row>
    <row r="354" spans="2:3" x14ac:dyDescent="0.6">
      <c r="B354" s="192" t="s">
        <v>106</v>
      </c>
      <c r="C354" s="200">
        <f>+C353+C352</f>
        <v>25688253.893272609</v>
      </c>
    </row>
  </sheetData>
  <mergeCells count="1">
    <mergeCell ref="R145:V145"/>
  </mergeCells>
  <pageMargins left="0.75" right="0.75" top="1" bottom="1" header="0.5" footer="0.5"/>
  <pageSetup scale="60" fitToHeight="9" orientation="landscape" r:id="rId1"/>
  <headerFooter alignWithMargins="0">
    <oddHeader>&amp;C&amp;"Arial,Bold"Public Service Electric and Gas Company Specific Addendum
Attachment 2</oddHeader>
    <oddFooter>&amp;CPage &amp;P of &amp;N</oddFooter>
  </headerFooter>
  <rowBreaks count="6" manualBreakCount="6">
    <brk id="39" max="16383" man="1"/>
    <brk id="87" max="11" man="1"/>
    <brk id="140" max="11" man="1"/>
    <brk id="186" max="11" man="1"/>
    <brk id="236" max="11" man="1"/>
    <brk id="295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pageSetUpPr fitToPage="1"/>
  </sheetPr>
  <dimension ref="A1:Q213"/>
  <sheetViews>
    <sheetView tabSelected="1" view="pageBreakPreview" zoomScaleNormal="100" zoomScaleSheetLayoutView="100" workbookViewId="0">
      <selection activeCell="C26" sqref="C26"/>
    </sheetView>
  </sheetViews>
  <sheetFormatPr defaultColWidth="9.08984375" defaultRowHeight="13" x14ac:dyDescent="0.6"/>
  <cols>
    <col min="1" max="1" width="8.453125" style="165" bestFit="1" customWidth="1"/>
    <col min="2" max="2" width="36.453125" style="165" customWidth="1"/>
    <col min="3" max="3" width="13.86328125" style="165" customWidth="1"/>
    <col min="4" max="4" width="13.08984375" style="165" customWidth="1"/>
    <col min="5" max="5" width="13.31640625" style="165" customWidth="1"/>
    <col min="6" max="7" width="12.08984375" style="165" customWidth="1"/>
    <col min="8" max="8" width="11.86328125" style="165" customWidth="1"/>
    <col min="9" max="9" width="13.6796875" style="165" customWidth="1"/>
    <col min="10" max="10" width="13.08984375" style="165" customWidth="1"/>
    <col min="11" max="11" width="12.54296875" style="165" customWidth="1"/>
    <col min="12" max="12" width="12.54296875" style="165" bestFit="1" customWidth="1"/>
    <col min="13" max="13" width="14.31640625" style="165" bestFit="1" customWidth="1"/>
    <col min="14" max="14" width="24.08984375" style="165" bestFit="1" customWidth="1"/>
    <col min="15" max="16" width="10.86328125" style="165" bestFit="1" customWidth="1"/>
    <col min="17" max="17" width="14.453125" style="165" bestFit="1" customWidth="1"/>
    <col min="18" max="16384" width="9.08984375" style="165"/>
  </cols>
  <sheetData>
    <row r="1" spans="1:17" ht="15.5" x14ac:dyDescent="0.7">
      <c r="B1" s="8" t="str">
        <f>"Calculation of June "&amp;(Input!D2)&amp;" to May "&amp;(Input!D2+1)&amp;" BGS-RSCP Rates"</f>
        <v>Calculation of June 2022 to May 2023 BGS-RSCP Rates</v>
      </c>
    </row>
    <row r="2" spans="1:17" x14ac:dyDescent="0.6">
      <c r="B2" s="319" t="s">
        <v>284</v>
      </c>
    </row>
    <row r="3" spans="1:17" x14ac:dyDescent="0.6">
      <c r="B3" s="170" t="s">
        <v>285</v>
      </c>
    </row>
    <row r="4" spans="1:17" x14ac:dyDescent="0.6">
      <c r="M4" s="213"/>
      <c r="N4" s="213"/>
      <c r="O4" s="213"/>
      <c r="P4" s="213"/>
      <c r="Q4" s="213"/>
    </row>
    <row r="5" spans="1:17" x14ac:dyDescent="0.6">
      <c r="A5" s="171" t="s">
        <v>286</v>
      </c>
      <c r="B5" s="169" t="s">
        <v>287</v>
      </c>
      <c r="M5" s="213"/>
      <c r="N5" s="213"/>
      <c r="O5" s="213"/>
      <c r="P5" s="213"/>
      <c r="Q5" s="213"/>
    </row>
    <row r="6" spans="1:17" ht="51" customHeight="1" x14ac:dyDescent="0.6">
      <c r="A6" s="192" t="s">
        <v>288</v>
      </c>
      <c r="B6" s="169" t="s">
        <v>87</v>
      </c>
      <c r="C6" s="175" t="str">
        <f>Input!C135</f>
        <v>remaining portion of 36 month bid - 2020 auction</v>
      </c>
      <c r="D6" s="175" t="str">
        <f>Input!D135</f>
        <v>remaining portion of 36 month bid - 2021 auction</v>
      </c>
      <c r="E6" s="175" t="str">
        <f>Input!E135</f>
        <v>36 month bid - 2022 auction</v>
      </c>
      <c r="G6" s="175" t="s">
        <v>289</v>
      </c>
      <c r="M6" s="213"/>
      <c r="N6" s="213"/>
      <c r="O6" s="213"/>
      <c r="P6" s="213"/>
      <c r="Q6" s="213"/>
    </row>
    <row r="7" spans="1:17" x14ac:dyDescent="0.6">
      <c r="C7" s="320" t="str">
        <f>LEFT(RIGHT(C6,12),4)</f>
        <v>2020</v>
      </c>
      <c r="D7" s="320" t="str">
        <f t="shared" ref="D7:E7" si="0">LEFT(RIGHT(D6,12),4)</f>
        <v>2021</v>
      </c>
      <c r="E7" s="320" t="str">
        <f t="shared" si="0"/>
        <v>2022</v>
      </c>
      <c r="F7" s="321"/>
      <c r="M7" s="213"/>
      <c r="N7" s="213"/>
      <c r="O7" s="213"/>
      <c r="P7" s="213"/>
      <c r="Q7" s="213"/>
    </row>
    <row r="8" spans="1:17" x14ac:dyDescent="0.6">
      <c r="A8" s="192">
        <v>1</v>
      </c>
      <c r="B8" s="169" t="s">
        <v>92</v>
      </c>
      <c r="C8" s="267">
        <f>Input!C136</f>
        <v>102.16</v>
      </c>
      <c r="D8" s="267">
        <f>Input!D136</f>
        <v>64.8</v>
      </c>
      <c r="E8" s="267">
        <v>57.48</v>
      </c>
      <c r="G8" s="322" t="s">
        <v>290</v>
      </c>
      <c r="M8" s="213"/>
      <c r="N8" s="213"/>
      <c r="O8" s="213"/>
      <c r="P8" s="213"/>
      <c r="Q8" s="213"/>
    </row>
    <row r="9" spans="1:17" x14ac:dyDescent="0.6">
      <c r="A9" s="193" t="s">
        <v>291</v>
      </c>
      <c r="B9" s="165" t="s">
        <v>292</v>
      </c>
      <c r="C9" s="244">
        <f>'Att 4-1'!C21</f>
        <v>-7.32</v>
      </c>
      <c r="D9" s="267">
        <f>C9</f>
        <v>-7.32</v>
      </c>
      <c r="E9" s="323">
        <v>0</v>
      </c>
      <c r="G9" s="167" t="s">
        <v>293</v>
      </c>
      <c r="M9" s="213"/>
      <c r="N9" s="213"/>
      <c r="O9" s="213"/>
      <c r="P9" s="213"/>
      <c r="Q9" s="213"/>
    </row>
    <row r="10" spans="1:17" x14ac:dyDescent="0.6">
      <c r="A10" s="193" t="s">
        <v>294</v>
      </c>
      <c r="B10" s="324" t="s">
        <v>295</v>
      </c>
      <c r="C10" s="267">
        <v>37.770000000000003</v>
      </c>
      <c r="D10" s="323">
        <v>0</v>
      </c>
      <c r="E10" s="323">
        <v>0</v>
      </c>
      <c r="F10" s="169"/>
      <c r="G10" s="167" t="s">
        <v>296</v>
      </c>
      <c r="M10" s="213"/>
      <c r="N10" s="213"/>
      <c r="O10" s="213"/>
      <c r="P10" s="213"/>
      <c r="Q10" s="213"/>
    </row>
    <row r="11" spans="1:17" x14ac:dyDescent="0.6">
      <c r="A11" s="193" t="s">
        <v>297</v>
      </c>
      <c r="B11" s="169" t="s">
        <v>298</v>
      </c>
      <c r="C11" s="325">
        <f>C8+C9-C10</f>
        <v>57.07</v>
      </c>
      <c r="D11" s="325">
        <f>D8+D9-D10</f>
        <v>57.48</v>
      </c>
      <c r="E11" s="325">
        <f>E8+E9-E10</f>
        <v>57.48</v>
      </c>
      <c r="G11" s="207" t="s">
        <v>299</v>
      </c>
      <c r="M11" s="213"/>
      <c r="N11" s="213"/>
      <c r="O11" s="213"/>
      <c r="P11" s="213"/>
      <c r="Q11" s="213"/>
    </row>
    <row r="12" spans="1:17" x14ac:dyDescent="0.6">
      <c r="A12" s="192"/>
      <c r="B12" s="169"/>
      <c r="C12" s="326"/>
      <c r="D12" s="326"/>
      <c r="E12" s="326"/>
      <c r="G12" s="207"/>
      <c r="M12" s="213"/>
      <c r="N12" s="213"/>
      <c r="O12" s="213"/>
      <c r="P12" s="213"/>
      <c r="Q12" s="213"/>
    </row>
    <row r="13" spans="1:17" x14ac:dyDescent="0.6">
      <c r="B13" s="170" t="s">
        <v>300</v>
      </c>
      <c r="M13" s="213"/>
      <c r="N13" s="213"/>
      <c r="O13" s="213"/>
      <c r="P13" s="213"/>
      <c r="Q13" s="213"/>
    </row>
    <row r="14" spans="1:17" x14ac:dyDescent="0.6">
      <c r="A14" s="192">
        <v>2</v>
      </c>
      <c r="B14" s="169" t="s">
        <v>93</v>
      </c>
      <c r="C14" s="258">
        <f>Input!C137</f>
        <v>28</v>
      </c>
      <c r="D14" s="258">
        <f>Input!D137</f>
        <v>29</v>
      </c>
      <c r="E14" s="258">
        <f>Input!E137</f>
        <v>28</v>
      </c>
      <c r="G14" s="165" t="s">
        <v>301</v>
      </c>
      <c r="M14" s="213"/>
      <c r="N14" s="213"/>
      <c r="O14" s="213"/>
      <c r="P14" s="213"/>
      <c r="Q14" s="213"/>
    </row>
    <row r="15" spans="1:17" x14ac:dyDescent="0.6">
      <c r="A15" s="192">
        <v>3</v>
      </c>
      <c r="B15" s="169" t="s">
        <v>302</v>
      </c>
      <c r="C15" s="258">
        <v>85</v>
      </c>
      <c r="D15" s="258">
        <v>85</v>
      </c>
      <c r="E15" s="258">
        <v>85</v>
      </c>
      <c r="G15" s="165" t="s">
        <v>301</v>
      </c>
      <c r="M15" s="213"/>
      <c r="N15" s="213"/>
      <c r="O15" s="213"/>
      <c r="P15" s="213"/>
      <c r="Q15" s="213"/>
    </row>
    <row r="16" spans="1:17" x14ac:dyDescent="0.6">
      <c r="A16" s="192"/>
      <c r="B16" s="169" t="s">
        <v>96</v>
      </c>
      <c r="M16" s="213"/>
      <c r="N16" s="213"/>
      <c r="O16" s="213"/>
      <c r="P16" s="213"/>
      <c r="Q16" s="213"/>
    </row>
    <row r="17" spans="1:17" x14ac:dyDescent="0.6">
      <c r="A17" s="192">
        <v>4</v>
      </c>
      <c r="B17" s="210" t="s">
        <v>97</v>
      </c>
      <c r="C17" s="215">
        <f>Input!C140</f>
        <v>1</v>
      </c>
      <c r="D17" s="215">
        <f>Input!D140</f>
        <v>1</v>
      </c>
      <c r="E17" s="215">
        <f>IF(LEFT(Input!$B$2,6)="rebase",Input!E140,'Att 2'!L316)</f>
        <v>1</v>
      </c>
      <c r="K17" s="215"/>
      <c r="M17" s="213"/>
      <c r="N17" s="213"/>
      <c r="O17" s="213"/>
      <c r="P17" s="213"/>
      <c r="Q17" s="213"/>
    </row>
    <row r="18" spans="1:17" ht="12.75" customHeight="1" x14ac:dyDescent="0.6">
      <c r="A18" s="192">
        <v>5</v>
      </c>
      <c r="B18" s="210" t="s">
        <v>98</v>
      </c>
      <c r="C18" s="215">
        <f>Input!C141</f>
        <v>1</v>
      </c>
      <c r="D18" s="215">
        <f>Input!D141</f>
        <v>1</v>
      </c>
      <c r="E18" s="215">
        <f>IF(LEFT(Input!$B$2,6)="rebase",Input!E141,'Att 2'!L317)</f>
        <v>1</v>
      </c>
      <c r="K18" s="215"/>
      <c r="M18" s="213"/>
      <c r="N18" s="213"/>
      <c r="O18" s="213"/>
      <c r="P18" s="213"/>
      <c r="Q18" s="213"/>
    </row>
    <row r="19" spans="1:17" x14ac:dyDescent="0.6">
      <c r="A19" s="192"/>
    </row>
    <row r="20" spans="1:17" x14ac:dyDescent="0.6">
      <c r="A20" s="192"/>
      <c r="B20" s="169" t="s">
        <v>303</v>
      </c>
    </row>
    <row r="21" spans="1:17" x14ac:dyDescent="0.6">
      <c r="A21" s="192">
        <v>6</v>
      </c>
      <c r="B21" s="165" t="s">
        <v>304</v>
      </c>
      <c r="C21" s="266">
        <f>+'Att 2'!C352</f>
        <v>10164267.057513909</v>
      </c>
      <c r="D21" s="206"/>
      <c r="E21" s="206"/>
      <c r="G21" s="165" t="s">
        <v>305</v>
      </c>
    </row>
    <row r="22" spans="1:17" x14ac:dyDescent="0.6">
      <c r="A22" s="192">
        <v>7</v>
      </c>
      <c r="B22" s="165" t="s">
        <v>306</v>
      </c>
      <c r="C22" s="266">
        <f>+'Att 2'!C353</f>
        <v>15523986.835758697</v>
      </c>
      <c r="D22" s="206"/>
      <c r="E22" s="206"/>
    </row>
    <row r="23" spans="1:17" x14ac:dyDescent="0.6">
      <c r="A23" s="192"/>
    </row>
    <row r="24" spans="1:17" x14ac:dyDescent="0.6">
      <c r="A24" s="192"/>
      <c r="B24" s="169" t="s">
        <v>307</v>
      </c>
    </row>
    <row r="25" spans="1:17" x14ac:dyDescent="0.6">
      <c r="A25" s="192">
        <v>8</v>
      </c>
      <c r="B25" s="210" t="s">
        <v>97</v>
      </c>
      <c r="C25" s="327">
        <f t="shared" ref="C25:E26" si="1">(+C$11*C$14/C$15*C17*$C21/1000)</f>
        <v>191083.43749676386</v>
      </c>
      <c r="D25" s="327">
        <f t="shared" si="1"/>
        <v>199329.64757071863</v>
      </c>
      <c r="E25" s="327">
        <f t="shared" si="1"/>
        <v>192456.21144759041</v>
      </c>
      <c r="F25" s="328"/>
      <c r="G25" s="456" t="s">
        <v>434</v>
      </c>
      <c r="J25" s="246"/>
      <c r="L25" s="246"/>
    </row>
    <row r="26" spans="1:17" x14ac:dyDescent="0.6">
      <c r="A26" s="192">
        <v>9</v>
      </c>
      <c r="B26" s="210" t="s">
        <v>98</v>
      </c>
      <c r="C26" s="329">
        <f t="shared" si="1"/>
        <v>291843.64710669377</v>
      </c>
      <c r="D26" s="329">
        <f t="shared" si="1"/>
        <v>304438.16630897514</v>
      </c>
      <c r="E26" s="329">
        <f t="shared" si="1"/>
        <v>293940.2985052173</v>
      </c>
      <c r="F26" s="328"/>
      <c r="G26" s="456" t="s">
        <v>433</v>
      </c>
    </row>
    <row r="27" spans="1:17" x14ac:dyDescent="0.6">
      <c r="A27" s="192">
        <v>10</v>
      </c>
      <c r="B27" s="165" t="s">
        <v>310</v>
      </c>
      <c r="C27" s="246">
        <f>+C26+C25</f>
        <v>482927.0846034576</v>
      </c>
      <c r="D27" s="246">
        <f>+D26+D25</f>
        <v>503767.81387969374</v>
      </c>
      <c r="E27" s="246">
        <f>+E26+E25</f>
        <v>486396.50995280768</v>
      </c>
      <c r="G27" s="165" t="s">
        <v>311</v>
      </c>
      <c r="J27" s="246"/>
      <c r="L27" s="246"/>
    </row>
    <row r="28" spans="1:17" x14ac:dyDescent="0.6">
      <c r="A28" s="192"/>
    </row>
    <row r="29" spans="1:17" x14ac:dyDescent="0.6">
      <c r="A29" s="192"/>
      <c r="B29" s="169" t="s">
        <v>312</v>
      </c>
    </row>
    <row r="30" spans="1:17" x14ac:dyDescent="0.6">
      <c r="A30" s="192">
        <v>11</v>
      </c>
      <c r="B30" s="210" t="s">
        <v>97</v>
      </c>
      <c r="C30" s="330">
        <f>ROUND(+SUM(C25:E25)/C21*1000,3)</f>
        <v>57.344999999999999</v>
      </c>
      <c r="D30" s="295"/>
      <c r="G30" s="236" t="s">
        <v>313</v>
      </c>
    </row>
    <row r="31" spans="1:17" x14ac:dyDescent="0.6">
      <c r="A31" s="192">
        <v>12</v>
      </c>
      <c r="B31" s="210" t="s">
        <v>98</v>
      </c>
      <c r="C31" s="331">
        <f>ROUND(+SUM(C26:E26)/C22*1000,3)</f>
        <v>57.344999999999999</v>
      </c>
      <c r="G31" s="236" t="s">
        <v>314</v>
      </c>
    </row>
    <row r="32" spans="1:17" x14ac:dyDescent="0.6">
      <c r="A32" s="192"/>
      <c r="B32" s="210"/>
      <c r="C32" s="293"/>
      <c r="G32" s="236"/>
    </row>
    <row r="33" spans="1:10" x14ac:dyDescent="0.6">
      <c r="A33" s="192">
        <v>13</v>
      </c>
      <c r="B33" s="165" t="s">
        <v>315</v>
      </c>
      <c r="C33" s="332">
        <f>ROUND(+SUM(C27:E27)/(C21+C22)*1000,3)</f>
        <v>57.344999999999999</v>
      </c>
      <c r="D33" s="165" t="s">
        <v>316</v>
      </c>
      <c r="G33" s="236" t="s">
        <v>317</v>
      </c>
    </row>
    <row r="34" spans="1:10" x14ac:dyDescent="0.6">
      <c r="D34" s="165" t="s">
        <v>318</v>
      </c>
      <c r="G34" s="165" t="s">
        <v>319</v>
      </c>
    </row>
    <row r="35" spans="1:10" x14ac:dyDescent="0.6">
      <c r="C35" s="295"/>
    </row>
    <row r="36" spans="1:10" x14ac:dyDescent="0.6">
      <c r="B36" s="333" t="s">
        <v>320</v>
      </c>
      <c r="D36" s="295"/>
    </row>
    <row r="37" spans="1:10" x14ac:dyDescent="0.6">
      <c r="A37" s="192">
        <v>14</v>
      </c>
      <c r="B37" s="198" t="s">
        <v>321</v>
      </c>
      <c r="C37" s="246">
        <f>(C33*(C22+C21))/1000</f>
        <v>1473092.9195097177</v>
      </c>
      <c r="D37" s="295"/>
      <c r="G37" s="236" t="s">
        <v>322</v>
      </c>
    </row>
    <row r="38" spans="1:10" ht="15.25" x14ac:dyDescent="1.05">
      <c r="A38" s="192">
        <v>15</v>
      </c>
      <c r="B38" s="198" t="s">
        <v>323</v>
      </c>
      <c r="C38" s="334">
        <f>SUM(C27:E27)</f>
        <v>1473091.4084359589</v>
      </c>
      <c r="D38" s="295"/>
      <c r="G38" s="236" t="s">
        <v>324</v>
      </c>
    </row>
    <row r="39" spans="1:10" x14ac:dyDescent="0.6">
      <c r="A39" s="192">
        <v>16</v>
      </c>
      <c r="B39" s="198" t="s">
        <v>325</v>
      </c>
      <c r="C39" s="251">
        <f>+C37-C38</f>
        <v>1.5110737588256598</v>
      </c>
      <c r="D39" s="295"/>
      <c r="G39" s="236" t="s">
        <v>326</v>
      </c>
    </row>
    <row r="40" spans="1:10" x14ac:dyDescent="0.6">
      <c r="B40" s="198"/>
      <c r="D40" s="295"/>
    </row>
    <row r="42" spans="1:10" x14ac:dyDescent="0.6">
      <c r="A42" s="171" t="s">
        <v>327</v>
      </c>
      <c r="B42" s="169" t="s">
        <v>328</v>
      </c>
      <c r="G42" s="170" t="s">
        <v>329</v>
      </c>
    </row>
    <row r="43" spans="1:10" x14ac:dyDescent="0.6">
      <c r="A43" s="171"/>
      <c r="B43" s="169"/>
      <c r="G43" s="170" t="s">
        <v>330</v>
      </c>
    </row>
    <row r="44" spans="1:10" x14ac:dyDescent="0.6">
      <c r="B44" s="169" t="s">
        <v>201</v>
      </c>
    </row>
    <row r="45" spans="1:10" x14ac:dyDescent="0.6">
      <c r="B45" s="170" t="s">
        <v>331</v>
      </c>
    </row>
    <row r="46" spans="1:10" x14ac:dyDescent="0.6">
      <c r="B46" s="169"/>
    </row>
    <row r="47" spans="1:10" x14ac:dyDescent="0.6">
      <c r="C47" s="166" t="str">
        <f>+'Att 2'!C243</f>
        <v>RS</v>
      </c>
      <c r="D47" s="166" t="str">
        <f>+'Att 2'!D243</f>
        <v>RHS</v>
      </c>
      <c r="E47" s="166" t="str">
        <f>+'Att 2'!E243</f>
        <v>RLM</v>
      </c>
      <c r="F47" s="166" t="str">
        <f>+'Att 2'!F243</f>
        <v>WH</v>
      </c>
      <c r="G47" s="166" t="str">
        <f>+'Att 2'!G243</f>
        <v>WHS</v>
      </c>
      <c r="H47" s="166" t="str">
        <f>+'Att 2'!H243</f>
        <v>HS</v>
      </c>
      <c r="I47" s="166" t="str">
        <f>+'Att 2'!I243</f>
        <v>PSAL</v>
      </c>
      <c r="J47" s="166" t="str">
        <f>+'Att 2'!J243</f>
        <v>BPL</v>
      </c>
    </row>
    <row r="48" spans="1:10" x14ac:dyDescent="0.6">
      <c r="C48" s="166"/>
      <c r="D48" s="166"/>
      <c r="E48" s="166"/>
      <c r="F48" s="166"/>
      <c r="G48" s="166"/>
    </row>
    <row r="49" spans="2:13" x14ac:dyDescent="0.6">
      <c r="B49" s="180" t="s">
        <v>137</v>
      </c>
      <c r="E49" s="297"/>
      <c r="F49" s="298">
        <f>+'Att 2'!F245</f>
        <v>0.82799999999999996</v>
      </c>
      <c r="G49" s="298">
        <f>+'Att 2'!G245</f>
        <v>0.83099999999999996</v>
      </c>
      <c r="H49" s="298">
        <f>+'Att 2'!H245</f>
        <v>1.042</v>
      </c>
      <c r="I49" s="297">
        <f>+'Att 2'!I245</f>
        <v>0.76600000000000001</v>
      </c>
      <c r="J49" s="297">
        <f>+'Att 2'!J245</f>
        <v>0.76300000000000001</v>
      </c>
      <c r="K49" s="299"/>
      <c r="L49" s="299"/>
      <c r="M49" s="299"/>
    </row>
    <row r="50" spans="2:13" x14ac:dyDescent="0.6">
      <c r="B50" s="242" t="s">
        <v>157</v>
      </c>
      <c r="C50" s="300"/>
      <c r="D50" s="301"/>
      <c r="E50" s="298">
        <f>+'Att 2'!E246</f>
        <v>1.494</v>
      </c>
      <c r="F50" s="297"/>
      <c r="G50" s="297"/>
      <c r="H50" s="297"/>
      <c r="I50" s="167"/>
      <c r="J50" s="302" t="s">
        <v>228</v>
      </c>
      <c r="K50" s="299"/>
      <c r="L50" s="299"/>
      <c r="M50" s="299"/>
    </row>
    <row r="51" spans="2:13" x14ac:dyDescent="0.6">
      <c r="B51" s="242" t="s">
        <v>158</v>
      </c>
      <c r="C51" s="300"/>
      <c r="D51" s="301"/>
      <c r="E51" s="298">
        <f>+'Att 2'!E247</f>
        <v>0.73499999999999999</v>
      </c>
      <c r="F51" s="297"/>
      <c r="G51" s="297"/>
      <c r="H51" s="303"/>
      <c r="I51" s="167"/>
      <c r="J51" s="302" t="s">
        <v>229</v>
      </c>
      <c r="K51" s="304">
        <f>+'Att 2'!K247</f>
        <v>0.76400000000000001</v>
      </c>
      <c r="L51" s="299"/>
      <c r="M51" s="299"/>
    </row>
    <row r="52" spans="2:13" x14ac:dyDescent="0.6">
      <c r="E52" s="300"/>
      <c r="F52" s="301"/>
      <c r="G52" s="301"/>
      <c r="L52" s="299"/>
      <c r="M52" s="299"/>
    </row>
    <row r="53" spans="2:13" x14ac:dyDescent="0.6">
      <c r="B53" s="305" t="s">
        <v>230</v>
      </c>
      <c r="C53" s="298">
        <f>+'Att 2'!C249</f>
        <v>1.05</v>
      </c>
      <c r="D53" s="298">
        <f>+'Att 2'!D249</f>
        <v>0.97099999999999997</v>
      </c>
      <c r="E53" s="300"/>
      <c r="F53" s="301"/>
      <c r="G53" s="301"/>
      <c r="H53" s="301"/>
      <c r="I53" s="301"/>
      <c r="J53" s="301"/>
      <c r="K53" s="299"/>
      <c r="L53" s="299"/>
      <c r="M53" s="299"/>
    </row>
    <row r="54" spans="2:13" x14ac:dyDescent="0.6">
      <c r="B54" s="305" t="s">
        <v>231</v>
      </c>
      <c r="C54" s="306">
        <f>+'Att 2'!C250</f>
        <v>-3.0630000000000002</v>
      </c>
      <c r="D54" s="306">
        <f>+'Att 2'!D250</f>
        <v>-3.9220000000000002</v>
      </c>
      <c r="E54" s="286" t="s">
        <v>232</v>
      </c>
      <c r="F54" s="301"/>
      <c r="G54" s="301"/>
      <c r="H54" s="301"/>
      <c r="I54" s="301"/>
      <c r="J54" s="301"/>
      <c r="K54" s="299"/>
      <c r="L54" s="299"/>
      <c r="M54" s="299"/>
    </row>
    <row r="55" spans="2:13" x14ac:dyDescent="0.6">
      <c r="B55" s="305" t="s">
        <v>231</v>
      </c>
      <c r="C55" s="306">
        <f>+'Att 2'!C251</f>
        <v>5.5890000000000004</v>
      </c>
      <c r="D55" s="306">
        <f>+'Att 2'!D251</f>
        <v>7.6470000000000002</v>
      </c>
      <c r="E55" s="286" t="s">
        <v>233</v>
      </c>
      <c r="F55" s="301"/>
      <c r="G55" s="301"/>
      <c r="H55" s="301"/>
      <c r="I55" s="301"/>
      <c r="J55" s="301"/>
      <c r="K55" s="299"/>
      <c r="L55" s="299"/>
      <c r="M55" s="299"/>
    </row>
    <row r="56" spans="2:13" x14ac:dyDescent="0.6">
      <c r="G56" s="301"/>
      <c r="H56" s="301"/>
      <c r="I56" s="301"/>
      <c r="J56" s="301"/>
      <c r="K56" s="299"/>
      <c r="L56" s="299"/>
      <c r="M56" s="299"/>
    </row>
    <row r="57" spans="2:13" x14ac:dyDescent="0.6">
      <c r="H57" s="301"/>
      <c r="I57" s="301"/>
      <c r="J57" s="301"/>
      <c r="K57" s="299"/>
      <c r="L57" s="299"/>
      <c r="M57" s="299"/>
    </row>
    <row r="58" spans="2:13" x14ac:dyDescent="0.6">
      <c r="C58" s="301"/>
      <c r="D58" s="301"/>
      <c r="E58" s="301"/>
      <c r="F58" s="301"/>
      <c r="G58" s="301"/>
      <c r="H58" s="301"/>
      <c r="I58" s="301"/>
      <c r="J58" s="301"/>
      <c r="K58" s="299"/>
      <c r="L58" s="299"/>
      <c r="M58" s="299"/>
    </row>
    <row r="59" spans="2:13" x14ac:dyDescent="0.6">
      <c r="B59" s="180" t="s">
        <v>140</v>
      </c>
      <c r="C59" s="298">
        <f>+'Att 2'!C255</f>
        <v>1.1180000000000001</v>
      </c>
      <c r="D59" s="298">
        <f>+'Att 2'!D255</f>
        <v>1.07</v>
      </c>
      <c r="E59" s="297"/>
      <c r="F59" s="298">
        <f>+'Att 2'!F255</f>
        <v>0.89800000000000002</v>
      </c>
      <c r="G59" s="298">
        <f>+'Att 2'!G255</f>
        <v>0.92900000000000005</v>
      </c>
      <c r="H59" s="298">
        <f>+'Att 2'!H255</f>
        <v>1.1279999999999999</v>
      </c>
      <c r="I59" s="297">
        <f>+'Att 2'!I255</f>
        <v>0.875</v>
      </c>
      <c r="J59" s="297">
        <f>+'Att 2'!J255</f>
        <v>0.876</v>
      </c>
      <c r="K59" s="299"/>
      <c r="L59" s="299"/>
      <c r="M59" s="299"/>
    </row>
    <row r="60" spans="2:13" x14ac:dyDescent="0.6">
      <c r="B60" s="242" t="s">
        <v>157</v>
      </c>
      <c r="C60" s="301"/>
      <c r="D60" s="301"/>
      <c r="E60" s="298">
        <f>+'Att 2'!E256</f>
        <v>1.5169999999999999</v>
      </c>
      <c r="F60" s="301"/>
      <c r="G60" s="301"/>
      <c r="H60" s="301"/>
      <c r="J60" s="302" t="s">
        <v>228</v>
      </c>
      <c r="K60" s="299"/>
      <c r="L60" s="299"/>
      <c r="M60" s="299"/>
    </row>
    <row r="61" spans="2:13" x14ac:dyDescent="0.6">
      <c r="B61" s="242" t="s">
        <v>158</v>
      </c>
      <c r="C61" s="301"/>
      <c r="D61" s="301"/>
      <c r="E61" s="298">
        <f>+'Att 2'!E257</f>
        <v>0.84299999999999997</v>
      </c>
      <c r="F61" s="301"/>
      <c r="G61" s="301"/>
      <c r="J61" s="302" t="s">
        <v>229</v>
      </c>
      <c r="K61" s="304">
        <f>+'Att 2'!K257</f>
        <v>0.876</v>
      </c>
      <c r="L61" s="299"/>
      <c r="M61" s="299"/>
    </row>
    <row r="62" spans="2:13" x14ac:dyDescent="0.6">
      <c r="C62" s="307"/>
      <c r="D62" s="307"/>
      <c r="E62" s="307"/>
      <c r="F62" s="307"/>
      <c r="G62" s="307"/>
      <c r="K62" s="299"/>
      <c r="L62" s="299"/>
      <c r="M62" s="299"/>
    </row>
    <row r="63" spans="2:13" x14ac:dyDescent="0.6">
      <c r="B63" s="165" t="s">
        <v>234</v>
      </c>
      <c r="C63" s="308">
        <f>+'Att 2'!C259</f>
        <v>1.089</v>
      </c>
      <c r="D63" s="308">
        <f>+'Att 2'!D259</f>
        <v>1.0469999999999999</v>
      </c>
      <c r="E63" s="308">
        <f>+'Att 2'!E259</f>
        <v>1.1160000000000001</v>
      </c>
      <c r="F63" s="308">
        <f>+'Att 2'!F259</f>
        <v>0.878</v>
      </c>
      <c r="G63" s="308">
        <f>+'Att 2'!G259</f>
        <v>0.90100000000000002</v>
      </c>
      <c r="H63" s="308">
        <f>+'Att 2'!H259</f>
        <v>1.109</v>
      </c>
      <c r="I63" s="308">
        <f>+'Att 2'!I259</f>
        <v>0.84499999999999997</v>
      </c>
      <c r="J63" s="308">
        <f>+'Att 2'!J259</f>
        <v>0.84599999999999997</v>
      </c>
      <c r="K63" s="299"/>
      <c r="L63" s="299"/>
      <c r="M63" s="299"/>
    </row>
    <row r="66" spans="2:11" x14ac:dyDescent="0.6">
      <c r="B66" s="169" t="s">
        <v>205</v>
      </c>
      <c r="C66" s="294">
        <f>C33*C71+D71</f>
        <v>46.714479999999995</v>
      </c>
    </row>
    <row r="67" spans="2:11" x14ac:dyDescent="0.6">
      <c r="B67" s="170" t="s">
        <v>206</v>
      </c>
    </row>
    <row r="68" spans="2:11" x14ac:dyDescent="0.6">
      <c r="B68" s="167"/>
    </row>
    <row r="69" spans="2:11" x14ac:dyDescent="0.6">
      <c r="C69" s="166" t="str">
        <f>+'Att 2'!C265</f>
        <v>GLP</v>
      </c>
      <c r="D69" s="166" t="str">
        <f>+'Att 2'!D265</f>
        <v>GLP</v>
      </c>
      <c r="E69" s="166" t="str">
        <f>+'Att 2'!E265</f>
        <v>LPL-S</v>
      </c>
      <c r="F69" s="166" t="str">
        <f>+'Att 2'!F265</f>
        <v>LPL-S</v>
      </c>
      <c r="H69" s="169" t="s">
        <v>207</v>
      </c>
      <c r="I69" s="166" t="str">
        <f>+C69</f>
        <v>GLP</v>
      </c>
      <c r="J69" s="166" t="str">
        <f>+E69</f>
        <v>LPL-S</v>
      </c>
    </row>
    <row r="70" spans="2:11" ht="26" x14ac:dyDescent="0.6">
      <c r="C70" s="166" t="s">
        <v>235</v>
      </c>
      <c r="D70" s="309" t="s">
        <v>231</v>
      </c>
      <c r="E70" s="166" t="s">
        <v>235</v>
      </c>
      <c r="F70" s="309" t="s">
        <v>231</v>
      </c>
    </row>
    <row r="71" spans="2:11" x14ac:dyDescent="0.6">
      <c r="B71" s="180" t="s">
        <v>137</v>
      </c>
      <c r="C71" s="298">
        <f>+'Att 2'!C267</f>
        <v>0.98399999999999999</v>
      </c>
      <c r="D71" s="304">
        <f>+'Att 2'!D267</f>
        <v>-9.7129999999999992</v>
      </c>
      <c r="E71" s="303"/>
      <c r="F71" s="303"/>
      <c r="H71" s="292" t="s">
        <v>208</v>
      </c>
    </row>
    <row r="72" spans="2:11" x14ac:dyDescent="0.6">
      <c r="B72" s="242" t="s">
        <v>157</v>
      </c>
      <c r="C72" s="301"/>
      <c r="D72" s="304"/>
      <c r="E72" s="298">
        <f>+'Att 2'!E268</f>
        <v>1.181</v>
      </c>
      <c r="F72" s="304">
        <f>+'Att 2'!F268</f>
        <v>-16.283999999999999</v>
      </c>
      <c r="H72" s="198" t="s">
        <v>209</v>
      </c>
      <c r="I72" s="310">
        <f>+'Att 2'!I$270</f>
        <v>3.1888999999999998</v>
      </c>
      <c r="J72" s="310">
        <f>+'Att 2'!J$270</f>
        <v>3.1888999999999998</v>
      </c>
      <c r="K72" s="236" t="s">
        <v>210</v>
      </c>
    </row>
    <row r="73" spans="2:11" x14ac:dyDescent="0.6">
      <c r="B73" s="242" t="s">
        <v>158</v>
      </c>
      <c r="C73" s="297"/>
      <c r="D73" s="304"/>
      <c r="E73" s="298">
        <f>+'Att 2'!E269</f>
        <v>0.73299999999999998</v>
      </c>
      <c r="F73" s="304">
        <f>+'Att 2'!F269</f>
        <v>0</v>
      </c>
      <c r="H73" s="198" t="s">
        <v>211</v>
      </c>
      <c r="I73" s="310">
        <f>+'Att 2'!I$270</f>
        <v>3.1888999999999998</v>
      </c>
      <c r="J73" s="310">
        <f>+'Att 2'!J$270</f>
        <v>3.1888999999999998</v>
      </c>
      <c r="K73" s="236" t="s">
        <v>210</v>
      </c>
    </row>
    <row r="74" spans="2:11" x14ac:dyDescent="0.6">
      <c r="C74" s="297"/>
      <c r="D74" s="304"/>
      <c r="E74" s="297"/>
      <c r="F74" s="304"/>
      <c r="H74" s="198"/>
      <c r="I74" s="310"/>
      <c r="J74" s="310"/>
      <c r="K74" s="236"/>
    </row>
    <row r="75" spans="2:11" x14ac:dyDescent="0.6">
      <c r="B75" s="180" t="s">
        <v>140</v>
      </c>
      <c r="C75" s="298">
        <f>+'Att 2'!C271</f>
        <v>1.0609999999999999</v>
      </c>
      <c r="D75" s="304">
        <f>+'Att 2'!D271</f>
        <v>-11.185</v>
      </c>
      <c r="E75" s="298"/>
      <c r="F75" s="304"/>
      <c r="H75" s="292" t="s">
        <v>213</v>
      </c>
      <c r="I75" s="295"/>
      <c r="J75" s="295"/>
    </row>
    <row r="76" spans="2:11" x14ac:dyDescent="0.6">
      <c r="B76" s="242" t="s">
        <v>157</v>
      </c>
      <c r="C76" s="297"/>
      <c r="D76" s="303"/>
      <c r="E76" s="298">
        <f>+'Att 2'!E272</f>
        <v>1.23</v>
      </c>
      <c r="F76" s="304">
        <f>+'Att 2'!F272</f>
        <v>-18.574999999999999</v>
      </c>
      <c r="H76" s="198" t="s">
        <v>214</v>
      </c>
      <c r="I76" s="310">
        <f>+'Att 2'!I273</f>
        <v>0</v>
      </c>
      <c r="J76" s="310">
        <f>+'Att 2'!J273</f>
        <v>0</v>
      </c>
      <c r="K76" s="236" t="s">
        <v>215</v>
      </c>
    </row>
    <row r="77" spans="2:11" x14ac:dyDescent="0.6">
      <c r="B77" s="242" t="s">
        <v>158</v>
      </c>
      <c r="C77" s="297"/>
      <c r="D77" s="303"/>
      <c r="E77" s="298">
        <f>+'Att 2'!E273</f>
        <v>0.83599999999999997</v>
      </c>
      <c r="F77" s="304">
        <f>+'Att 2'!F273</f>
        <v>0</v>
      </c>
    </row>
    <row r="78" spans="2:11" x14ac:dyDescent="0.6">
      <c r="C78" s="308"/>
      <c r="D78" s="303"/>
      <c r="E78" s="308"/>
      <c r="F78" s="303"/>
    </row>
    <row r="79" spans="2:11" x14ac:dyDescent="0.6">
      <c r="B79" s="165" t="s">
        <v>332</v>
      </c>
      <c r="C79" s="308">
        <f>+'Att 2'!C275</f>
        <v>1.0329999999999999</v>
      </c>
      <c r="D79" s="303"/>
      <c r="E79" s="308">
        <f>+'Att 2'!E275</f>
        <v>1</v>
      </c>
      <c r="F79" s="303"/>
    </row>
    <row r="80" spans="2:11" x14ac:dyDescent="0.6">
      <c r="C80" s="308"/>
      <c r="D80" s="303"/>
      <c r="E80" s="308"/>
      <c r="F80" s="303"/>
    </row>
    <row r="81" spans="1:13" x14ac:dyDescent="0.6">
      <c r="C81" s="299"/>
      <c r="E81" s="299"/>
      <c r="I81" s="294"/>
    </row>
    <row r="82" spans="1:13" x14ac:dyDescent="0.6">
      <c r="A82" s="335" t="s">
        <v>333</v>
      </c>
      <c r="B82" s="333" t="s">
        <v>334</v>
      </c>
      <c r="C82" s="299"/>
      <c r="E82" s="299"/>
    </row>
    <row r="83" spans="1:13" x14ac:dyDescent="0.6">
      <c r="A83" s="335"/>
      <c r="B83" s="170" t="s">
        <v>335</v>
      </c>
    </row>
    <row r="85" spans="1:13" x14ac:dyDescent="0.6">
      <c r="B85" s="169" t="s">
        <v>336</v>
      </c>
    </row>
    <row r="86" spans="1:13" x14ac:dyDescent="0.6">
      <c r="B86" s="170" t="s">
        <v>331</v>
      </c>
    </row>
    <row r="87" spans="1:13" x14ac:dyDescent="0.6">
      <c r="B87" s="169"/>
    </row>
    <row r="88" spans="1:13" x14ac:dyDescent="0.6">
      <c r="C88" s="166" t="str">
        <f>+C47</f>
        <v>RS</v>
      </c>
      <c r="D88" s="166" t="str">
        <f t="shared" ref="D88:J88" si="2">+D47</f>
        <v>RHS</v>
      </c>
      <c r="E88" s="166" t="str">
        <f t="shared" si="2"/>
        <v>RLM</v>
      </c>
      <c r="F88" s="166" t="str">
        <f t="shared" si="2"/>
        <v>WH</v>
      </c>
      <c r="G88" s="166" t="str">
        <f t="shared" si="2"/>
        <v>WHS</v>
      </c>
      <c r="H88" s="166" t="str">
        <f t="shared" si="2"/>
        <v>HS</v>
      </c>
      <c r="I88" s="166" t="str">
        <f t="shared" si="2"/>
        <v>PSAL</v>
      </c>
      <c r="J88" s="166" t="str">
        <f t="shared" si="2"/>
        <v>BPL</v>
      </c>
    </row>
    <row r="89" spans="1:13" x14ac:dyDescent="0.6">
      <c r="C89" s="335"/>
      <c r="D89" s="335"/>
      <c r="E89" s="335"/>
      <c r="F89" s="336"/>
      <c r="G89" s="336"/>
      <c r="H89" s="336"/>
      <c r="I89" s="336"/>
      <c r="J89" s="336"/>
    </row>
    <row r="90" spans="1:13" x14ac:dyDescent="0.6">
      <c r="B90" s="180" t="s">
        <v>137</v>
      </c>
      <c r="C90" s="335"/>
      <c r="D90" s="335"/>
      <c r="E90" s="335"/>
      <c r="F90" s="336">
        <f>ROUND(($C$33*F49)/10,4)</f>
        <v>4.7481999999999998</v>
      </c>
      <c r="G90" s="336">
        <f>ROUND(($C$33*G49)/10,4)</f>
        <v>4.7653999999999996</v>
      </c>
      <c r="H90" s="336">
        <f>ROUND(($C$33*H49)/10,4)</f>
        <v>5.9752999999999998</v>
      </c>
      <c r="I90" s="336">
        <f>ROUND(($C$33*K51)/10,4)</f>
        <v>4.3811999999999998</v>
      </c>
      <c r="J90" s="336">
        <f>+I90</f>
        <v>4.3811999999999998</v>
      </c>
      <c r="L90" s="299"/>
      <c r="M90" s="299"/>
    </row>
    <row r="91" spans="1:13" x14ac:dyDescent="0.6">
      <c r="B91" s="242" t="s">
        <v>157</v>
      </c>
      <c r="C91" s="335"/>
      <c r="D91" s="335"/>
      <c r="E91" s="336">
        <f>ROUND(($C$33*E50)/10,4)</f>
        <v>8.5672999999999995</v>
      </c>
      <c r="F91" s="335"/>
      <c r="G91" s="336"/>
      <c r="H91" s="336"/>
      <c r="I91" s="336"/>
      <c r="J91" s="335"/>
      <c r="L91" s="299"/>
      <c r="M91" s="299"/>
    </row>
    <row r="92" spans="1:13" x14ac:dyDescent="0.6">
      <c r="B92" s="242" t="s">
        <v>158</v>
      </c>
      <c r="C92" s="335"/>
      <c r="D92" s="335"/>
      <c r="E92" s="336">
        <f>ROUND(($C$33*E51/10),4)</f>
        <v>4.2149000000000001</v>
      </c>
      <c r="F92" s="335"/>
      <c r="G92" s="335"/>
      <c r="H92" s="335"/>
      <c r="I92" s="335"/>
      <c r="J92" s="335"/>
      <c r="L92" s="299"/>
      <c r="M92" s="299"/>
    </row>
    <row r="93" spans="1:13" x14ac:dyDescent="0.6">
      <c r="B93" s="305"/>
      <c r="C93" s="335"/>
      <c r="D93" s="335"/>
      <c r="E93" s="335"/>
      <c r="F93" s="335"/>
      <c r="G93" s="335"/>
      <c r="H93" s="335"/>
      <c r="I93" s="335"/>
      <c r="J93" s="335"/>
      <c r="L93" s="299"/>
      <c r="M93" s="299"/>
    </row>
    <row r="94" spans="1:13" x14ac:dyDescent="0.6">
      <c r="B94" s="286" t="s">
        <v>232</v>
      </c>
      <c r="C94" s="336">
        <f>ROUND((+$C$33*C53+C54)/10,4)</f>
        <v>5.7149000000000001</v>
      </c>
      <c r="D94" s="336">
        <f>ROUND((+$C$33*D53+D54)/10,4)</f>
        <v>5.1760000000000002</v>
      </c>
      <c r="E94" s="335"/>
      <c r="F94" s="335"/>
      <c r="G94" s="335"/>
      <c r="H94" s="335"/>
      <c r="I94" s="335"/>
      <c r="J94" s="335"/>
      <c r="L94" s="299"/>
      <c r="M94" s="299"/>
    </row>
    <row r="95" spans="1:13" x14ac:dyDescent="0.6">
      <c r="B95" s="286" t="s">
        <v>233</v>
      </c>
      <c r="C95" s="336">
        <f>ROUND((+$C$33*C53+C55)/10,4)</f>
        <v>6.5800999999999998</v>
      </c>
      <c r="D95" s="336">
        <f>ROUND((+$C$33*D53+D55)/10,4)</f>
        <v>6.3329000000000004</v>
      </c>
      <c r="E95" s="335"/>
      <c r="F95" s="335"/>
      <c r="G95" s="335"/>
      <c r="H95" s="335"/>
      <c r="I95" s="335"/>
      <c r="J95" s="335"/>
      <c r="L95" s="299"/>
      <c r="M95" s="299"/>
    </row>
    <row r="96" spans="1:13" x14ac:dyDescent="0.6">
      <c r="C96" s="336"/>
      <c r="D96" s="336"/>
      <c r="E96" s="335"/>
      <c r="F96" s="335"/>
      <c r="G96" s="335"/>
      <c r="H96" s="335"/>
      <c r="I96" s="335"/>
      <c r="J96" s="335"/>
      <c r="L96" s="299"/>
      <c r="M96" s="299"/>
    </row>
    <row r="97" spans="2:13" x14ac:dyDescent="0.6">
      <c r="B97" s="180" t="s">
        <v>140</v>
      </c>
      <c r="C97" s="336">
        <f>ROUND(($C$33*C59)/10,4)</f>
        <v>6.4112</v>
      </c>
      <c r="D97" s="336">
        <f>ROUND(($C$33*D59)/10,4)</f>
        <v>6.1359000000000004</v>
      </c>
      <c r="E97" s="335"/>
      <c r="F97" s="336">
        <f>ROUND(($C$33*F59)/10,4)</f>
        <v>5.1496000000000004</v>
      </c>
      <c r="G97" s="336">
        <f>ROUND(($C$33*G59)/10,4)</f>
        <v>5.3273999999999999</v>
      </c>
      <c r="H97" s="336">
        <f>ROUND(($C$33*H59)/10,4)</f>
        <v>6.4684999999999997</v>
      </c>
      <c r="I97" s="336">
        <f>ROUND(($C$33*K61)/10,4)</f>
        <v>5.0233999999999996</v>
      </c>
      <c r="J97" s="336">
        <f>+I97</f>
        <v>5.0233999999999996</v>
      </c>
      <c r="L97" s="299"/>
      <c r="M97" s="299"/>
    </row>
    <row r="98" spans="2:13" x14ac:dyDescent="0.6">
      <c r="B98" s="242" t="s">
        <v>157</v>
      </c>
      <c r="C98" s="335"/>
      <c r="D98" s="335"/>
      <c r="E98" s="336">
        <f>ROUND(($C$33*E60)/10,4)</f>
        <v>8.6991999999999994</v>
      </c>
      <c r="F98" s="335"/>
      <c r="G98" s="335"/>
      <c r="H98" s="335"/>
      <c r="I98" s="335"/>
      <c r="J98" s="335"/>
      <c r="L98" s="299"/>
      <c r="M98" s="299"/>
    </row>
    <row r="99" spans="2:13" x14ac:dyDescent="0.6">
      <c r="B99" s="242" t="s">
        <v>158</v>
      </c>
      <c r="C99" s="335"/>
      <c r="D99" s="335"/>
      <c r="E99" s="336">
        <f>ROUND(($C$33*E61)/10,4)</f>
        <v>4.8342000000000001</v>
      </c>
      <c r="F99" s="335"/>
      <c r="G99" s="335"/>
      <c r="H99" s="335"/>
      <c r="I99" s="335"/>
      <c r="J99" s="335"/>
      <c r="L99" s="299"/>
      <c r="M99" s="299"/>
    </row>
    <row r="100" spans="2:13" x14ac:dyDescent="0.6">
      <c r="C100" s="335"/>
      <c r="D100" s="335"/>
      <c r="E100" s="336"/>
      <c r="F100" s="335"/>
      <c r="G100" s="335"/>
      <c r="H100" s="335"/>
      <c r="I100" s="335"/>
      <c r="J100" s="335"/>
      <c r="L100" s="299"/>
      <c r="M100" s="299"/>
    </row>
    <row r="103" spans="2:13" x14ac:dyDescent="0.6">
      <c r="B103" s="169" t="s">
        <v>337</v>
      </c>
    </row>
    <row r="104" spans="2:13" x14ac:dyDescent="0.6">
      <c r="B104" s="170" t="s">
        <v>206</v>
      </c>
    </row>
    <row r="105" spans="2:13" x14ac:dyDescent="0.6">
      <c r="B105" s="167"/>
    </row>
    <row r="106" spans="2:13" x14ac:dyDescent="0.6">
      <c r="C106" s="166" t="str">
        <f>+C69</f>
        <v>GLP</v>
      </c>
      <c r="D106" s="166"/>
      <c r="E106" s="166" t="str">
        <f>+E69</f>
        <v>LPL-S</v>
      </c>
      <c r="F106" s="166"/>
      <c r="H106" s="169" t="s">
        <v>207</v>
      </c>
      <c r="I106" s="166" t="str">
        <f>+C106</f>
        <v>GLP</v>
      </c>
      <c r="J106" s="166" t="str">
        <f>+E106</f>
        <v>LPL-S</v>
      </c>
    </row>
    <row r="107" spans="2:13" x14ac:dyDescent="0.6">
      <c r="D107" s="294"/>
      <c r="F107" s="309"/>
    </row>
    <row r="108" spans="2:13" x14ac:dyDescent="0.6">
      <c r="B108" s="180" t="s">
        <v>137</v>
      </c>
      <c r="C108" s="336">
        <f>ROUND(($C$33*C71+D71)/10,4)</f>
        <v>4.6714000000000002</v>
      </c>
      <c r="D108" s="336"/>
      <c r="E108" s="336"/>
      <c r="F108" s="303"/>
      <c r="H108" s="292" t="s">
        <v>208</v>
      </c>
    </row>
    <row r="109" spans="2:13" x14ac:dyDescent="0.6">
      <c r="B109" s="242" t="s">
        <v>157</v>
      </c>
      <c r="C109" s="336"/>
      <c r="D109" s="336"/>
      <c r="E109" s="336">
        <f>ROUND(($C$33*E72+F72)/10,4)</f>
        <v>5.1440000000000001</v>
      </c>
      <c r="F109" s="304"/>
      <c r="H109" s="198" t="s">
        <v>209</v>
      </c>
      <c r="I109" s="337">
        <f>+I72</f>
        <v>3.1888999999999998</v>
      </c>
      <c r="J109" s="337">
        <f>+J72</f>
        <v>3.1888999999999998</v>
      </c>
      <c r="K109" s="236" t="s">
        <v>210</v>
      </c>
    </row>
    <row r="110" spans="2:13" x14ac:dyDescent="0.6">
      <c r="B110" s="242" t="s">
        <v>158</v>
      </c>
      <c r="C110" s="336"/>
      <c r="D110" s="336"/>
      <c r="E110" s="336">
        <f>ROUND(($C$33*E73+F73)/10,4)</f>
        <v>4.2034000000000002</v>
      </c>
      <c r="F110" s="304"/>
      <c r="H110" s="198" t="s">
        <v>211</v>
      </c>
      <c r="I110" s="337">
        <f>+I73</f>
        <v>3.1888999999999998</v>
      </c>
      <c r="J110" s="337">
        <f>+J73</f>
        <v>3.1888999999999998</v>
      </c>
      <c r="K110" s="236" t="s">
        <v>210</v>
      </c>
    </row>
    <row r="111" spans="2:13" x14ac:dyDescent="0.6">
      <c r="C111" s="336"/>
      <c r="D111" s="336"/>
      <c r="E111" s="336"/>
      <c r="F111" s="304"/>
      <c r="H111" s="198"/>
      <c r="I111" s="310"/>
      <c r="J111" s="310"/>
      <c r="K111" s="236"/>
    </row>
    <row r="112" spans="2:13" x14ac:dyDescent="0.6">
      <c r="B112" s="180" t="s">
        <v>140</v>
      </c>
      <c r="C112" s="336">
        <f>ROUND(($C$33*C75+D75)/10,4)</f>
        <v>4.9657999999999998</v>
      </c>
      <c r="D112" s="336"/>
      <c r="E112" s="336"/>
      <c r="F112" s="304"/>
      <c r="H112" s="292" t="s">
        <v>213</v>
      </c>
      <c r="I112" s="295"/>
      <c r="J112" s="295"/>
    </row>
    <row r="113" spans="1:12" x14ac:dyDescent="0.6">
      <c r="B113" s="242" t="s">
        <v>157</v>
      </c>
      <c r="C113" s="336"/>
      <c r="D113" s="336"/>
      <c r="E113" s="336">
        <f>ROUND(($C$33*E76+F76)/10,4)</f>
        <v>5.1959</v>
      </c>
      <c r="F113" s="304"/>
      <c r="H113" s="198" t="s">
        <v>214</v>
      </c>
      <c r="I113" s="337">
        <f>+I76</f>
        <v>0</v>
      </c>
      <c r="J113" s="337">
        <f>+J76</f>
        <v>0</v>
      </c>
      <c r="K113" s="236" t="s">
        <v>215</v>
      </c>
    </row>
    <row r="114" spans="1:12" x14ac:dyDescent="0.6">
      <c r="B114" s="242" t="s">
        <v>158</v>
      </c>
      <c r="C114" s="336"/>
      <c r="D114" s="336"/>
      <c r="E114" s="336">
        <f>ROUND(($C$33*E77+F77)/10,4)</f>
        <v>4.7939999999999996</v>
      </c>
      <c r="F114" s="304"/>
    </row>
    <row r="115" spans="1:12" x14ac:dyDescent="0.6">
      <c r="C115" s="308"/>
      <c r="D115" s="303"/>
      <c r="E115" s="308"/>
      <c r="F115" s="303"/>
    </row>
    <row r="116" spans="1:12" x14ac:dyDescent="0.6">
      <c r="C116" s="308"/>
      <c r="D116" s="303"/>
      <c r="E116" s="308"/>
      <c r="F116" s="303"/>
    </row>
    <row r="118" spans="1:12" x14ac:dyDescent="0.6">
      <c r="A118" s="335" t="s">
        <v>338</v>
      </c>
      <c r="B118" s="169" t="s">
        <v>339</v>
      </c>
      <c r="C118" s="299"/>
      <c r="E118" s="299"/>
    </row>
    <row r="119" spans="1:12" x14ac:dyDescent="0.6">
      <c r="C119" s="299"/>
      <c r="E119" s="299"/>
    </row>
    <row r="120" spans="1:12" x14ac:dyDescent="0.6">
      <c r="C120" s="166" t="s">
        <v>7</v>
      </c>
      <c r="D120" s="166" t="s">
        <v>8</v>
      </c>
      <c r="E120" s="166" t="s">
        <v>9</v>
      </c>
      <c r="F120" s="166" t="s">
        <v>10</v>
      </c>
      <c r="G120" s="166" t="s">
        <v>11</v>
      </c>
      <c r="H120" s="166" t="s">
        <v>12</v>
      </c>
      <c r="I120" s="166" t="s">
        <v>13</v>
      </c>
      <c r="J120" s="166" t="s">
        <v>14</v>
      </c>
    </row>
    <row r="121" spans="1:12" x14ac:dyDescent="0.6">
      <c r="B121" s="165" t="s">
        <v>340</v>
      </c>
    </row>
    <row r="122" spans="1:12" x14ac:dyDescent="0.6">
      <c r="B122" s="192" t="s">
        <v>46</v>
      </c>
      <c r="C122" s="251">
        <f>+C94/100*'Att 2'!O53+'Att 3'!C95/100*'Att 2'!O54</f>
        <v>335312.00483683543</v>
      </c>
      <c r="D122" s="251">
        <f>+D94/100*'Att 2'!P53+'Att 3'!D95/100*'Att 2'!P54</f>
        <v>1174.2191961530148</v>
      </c>
      <c r="E122" s="317">
        <f>+E91/100*'Att 2'!Q50+E92/100*'Att 2'!Q51</f>
        <v>4875.4389880582712</v>
      </c>
      <c r="F122" s="251">
        <f>+F90/100*'Att 2'!R49</f>
        <v>11.205751999999999</v>
      </c>
      <c r="G122" s="251">
        <f>+G90/100*'Att 2'!S49</f>
        <v>0.19061599999999998</v>
      </c>
      <c r="H122" s="251">
        <f>+H90/100*'Att 2'!T49</f>
        <v>121.57455177887397</v>
      </c>
      <c r="I122" s="251">
        <f>+I90/100*'Att 2'!U49</f>
        <v>1745.8205759999998</v>
      </c>
      <c r="J122" s="251">
        <f>+J90/100*'Att 2'!V49</f>
        <v>3413.0424239999998</v>
      </c>
    </row>
    <row r="123" spans="1:12" ht="15.25" x14ac:dyDescent="1.05">
      <c r="B123" s="192" t="s">
        <v>47</v>
      </c>
      <c r="C123" s="252">
        <f>+C97/100*'Att 2'!O45</f>
        <v>477119.54021355201</v>
      </c>
      <c r="D123" s="252">
        <f>+D97/100*'Att 2'!P45</f>
        <v>4168.8813430995906</v>
      </c>
      <c r="E123" s="252">
        <f>+E98/100*'Att 2'!Q46+'Att 3'!E99/100*'Att 2'!Q47</f>
        <v>5938.3672914630461</v>
      </c>
      <c r="F123" s="252">
        <f>+F97/100*'Att 2'!R45</f>
        <v>30.794608000000004</v>
      </c>
      <c r="G123" s="252">
        <f>+G97/100*'Att 2'!S45</f>
        <v>0.53273999999999999</v>
      </c>
      <c r="H123" s="252">
        <f>+H97/100*'Att 2'!T45</f>
        <v>466.9410580808082</v>
      </c>
      <c r="I123" s="252">
        <f>+I97/100*'Att 2'!U45</f>
        <v>5286.475457999999</v>
      </c>
      <c r="J123" s="252">
        <f>+J97/100*'Att 2'!V45</f>
        <v>10747.81547</v>
      </c>
    </row>
    <row r="124" spans="1:12" x14ac:dyDescent="0.6">
      <c r="B124" s="192" t="s">
        <v>106</v>
      </c>
      <c r="C124" s="246">
        <f>+C123+C122</f>
        <v>812431.5450503875</v>
      </c>
      <c r="D124" s="246">
        <f t="shared" ref="D124:J124" si="3">+D123+D122</f>
        <v>5343.1005392526058</v>
      </c>
      <c r="E124" s="246">
        <f t="shared" si="3"/>
        <v>10813.806279521317</v>
      </c>
      <c r="F124" s="246">
        <f t="shared" si="3"/>
        <v>42.000360000000001</v>
      </c>
      <c r="G124" s="246">
        <f t="shared" si="3"/>
        <v>0.723356</v>
      </c>
      <c r="H124" s="246">
        <f t="shared" si="3"/>
        <v>588.51560985968217</v>
      </c>
      <c r="I124" s="246">
        <f t="shared" si="3"/>
        <v>7032.2960339999991</v>
      </c>
      <c r="J124" s="246">
        <f t="shared" si="3"/>
        <v>14160.857893999999</v>
      </c>
    </row>
    <row r="125" spans="1:12" x14ac:dyDescent="0.6">
      <c r="B125" s="192"/>
      <c r="C125" s="246"/>
      <c r="D125" s="246"/>
      <c r="E125" s="246"/>
      <c r="F125" s="246"/>
      <c r="G125" s="246"/>
      <c r="H125" s="246"/>
      <c r="I125" s="246"/>
      <c r="J125" s="246"/>
      <c r="K125" s="246"/>
      <c r="L125" s="246"/>
    </row>
    <row r="126" spans="1:12" x14ac:dyDescent="0.6">
      <c r="B126" s="192"/>
      <c r="C126" s="246"/>
      <c r="D126" s="246"/>
      <c r="E126" s="246"/>
      <c r="F126" s="246"/>
      <c r="G126" s="246"/>
      <c r="H126" s="246"/>
      <c r="I126" s="246"/>
      <c r="J126" s="246"/>
      <c r="K126" s="246"/>
      <c r="L126" s="246"/>
    </row>
    <row r="127" spans="1:12" x14ac:dyDescent="0.6">
      <c r="B127" s="192"/>
      <c r="C127" s="166" t="s">
        <v>15</v>
      </c>
      <c r="D127" s="166" t="s">
        <v>15</v>
      </c>
      <c r="F127" s="166" t="s">
        <v>16</v>
      </c>
      <c r="G127" s="166" t="s">
        <v>16</v>
      </c>
      <c r="H127" s="246"/>
      <c r="I127" s="246"/>
      <c r="J127" s="246"/>
      <c r="K127" s="246"/>
      <c r="L127" s="246"/>
    </row>
    <row r="128" spans="1:12" x14ac:dyDescent="0.6">
      <c r="B128" s="192"/>
      <c r="C128" s="166" t="s">
        <v>341</v>
      </c>
      <c r="D128" s="166" t="s">
        <v>342</v>
      </c>
      <c r="F128" s="166" t="s">
        <v>341</v>
      </c>
      <c r="G128" s="166" t="s">
        <v>342</v>
      </c>
      <c r="H128" s="246"/>
      <c r="I128" s="246"/>
      <c r="J128" s="246"/>
      <c r="K128" s="246"/>
      <c r="L128" s="246"/>
    </row>
    <row r="129" spans="2:12" x14ac:dyDescent="0.6">
      <c r="B129" s="192"/>
      <c r="G129" s="246"/>
      <c r="H129" s="246"/>
      <c r="I129" s="246"/>
      <c r="J129" s="246"/>
      <c r="K129" s="246"/>
      <c r="L129" s="246"/>
    </row>
    <row r="130" spans="2:12" x14ac:dyDescent="0.6">
      <c r="B130" s="192" t="s">
        <v>46</v>
      </c>
      <c r="C130" s="317">
        <f>+C108/100*'Att 2'!W49</f>
        <v>107984.97180401554</v>
      </c>
      <c r="D130" s="317">
        <f>I109*'Att 2'!K147*4+'Att 3'!I113*'Att 2'!K149*4</f>
        <v>22452.40712</v>
      </c>
      <c r="F130" s="317">
        <f>+E109/100*'Att 2'!X50+'Att 3'!E110/100*'Att 2'!X51</f>
        <v>71963.624782200524</v>
      </c>
      <c r="G130" s="317">
        <f>'Att 3'!J109*'Att 2'!L147*4+'Att 3'!J113*'Att 2'!L149*4</f>
        <v>12417.576599999999</v>
      </c>
      <c r="H130" s="246"/>
      <c r="I130" s="246"/>
      <c r="J130" s="246"/>
      <c r="K130" s="246"/>
      <c r="L130" s="246"/>
    </row>
    <row r="131" spans="2:12" ht="15.25" x14ac:dyDescent="1.05">
      <c r="B131" s="192" t="s">
        <v>47</v>
      </c>
      <c r="C131" s="338">
        <f>+C112/100*'Att 2'!W45</f>
        <v>199354.55417542043</v>
      </c>
      <c r="D131" s="338">
        <f>'Att 3'!I110*'Att 2'!K147*8+'Att 3'!I113*'Att 2'!K149*8</f>
        <v>44904.81424</v>
      </c>
      <c r="F131" s="338">
        <f>+E113/100*'Att 2'!X46+'Att 3'!E114/100*'Att 2'!X47</f>
        <v>138694.61773477134</v>
      </c>
      <c r="G131" s="338">
        <f>'Att 3'!J110*'Att 2'!L147*8+'Att 3'!J113*'Att 2'!L149*8</f>
        <v>24835.153199999997</v>
      </c>
      <c r="H131" s="246"/>
      <c r="I131" s="246"/>
      <c r="J131" s="246"/>
      <c r="K131" s="246"/>
      <c r="L131" s="246"/>
    </row>
    <row r="132" spans="2:12" x14ac:dyDescent="0.6">
      <c r="B132" s="192" t="s">
        <v>106</v>
      </c>
      <c r="C132" s="246">
        <f>+C131+C130</f>
        <v>307339.525979436</v>
      </c>
      <c r="D132" s="246">
        <f>+D131+D130</f>
        <v>67357.221359999996</v>
      </c>
      <c r="F132" s="246">
        <f>+F131+F130</f>
        <v>210658.24251697186</v>
      </c>
      <c r="G132" s="246">
        <f>+G131+G130</f>
        <v>37252.729799999994</v>
      </c>
      <c r="H132" s="246"/>
      <c r="I132" s="246"/>
      <c r="J132" s="246"/>
      <c r="K132" s="246"/>
      <c r="L132" s="246"/>
    </row>
    <row r="133" spans="2:12" x14ac:dyDescent="0.6">
      <c r="B133" s="192"/>
      <c r="C133" s="246"/>
      <c r="F133" s="246"/>
      <c r="G133" s="246"/>
      <c r="H133" s="246"/>
      <c r="I133" s="246"/>
      <c r="J133" s="246"/>
      <c r="K133" s="246"/>
      <c r="L133" s="246"/>
    </row>
    <row r="134" spans="2:12" x14ac:dyDescent="0.6">
      <c r="B134" s="192"/>
      <c r="C134" s="246"/>
      <c r="D134" s="246"/>
      <c r="E134" s="246"/>
      <c r="F134" s="246"/>
      <c r="G134" s="246"/>
      <c r="H134" s="246"/>
      <c r="I134" s="246"/>
      <c r="J134" s="246"/>
      <c r="K134" s="246"/>
      <c r="L134" s="246"/>
    </row>
    <row r="135" spans="2:12" x14ac:dyDescent="0.6">
      <c r="B135" s="192"/>
      <c r="C135" s="166" t="s">
        <v>341</v>
      </c>
      <c r="D135" s="166" t="s">
        <v>342</v>
      </c>
      <c r="E135" s="166" t="s">
        <v>343</v>
      </c>
      <c r="F135" s="246"/>
      <c r="G135" s="246"/>
      <c r="H135" s="246"/>
      <c r="I135" s="246"/>
      <c r="J135" s="246"/>
      <c r="K135" s="246"/>
      <c r="L135" s="246"/>
    </row>
    <row r="136" spans="2:12" x14ac:dyDescent="0.6">
      <c r="B136" s="192" t="s">
        <v>275</v>
      </c>
      <c r="C136" s="246">
        <f>SUM(C122:J122)+C130+F130</f>
        <v>526602.09352704161</v>
      </c>
      <c r="D136" s="246">
        <f>+D130+G130</f>
        <v>34869.983719999997</v>
      </c>
      <c r="E136" s="246">
        <f>+C136+D136</f>
        <v>561472.07724704163</v>
      </c>
      <c r="F136" s="246"/>
      <c r="G136" s="246"/>
      <c r="H136" s="246"/>
      <c r="I136" s="246"/>
      <c r="J136" s="246"/>
      <c r="K136" s="246"/>
      <c r="L136" s="246"/>
    </row>
    <row r="137" spans="2:12" ht="15.25" x14ac:dyDescent="1.05">
      <c r="B137" s="192" t="s">
        <v>276</v>
      </c>
      <c r="C137" s="334">
        <f>SUM(C123:J123)+C131+F131</f>
        <v>841808.52009238722</v>
      </c>
      <c r="D137" s="334">
        <f>+D131+G131</f>
        <v>69739.967439999993</v>
      </c>
      <c r="E137" s="334">
        <f>+C137+D137</f>
        <v>911548.48753238725</v>
      </c>
    </row>
    <row r="138" spans="2:12" x14ac:dyDescent="0.6">
      <c r="B138" s="192" t="s">
        <v>277</v>
      </c>
      <c r="C138" s="246">
        <f>+C137+C136</f>
        <v>1368410.6136194288</v>
      </c>
      <c r="D138" s="246">
        <f>+D132+G132</f>
        <v>104609.95116</v>
      </c>
      <c r="E138" s="339">
        <f>+C138+D138</f>
        <v>1473020.5647794288</v>
      </c>
    </row>
    <row r="139" spans="2:12" x14ac:dyDescent="0.6">
      <c r="B139" s="192"/>
      <c r="C139" s="299"/>
      <c r="E139" s="299"/>
    </row>
    <row r="140" spans="2:12" x14ac:dyDescent="0.6">
      <c r="C140" s="166"/>
      <c r="D140" s="166"/>
      <c r="E140" s="166"/>
      <c r="F140" s="166"/>
      <c r="G140" s="166"/>
      <c r="H140" s="166"/>
      <c r="I140" s="166"/>
      <c r="J140" s="166"/>
      <c r="K140" s="166"/>
      <c r="L140" s="166"/>
    </row>
    <row r="141" spans="2:12" x14ac:dyDescent="0.6">
      <c r="B141" s="165" t="s">
        <v>278</v>
      </c>
    </row>
    <row r="142" spans="2:12" x14ac:dyDescent="0.6">
      <c r="B142" s="192" t="s">
        <v>46</v>
      </c>
      <c r="C142" s="246">
        <f>+C25+D25+E25</f>
        <v>582869.29651507293</v>
      </c>
    </row>
    <row r="143" spans="2:12" ht="15.25" x14ac:dyDescent="1.05">
      <c r="B143" s="192" t="s">
        <v>47</v>
      </c>
      <c r="C143" s="334">
        <f>+C26+D26+E26</f>
        <v>890222.11192088621</v>
      </c>
      <c r="E143" s="340"/>
      <c r="F143" s="341"/>
      <c r="G143" s="341"/>
      <c r="H143" s="342"/>
    </row>
    <row r="144" spans="2:12" x14ac:dyDescent="0.6">
      <c r="B144" s="192" t="s">
        <v>106</v>
      </c>
      <c r="C144" s="246">
        <f>+C143+C142</f>
        <v>1473091.4084359591</v>
      </c>
      <c r="E144" s="343" t="s">
        <v>344</v>
      </c>
      <c r="F144" s="344"/>
      <c r="G144" s="344"/>
      <c r="H144" s="345"/>
    </row>
    <row r="145" spans="1:10" x14ac:dyDescent="0.6">
      <c r="C145" s="299"/>
      <c r="E145" s="343" t="s">
        <v>345</v>
      </c>
      <c r="F145" s="346" t="s">
        <v>346</v>
      </c>
      <c r="G145" s="344"/>
      <c r="H145" s="345"/>
    </row>
    <row r="146" spans="1:10" x14ac:dyDescent="0.6">
      <c r="B146" s="164" t="s">
        <v>347</v>
      </c>
      <c r="C146" s="193"/>
      <c r="D146" s="193"/>
      <c r="E146" s="347" t="s">
        <v>348</v>
      </c>
      <c r="F146" s="344"/>
      <c r="G146" s="344"/>
      <c r="H146" s="345"/>
    </row>
    <row r="147" spans="1:10" x14ac:dyDescent="0.6">
      <c r="B147" s="192" t="s">
        <v>46</v>
      </c>
      <c r="C147" s="246">
        <f>+C142-E136</f>
        <v>21397.219268031302</v>
      </c>
      <c r="D147" s="348"/>
      <c r="E147" s="349">
        <f>ROUND(1+(C147/C136),5)</f>
        <v>1.0406299999999999</v>
      </c>
      <c r="F147" s="344"/>
      <c r="G147" s="344"/>
      <c r="H147" s="345"/>
    </row>
    <row r="148" spans="1:10" ht="15.25" x14ac:dyDescent="1.05">
      <c r="B148" s="192" t="s">
        <v>47</v>
      </c>
      <c r="C148" s="334">
        <f>+C143-E137</f>
        <v>-21326.375611501047</v>
      </c>
      <c r="D148" s="348"/>
      <c r="E148" s="349">
        <f>ROUND(1+(C148/C137),5)</f>
        <v>0.97467000000000004</v>
      </c>
      <c r="F148" s="344"/>
      <c r="G148" s="344"/>
      <c r="H148" s="345"/>
    </row>
    <row r="149" spans="1:10" x14ac:dyDescent="0.6">
      <c r="B149" s="192" t="s">
        <v>106</v>
      </c>
      <c r="C149" s="246">
        <f>+C144-E138</f>
        <v>70.843656530370936</v>
      </c>
      <c r="D149" s="348"/>
      <c r="E149" s="350"/>
      <c r="F149" s="232"/>
      <c r="G149" s="232"/>
      <c r="H149" s="351"/>
    </row>
    <row r="151" spans="1:10" x14ac:dyDescent="0.6">
      <c r="C151" s="165" t="s">
        <v>349</v>
      </c>
    </row>
    <row r="152" spans="1:10" x14ac:dyDescent="0.6">
      <c r="C152" s="165" t="s">
        <v>350</v>
      </c>
    </row>
    <row r="154" spans="1:10" x14ac:dyDescent="0.6">
      <c r="A154" s="335" t="s">
        <v>351</v>
      </c>
      <c r="B154" s="333" t="s">
        <v>352</v>
      </c>
      <c r="C154" s="299"/>
      <c r="E154" s="299"/>
    </row>
    <row r="155" spans="1:10" x14ac:dyDescent="0.6">
      <c r="B155" s="170" t="s">
        <v>335</v>
      </c>
    </row>
    <row r="157" spans="1:10" x14ac:dyDescent="0.6">
      <c r="B157" s="169" t="s">
        <v>336</v>
      </c>
    </row>
    <row r="158" spans="1:10" x14ac:dyDescent="0.6">
      <c r="B158" s="170" t="s">
        <v>353</v>
      </c>
    </row>
    <row r="159" spans="1:10" x14ac:dyDescent="0.6">
      <c r="B159" s="169"/>
    </row>
    <row r="160" spans="1:10" x14ac:dyDescent="0.6">
      <c r="C160" s="166" t="str">
        <f>+C120</f>
        <v>RS</v>
      </c>
      <c r="D160" s="166" t="str">
        <f t="shared" ref="D160:J160" si="4">+D120</f>
        <v>RHS</v>
      </c>
      <c r="E160" s="166" t="str">
        <f t="shared" si="4"/>
        <v>RLM</v>
      </c>
      <c r="F160" s="166" t="str">
        <f t="shared" si="4"/>
        <v>WH</v>
      </c>
      <c r="G160" s="166" t="str">
        <f t="shared" si="4"/>
        <v>WHS</v>
      </c>
      <c r="H160" s="166" t="str">
        <f t="shared" si="4"/>
        <v>HS</v>
      </c>
      <c r="I160" s="166" t="str">
        <f t="shared" si="4"/>
        <v>PSAL</v>
      </c>
      <c r="J160" s="166" t="str">
        <f t="shared" si="4"/>
        <v>BPL</v>
      </c>
    </row>
    <row r="161" spans="2:10" x14ac:dyDescent="0.6">
      <c r="C161" s="335"/>
      <c r="D161" s="335"/>
      <c r="E161" s="335"/>
      <c r="F161" s="336"/>
      <c r="G161" s="336"/>
      <c r="H161" s="336"/>
      <c r="I161" s="336"/>
      <c r="J161" s="336"/>
    </row>
    <row r="162" spans="2:10" x14ac:dyDescent="0.6">
      <c r="B162" s="180" t="s">
        <v>137</v>
      </c>
      <c r="C162" s="335"/>
      <c r="D162" s="335"/>
      <c r="E162" s="335"/>
      <c r="F162" s="336">
        <f>ROUND(+F90*$E$147,4)</f>
        <v>4.9410999999999996</v>
      </c>
      <c r="G162" s="336">
        <f>ROUND(+G90*$E$147,4)</f>
        <v>4.9589999999999996</v>
      </c>
      <c r="H162" s="336">
        <f>ROUND(+H90*$E$147,4)</f>
        <v>6.2180999999999997</v>
      </c>
      <c r="I162" s="336">
        <f>ROUND(+I90*$E$147,4)</f>
        <v>4.5591999999999997</v>
      </c>
      <c r="J162" s="336">
        <f>ROUND(+J90*$E$147,4)</f>
        <v>4.5591999999999997</v>
      </c>
    </row>
    <row r="163" spans="2:10" x14ac:dyDescent="0.6">
      <c r="B163" s="242" t="s">
        <v>157</v>
      </c>
      <c r="C163" s="335"/>
      <c r="D163" s="335"/>
      <c r="E163" s="336">
        <f>ROUND(+E91*$E$147,4)</f>
        <v>8.9154</v>
      </c>
      <c r="G163" s="336"/>
      <c r="H163" s="336"/>
      <c r="I163" s="336"/>
      <c r="J163" s="335"/>
    </row>
    <row r="164" spans="2:10" x14ac:dyDescent="0.6">
      <c r="B164" s="242" t="s">
        <v>158</v>
      </c>
      <c r="C164" s="335"/>
      <c r="D164" s="335"/>
      <c r="E164" s="336">
        <f>ROUND(+E92*$E$147,4)</f>
        <v>4.3861999999999997</v>
      </c>
      <c r="F164" s="335"/>
      <c r="G164" s="335"/>
      <c r="H164" s="335"/>
      <c r="I164" s="335"/>
      <c r="J164" s="335"/>
    </row>
    <row r="165" spans="2:10" x14ac:dyDescent="0.6">
      <c r="B165" s="305"/>
      <c r="C165" s="335"/>
      <c r="D165" s="335"/>
      <c r="E165" s="335"/>
      <c r="F165" s="335"/>
      <c r="G165" s="335"/>
      <c r="H165" s="335"/>
      <c r="I165" s="335"/>
      <c r="J165" s="335"/>
    </row>
    <row r="166" spans="2:10" x14ac:dyDescent="0.6">
      <c r="B166" s="286" t="s">
        <v>232</v>
      </c>
      <c r="C166" s="336">
        <f>ROUND(+C94*$E$147,4)</f>
        <v>5.9470999999999998</v>
      </c>
      <c r="D166" s="336">
        <f>ROUND(+D94*$E$147,4)</f>
        <v>5.3863000000000003</v>
      </c>
      <c r="E166" s="335"/>
      <c r="F166" s="335"/>
      <c r="G166" s="335"/>
      <c r="H166" s="335"/>
      <c r="I166" s="335"/>
      <c r="J166" s="335"/>
    </row>
    <row r="167" spans="2:10" x14ac:dyDescent="0.6">
      <c r="B167" s="286" t="s">
        <v>233</v>
      </c>
      <c r="C167" s="336">
        <f>ROUND(+C95*$E$147,4)</f>
        <v>6.8474000000000004</v>
      </c>
      <c r="D167" s="336">
        <f>ROUND(+D95*$E$147,4)</f>
        <v>6.5902000000000003</v>
      </c>
      <c r="E167" s="335"/>
      <c r="F167" s="335"/>
      <c r="G167" s="335"/>
      <c r="H167" s="335"/>
      <c r="I167" s="335"/>
      <c r="J167" s="335"/>
    </row>
    <row r="168" spans="2:10" x14ac:dyDescent="0.6">
      <c r="C168" s="336"/>
      <c r="D168" s="336"/>
      <c r="E168" s="335"/>
      <c r="F168" s="335"/>
      <c r="G168" s="335"/>
      <c r="H168" s="335"/>
      <c r="I168" s="335"/>
      <c r="J168" s="335"/>
    </row>
    <row r="169" spans="2:10" x14ac:dyDescent="0.6">
      <c r="B169" s="180" t="s">
        <v>140</v>
      </c>
      <c r="C169" s="336">
        <f>ROUND(+C97*$E$148,4)</f>
        <v>6.2488000000000001</v>
      </c>
      <c r="D169" s="336">
        <f>ROUND(+D97*$E$148,4)</f>
        <v>5.9805000000000001</v>
      </c>
      <c r="E169" s="335"/>
      <c r="F169" s="336">
        <f>ROUND(+F97*$E$148,4)</f>
        <v>5.0191999999999997</v>
      </c>
      <c r="G169" s="336">
        <f>ROUND(+G97*$E$148,4)</f>
        <v>5.1924999999999999</v>
      </c>
      <c r="H169" s="336">
        <f>ROUND(+H97*$E$148,4)</f>
        <v>6.3047000000000004</v>
      </c>
      <c r="I169" s="336">
        <f>ROUND(+I97*$E$148,4)</f>
        <v>4.8962000000000003</v>
      </c>
      <c r="J169" s="336">
        <f>ROUND(+J97*$E$148,4)</f>
        <v>4.8962000000000003</v>
      </c>
    </row>
    <row r="170" spans="2:10" x14ac:dyDescent="0.6">
      <c r="B170" s="242" t="s">
        <v>157</v>
      </c>
      <c r="C170" s="335"/>
      <c r="D170" s="335"/>
      <c r="E170" s="336">
        <f>ROUND(+E98*$E$148,4)</f>
        <v>8.4787999999999997</v>
      </c>
      <c r="F170" s="335"/>
      <c r="G170" s="335"/>
      <c r="H170" s="335"/>
      <c r="I170" s="335"/>
      <c r="J170" s="335"/>
    </row>
    <row r="171" spans="2:10" x14ac:dyDescent="0.6">
      <c r="B171" s="242" t="s">
        <v>158</v>
      </c>
      <c r="C171" s="335"/>
      <c r="D171" s="335"/>
      <c r="E171" s="336">
        <f>ROUND(+E99*$E$148,4)</f>
        <v>4.7117000000000004</v>
      </c>
      <c r="F171" s="335"/>
      <c r="G171" s="335"/>
      <c r="H171" s="335"/>
      <c r="I171" s="335"/>
      <c r="J171" s="335"/>
    </row>
    <row r="172" spans="2:10" x14ac:dyDescent="0.6">
      <c r="C172" s="335"/>
      <c r="D172" s="335"/>
      <c r="E172" s="336"/>
      <c r="F172" s="335"/>
      <c r="G172" s="335"/>
      <c r="H172" s="335"/>
      <c r="I172" s="335"/>
      <c r="J172" s="335"/>
    </row>
    <row r="175" spans="2:10" x14ac:dyDescent="0.6">
      <c r="B175" s="169" t="s">
        <v>337</v>
      </c>
    </row>
    <row r="176" spans="2:10" x14ac:dyDescent="0.6">
      <c r="B176" s="170" t="s">
        <v>354</v>
      </c>
    </row>
    <row r="177" spans="1:12" x14ac:dyDescent="0.6">
      <c r="B177" s="167"/>
    </row>
    <row r="178" spans="1:12" x14ac:dyDescent="0.6">
      <c r="C178" s="166" t="str">
        <f>+C106</f>
        <v>GLP</v>
      </c>
      <c r="D178" s="166"/>
      <c r="E178" s="166" t="str">
        <f>+E106</f>
        <v>LPL-S</v>
      </c>
      <c r="F178" s="166"/>
      <c r="H178" s="169" t="s">
        <v>207</v>
      </c>
      <c r="I178" s="166" t="str">
        <f>+C178</f>
        <v>GLP</v>
      </c>
      <c r="J178" s="166" t="str">
        <f>+E178</f>
        <v>LPL-S</v>
      </c>
    </row>
    <row r="179" spans="1:12" x14ac:dyDescent="0.6">
      <c r="F179" s="309"/>
    </row>
    <row r="180" spans="1:12" x14ac:dyDescent="0.6">
      <c r="B180" s="180" t="s">
        <v>137</v>
      </c>
      <c r="C180" s="336">
        <f>ROUND(+C108*$E$147,4)</f>
        <v>4.8612000000000002</v>
      </c>
      <c r="D180" s="336"/>
      <c r="E180" s="336"/>
      <c r="F180" s="303"/>
      <c r="H180" s="292" t="s">
        <v>208</v>
      </c>
    </row>
    <row r="181" spans="1:12" x14ac:dyDescent="0.6">
      <c r="B181" s="242" t="s">
        <v>157</v>
      </c>
      <c r="C181" s="336"/>
      <c r="D181" s="336"/>
      <c r="E181" s="336">
        <f>ROUND(+E109*$E$147,4)</f>
        <v>5.3529999999999998</v>
      </c>
      <c r="F181" s="304"/>
      <c r="H181" s="198" t="s">
        <v>209</v>
      </c>
      <c r="I181" s="352">
        <f>+I109</f>
        <v>3.1888999999999998</v>
      </c>
      <c r="J181" s="352">
        <f>+J109</f>
        <v>3.1888999999999998</v>
      </c>
    </row>
    <row r="182" spans="1:12" x14ac:dyDescent="0.6">
      <c r="B182" s="242" t="s">
        <v>158</v>
      </c>
      <c r="C182" s="336"/>
      <c r="D182" s="336"/>
      <c r="E182" s="336">
        <f>ROUND(+E110*$E$147,4)</f>
        <v>4.3742000000000001</v>
      </c>
      <c r="F182" s="304"/>
      <c r="H182" s="198" t="s">
        <v>211</v>
      </c>
      <c r="I182" s="352">
        <f>+I110</f>
        <v>3.1888999999999998</v>
      </c>
      <c r="J182" s="352">
        <f>+J110</f>
        <v>3.1888999999999998</v>
      </c>
    </row>
    <row r="183" spans="1:12" x14ac:dyDescent="0.6">
      <c r="C183" s="336"/>
      <c r="D183" s="336"/>
      <c r="E183" s="336"/>
      <c r="F183" s="304"/>
      <c r="H183" s="198"/>
      <c r="I183" s="310"/>
      <c r="J183" s="310"/>
    </row>
    <row r="184" spans="1:12" x14ac:dyDescent="0.6">
      <c r="B184" s="180" t="s">
        <v>140</v>
      </c>
      <c r="C184" s="336">
        <f>ROUND(+C112*$E$148,4)</f>
        <v>4.84</v>
      </c>
      <c r="D184" s="336"/>
      <c r="E184" s="336"/>
      <c r="F184" s="304"/>
      <c r="H184" s="292" t="s">
        <v>213</v>
      </c>
      <c r="I184" s="295"/>
      <c r="J184" s="295"/>
    </row>
    <row r="185" spans="1:12" x14ac:dyDescent="0.6">
      <c r="B185" s="242" t="s">
        <v>157</v>
      </c>
      <c r="C185" s="336"/>
      <c r="D185" s="336"/>
      <c r="E185" s="336">
        <f>ROUND(+E113*$E$148,4)</f>
        <v>5.0643000000000002</v>
      </c>
      <c r="F185" s="304"/>
      <c r="H185" s="198" t="s">
        <v>214</v>
      </c>
      <c r="I185" s="352">
        <f>+I113</f>
        <v>0</v>
      </c>
      <c r="J185" s="352">
        <f>+J113</f>
        <v>0</v>
      </c>
    </row>
    <row r="186" spans="1:12" x14ac:dyDescent="0.6">
      <c r="B186" s="242" t="s">
        <v>158</v>
      </c>
      <c r="C186" s="336"/>
      <c r="D186" s="336"/>
      <c r="E186" s="336">
        <f>ROUND(+E114*$E$148,4)</f>
        <v>4.6726000000000001</v>
      </c>
      <c r="F186" s="304"/>
    </row>
    <row r="190" spans="1:12" x14ac:dyDescent="0.6">
      <c r="A190" s="335" t="s">
        <v>355</v>
      </c>
      <c r="B190" s="169" t="s">
        <v>356</v>
      </c>
      <c r="C190" s="299"/>
      <c r="E190" s="299"/>
    </row>
    <row r="191" spans="1:12" x14ac:dyDescent="0.6">
      <c r="C191" s="299"/>
      <c r="E191" s="299"/>
    </row>
    <row r="192" spans="1:12" x14ac:dyDescent="0.6">
      <c r="C192" s="166" t="s">
        <v>7</v>
      </c>
      <c r="D192" s="166" t="s">
        <v>8</v>
      </c>
      <c r="E192" s="166" t="s">
        <v>9</v>
      </c>
      <c r="F192" s="166" t="s">
        <v>10</v>
      </c>
      <c r="G192" s="166" t="s">
        <v>11</v>
      </c>
      <c r="H192" s="166" t="s">
        <v>12</v>
      </c>
      <c r="I192" s="166" t="s">
        <v>13</v>
      </c>
      <c r="J192" s="166" t="s">
        <v>14</v>
      </c>
      <c r="K192" s="166" t="s">
        <v>15</v>
      </c>
      <c r="L192" s="166" t="s">
        <v>16</v>
      </c>
    </row>
    <row r="193" spans="2:12" x14ac:dyDescent="0.6">
      <c r="B193" s="165" t="s">
        <v>274</v>
      </c>
    </row>
    <row r="194" spans="2:12" x14ac:dyDescent="0.6">
      <c r="B194" s="192" t="s">
        <v>46</v>
      </c>
      <c r="C194" s="251">
        <f>+C166/100*'Att 2'!O53+'Att 3'!C167/100*'Att 2'!O54</f>
        <v>348934.8864663014</v>
      </c>
      <c r="D194" s="251">
        <f>+D166/100*'Att 2'!P53+'Att 3'!D167/100*'Att 2'!P54</f>
        <v>1221.9271900146609</v>
      </c>
      <c r="E194" s="317">
        <f>+E163/100*'Att 2'!Q50+E164/100*'Att 2'!Q51</f>
        <v>5073.5516575745223</v>
      </c>
      <c r="F194" s="251">
        <f>+F162/100*'Att 2'!R49</f>
        <v>11.660995999999999</v>
      </c>
      <c r="G194" s="251">
        <f>+G162/100*'Att 2'!S49</f>
        <v>0.19835999999999998</v>
      </c>
      <c r="H194" s="251">
        <f>+H162/100*'Att 2'!T49</f>
        <v>126.51460519408502</v>
      </c>
      <c r="I194" s="251">
        <f>+I162/100*'Att 2'!U49</f>
        <v>1816.7500159999997</v>
      </c>
      <c r="J194" s="251">
        <f>+J162/100*'Att 2'!V49</f>
        <v>3551.7079839999997</v>
      </c>
      <c r="K194" s="317">
        <f>+C180/100*'Att 2'!W49+I181*'Att 2'!K147*4+'Att 3'!I185*'Att 2'!K149*4</f>
        <v>134824.83186069451</v>
      </c>
      <c r="L194" s="317">
        <f>+E181/100*'Att 2'!X50+'Att 3'!E182/100*'Att 2'!X51+'Att 3'!J181*'Att 2'!L147*4+'Att 3'!J185*'Att 2'!L149*4</f>
        <v>87305.201473630586</v>
      </c>
    </row>
    <row r="195" spans="2:12" ht="15.25" x14ac:dyDescent="1.05">
      <c r="B195" s="192" t="s">
        <v>47</v>
      </c>
      <c r="C195" s="252">
        <f>+C169/100*'Att 2'!O45</f>
        <v>465033.78195758106</v>
      </c>
      <c r="D195" s="252">
        <f>+D169/100*'Att 2'!P45</f>
        <v>4063.2987617801955</v>
      </c>
      <c r="E195" s="252">
        <f>+E170/100*'Att 2'!Q46+'Att 3'!E171/100*'Att 2'!Q47</f>
        <v>5787.9031452318886</v>
      </c>
      <c r="F195" s="252">
        <f>+F169/100*'Att 2'!R45</f>
        <v>30.014815999999996</v>
      </c>
      <c r="G195" s="252">
        <f>+G169/100*'Att 2'!S45</f>
        <v>0.51924999999999999</v>
      </c>
      <c r="H195" s="252">
        <f>+H169/100*'Att 2'!T45</f>
        <v>455.11684144424089</v>
      </c>
      <c r="I195" s="252">
        <f>+I169/100*'Att 2'!U45</f>
        <v>5152.6139940000003</v>
      </c>
      <c r="J195" s="252">
        <f>+J169/100*'Att 2'!V45</f>
        <v>10475.664710000001</v>
      </c>
      <c r="K195" s="338">
        <f>+C184/100*'Att 2'!W45+'Att 3'!I182*'Att 2'!K147*8+'Att 3'!I185*'Att 2'!K149*8</f>
        <v>239209.06374844475</v>
      </c>
      <c r="L195" s="338">
        <f>+E185/100*'Att 2'!X46+'Att 3'!E186/100*'Att 2'!X47+'Att 3'!J182*'Att 2'!L147*8+'Att 3'!J185*'Att 2'!L149*8</f>
        <v>160017.26103147579</v>
      </c>
    </row>
    <row r="196" spans="2:12" x14ac:dyDescent="0.6">
      <c r="B196" s="192" t="s">
        <v>106</v>
      </c>
      <c r="C196" s="246">
        <f t="shared" ref="C196:L196" si="5">+C195+C194</f>
        <v>813968.66842388245</v>
      </c>
      <c r="D196" s="246">
        <f t="shared" si="5"/>
        <v>5285.2259517948569</v>
      </c>
      <c r="E196" s="246">
        <f t="shared" si="5"/>
        <v>10861.454802806411</v>
      </c>
      <c r="F196" s="246">
        <f t="shared" si="5"/>
        <v>41.675811999999993</v>
      </c>
      <c r="G196" s="246">
        <f t="shared" si="5"/>
        <v>0.71760999999999997</v>
      </c>
      <c r="H196" s="246">
        <f t="shared" si="5"/>
        <v>581.63144663832588</v>
      </c>
      <c r="I196" s="246">
        <f t="shared" si="5"/>
        <v>6969.3640100000002</v>
      </c>
      <c r="J196" s="246">
        <f t="shared" si="5"/>
        <v>14027.372694000002</v>
      </c>
      <c r="K196" s="246">
        <f t="shared" si="5"/>
        <v>374033.89560913923</v>
      </c>
      <c r="L196" s="246">
        <f t="shared" si="5"/>
        <v>247322.46250510638</v>
      </c>
    </row>
    <row r="197" spans="2:12" x14ac:dyDescent="0.6">
      <c r="B197" s="192"/>
      <c r="C197" s="246"/>
      <c r="D197" s="246"/>
      <c r="E197" s="246"/>
      <c r="F197" s="246"/>
      <c r="G197" s="246"/>
      <c r="H197" s="246"/>
      <c r="I197" s="246"/>
      <c r="J197" s="246"/>
      <c r="K197" s="246"/>
      <c r="L197" s="246"/>
    </row>
    <row r="198" spans="2:12" x14ac:dyDescent="0.6">
      <c r="B198" s="192" t="s">
        <v>275</v>
      </c>
      <c r="C198" s="246">
        <f>SUM(C194:L194)</f>
        <v>582867.23060940974</v>
      </c>
      <c r="D198" s="246"/>
      <c r="E198" s="246"/>
      <c r="F198" s="246"/>
      <c r="G198" s="246"/>
      <c r="H198" s="246"/>
      <c r="I198" s="246"/>
      <c r="J198" s="246"/>
      <c r="K198" s="246"/>
      <c r="L198" s="246"/>
    </row>
    <row r="199" spans="2:12" ht="15.25" x14ac:dyDescent="1.05">
      <c r="B199" s="192" t="s">
        <v>276</v>
      </c>
      <c r="C199" s="334">
        <f>SUM(C195:L195)</f>
        <v>890225.23825595784</v>
      </c>
      <c r="E199" s="299"/>
    </row>
    <row r="200" spans="2:12" x14ac:dyDescent="0.6">
      <c r="B200" s="192" t="s">
        <v>277</v>
      </c>
      <c r="C200" s="246">
        <f>+C199+C198</f>
        <v>1473092.4688653676</v>
      </c>
      <c r="E200" s="299"/>
    </row>
    <row r="201" spans="2:12" x14ac:dyDescent="0.6">
      <c r="B201" s="192"/>
      <c r="C201" s="299"/>
      <c r="E201" s="299"/>
    </row>
    <row r="202" spans="2:12" x14ac:dyDescent="0.6">
      <c r="C202" s="166"/>
      <c r="D202" s="166"/>
      <c r="E202" s="166"/>
      <c r="F202" s="166"/>
      <c r="G202" s="166"/>
      <c r="H202" s="166"/>
      <c r="I202" s="166"/>
      <c r="J202" s="166"/>
      <c r="K202" s="166"/>
      <c r="L202" s="166"/>
    </row>
    <row r="203" spans="2:12" x14ac:dyDescent="0.6">
      <c r="B203" s="165" t="s">
        <v>278</v>
      </c>
    </row>
    <row r="204" spans="2:12" x14ac:dyDescent="0.6">
      <c r="B204" s="192" t="s">
        <v>46</v>
      </c>
      <c r="C204" s="246">
        <f>+C25+D25+E25</f>
        <v>582869.29651507293</v>
      </c>
    </row>
    <row r="205" spans="2:12" ht="15.25" x14ac:dyDescent="1.05">
      <c r="B205" s="192" t="s">
        <v>47</v>
      </c>
      <c r="C205" s="334">
        <f>+C26+D26+E26</f>
        <v>890222.11192088621</v>
      </c>
    </row>
    <row r="206" spans="2:12" x14ac:dyDescent="0.6">
      <c r="B206" s="192" t="s">
        <v>106</v>
      </c>
      <c r="C206" s="246">
        <f>+C205+C204</f>
        <v>1473091.4084359591</v>
      </c>
      <c r="D206" s="246"/>
      <c r="G206" s="192"/>
    </row>
    <row r="207" spans="2:12" x14ac:dyDescent="0.6">
      <c r="C207" s="299"/>
      <c r="E207" s="299"/>
      <c r="G207" s="192"/>
    </row>
    <row r="208" spans="2:12" x14ac:dyDescent="0.6">
      <c r="B208" s="164" t="s">
        <v>347</v>
      </c>
      <c r="C208" s="246"/>
      <c r="E208" s="279" t="s">
        <v>357</v>
      </c>
      <c r="G208" s="279"/>
    </row>
    <row r="209" spans="2:5" x14ac:dyDescent="0.6">
      <c r="B209" s="192" t="s">
        <v>46</v>
      </c>
      <c r="C209" s="246">
        <f>+C198-C204</f>
        <v>-2.0659056631848216</v>
      </c>
      <c r="E209" s="348">
        <f>+C209/C198</f>
        <v>-3.5443846466112688E-6</v>
      </c>
    </row>
    <row r="210" spans="2:5" ht="15.25" x14ac:dyDescent="1.05">
      <c r="B210" s="192" t="s">
        <v>47</v>
      </c>
      <c r="C210" s="334">
        <f>+C199-C205</f>
        <v>3.1263350716326386</v>
      </c>
      <c r="E210" s="353">
        <f>+C210/C199</f>
        <v>3.511847268852373E-6</v>
      </c>
    </row>
    <row r="211" spans="2:5" x14ac:dyDescent="0.6">
      <c r="B211" s="192" t="s">
        <v>106</v>
      </c>
      <c r="C211" s="246">
        <f>+C200-C206</f>
        <v>1.060429408447817</v>
      </c>
      <c r="E211" s="348">
        <f>+C211/C200</f>
        <v>7.198661529134016E-7</v>
      </c>
    </row>
    <row r="213" spans="2:5" x14ac:dyDescent="0.6">
      <c r="C213" s="277"/>
    </row>
  </sheetData>
  <pageMargins left="0.75" right="0.75" top="1" bottom="1" header="0.5" footer="0.5"/>
  <pageSetup scale="71" fitToHeight="0" orientation="landscape" r:id="rId1"/>
  <headerFooter alignWithMargins="0">
    <oddHeader>&amp;CPublic Service Electric and Gas Company Specific Addendum
Attachment 3</oddHeader>
    <oddFooter>&amp;CPage &amp;P of &amp;N</oddFooter>
  </headerFooter>
  <rowBreaks count="7" manualBreakCount="7">
    <brk id="41" max="11" man="1"/>
    <brk id="80" max="11" man="1"/>
    <brk id="116" max="11" man="1"/>
    <brk id="152" max="11" man="1"/>
    <brk id="188" max="11" man="1"/>
    <brk id="213" max="11" man="1"/>
    <brk id="251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I28"/>
  <sheetViews>
    <sheetView view="pageBreakPreview" zoomScale="130" zoomScaleNormal="100" zoomScaleSheetLayoutView="130" workbookViewId="0">
      <selection activeCell="C22" sqref="C22"/>
    </sheetView>
  </sheetViews>
  <sheetFormatPr defaultColWidth="9.08984375" defaultRowHeight="13" x14ac:dyDescent="0.6"/>
  <cols>
    <col min="1" max="1" width="3.31640625" style="354" bestFit="1" customWidth="1"/>
    <col min="2" max="2" width="62.54296875" style="354" bestFit="1" customWidth="1"/>
    <col min="3" max="3" width="12.6796875" style="354" bestFit="1" customWidth="1"/>
    <col min="4" max="8" width="9.08984375" style="354"/>
    <col min="9" max="9" width="12.453125" style="354" customWidth="1"/>
    <col min="10" max="16384" width="9.08984375" style="354"/>
  </cols>
  <sheetData>
    <row r="1" spans="1:9" ht="15.5" x14ac:dyDescent="0.7">
      <c r="B1" s="355" t="s">
        <v>358</v>
      </c>
    </row>
    <row r="2" spans="1:9" ht="15.5" x14ac:dyDescent="0.7">
      <c r="B2" s="356" t="s">
        <v>359</v>
      </c>
    </row>
    <row r="3" spans="1:9" ht="26" x14ac:dyDescent="0.6">
      <c r="C3" s="357" t="s">
        <v>360</v>
      </c>
      <c r="E3" s="358" t="s">
        <v>289</v>
      </c>
    </row>
    <row r="4" spans="1:9" x14ac:dyDescent="0.6">
      <c r="A4" s="354">
        <v>1</v>
      </c>
      <c r="B4" s="359" t="s">
        <v>361</v>
      </c>
      <c r="C4" s="360">
        <v>97.75</v>
      </c>
      <c r="D4" s="361"/>
      <c r="E4" s="362" t="s">
        <v>362</v>
      </c>
      <c r="F4" s="363"/>
      <c r="G4" s="363"/>
      <c r="H4" s="363"/>
      <c r="I4" s="363"/>
    </row>
    <row r="5" spans="1:9" x14ac:dyDescent="0.6">
      <c r="A5" s="354">
        <v>2</v>
      </c>
      <c r="B5" s="359" t="s">
        <v>363</v>
      </c>
      <c r="C5" s="364">
        <v>162.13</v>
      </c>
      <c r="E5" s="362" t="s">
        <v>364</v>
      </c>
      <c r="F5" s="362"/>
      <c r="G5" s="362"/>
      <c r="H5" s="362"/>
      <c r="I5" s="365"/>
    </row>
    <row r="6" spans="1:9" x14ac:dyDescent="0.6">
      <c r="C6" s="357"/>
      <c r="E6" s="358"/>
    </row>
    <row r="7" spans="1:9" x14ac:dyDescent="0.6">
      <c r="A7" s="354">
        <v>3</v>
      </c>
      <c r="B7" s="359" t="s">
        <v>365</v>
      </c>
      <c r="C7" s="366">
        <f>C4-C5</f>
        <v>-64.38</v>
      </c>
      <c r="E7" s="367" t="s">
        <v>366</v>
      </c>
    </row>
    <row r="8" spans="1:9" x14ac:dyDescent="0.6">
      <c r="A8" s="354">
        <v>4</v>
      </c>
      <c r="B8" s="359" t="s">
        <v>367</v>
      </c>
      <c r="C8" s="368">
        <f>SUM('Att 2'!C147:L147)</f>
        <v>7997.6999999999989</v>
      </c>
      <c r="E8" s="369"/>
    </row>
    <row r="9" spans="1:9" x14ac:dyDescent="0.6">
      <c r="A9" s="354">
        <v>5</v>
      </c>
      <c r="B9" s="359" t="s">
        <v>368</v>
      </c>
      <c r="C9" s="370">
        <v>365</v>
      </c>
    </row>
    <row r="10" spans="1:9" x14ac:dyDescent="0.6">
      <c r="A10" s="354">
        <v>6</v>
      </c>
      <c r="B10" s="359" t="s">
        <v>369</v>
      </c>
      <c r="C10" s="371">
        <f>C7*C8*C9</f>
        <v>-187935552.98999998</v>
      </c>
      <c r="E10" s="367" t="s">
        <v>370</v>
      </c>
    </row>
    <row r="11" spans="1:9" x14ac:dyDescent="0.6">
      <c r="B11" s="359"/>
      <c r="C11" s="372"/>
      <c r="E11" s="367"/>
    </row>
    <row r="12" spans="1:9" x14ac:dyDescent="0.6">
      <c r="A12" s="354">
        <v>7</v>
      </c>
      <c r="B12" s="373" t="s">
        <v>371</v>
      </c>
      <c r="C12" s="374">
        <f>SUM('Att 3'!C14:D14)</f>
        <v>57</v>
      </c>
      <c r="E12" s="367" t="s">
        <v>372</v>
      </c>
    </row>
    <row r="13" spans="1:9" x14ac:dyDescent="0.6">
      <c r="A13" s="354">
        <v>8</v>
      </c>
      <c r="B13" s="359" t="s">
        <v>373</v>
      </c>
      <c r="C13" s="375">
        <f>'Att 3'!E15</f>
        <v>85</v>
      </c>
      <c r="E13" s="367" t="s">
        <v>372</v>
      </c>
    </row>
    <row r="14" spans="1:9" x14ac:dyDescent="0.6">
      <c r="A14" s="354">
        <v>9</v>
      </c>
      <c r="B14" s="359" t="s">
        <v>374</v>
      </c>
      <c r="C14" s="376">
        <f>+C12/C13</f>
        <v>0.6705882352941176</v>
      </c>
      <c r="E14" s="367" t="s">
        <v>375</v>
      </c>
    </row>
    <row r="15" spans="1:9" x14ac:dyDescent="0.6">
      <c r="B15" s="359"/>
      <c r="C15" s="372"/>
      <c r="E15" s="367"/>
    </row>
    <row r="16" spans="1:9" x14ac:dyDescent="0.6">
      <c r="A16" s="354">
        <v>10</v>
      </c>
      <c r="B16" s="359" t="s">
        <v>376</v>
      </c>
      <c r="C16" s="372">
        <f>C10*C14</f>
        <v>-126027370.82858822</v>
      </c>
      <c r="E16" s="367" t="s">
        <v>377</v>
      </c>
    </row>
    <row r="17" spans="1:5" x14ac:dyDescent="0.6">
      <c r="B17" s="359"/>
      <c r="C17" s="372"/>
      <c r="E17" s="367"/>
    </row>
    <row r="18" spans="1:5" x14ac:dyDescent="0.6">
      <c r="A18" s="354">
        <v>11</v>
      </c>
      <c r="B18" s="169" t="s">
        <v>378</v>
      </c>
      <c r="C18" s="377">
        <f>'Att 2'!C354</f>
        <v>25688253.893272609</v>
      </c>
      <c r="E18" s="363"/>
    </row>
    <row r="19" spans="1:5" x14ac:dyDescent="0.6">
      <c r="A19" s="354">
        <v>12</v>
      </c>
      <c r="B19" s="359" t="s">
        <v>379</v>
      </c>
      <c r="C19" s="378">
        <f>+C14*C18</f>
        <v>17226240.846076924</v>
      </c>
      <c r="E19" s="367" t="s">
        <v>380</v>
      </c>
    </row>
    <row r="20" spans="1:5" x14ac:dyDescent="0.6">
      <c r="B20" s="359"/>
      <c r="C20" s="379"/>
      <c r="E20" s="367"/>
    </row>
    <row r="21" spans="1:5" ht="13.75" thickBot="1" x14ac:dyDescent="0.75">
      <c r="A21" s="354">
        <v>13</v>
      </c>
      <c r="B21" s="359" t="s">
        <v>381</v>
      </c>
      <c r="C21" s="380">
        <f>ROUND(+C16/C19,2)</f>
        <v>-7.32</v>
      </c>
      <c r="E21" s="381" t="s">
        <v>382</v>
      </c>
    </row>
    <row r="22" spans="1:5" ht="13.75" thickTop="1" x14ac:dyDescent="0.6">
      <c r="B22" s="359"/>
      <c r="C22" s="379"/>
      <c r="E22" s="367"/>
    </row>
    <row r="23" spans="1:5" x14ac:dyDescent="0.6">
      <c r="B23" s="359"/>
      <c r="C23" s="379"/>
      <c r="E23" s="367"/>
    </row>
    <row r="24" spans="1:5" x14ac:dyDescent="0.6">
      <c r="B24" s="359"/>
      <c r="C24" s="379"/>
      <c r="E24" s="367"/>
    </row>
    <row r="25" spans="1:5" x14ac:dyDescent="0.6">
      <c r="B25" s="369"/>
    </row>
    <row r="26" spans="1:5" x14ac:dyDescent="0.6">
      <c r="B26" s="369"/>
      <c r="C26" s="382"/>
      <c r="E26" s="363"/>
    </row>
    <row r="27" spans="1:5" x14ac:dyDescent="0.6">
      <c r="B27" s="369"/>
    </row>
    <row r="28" spans="1:5" x14ac:dyDescent="0.6">
      <c r="B28" s="359"/>
      <c r="C28" s="383"/>
      <c r="E28" s="367"/>
    </row>
  </sheetData>
  <pageMargins left="0.7" right="0.7" top="1" bottom="0.75" header="0.3" footer="0.3"/>
  <pageSetup scale="85" fitToHeight="0" orientation="landscape" r:id="rId1"/>
  <headerFooter>
    <oddHeader>&amp;C&amp;"Arial,Bold"Public Service Electric and Gas Company Specific Addendum
Attachment 4</oddHeader>
    <oddFooter>&amp;C&amp;"Arial,Bold"Page 1 of 5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K28"/>
  <sheetViews>
    <sheetView view="pageBreakPreview" zoomScale="130" zoomScaleNormal="85" zoomScaleSheetLayoutView="130" workbookViewId="0">
      <selection activeCell="C22" sqref="C22"/>
    </sheetView>
  </sheetViews>
  <sheetFormatPr defaultColWidth="9.08984375" defaultRowHeight="13" x14ac:dyDescent="0.6"/>
  <cols>
    <col min="1" max="1" width="3.31640625" style="354" bestFit="1" customWidth="1"/>
    <col min="2" max="2" width="62.54296875" style="354" bestFit="1" customWidth="1"/>
    <col min="3" max="4" width="22.08984375" style="354" customWidth="1"/>
    <col min="5" max="9" width="9.08984375" style="354"/>
    <col min="10" max="10" width="12.453125" style="354" customWidth="1"/>
    <col min="11" max="16384" width="9.08984375" style="354"/>
  </cols>
  <sheetData>
    <row r="1" spans="1:11" ht="15.5" x14ac:dyDescent="0.7">
      <c r="B1" s="355" t="s">
        <v>358</v>
      </c>
    </row>
    <row r="2" spans="1:11" ht="65" x14ac:dyDescent="0.7">
      <c r="B2" s="356" t="s">
        <v>383</v>
      </c>
      <c r="C2" s="384" t="s">
        <v>384</v>
      </c>
      <c r="D2" s="384" t="s">
        <v>385</v>
      </c>
      <c r="E2" s="384"/>
    </row>
    <row r="3" spans="1:11" ht="26" x14ac:dyDescent="0.6">
      <c r="C3" s="357" t="s">
        <v>386</v>
      </c>
      <c r="D3" s="357" t="s">
        <v>386</v>
      </c>
      <c r="F3" s="358" t="s">
        <v>289</v>
      </c>
    </row>
    <row r="4" spans="1:11" x14ac:dyDescent="0.6">
      <c r="A4" s="354">
        <v>1</v>
      </c>
      <c r="B4" s="359" t="s">
        <v>361</v>
      </c>
      <c r="C4" s="360">
        <v>170</v>
      </c>
      <c r="D4" s="360">
        <v>170</v>
      </c>
      <c r="E4" s="361"/>
      <c r="F4" s="362" t="s">
        <v>362</v>
      </c>
      <c r="G4" s="363"/>
      <c r="H4" s="363"/>
      <c r="I4" s="363"/>
      <c r="J4" s="363"/>
      <c r="K4" s="363"/>
    </row>
    <row r="5" spans="1:11" x14ac:dyDescent="0.6">
      <c r="A5" s="354">
        <v>2</v>
      </c>
      <c r="B5" s="359" t="s">
        <v>363</v>
      </c>
      <c r="C5" s="364">
        <v>166.64</v>
      </c>
      <c r="D5" s="364">
        <v>128.79</v>
      </c>
      <c r="F5" s="367" t="s">
        <v>387</v>
      </c>
      <c r="G5" s="362"/>
      <c r="H5" s="362"/>
      <c r="I5" s="362"/>
      <c r="J5" s="363"/>
      <c r="K5" s="363"/>
    </row>
    <row r="6" spans="1:11" x14ac:dyDescent="0.6">
      <c r="C6" s="357"/>
      <c r="D6" s="357"/>
      <c r="F6" s="358"/>
    </row>
    <row r="7" spans="1:11" x14ac:dyDescent="0.6">
      <c r="A7" s="354">
        <v>3</v>
      </c>
      <c r="B7" s="359" t="s">
        <v>365</v>
      </c>
      <c r="C7" s="366">
        <f>C4-C5</f>
        <v>3.3600000000000136</v>
      </c>
      <c r="D7" s="366">
        <f>D4-D5</f>
        <v>41.210000000000008</v>
      </c>
      <c r="F7" s="367" t="s">
        <v>366</v>
      </c>
    </row>
    <row r="8" spans="1:11" x14ac:dyDescent="0.6">
      <c r="A8" s="354">
        <v>4</v>
      </c>
      <c r="B8" s="359" t="s">
        <v>367</v>
      </c>
      <c r="C8" s="368">
        <f>'Att 4-1'!C8</f>
        <v>7997.6999999999989</v>
      </c>
      <c r="D8" s="368">
        <f>C8</f>
        <v>7997.6999999999989</v>
      </c>
      <c r="F8" s="369"/>
    </row>
    <row r="9" spans="1:11" x14ac:dyDescent="0.6">
      <c r="A9" s="354">
        <v>5</v>
      </c>
      <c r="B9" s="359" t="s">
        <v>368</v>
      </c>
      <c r="C9" s="370">
        <v>365</v>
      </c>
      <c r="D9" s="370">
        <v>365</v>
      </c>
    </row>
    <row r="10" spans="1:11" x14ac:dyDescent="0.6">
      <c r="A10" s="354">
        <v>6</v>
      </c>
      <c r="B10" s="359" t="s">
        <v>369</v>
      </c>
      <c r="C10" s="371">
        <f>C7*C8*C9</f>
        <v>9808379.2800000384</v>
      </c>
      <c r="D10" s="371">
        <f>D7*D8*D9</f>
        <v>120298604.205</v>
      </c>
      <c r="F10" s="367" t="s">
        <v>370</v>
      </c>
    </row>
    <row r="11" spans="1:11" x14ac:dyDescent="0.6">
      <c r="B11" s="359"/>
      <c r="C11" s="372"/>
      <c r="D11" s="372"/>
      <c r="F11" s="367"/>
    </row>
    <row r="12" spans="1:11" x14ac:dyDescent="0.6">
      <c r="A12" s="354">
        <v>7</v>
      </c>
      <c r="B12" s="373" t="s">
        <v>371</v>
      </c>
      <c r="C12" s="374">
        <f>'Att 3'!D14</f>
        <v>29</v>
      </c>
      <c r="D12" s="374">
        <f>'Att 3'!E14</f>
        <v>28</v>
      </c>
      <c r="F12" s="367" t="s">
        <v>372</v>
      </c>
    </row>
    <row r="13" spans="1:11" x14ac:dyDescent="0.6">
      <c r="A13" s="354">
        <v>8</v>
      </c>
      <c r="B13" s="359" t="s">
        <v>373</v>
      </c>
      <c r="C13" s="375">
        <f>'Att 4-1'!C13</f>
        <v>85</v>
      </c>
      <c r="D13" s="375">
        <f>C13</f>
        <v>85</v>
      </c>
      <c r="F13" s="367" t="s">
        <v>372</v>
      </c>
    </row>
    <row r="14" spans="1:11" x14ac:dyDescent="0.6">
      <c r="A14" s="354">
        <v>9</v>
      </c>
      <c r="B14" s="359" t="s">
        <v>374</v>
      </c>
      <c r="C14" s="376">
        <f>+C12/C13</f>
        <v>0.3411764705882353</v>
      </c>
      <c r="D14" s="376">
        <f>+D12/D13</f>
        <v>0.32941176470588235</v>
      </c>
      <c r="F14" s="367" t="s">
        <v>375</v>
      </c>
    </row>
    <row r="15" spans="1:11" x14ac:dyDescent="0.6">
      <c r="B15" s="359"/>
      <c r="C15" s="372"/>
      <c r="D15" s="372"/>
      <c r="F15" s="367"/>
    </row>
    <row r="16" spans="1:11" x14ac:dyDescent="0.6">
      <c r="A16" s="354">
        <v>10</v>
      </c>
      <c r="B16" s="359" t="s">
        <v>376</v>
      </c>
      <c r="C16" s="372">
        <f>C10*C14</f>
        <v>3346388.2249411899</v>
      </c>
      <c r="D16" s="372">
        <f>D10*D14</f>
        <v>39627775.502823532</v>
      </c>
      <c r="F16" s="367" t="s">
        <v>377</v>
      </c>
    </row>
    <row r="17" spans="1:6" x14ac:dyDescent="0.6">
      <c r="B17" s="359"/>
      <c r="C17" s="372"/>
      <c r="D17" s="372"/>
      <c r="F17" s="367"/>
    </row>
    <row r="18" spans="1:6" x14ac:dyDescent="0.6">
      <c r="A18" s="354">
        <v>11</v>
      </c>
      <c r="B18" s="169" t="s">
        <v>378</v>
      </c>
      <c r="C18" s="377">
        <f>'Att 4-1'!C18</f>
        <v>25688253.893272609</v>
      </c>
      <c r="D18" s="377">
        <f>C18</f>
        <v>25688253.893272609</v>
      </c>
      <c r="F18" s="363"/>
    </row>
    <row r="19" spans="1:6" x14ac:dyDescent="0.6">
      <c r="A19" s="354">
        <v>12</v>
      </c>
      <c r="B19" s="359" t="s">
        <v>379</v>
      </c>
      <c r="C19" s="378">
        <f>+C14*C18</f>
        <v>8764227.7988812439</v>
      </c>
      <c r="D19" s="378">
        <f>+D14*D18</f>
        <v>8462013.0471956823</v>
      </c>
      <c r="F19" s="367" t="s">
        <v>380</v>
      </c>
    </row>
    <row r="20" spans="1:6" x14ac:dyDescent="0.6">
      <c r="B20" s="359"/>
      <c r="C20" s="379"/>
      <c r="D20" s="379"/>
      <c r="F20" s="367"/>
    </row>
    <row r="21" spans="1:6" ht="13.75" thickBot="1" x14ac:dyDescent="0.75">
      <c r="A21" s="354">
        <v>13</v>
      </c>
      <c r="B21" s="359" t="s">
        <v>381</v>
      </c>
      <c r="C21" s="380">
        <f>ROUND(+C16/C19,2)</f>
        <v>0.38</v>
      </c>
      <c r="D21" s="380">
        <f>ROUND(+D16/D19,2)</f>
        <v>4.68</v>
      </c>
      <c r="F21" s="381" t="s">
        <v>382</v>
      </c>
    </row>
    <row r="22" spans="1:6" ht="13.75" thickTop="1" x14ac:dyDescent="0.6">
      <c r="B22" s="359"/>
      <c r="C22" s="379"/>
      <c r="F22" s="367"/>
    </row>
    <row r="23" spans="1:6" x14ac:dyDescent="0.6">
      <c r="B23" s="359"/>
      <c r="C23" s="379"/>
      <c r="F23" s="367"/>
    </row>
    <row r="24" spans="1:6" x14ac:dyDescent="0.6">
      <c r="B24" s="359"/>
      <c r="C24" s="379"/>
      <c r="F24" s="367"/>
    </row>
    <row r="25" spans="1:6" x14ac:dyDescent="0.6">
      <c r="B25" s="369"/>
    </row>
    <row r="26" spans="1:6" x14ac:dyDescent="0.6">
      <c r="B26" s="369"/>
      <c r="C26" s="382"/>
      <c r="F26" s="363"/>
    </row>
    <row r="27" spans="1:6" x14ac:dyDescent="0.6">
      <c r="B27" s="369"/>
    </row>
    <row r="28" spans="1:6" x14ac:dyDescent="0.6">
      <c r="B28" s="359"/>
      <c r="C28" s="383"/>
      <c r="F28" s="367"/>
    </row>
  </sheetData>
  <pageMargins left="0.7" right="0.7" top="1" bottom="0.75" header="0.3" footer="0.3"/>
  <pageSetup scale="70" fitToHeight="0" orientation="landscape" r:id="rId1"/>
  <headerFooter>
    <oddHeader>&amp;C&amp;"Arial,Bold"Public Service Electric and Gas Company Specific Addendum
Attachment 4</oddHeader>
    <oddFooter>&amp;C&amp;"Arial,Bold"Page 2 of 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I28"/>
  <sheetViews>
    <sheetView view="pageBreakPreview" zoomScale="130" zoomScaleNormal="100" zoomScaleSheetLayoutView="130" workbookViewId="0">
      <selection activeCell="C22" sqref="C22"/>
    </sheetView>
  </sheetViews>
  <sheetFormatPr defaultColWidth="9.08984375" defaultRowHeight="13" x14ac:dyDescent="0.6"/>
  <cols>
    <col min="1" max="1" width="3.31640625" style="354" bestFit="1" customWidth="1"/>
    <col min="2" max="2" width="62.54296875" style="354" bestFit="1" customWidth="1"/>
    <col min="3" max="3" width="11.86328125" style="354" bestFit="1" customWidth="1"/>
    <col min="4" max="8" width="9.08984375" style="354"/>
    <col min="9" max="9" width="12.453125" style="354" customWidth="1"/>
    <col min="10" max="16384" width="9.08984375" style="354"/>
  </cols>
  <sheetData>
    <row r="1" spans="1:9" ht="15.5" x14ac:dyDescent="0.7">
      <c r="B1" s="355" t="s">
        <v>358</v>
      </c>
    </row>
    <row r="2" spans="1:9" ht="15.5" x14ac:dyDescent="0.7">
      <c r="B2" s="356" t="s">
        <v>388</v>
      </c>
    </row>
    <row r="3" spans="1:9" ht="26" x14ac:dyDescent="0.6">
      <c r="C3" s="357" t="s">
        <v>389</v>
      </c>
      <c r="E3" s="358" t="s">
        <v>289</v>
      </c>
    </row>
    <row r="4" spans="1:9" x14ac:dyDescent="0.6">
      <c r="A4" s="354">
        <v>1</v>
      </c>
      <c r="B4" s="359" t="s">
        <v>361</v>
      </c>
      <c r="C4" s="360">
        <v>90</v>
      </c>
      <c r="D4" s="361"/>
      <c r="E4" s="362" t="s">
        <v>362</v>
      </c>
      <c r="F4" s="363"/>
      <c r="G4" s="363"/>
      <c r="H4" s="363"/>
      <c r="I4" s="363"/>
    </row>
    <row r="5" spans="1:9" x14ac:dyDescent="0.6">
      <c r="A5" s="354">
        <v>2</v>
      </c>
      <c r="B5" s="359" t="s">
        <v>363</v>
      </c>
      <c r="C5" s="364">
        <v>87.98</v>
      </c>
      <c r="E5" s="362" t="s">
        <v>390</v>
      </c>
      <c r="F5" s="362"/>
      <c r="G5" s="362"/>
      <c r="H5" s="362"/>
      <c r="I5" s="365"/>
    </row>
    <row r="6" spans="1:9" x14ac:dyDescent="0.6">
      <c r="C6" s="357"/>
      <c r="E6" s="358"/>
    </row>
    <row r="7" spans="1:9" x14ac:dyDescent="0.6">
      <c r="A7" s="354">
        <v>3</v>
      </c>
      <c r="B7" s="359" t="s">
        <v>365</v>
      </c>
      <c r="C7" s="366">
        <f>C4-C5</f>
        <v>2.019999999999996</v>
      </c>
      <c r="E7" s="367" t="s">
        <v>366</v>
      </c>
    </row>
    <row r="8" spans="1:9" x14ac:dyDescent="0.6">
      <c r="A8" s="354">
        <v>4</v>
      </c>
      <c r="B8" s="359" t="s">
        <v>367</v>
      </c>
      <c r="C8" s="368">
        <f>SUM('Att 2'!C147:L147)</f>
        <v>7997.6999999999989</v>
      </c>
      <c r="E8" s="369"/>
    </row>
    <row r="9" spans="1:9" x14ac:dyDescent="0.6">
      <c r="A9" s="354">
        <v>5</v>
      </c>
      <c r="B9" s="359" t="s">
        <v>368</v>
      </c>
      <c r="C9" s="370">
        <v>365</v>
      </c>
    </row>
    <row r="10" spans="1:9" x14ac:dyDescent="0.6">
      <c r="A10" s="354">
        <v>6</v>
      </c>
      <c r="B10" s="359" t="s">
        <v>369</v>
      </c>
      <c r="C10" s="371">
        <f>C7*C8*C9</f>
        <v>5896704.2099999879</v>
      </c>
      <c r="E10" s="367" t="s">
        <v>370</v>
      </c>
    </row>
    <row r="11" spans="1:9" x14ac:dyDescent="0.6">
      <c r="B11" s="359"/>
      <c r="C11" s="372"/>
      <c r="E11" s="367"/>
    </row>
    <row r="12" spans="1:9" x14ac:dyDescent="0.6">
      <c r="A12" s="354">
        <v>7</v>
      </c>
      <c r="B12" s="373" t="s">
        <v>371</v>
      </c>
      <c r="C12" s="374">
        <f>'Att 3'!D14</f>
        <v>29</v>
      </c>
      <c r="E12" s="367" t="s">
        <v>372</v>
      </c>
    </row>
    <row r="13" spans="1:9" x14ac:dyDescent="0.6">
      <c r="A13" s="354">
        <v>8</v>
      </c>
      <c r="B13" s="359" t="s">
        <v>373</v>
      </c>
      <c r="C13" s="375">
        <f>'Att 3'!E15</f>
        <v>85</v>
      </c>
      <c r="E13" s="367" t="s">
        <v>372</v>
      </c>
    </row>
    <row r="14" spans="1:9" x14ac:dyDescent="0.6">
      <c r="A14" s="354">
        <v>9</v>
      </c>
      <c r="B14" s="359" t="s">
        <v>374</v>
      </c>
      <c r="C14" s="376">
        <f>+C12/C13</f>
        <v>0.3411764705882353</v>
      </c>
      <c r="E14" s="367" t="s">
        <v>375</v>
      </c>
    </row>
    <row r="15" spans="1:9" x14ac:dyDescent="0.6">
      <c r="B15" s="359"/>
      <c r="C15" s="372"/>
      <c r="E15" s="367"/>
    </row>
    <row r="16" spans="1:9" x14ac:dyDescent="0.6">
      <c r="A16" s="354">
        <v>10</v>
      </c>
      <c r="B16" s="359" t="s">
        <v>376</v>
      </c>
      <c r="C16" s="372">
        <f>C10*C14</f>
        <v>2011816.7304705842</v>
      </c>
      <c r="E16" s="367" t="s">
        <v>377</v>
      </c>
    </row>
    <row r="17" spans="1:5" x14ac:dyDescent="0.6">
      <c r="B17" s="359"/>
      <c r="C17" s="372"/>
      <c r="E17" s="367"/>
    </row>
    <row r="18" spans="1:5" x14ac:dyDescent="0.6">
      <c r="A18" s="354">
        <v>11</v>
      </c>
      <c r="B18" s="169" t="s">
        <v>378</v>
      </c>
      <c r="C18" s="377">
        <f>'Att 2'!C354</f>
        <v>25688253.893272609</v>
      </c>
      <c r="E18" s="363"/>
    </row>
    <row r="19" spans="1:5" x14ac:dyDescent="0.6">
      <c r="A19" s="354">
        <v>12</v>
      </c>
      <c r="B19" s="359" t="s">
        <v>379</v>
      </c>
      <c r="C19" s="378">
        <f>+C14*C18</f>
        <v>8764227.7988812439</v>
      </c>
      <c r="E19" s="367" t="s">
        <v>380</v>
      </c>
    </row>
    <row r="20" spans="1:5" x14ac:dyDescent="0.6">
      <c r="B20" s="359"/>
      <c r="C20" s="379"/>
      <c r="E20" s="367"/>
    </row>
    <row r="21" spans="1:5" ht="13.75" thickBot="1" x14ac:dyDescent="0.75">
      <c r="A21" s="354">
        <v>13</v>
      </c>
      <c r="B21" s="359" t="s">
        <v>381</v>
      </c>
      <c r="C21" s="380">
        <f>ROUND(+C16/C19,2)</f>
        <v>0.23</v>
      </c>
      <c r="E21" s="381" t="s">
        <v>382</v>
      </c>
    </row>
    <row r="22" spans="1:5" ht="13.75" thickTop="1" x14ac:dyDescent="0.6">
      <c r="B22" s="359"/>
      <c r="C22" s="379"/>
      <c r="E22" s="367"/>
    </row>
    <row r="23" spans="1:5" x14ac:dyDescent="0.6">
      <c r="B23" s="359"/>
      <c r="C23" s="379"/>
      <c r="E23" s="367"/>
    </row>
    <row r="24" spans="1:5" x14ac:dyDescent="0.6">
      <c r="B24" s="359"/>
      <c r="C24" s="379"/>
      <c r="E24" s="367"/>
    </row>
    <row r="25" spans="1:5" x14ac:dyDescent="0.6">
      <c r="B25" s="369"/>
    </row>
    <row r="26" spans="1:5" x14ac:dyDescent="0.6">
      <c r="B26" s="369"/>
      <c r="C26" s="382"/>
      <c r="E26" s="363"/>
    </row>
    <row r="27" spans="1:5" x14ac:dyDescent="0.6">
      <c r="B27" s="369"/>
    </row>
    <row r="28" spans="1:5" x14ac:dyDescent="0.6">
      <c r="B28" s="359"/>
      <c r="C28" s="383"/>
      <c r="E28" s="367"/>
    </row>
  </sheetData>
  <pageMargins left="0.7" right="0.7" top="1" bottom="0.75" header="0.3" footer="0.3"/>
  <pageSetup scale="86" fitToHeight="0" orientation="landscape" r:id="rId1"/>
  <headerFooter>
    <oddHeader>&amp;C&amp;"Arial,Bold"Public Service Electric and Gas Company Specific Addendum
Attachment 4</oddHeader>
    <oddFooter>&amp;C&amp;"Arial,Bold"Page 3 of 5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M274"/>
  <sheetViews>
    <sheetView view="pageBreakPreview" topLeftCell="A2" zoomScale="115" zoomScaleNormal="100" zoomScaleSheetLayoutView="115" workbookViewId="0">
      <selection activeCell="C22" sqref="C22"/>
    </sheetView>
  </sheetViews>
  <sheetFormatPr defaultColWidth="9.08984375" defaultRowHeight="13" outlineLevelRow="1" x14ac:dyDescent="0.6"/>
  <cols>
    <col min="1" max="1" width="12.31640625" style="363" bestFit="1" customWidth="1"/>
    <col min="2" max="2" width="46" style="363" customWidth="1"/>
    <col min="3" max="3" width="17.86328125" style="363" customWidth="1"/>
    <col min="4" max="5" width="13.08984375" style="363" customWidth="1"/>
    <col min="6" max="7" width="12.08984375" style="363" customWidth="1"/>
    <col min="8" max="8" width="11.86328125" style="363" customWidth="1"/>
    <col min="9" max="9" width="11" style="363" customWidth="1"/>
    <col min="10" max="10" width="13.08984375" style="363" customWidth="1"/>
    <col min="11" max="11" width="12.54296875" style="363" customWidth="1"/>
    <col min="12" max="12" width="21" style="363" customWidth="1"/>
    <col min="13" max="13" width="14.31640625" style="363" bestFit="1" customWidth="1"/>
    <col min="14" max="14" width="24.08984375" style="363" bestFit="1" customWidth="1"/>
    <col min="15" max="16" width="10.86328125" style="363" bestFit="1" customWidth="1"/>
    <col min="17" max="17" width="14.453125" style="363" bestFit="1" customWidth="1"/>
    <col min="18" max="16384" width="9.08984375" style="363"/>
  </cols>
  <sheetData>
    <row r="1" spans="1:11" ht="20.5" x14ac:dyDescent="0.9">
      <c r="A1" s="385" t="s">
        <v>391</v>
      </c>
    </row>
    <row r="2" spans="1:11" ht="15.5" x14ac:dyDescent="0.7">
      <c r="A2" s="386" t="s">
        <v>392</v>
      </c>
    </row>
    <row r="3" spans="1:11" x14ac:dyDescent="0.6">
      <c r="A3" s="387" t="s">
        <v>393</v>
      </c>
    </row>
    <row r="5" spans="1:11" x14ac:dyDescent="0.6">
      <c r="A5" s="388" t="s">
        <v>286</v>
      </c>
      <c r="B5" s="359" t="s">
        <v>287</v>
      </c>
    </row>
    <row r="6" spans="1:11" ht="51" customHeight="1" x14ac:dyDescent="0.6">
      <c r="A6" s="389" t="s">
        <v>288</v>
      </c>
      <c r="B6" s="359" t="s">
        <v>394</v>
      </c>
      <c r="C6" s="358" t="s">
        <v>89</v>
      </c>
      <c r="D6" s="358" t="s">
        <v>395</v>
      </c>
      <c r="E6" s="358" t="s">
        <v>396</v>
      </c>
      <c r="G6" s="358" t="s">
        <v>289</v>
      </c>
    </row>
    <row r="8" spans="1:11" x14ac:dyDescent="0.6">
      <c r="A8" s="389">
        <v>1</v>
      </c>
      <c r="B8" s="359" t="s">
        <v>92</v>
      </c>
      <c r="C8" s="267">
        <f>'Att 3'!E11</f>
        <v>57.48</v>
      </c>
      <c r="D8" s="267">
        <f>C8</f>
        <v>57.48</v>
      </c>
      <c r="E8" s="267">
        <f>D8</f>
        <v>57.48</v>
      </c>
      <c r="G8" s="165" t="s">
        <v>397</v>
      </c>
    </row>
    <row r="9" spans="1:11" x14ac:dyDescent="0.6">
      <c r="A9" s="390" t="s">
        <v>291</v>
      </c>
      <c r="B9" s="359" t="s">
        <v>398</v>
      </c>
      <c r="C9" s="391">
        <f>'Att 4-2'!C21</f>
        <v>0.38</v>
      </c>
      <c r="D9" s="391">
        <f>'Att 4-2'!D21</f>
        <v>4.68</v>
      </c>
      <c r="E9" s="392"/>
      <c r="G9" s="167" t="s">
        <v>399</v>
      </c>
    </row>
    <row r="10" spans="1:11" x14ac:dyDescent="0.6">
      <c r="A10" s="389" t="s">
        <v>294</v>
      </c>
      <c r="B10" s="359" t="s">
        <v>298</v>
      </c>
      <c r="C10" s="393">
        <f>C8+C9</f>
        <v>57.86</v>
      </c>
      <c r="D10" s="393">
        <f>D8+D9</f>
        <v>62.16</v>
      </c>
      <c r="E10" s="393">
        <f t="shared" ref="E10" si="0">E8+E9</f>
        <v>57.48</v>
      </c>
      <c r="G10" s="207" t="s">
        <v>400</v>
      </c>
    </row>
    <row r="11" spans="1:11" x14ac:dyDescent="0.6">
      <c r="A11" s="389"/>
      <c r="B11" s="359"/>
      <c r="C11" s="393"/>
      <c r="D11" s="393"/>
      <c r="E11" s="393"/>
      <c r="G11" s="362"/>
    </row>
    <row r="12" spans="1:11" x14ac:dyDescent="0.6">
      <c r="A12" s="389">
        <v>2</v>
      </c>
      <c r="B12" s="373" t="s">
        <v>93</v>
      </c>
      <c r="C12" s="394">
        <v>29</v>
      </c>
      <c r="D12" s="394">
        <v>28</v>
      </c>
      <c r="E12" s="394">
        <v>28</v>
      </c>
      <c r="G12" s="165" t="s">
        <v>301</v>
      </c>
    </row>
    <row r="13" spans="1:11" x14ac:dyDescent="0.6">
      <c r="A13" s="389">
        <v>3</v>
      </c>
      <c r="B13" s="359" t="s">
        <v>302</v>
      </c>
      <c r="C13" s="394">
        <v>85</v>
      </c>
      <c r="D13" s="394">
        <v>85</v>
      </c>
      <c r="E13" s="394">
        <v>85</v>
      </c>
      <c r="G13" s="165" t="s">
        <v>301</v>
      </c>
    </row>
    <row r="14" spans="1:11" x14ac:dyDescent="0.6">
      <c r="A14" s="389"/>
      <c r="B14" s="359"/>
      <c r="C14" s="394"/>
      <c r="D14" s="394"/>
      <c r="E14" s="394"/>
      <c r="G14" s="165"/>
    </row>
    <row r="15" spans="1:11" x14ac:dyDescent="0.6">
      <c r="A15" s="389"/>
      <c r="B15" s="359" t="s">
        <v>96</v>
      </c>
    </row>
    <row r="16" spans="1:11" x14ac:dyDescent="0.6">
      <c r="A16" s="389">
        <v>4</v>
      </c>
      <c r="B16" s="210" t="s">
        <v>97</v>
      </c>
      <c r="C16" s="215">
        <v>1</v>
      </c>
      <c r="D16" s="215">
        <v>1</v>
      </c>
      <c r="E16" s="215">
        <v>1</v>
      </c>
      <c r="G16" s="165" t="s">
        <v>401</v>
      </c>
      <c r="K16" s="395"/>
    </row>
    <row r="17" spans="1:12" x14ac:dyDescent="0.6">
      <c r="A17" s="389">
        <v>5</v>
      </c>
      <c r="B17" s="210" t="s">
        <v>98</v>
      </c>
      <c r="C17" s="215">
        <v>1</v>
      </c>
      <c r="D17" s="215">
        <v>1</v>
      </c>
      <c r="E17" s="215">
        <v>1</v>
      </c>
      <c r="G17" s="165" t="s">
        <v>401</v>
      </c>
      <c r="K17" s="395"/>
    </row>
    <row r="18" spans="1:12" x14ac:dyDescent="0.6">
      <c r="A18" s="389"/>
      <c r="E18" s="215"/>
    </row>
    <row r="19" spans="1:12" x14ac:dyDescent="0.6">
      <c r="A19" s="389"/>
      <c r="B19" s="169" t="s">
        <v>402</v>
      </c>
    </row>
    <row r="20" spans="1:12" x14ac:dyDescent="0.6">
      <c r="A20" s="389">
        <v>6</v>
      </c>
      <c r="B20" s="363" t="s">
        <v>304</v>
      </c>
      <c r="C20" s="396">
        <f>'Att 3'!C21</f>
        <v>10164267.057513909</v>
      </c>
      <c r="D20" s="397"/>
      <c r="E20" s="397"/>
      <c r="G20" s="165" t="s">
        <v>403</v>
      </c>
    </row>
    <row r="21" spans="1:12" x14ac:dyDescent="0.6">
      <c r="A21" s="389">
        <v>7</v>
      </c>
      <c r="B21" s="363" t="s">
        <v>306</v>
      </c>
      <c r="C21" s="396">
        <f>'Att 3'!C22</f>
        <v>15523986.835758697</v>
      </c>
      <c r="D21" s="397"/>
      <c r="E21" s="397"/>
    </row>
    <row r="22" spans="1:12" x14ac:dyDescent="0.6">
      <c r="A22" s="389"/>
    </row>
    <row r="23" spans="1:12" x14ac:dyDescent="0.6">
      <c r="A23" s="389"/>
      <c r="B23" s="359" t="s">
        <v>307</v>
      </c>
    </row>
    <row r="24" spans="1:12" x14ac:dyDescent="0.6">
      <c r="A24" s="389">
        <v>8</v>
      </c>
      <c r="B24" s="210" t="s">
        <v>97</v>
      </c>
      <c r="C24" s="398">
        <f>((+C$8)*C$12/C$13*C16*$C20/1000) + (+C$9*C$12/C$13*$C20/1000)</f>
        <v>200647.41489982221</v>
      </c>
      <c r="D24" s="398">
        <f t="shared" ref="D24:E25" si="1">((+D$8)*D$12/D$13*D16*$C20/1000) + (+D$9*D$12/D$13*$C20/1000)</f>
        <v>208125.9238619036</v>
      </c>
      <c r="E24" s="398">
        <f t="shared" si="1"/>
        <v>192456.21144759041</v>
      </c>
      <c r="F24" s="399"/>
      <c r="G24" s="207" t="s">
        <v>404</v>
      </c>
      <c r="J24" s="400"/>
      <c r="L24" s="400"/>
    </row>
    <row r="25" spans="1:12" ht="15.25" x14ac:dyDescent="1.05">
      <c r="A25" s="389">
        <v>9</v>
      </c>
      <c r="B25" s="210" t="s">
        <v>98</v>
      </c>
      <c r="C25" s="401">
        <f>((+C$8)*C$12/C$13*C17*$C21/1000) + (+C$9*C$12/C$13*$C21/1000)</f>
        <v>306450.80554344645</v>
      </c>
      <c r="D25" s="401">
        <f t="shared" si="1"/>
        <v>317872.80715177988</v>
      </c>
      <c r="E25" s="401">
        <f t="shared" si="1"/>
        <v>293940.2985052173</v>
      </c>
      <c r="F25" s="399"/>
      <c r="G25" s="207" t="s">
        <v>405</v>
      </c>
    </row>
    <row r="26" spans="1:12" x14ac:dyDescent="0.6">
      <c r="A26" s="389">
        <v>10</v>
      </c>
      <c r="B26" s="363" t="s">
        <v>310</v>
      </c>
      <c r="C26" s="400">
        <f>+C25+C24</f>
        <v>507098.22044326866</v>
      </c>
      <c r="D26" s="400">
        <f>+D25+D24</f>
        <v>525998.73101368349</v>
      </c>
      <c r="E26" s="400">
        <f>+E25+E24</f>
        <v>486396.50995280768</v>
      </c>
      <c r="J26" s="400"/>
      <c r="L26" s="400"/>
    </row>
    <row r="27" spans="1:12" x14ac:dyDescent="0.6">
      <c r="A27" s="389"/>
    </row>
    <row r="28" spans="1:12" x14ac:dyDescent="0.6">
      <c r="A28" s="389"/>
      <c r="B28" s="359" t="s">
        <v>312</v>
      </c>
    </row>
    <row r="29" spans="1:12" x14ac:dyDescent="0.6">
      <c r="A29" s="389">
        <v>11</v>
      </c>
      <c r="B29" s="210" t="s">
        <v>97</v>
      </c>
      <c r="C29" s="402">
        <f>ROUND(+SUM(C24:E24)/C20*1000,3)</f>
        <v>59.151000000000003</v>
      </c>
      <c r="D29" s="403"/>
      <c r="G29" s="207" t="s">
        <v>406</v>
      </c>
    </row>
    <row r="30" spans="1:12" x14ac:dyDescent="0.6">
      <c r="A30" s="389">
        <v>12</v>
      </c>
      <c r="B30" s="210" t="s">
        <v>98</v>
      </c>
      <c r="C30" s="404">
        <f>ROUND(+SUM(C25:E25)/C21*1000,3)</f>
        <v>59.151000000000003</v>
      </c>
      <c r="G30" s="207" t="s">
        <v>407</v>
      </c>
    </row>
    <row r="31" spans="1:12" x14ac:dyDescent="0.6">
      <c r="A31" s="389"/>
      <c r="B31" s="210"/>
      <c r="C31" s="405"/>
      <c r="G31" s="406"/>
    </row>
    <row r="32" spans="1:12" x14ac:dyDescent="0.6">
      <c r="A32" s="389">
        <v>13</v>
      </c>
      <c r="B32" s="363" t="s">
        <v>315</v>
      </c>
      <c r="C32" s="407">
        <f>ROUND(+SUM(C26:E26)/(C20+C21)*1000,3)</f>
        <v>59.151000000000003</v>
      </c>
      <c r="D32" s="363" t="s">
        <v>316</v>
      </c>
      <c r="G32" s="207" t="s">
        <v>317</v>
      </c>
    </row>
    <row r="33" spans="1:13" x14ac:dyDescent="0.6">
      <c r="D33" s="363" t="s">
        <v>318</v>
      </c>
      <c r="G33" s="165" t="s">
        <v>408</v>
      </c>
    </row>
    <row r="34" spans="1:13" x14ac:dyDescent="0.6">
      <c r="C34" s="403"/>
    </row>
    <row r="35" spans="1:13" x14ac:dyDescent="0.6">
      <c r="B35" s="408"/>
      <c r="D35" s="403"/>
    </row>
    <row r="36" spans="1:13" x14ac:dyDescent="0.6">
      <c r="A36" s="389"/>
      <c r="B36" s="409"/>
      <c r="C36" s="400"/>
      <c r="D36" s="403"/>
      <c r="G36" s="406"/>
    </row>
    <row r="37" spans="1:13" ht="15.25" x14ac:dyDescent="1.05">
      <c r="A37" s="389"/>
      <c r="B37" s="409"/>
      <c r="C37" s="410"/>
      <c r="D37" s="403"/>
      <c r="G37" s="406"/>
    </row>
    <row r="38" spans="1:13" x14ac:dyDescent="0.6">
      <c r="A38" s="389"/>
      <c r="B38" s="409"/>
      <c r="C38" s="411"/>
      <c r="D38" s="403"/>
      <c r="G38" s="406"/>
    </row>
    <row r="39" spans="1:13" x14ac:dyDescent="0.6">
      <c r="B39" s="409"/>
      <c r="D39" s="403"/>
    </row>
    <row r="41" spans="1:13" x14ac:dyDescent="0.6">
      <c r="A41" s="412"/>
      <c r="B41" s="359"/>
      <c r="G41" s="413"/>
    </row>
    <row r="42" spans="1:13" x14ac:dyDescent="0.6">
      <c r="A42" s="412"/>
      <c r="B42" s="359"/>
      <c r="G42" s="413"/>
    </row>
    <row r="43" spans="1:13" x14ac:dyDescent="0.6">
      <c r="B43" s="359"/>
    </row>
    <row r="44" spans="1:13" x14ac:dyDescent="0.6">
      <c r="B44" s="413"/>
    </row>
    <row r="45" spans="1:13" x14ac:dyDescent="0.6">
      <c r="B45" s="359"/>
    </row>
    <row r="46" spans="1:13" x14ac:dyDescent="0.6">
      <c r="C46" s="414"/>
      <c r="D46" s="414"/>
      <c r="E46" s="414"/>
      <c r="F46" s="414"/>
      <c r="G46" s="414"/>
      <c r="H46" s="414"/>
      <c r="I46" s="414"/>
      <c r="J46" s="414"/>
    </row>
    <row r="47" spans="1:13" x14ac:dyDescent="0.6">
      <c r="C47" s="414"/>
      <c r="D47" s="414"/>
      <c r="E47" s="414"/>
      <c r="F47" s="414"/>
      <c r="G47" s="414"/>
    </row>
    <row r="48" spans="1:13" x14ac:dyDescent="0.6">
      <c r="B48" s="415"/>
      <c r="E48" s="297"/>
      <c r="F48" s="298"/>
      <c r="G48" s="298"/>
      <c r="H48" s="298"/>
      <c r="I48" s="297"/>
      <c r="J48" s="297"/>
      <c r="K48" s="299"/>
      <c r="L48" s="299"/>
      <c r="M48" s="299"/>
    </row>
    <row r="49" spans="2:13" x14ac:dyDescent="0.6">
      <c r="B49" s="416"/>
      <c r="C49" s="300"/>
      <c r="D49" s="301"/>
      <c r="E49" s="298"/>
      <c r="F49" s="297"/>
      <c r="G49" s="297"/>
      <c r="H49" s="297"/>
      <c r="I49" s="369"/>
      <c r="J49" s="302"/>
      <c r="K49" s="299"/>
      <c r="L49" s="299"/>
      <c r="M49" s="299"/>
    </row>
    <row r="50" spans="2:13" x14ac:dyDescent="0.6">
      <c r="B50" s="416"/>
      <c r="C50" s="300"/>
      <c r="D50" s="301"/>
      <c r="E50" s="298"/>
      <c r="F50" s="297"/>
      <c r="G50" s="297"/>
      <c r="H50" s="417"/>
      <c r="I50" s="369"/>
      <c r="J50" s="302"/>
      <c r="K50" s="418"/>
      <c r="L50" s="299"/>
      <c r="M50" s="299"/>
    </row>
    <row r="51" spans="2:13" x14ac:dyDescent="0.6">
      <c r="E51" s="300"/>
      <c r="F51" s="301"/>
      <c r="G51" s="301"/>
      <c r="L51" s="299"/>
      <c r="M51" s="299"/>
    </row>
    <row r="52" spans="2:13" x14ac:dyDescent="0.6">
      <c r="B52" s="419"/>
      <c r="C52" s="298"/>
      <c r="D52" s="298"/>
      <c r="E52" s="300"/>
      <c r="F52" s="301"/>
      <c r="G52" s="301"/>
      <c r="H52" s="301"/>
      <c r="I52" s="301"/>
      <c r="J52" s="301"/>
      <c r="K52" s="299"/>
      <c r="L52" s="299"/>
      <c r="M52" s="299"/>
    </row>
    <row r="53" spans="2:13" x14ac:dyDescent="0.6">
      <c r="B53" s="419"/>
      <c r="C53" s="420"/>
      <c r="D53" s="420"/>
      <c r="E53" s="421"/>
      <c r="F53" s="301"/>
      <c r="G53" s="301"/>
      <c r="H53" s="301"/>
      <c r="I53" s="301"/>
      <c r="J53" s="301"/>
      <c r="K53" s="299"/>
      <c r="L53" s="299"/>
      <c r="M53" s="299"/>
    </row>
    <row r="54" spans="2:13" x14ac:dyDescent="0.6">
      <c r="B54" s="419"/>
      <c r="C54" s="420"/>
      <c r="D54" s="420"/>
      <c r="E54" s="421"/>
      <c r="F54" s="301"/>
      <c r="G54" s="301"/>
      <c r="H54" s="301"/>
      <c r="I54" s="301"/>
      <c r="J54" s="301"/>
      <c r="K54" s="299"/>
      <c r="L54" s="299"/>
      <c r="M54" s="299"/>
    </row>
    <row r="55" spans="2:13" x14ac:dyDescent="0.6">
      <c r="G55" s="301"/>
      <c r="H55" s="301"/>
      <c r="I55" s="301"/>
      <c r="J55" s="301"/>
      <c r="K55" s="299"/>
      <c r="L55" s="299"/>
      <c r="M55" s="299"/>
    </row>
    <row r="56" spans="2:13" x14ac:dyDescent="0.6">
      <c r="H56" s="301"/>
      <c r="I56" s="301"/>
      <c r="J56" s="301"/>
      <c r="K56" s="299"/>
      <c r="L56" s="299"/>
      <c r="M56" s="299"/>
    </row>
    <row r="57" spans="2:13" x14ac:dyDescent="0.6">
      <c r="C57" s="301"/>
      <c r="D57" s="301"/>
      <c r="E57" s="301"/>
      <c r="F57" s="301"/>
      <c r="G57" s="301"/>
      <c r="H57" s="301"/>
      <c r="I57" s="301"/>
      <c r="J57" s="301"/>
      <c r="K57" s="299"/>
      <c r="L57" s="299"/>
      <c r="M57" s="299"/>
    </row>
    <row r="58" spans="2:13" x14ac:dyDescent="0.6">
      <c r="B58" s="415"/>
      <c r="C58" s="298"/>
      <c r="D58" s="298"/>
      <c r="E58" s="297"/>
      <c r="F58" s="298"/>
      <c r="G58" s="298"/>
      <c r="H58" s="298"/>
      <c r="I58" s="297"/>
      <c r="J58" s="297"/>
      <c r="K58" s="299"/>
      <c r="L58" s="299"/>
      <c r="M58" s="299"/>
    </row>
    <row r="59" spans="2:13" x14ac:dyDescent="0.6">
      <c r="B59" s="416"/>
      <c r="C59" s="301"/>
      <c r="D59" s="301"/>
      <c r="E59" s="298"/>
      <c r="F59" s="301"/>
      <c r="G59" s="301"/>
      <c r="H59" s="301"/>
      <c r="J59" s="302"/>
      <c r="K59" s="299"/>
      <c r="L59" s="299"/>
      <c r="M59" s="299"/>
    </row>
    <row r="60" spans="2:13" x14ac:dyDescent="0.6">
      <c r="B60" s="416"/>
      <c r="C60" s="301"/>
      <c r="D60" s="301"/>
      <c r="E60" s="298"/>
      <c r="F60" s="301"/>
      <c r="G60" s="301"/>
      <c r="J60" s="302"/>
      <c r="K60" s="418"/>
      <c r="L60" s="299"/>
      <c r="M60" s="299"/>
    </row>
    <row r="61" spans="2:13" x14ac:dyDescent="0.6">
      <c r="C61" s="307"/>
      <c r="D61" s="307"/>
      <c r="E61" s="307"/>
      <c r="F61" s="307"/>
      <c r="G61" s="307"/>
      <c r="K61" s="299"/>
      <c r="L61" s="299"/>
      <c r="M61" s="299"/>
    </row>
    <row r="62" spans="2:13" x14ac:dyDescent="0.6">
      <c r="C62" s="308"/>
      <c r="D62" s="308"/>
      <c r="E62" s="308"/>
      <c r="F62" s="308"/>
      <c r="G62" s="308"/>
      <c r="H62" s="308"/>
      <c r="I62" s="308"/>
      <c r="J62" s="308"/>
      <c r="K62" s="299"/>
      <c r="L62" s="299"/>
      <c r="M62" s="299"/>
    </row>
    <row r="65" spans="2:11" x14ac:dyDescent="0.6">
      <c r="B65" s="359"/>
    </row>
    <row r="66" spans="2:11" x14ac:dyDescent="0.6">
      <c r="B66" s="413"/>
    </row>
    <row r="67" spans="2:11" x14ac:dyDescent="0.6">
      <c r="B67" s="369"/>
    </row>
    <row r="68" spans="2:11" x14ac:dyDescent="0.6">
      <c r="C68" s="414"/>
      <c r="D68" s="414"/>
      <c r="E68" s="414"/>
      <c r="F68" s="414"/>
      <c r="H68" s="359"/>
      <c r="I68" s="414"/>
      <c r="J68" s="414"/>
    </row>
    <row r="69" spans="2:11" x14ac:dyDescent="0.6">
      <c r="C69" s="414"/>
      <c r="D69" s="422"/>
      <c r="E69" s="414"/>
      <c r="F69" s="422"/>
    </row>
    <row r="70" spans="2:11" x14ac:dyDescent="0.6">
      <c r="B70" s="415"/>
      <c r="C70" s="298"/>
      <c r="D70" s="418"/>
      <c r="E70" s="417"/>
      <c r="F70" s="417"/>
      <c r="H70" s="423"/>
    </row>
    <row r="71" spans="2:11" x14ac:dyDescent="0.6">
      <c r="B71" s="416"/>
      <c r="C71" s="297"/>
      <c r="D71" s="418"/>
      <c r="E71" s="298"/>
      <c r="F71" s="418"/>
      <c r="H71" s="409"/>
      <c r="I71" s="424"/>
      <c r="J71" s="424"/>
      <c r="K71" s="406"/>
    </row>
    <row r="72" spans="2:11" x14ac:dyDescent="0.6">
      <c r="B72" s="416"/>
      <c r="C72" s="297"/>
      <c r="D72" s="418"/>
      <c r="E72" s="298"/>
      <c r="F72" s="418"/>
      <c r="H72" s="409"/>
      <c r="I72" s="424"/>
      <c r="J72" s="424"/>
      <c r="K72" s="406"/>
    </row>
    <row r="73" spans="2:11" x14ac:dyDescent="0.6">
      <c r="C73" s="297"/>
      <c r="D73" s="418"/>
      <c r="E73" s="297"/>
      <c r="F73" s="418"/>
      <c r="H73" s="409"/>
      <c r="I73" s="424"/>
      <c r="J73" s="424"/>
      <c r="K73" s="406"/>
    </row>
    <row r="74" spans="2:11" x14ac:dyDescent="0.6">
      <c r="B74" s="415"/>
      <c r="C74" s="298"/>
      <c r="D74" s="418"/>
      <c r="E74" s="298"/>
      <c r="F74" s="418"/>
      <c r="H74" s="423"/>
      <c r="I74" s="403"/>
      <c r="J74" s="403"/>
    </row>
    <row r="75" spans="2:11" x14ac:dyDescent="0.6">
      <c r="B75" s="416"/>
      <c r="C75" s="297"/>
      <c r="D75" s="417"/>
      <c r="E75" s="298"/>
      <c r="F75" s="418"/>
      <c r="H75" s="409"/>
      <c r="I75" s="424"/>
      <c r="J75" s="424"/>
      <c r="K75" s="406"/>
    </row>
    <row r="76" spans="2:11" x14ac:dyDescent="0.6">
      <c r="B76" s="416"/>
      <c r="C76" s="297"/>
      <c r="D76" s="417"/>
      <c r="E76" s="298"/>
      <c r="F76" s="418"/>
    </row>
    <row r="77" spans="2:11" x14ac:dyDescent="0.6">
      <c r="C77" s="308"/>
      <c r="D77" s="417"/>
      <c r="E77" s="308"/>
      <c r="F77" s="417"/>
    </row>
    <row r="78" spans="2:11" x14ac:dyDescent="0.6">
      <c r="C78" s="308"/>
      <c r="D78" s="417"/>
      <c r="E78" s="308"/>
      <c r="F78" s="417"/>
    </row>
    <row r="79" spans="2:11" x14ac:dyDescent="0.6">
      <c r="C79" s="308"/>
      <c r="D79" s="417"/>
      <c r="E79" s="308"/>
      <c r="F79" s="417"/>
    </row>
    <row r="80" spans="2:11" x14ac:dyDescent="0.6">
      <c r="C80" s="299"/>
      <c r="E80" s="299"/>
    </row>
    <row r="81" spans="1:13" x14ac:dyDescent="0.6">
      <c r="A81" s="425"/>
      <c r="B81" s="408"/>
      <c r="C81" s="299"/>
      <c r="E81" s="299"/>
    </row>
    <row r="82" spans="1:13" x14ac:dyDescent="0.6">
      <c r="A82" s="425"/>
      <c r="B82" s="413"/>
    </row>
    <row r="84" spans="1:13" x14ac:dyDescent="0.6">
      <c r="B84" s="359"/>
    </row>
    <row r="85" spans="1:13" x14ac:dyDescent="0.6">
      <c r="B85" s="413"/>
    </row>
    <row r="86" spans="1:13" x14ac:dyDescent="0.6">
      <c r="B86" s="359"/>
    </row>
    <row r="87" spans="1:13" x14ac:dyDescent="0.6">
      <c r="C87" s="414"/>
      <c r="D87" s="414"/>
      <c r="E87" s="414"/>
      <c r="F87" s="414"/>
      <c r="G87" s="414"/>
      <c r="H87" s="414"/>
      <c r="I87" s="414"/>
      <c r="J87" s="414"/>
    </row>
    <row r="88" spans="1:13" x14ac:dyDescent="0.6">
      <c r="C88" s="425"/>
      <c r="D88" s="425"/>
      <c r="E88" s="425"/>
      <c r="F88" s="426"/>
      <c r="G88" s="426"/>
      <c r="H88" s="426"/>
      <c r="I88" s="426"/>
      <c r="J88" s="426"/>
    </row>
    <row r="89" spans="1:13" x14ac:dyDescent="0.6">
      <c r="B89" s="415"/>
      <c r="C89" s="425"/>
      <c r="D89" s="425"/>
      <c r="E89" s="425"/>
      <c r="F89" s="426"/>
      <c r="G89" s="426"/>
      <c r="H89" s="426"/>
      <c r="I89" s="426"/>
      <c r="J89" s="426"/>
      <c r="L89" s="299"/>
      <c r="M89" s="299"/>
    </row>
    <row r="90" spans="1:13" x14ac:dyDescent="0.6">
      <c r="B90" s="416"/>
      <c r="C90" s="425"/>
      <c r="D90" s="425"/>
      <c r="E90" s="426"/>
      <c r="F90" s="425"/>
      <c r="G90" s="426"/>
      <c r="H90" s="426"/>
      <c r="I90" s="426"/>
      <c r="J90" s="425"/>
      <c r="L90" s="299"/>
      <c r="M90" s="299"/>
    </row>
    <row r="91" spans="1:13" x14ac:dyDescent="0.6">
      <c r="B91" s="416"/>
      <c r="C91" s="425"/>
      <c r="D91" s="425"/>
      <c r="E91" s="426"/>
      <c r="F91" s="425"/>
      <c r="G91" s="425"/>
      <c r="H91" s="425"/>
      <c r="I91" s="425"/>
      <c r="J91" s="425"/>
      <c r="L91" s="299"/>
      <c r="M91" s="299"/>
    </row>
    <row r="92" spans="1:13" x14ac:dyDescent="0.6">
      <c r="B92" s="419"/>
      <c r="C92" s="425"/>
      <c r="D92" s="425"/>
      <c r="E92" s="425"/>
      <c r="F92" s="425"/>
      <c r="G92" s="425"/>
      <c r="H92" s="425"/>
      <c r="I92" s="425"/>
      <c r="J92" s="425"/>
      <c r="L92" s="299"/>
      <c r="M92" s="299"/>
    </row>
    <row r="93" spans="1:13" x14ac:dyDescent="0.6">
      <c r="B93" s="421"/>
      <c r="C93" s="426"/>
      <c r="D93" s="426"/>
      <c r="E93" s="425"/>
      <c r="F93" s="425"/>
      <c r="G93" s="425"/>
      <c r="H93" s="425"/>
      <c r="I93" s="425"/>
      <c r="J93" s="425"/>
      <c r="L93" s="299"/>
      <c r="M93" s="299"/>
    </row>
    <row r="94" spans="1:13" x14ac:dyDescent="0.6">
      <c r="B94" s="421"/>
      <c r="C94" s="426"/>
      <c r="D94" s="426"/>
      <c r="E94" s="425"/>
      <c r="F94" s="425"/>
      <c r="G94" s="425"/>
      <c r="H94" s="425"/>
      <c r="I94" s="425"/>
      <c r="J94" s="425"/>
      <c r="L94" s="299"/>
      <c r="M94" s="299"/>
    </row>
    <row r="95" spans="1:13" x14ac:dyDescent="0.6">
      <c r="C95" s="426"/>
      <c r="D95" s="426"/>
      <c r="E95" s="425"/>
      <c r="F95" s="425"/>
      <c r="G95" s="425"/>
      <c r="H95" s="425"/>
      <c r="I95" s="425"/>
      <c r="J95" s="425"/>
      <c r="L95" s="299"/>
      <c r="M95" s="299"/>
    </row>
    <row r="96" spans="1:13" x14ac:dyDescent="0.6">
      <c r="B96" s="415"/>
      <c r="C96" s="426"/>
      <c r="D96" s="426"/>
      <c r="E96" s="425"/>
      <c r="F96" s="426"/>
      <c r="G96" s="426"/>
      <c r="H96" s="426"/>
      <c r="I96" s="426"/>
      <c r="J96" s="426"/>
      <c r="L96" s="299"/>
      <c r="M96" s="299"/>
    </row>
    <row r="97" spans="2:13" x14ac:dyDescent="0.6">
      <c r="B97" s="416"/>
      <c r="C97" s="425"/>
      <c r="D97" s="425"/>
      <c r="E97" s="426"/>
      <c r="F97" s="425"/>
      <c r="G97" s="425"/>
      <c r="H97" s="425"/>
      <c r="I97" s="425"/>
      <c r="J97" s="425"/>
      <c r="L97" s="299"/>
      <c r="M97" s="299"/>
    </row>
    <row r="98" spans="2:13" x14ac:dyDescent="0.6">
      <c r="B98" s="416"/>
      <c r="C98" s="425"/>
      <c r="D98" s="425"/>
      <c r="E98" s="426"/>
      <c r="F98" s="425"/>
      <c r="G98" s="425"/>
      <c r="H98" s="425"/>
      <c r="I98" s="425"/>
      <c r="J98" s="425"/>
      <c r="L98" s="299"/>
      <c r="M98" s="299"/>
    </row>
    <row r="99" spans="2:13" x14ac:dyDescent="0.6">
      <c r="C99" s="425"/>
      <c r="D99" s="425"/>
      <c r="E99" s="426"/>
      <c r="F99" s="425"/>
      <c r="G99" s="425"/>
      <c r="H99" s="425"/>
      <c r="I99" s="425"/>
      <c r="J99" s="425"/>
      <c r="L99" s="299"/>
      <c r="M99" s="299"/>
    </row>
    <row r="102" spans="2:13" x14ac:dyDescent="0.6">
      <c r="B102" s="359"/>
    </row>
    <row r="103" spans="2:13" x14ac:dyDescent="0.6">
      <c r="B103" s="413"/>
    </row>
    <row r="104" spans="2:13" x14ac:dyDescent="0.6">
      <c r="B104" s="369"/>
    </row>
    <row r="105" spans="2:13" x14ac:dyDescent="0.6">
      <c r="C105" s="414"/>
      <c r="D105" s="414"/>
      <c r="E105" s="414"/>
      <c r="F105" s="414"/>
      <c r="H105" s="359"/>
      <c r="I105" s="414"/>
      <c r="J105" s="414"/>
    </row>
    <row r="106" spans="2:13" x14ac:dyDescent="0.6">
      <c r="F106" s="422"/>
    </row>
    <row r="107" spans="2:13" x14ac:dyDescent="0.6">
      <c r="B107" s="415"/>
      <c r="C107" s="426"/>
      <c r="D107" s="426"/>
      <c r="E107" s="426"/>
      <c r="F107" s="417"/>
      <c r="H107" s="423"/>
    </row>
    <row r="108" spans="2:13" x14ac:dyDescent="0.6">
      <c r="B108" s="416"/>
      <c r="C108" s="426"/>
      <c r="D108" s="426"/>
      <c r="E108" s="426"/>
      <c r="F108" s="418"/>
      <c r="H108" s="409"/>
      <c r="I108" s="427"/>
      <c r="J108" s="427"/>
      <c r="K108" s="406"/>
    </row>
    <row r="109" spans="2:13" x14ac:dyDescent="0.6">
      <c r="B109" s="416"/>
      <c r="C109" s="426"/>
      <c r="D109" s="426"/>
      <c r="E109" s="426"/>
      <c r="F109" s="418"/>
      <c r="H109" s="409"/>
      <c r="I109" s="427"/>
      <c r="J109" s="427"/>
      <c r="K109" s="406"/>
    </row>
    <row r="110" spans="2:13" x14ac:dyDescent="0.6">
      <c r="C110" s="426"/>
      <c r="D110" s="426"/>
      <c r="E110" s="426"/>
      <c r="F110" s="418"/>
      <c r="H110" s="409"/>
      <c r="I110" s="424"/>
      <c r="J110" s="424"/>
      <c r="K110" s="406"/>
    </row>
    <row r="111" spans="2:13" x14ac:dyDescent="0.6">
      <c r="B111" s="415"/>
      <c r="C111" s="426"/>
      <c r="D111" s="426"/>
      <c r="E111" s="426"/>
      <c r="F111" s="418"/>
      <c r="H111" s="423"/>
      <c r="I111" s="403"/>
      <c r="J111" s="403"/>
    </row>
    <row r="112" spans="2:13" x14ac:dyDescent="0.6">
      <c r="B112" s="416"/>
      <c r="C112" s="426"/>
      <c r="D112" s="426"/>
      <c r="E112" s="426"/>
      <c r="F112" s="418"/>
      <c r="H112" s="409"/>
      <c r="I112" s="427"/>
      <c r="J112" s="427"/>
      <c r="K112" s="406"/>
    </row>
    <row r="113" spans="1:12" x14ac:dyDescent="0.6">
      <c r="B113" s="416"/>
      <c r="C113" s="426"/>
      <c r="D113" s="426"/>
      <c r="E113" s="426"/>
      <c r="F113" s="418"/>
    </row>
    <row r="114" spans="1:12" x14ac:dyDescent="0.6">
      <c r="C114" s="308"/>
      <c r="D114" s="417"/>
      <c r="E114" s="308"/>
      <c r="F114" s="417"/>
    </row>
    <row r="115" spans="1:12" x14ac:dyDescent="0.6">
      <c r="C115" s="308"/>
      <c r="D115" s="417"/>
      <c r="E115" s="308"/>
      <c r="F115" s="417"/>
    </row>
    <row r="117" spans="1:12" x14ac:dyDescent="0.6">
      <c r="A117" s="425"/>
      <c r="B117" s="359"/>
      <c r="C117" s="299"/>
      <c r="E117" s="299"/>
    </row>
    <row r="118" spans="1:12" x14ac:dyDescent="0.6">
      <c r="C118" s="299"/>
      <c r="E118" s="299"/>
    </row>
    <row r="119" spans="1:12" x14ac:dyDescent="0.6">
      <c r="C119" s="414"/>
      <c r="D119" s="414"/>
      <c r="E119" s="414"/>
      <c r="F119" s="414"/>
      <c r="G119" s="414"/>
      <c r="H119" s="414"/>
      <c r="I119" s="414"/>
      <c r="J119" s="414"/>
    </row>
    <row r="121" spans="1:12" x14ac:dyDescent="0.6">
      <c r="B121" s="389"/>
      <c r="C121" s="411"/>
      <c r="D121" s="411"/>
      <c r="E121" s="428"/>
      <c r="F121" s="411"/>
      <c r="G121" s="411"/>
      <c r="H121" s="411"/>
      <c r="I121" s="411"/>
      <c r="J121" s="411"/>
    </row>
    <row r="122" spans="1:12" ht="15.25" x14ac:dyDescent="1.05">
      <c r="B122" s="389"/>
      <c r="C122" s="429"/>
      <c r="D122" s="429"/>
      <c r="E122" s="429"/>
      <c r="F122" s="429"/>
      <c r="G122" s="429"/>
      <c r="H122" s="429"/>
      <c r="I122" s="429"/>
      <c r="J122" s="429"/>
    </row>
    <row r="123" spans="1:12" x14ac:dyDescent="0.6">
      <c r="B123" s="389"/>
      <c r="C123" s="400"/>
      <c r="D123" s="400"/>
      <c r="E123" s="400"/>
      <c r="F123" s="400"/>
      <c r="G123" s="400"/>
      <c r="H123" s="400"/>
      <c r="I123" s="400"/>
      <c r="J123" s="400"/>
    </row>
    <row r="124" spans="1:12" x14ac:dyDescent="0.6">
      <c r="B124" s="389"/>
      <c r="C124" s="400"/>
      <c r="D124" s="400"/>
      <c r="E124" s="400"/>
      <c r="F124" s="400"/>
      <c r="G124" s="400"/>
      <c r="H124" s="400"/>
      <c r="I124" s="400"/>
      <c r="J124" s="400"/>
      <c r="K124" s="400"/>
      <c r="L124" s="400"/>
    </row>
    <row r="125" spans="1:12" x14ac:dyDescent="0.6">
      <c r="B125" s="389"/>
      <c r="C125" s="400"/>
      <c r="D125" s="400"/>
      <c r="E125" s="400"/>
      <c r="F125" s="400"/>
      <c r="G125" s="400"/>
      <c r="H125" s="400"/>
      <c r="I125" s="400"/>
      <c r="J125" s="400"/>
      <c r="K125" s="400"/>
      <c r="L125" s="400"/>
    </row>
    <row r="126" spans="1:12" x14ac:dyDescent="0.6">
      <c r="B126" s="389"/>
      <c r="C126" s="414"/>
      <c r="D126" s="414"/>
      <c r="F126" s="414"/>
      <c r="G126" s="414"/>
      <c r="H126" s="400"/>
      <c r="I126" s="400"/>
      <c r="J126" s="400"/>
      <c r="K126" s="400"/>
      <c r="L126" s="400"/>
    </row>
    <row r="127" spans="1:12" x14ac:dyDescent="0.6">
      <c r="B127" s="389"/>
      <c r="C127" s="414"/>
      <c r="D127" s="414"/>
      <c r="F127" s="414"/>
      <c r="G127" s="414"/>
      <c r="H127" s="400"/>
      <c r="I127" s="400"/>
      <c r="J127" s="400"/>
      <c r="K127" s="400"/>
      <c r="L127" s="400"/>
    </row>
    <row r="128" spans="1:12" x14ac:dyDescent="0.6">
      <c r="B128" s="389"/>
      <c r="G128" s="400"/>
      <c r="H128" s="400"/>
      <c r="I128" s="400"/>
      <c r="J128" s="400"/>
      <c r="K128" s="400"/>
      <c r="L128" s="400"/>
    </row>
    <row r="129" spans="2:12" x14ac:dyDescent="0.6">
      <c r="B129" s="389"/>
      <c r="C129" s="428"/>
      <c r="D129" s="428"/>
      <c r="F129" s="428"/>
      <c r="G129" s="428"/>
      <c r="H129" s="400"/>
      <c r="I129" s="400"/>
      <c r="J129" s="400"/>
      <c r="K129" s="400"/>
      <c r="L129" s="400"/>
    </row>
    <row r="130" spans="2:12" ht="15.25" x14ac:dyDescent="1.05">
      <c r="B130" s="389"/>
      <c r="C130" s="430"/>
      <c r="D130" s="430"/>
      <c r="F130" s="430"/>
      <c r="G130" s="430"/>
      <c r="H130" s="400"/>
      <c r="I130" s="400"/>
      <c r="J130" s="400"/>
      <c r="K130" s="400"/>
      <c r="L130" s="400"/>
    </row>
    <row r="131" spans="2:12" x14ac:dyDescent="0.6">
      <c r="B131" s="389"/>
      <c r="C131" s="400"/>
      <c r="D131" s="400"/>
      <c r="F131" s="400"/>
      <c r="G131" s="400"/>
      <c r="H131" s="400"/>
      <c r="I131" s="400"/>
      <c r="J131" s="400"/>
      <c r="K131" s="400"/>
      <c r="L131" s="400"/>
    </row>
    <row r="132" spans="2:12" x14ac:dyDescent="0.6">
      <c r="B132" s="389"/>
      <c r="C132" s="400"/>
      <c r="F132" s="400"/>
      <c r="G132" s="400"/>
      <c r="H132" s="400"/>
      <c r="I132" s="400"/>
      <c r="J132" s="400"/>
      <c r="K132" s="400"/>
      <c r="L132" s="400"/>
    </row>
    <row r="133" spans="2:12" x14ac:dyDescent="0.6">
      <c r="B133" s="389"/>
      <c r="C133" s="400"/>
      <c r="D133" s="400"/>
      <c r="E133" s="400"/>
      <c r="F133" s="400"/>
      <c r="G133" s="400"/>
      <c r="H133" s="400"/>
      <c r="I133" s="400"/>
      <c r="J133" s="400"/>
      <c r="K133" s="400"/>
      <c r="L133" s="400"/>
    </row>
    <row r="134" spans="2:12" x14ac:dyDescent="0.6">
      <c r="B134" s="389"/>
      <c r="C134" s="414"/>
      <c r="D134" s="414"/>
      <c r="E134" s="414"/>
      <c r="F134" s="400"/>
      <c r="G134" s="400"/>
      <c r="H134" s="400"/>
      <c r="I134" s="400"/>
      <c r="J134" s="400"/>
      <c r="K134" s="400"/>
      <c r="L134" s="400"/>
    </row>
    <row r="135" spans="2:12" x14ac:dyDescent="0.6">
      <c r="B135" s="389"/>
      <c r="C135" s="400"/>
      <c r="D135" s="400"/>
      <c r="E135" s="400"/>
      <c r="F135" s="400"/>
      <c r="G135" s="400"/>
      <c r="H135" s="400"/>
      <c r="I135" s="400"/>
      <c r="J135" s="400"/>
      <c r="K135" s="400"/>
      <c r="L135" s="400"/>
    </row>
    <row r="136" spans="2:12" ht="15.25" x14ac:dyDescent="1.05">
      <c r="B136" s="389"/>
      <c r="C136" s="410"/>
      <c r="D136" s="410"/>
      <c r="E136" s="410"/>
    </row>
    <row r="137" spans="2:12" x14ac:dyDescent="0.6">
      <c r="B137" s="389"/>
      <c r="C137" s="400"/>
      <c r="D137" s="400"/>
      <c r="E137" s="431"/>
    </row>
    <row r="138" spans="2:12" x14ac:dyDescent="0.6">
      <c r="B138" s="389"/>
      <c r="C138" s="299"/>
      <c r="E138" s="299"/>
    </row>
    <row r="139" spans="2:12" x14ac:dyDescent="0.6">
      <c r="C139" s="414"/>
      <c r="D139" s="414"/>
      <c r="E139" s="414"/>
      <c r="F139" s="414"/>
      <c r="G139" s="414"/>
      <c r="H139" s="414"/>
      <c r="I139" s="414"/>
      <c r="J139" s="414"/>
      <c r="K139" s="414"/>
      <c r="L139" s="414"/>
    </row>
    <row r="141" spans="2:12" x14ac:dyDescent="0.6">
      <c r="B141" s="389"/>
      <c r="C141" s="400"/>
    </row>
    <row r="142" spans="2:12" ht="15.25" x14ac:dyDescent="1.05">
      <c r="B142" s="389"/>
      <c r="C142" s="410"/>
    </row>
    <row r="143" spans="2:12" x14ac:dyDescent="0.6">
      <c r="B143" s="389"/>
      <c r="C143" s="400"/>
    </row>
    <row r="144" spans="2:12" x14ac:dyDescent="0.6">
      <c r="C144" s="299"/>
    </row>
    <row r="145" spans="1:10" x14ac:dyDescent="0.6">
      <c r="B145" s="432"/>
      <c r="C145" s="390"/>
    </row>
    <row r="146" spans="1:10" x14ac:dyDescent="0.6">
      <c r="B146" s="389"/>
      <c r="C146" s="400"/>
    </row>
    <row r="147" spans="1:10" ht="15.25" x14ac:dyDescent="1.05">
      <c r="B147" s="389"/>
      <c r="C147" s="410"/>
    </row>
    <row r="148" spans="1:10" x14ac:dyDescent="0.6">
      <c r="B148" s="389"/>
      <c r="C148" s="400"/>
    </row>
    <row r="151" spans="1:10" x14ac:dyDescent="0.6">
      <c r="D151" s="433"/>
      <c r="E151" s="433"/>
      <c r="F151" s="433"/>
      <c r="G151" s="433"/>
      <c r="H151" s="433"/>
      <c r="I151" s="433"/>
    </row>
    <row r="152" spans="1:10" x14ac:dyDescent="0.6">
      <c r="D152" s="433"/>
      <c r="E152" s="433"/>
      <c r="F152" s="433"/>
      <c r="G152" s="433"/>
      <c r="H152" s="433"/>
      <c r="I152" s="433"/>
    </row>
    <row r="153" spans="1:10" x14ac:dyDescent="0.6">
      <c r="A153" s="425"/>
      <c r="B153" s="408"/>
      <c r="C153" s="299"/>
      <c r="E153" s="299"/>
    </row>
    <row r="154" spans="1:10" x14ac:dyDescent="0.6">
      <c r="B154" s="413"/>
    </row>
    <row r="156" spans="1:10" x14ac:dyDescent="0.6">
      <c r="B156" s="359"/>
    </row>
    <row r="157" spans="1:10" x14ac:dyDescent="0.6">
      <c r="B157" s="413"/>
    </row>
    <row r="158" spans="1:10" x14ac:dyDescent="0.6">
      <c r="B158" s="359"/>
    </row>
    <row r="159" spans="1:10" x14ac:dyDescent="0.6">
      <c r="C159" s="414"/>
      <c r="D159" s="414"/>
      <c r="E159" s="414"/>
      <c r="F159" s="414"/>
      <c r="G159" s="414"/>
      <c r="H159" s="414"/>
      <c r="I159" s="414"/>
      <c r="J159" s="414"/>
    </row>
    <row r="160" spans="1:10" x14ac:dyDescent="0.6">
      <c r="C160" s="425"/>
      <c r="D160" s="425"/>
      <c r="E160" s="425"/>
      <c r="F160" s="426"/>
      <c r="G160" s="426"/>
      <c r="H160" s="426"/>
      <c r="I160" s="426"/>
      <c r="J160" s="426"/>
    </row>
    <row r="161" spans="2:10" x14ac:dyDescent="0.6">
      <c r="B161" s="415"/>
      <c r="C161" s="425"/>
      <c r="D161" s="425"/>
      <c r="E161" s="425"/>
      <c r="F161" s="426"/>
      <c r="G161" s="426"/>
      <c r="H161" s="426"/>
      <c r="I161" s="426"/>
      <c r="J161" s="426"/>
    </row>
    <row r="162" spans="2:10" x14ac:dyDescent="0.6">
      <c r="B162" s="416"/>
      <c r="C162" s="425"/>
      <c r="D162" s="425"/>
      <c r="E162" s="426"/>
      <c r="G162" s="426"/>
      <c r="H162" s="426"/>
      <c r="I162" s="426"/>
      <c r="J162" s="425"/>
    </row>
    <row r="163" spans="2:10" x14ac:dyDescent="0.6">
      <c r="B163" s="416"/>
      <c r="C163" s="425"/>
      <c r="D163" s="425"/>
      <c r="E163" s="426"/>
      <c r="F163" s="425"/>
      <c r="G163" s="425"/>
      <c r="H163" s="425"/>
      <c r="I163" s="425"/>
      <c r="J163" s="425"/>
    </row>
    <row r="164" spans="2:10" x14ac:dyDescent="0.6">
      <c r="B164" s="419"/>
      <c r="C164" s="425"/>
      <c r="D164" s="425"/>
      <c r="E164" s="425"/>
      <c r="F164" s="425"/>
      <c r="G164" s="425"/>
      <c r="H164" s="425"/>
      <c r="I164" s="425"/>
      <c r="J164" s="425"/>
    </row>
    <row r="165" spans="2:10" x14ac:dyDescent="0.6">
      <c r="B165" s="421"/>
      <c r="C165" s="426"/>
      <c r="D165" s="426"/>
      <c r="E165" s="425"/>
      <c r="F165" s="425"/>
      <c r="G165" s="425"/>
      <c r="H165" s="425"/>
      <c r="I165" s="425"/>
      <c r="J165" s="425"/>
    </row>
    <row r="166" spans="2:10" x14ac:dyDescent="0.6">
      <c r="B166" s="421"/>
      <c r="C166" s="426"/>
      <c r="D166" s="426"/>
      <c r="E166" s="425"/>
      <c r="F166" s="425"/>
      <c r="G166" s="425"/>
      <c r="H166" s="425"/>
      <c r="I166" s="425"/>
      <c r="J166" s="425"/>
    </row>
    <row r="167" spans="2:10" x14ac:dyDescent="0.6">
      <c r="C167" s="426"/>
      <c r="D167" s="426"/>
      <c r="E167" s="425"/>
      <c r="F167" s="425"/>
      <c r="G167" s="425"/>
      <c r="H167" s="425"/>
      <c r="I167" s="425"/>
      <c r="J167" s="425"/>
    </row>
    <row r="168" spans="2:10" x14ac:dyDescent="0.6">
      <c r="B168" s="415"/>
      <c r="C168" s="426"/>
      <c r="D168" s="426"/>
      <c r="E168" s="425"/>
      <c r="F168" s="426"/>
      <c r="G168" s="426"/>
      <c r="H168" s="426"/>
      <c r="I168" s="426"/>
      <c r="J168" s="426"/>
    </row>
    <row r="169" spans="2:10" x14ac:dyDescent="0.6">
      <c r="B169" s="416"/>
      <c r="C169" s="425"/>
      <c r="D169" s="425"/>
      <c r="E169" s="426"/>
      <c r="F169" s="425"/>
      <c r="G169" s="425"/>
      <c r="H169" s="425"/>
      <c r="I169" s="425"/>
      <c r="J169" s="425"/>
    </row>
    <row r="170" spans="2:10" x14ac:dyDescent="0.6">
      <c r="B170" s="416"/>
      <c r="C170" s="425"/>
      <c r="D170" s="425"/>
      <c r="E170" s="426"/>
      <c r="F170" s="425"/>
      <c r="G170" s="425"/>
      <c r="H170" s="425"/>
      <c r="I170" s="425"/>
      <c r="J170" s="425"/>
    </row>
    <row r="171" spans="2:10" x14ac:dyDescent="0.6">
      <c r="C171" s="425"/>
      <c r="D171" s="425"/>
      <c r="E171" s="426"/>
      <c r="F171" s="425"/>
      <c r="G171" s="425"/>
      <c r="H171" s="425"/>
      <c r="I171" s="425"/>
      <c r="J171" s="425"/>
    </row>
    <row r="174" spans="2:10" x14ac:dyDescent="0.6">
      <c r="B174" s="359"/>
    </row>
    <row r="175" spans="2:10" x14ac:dyDescent="0.6">
      <c r="B175" s="413"/>
    </row>
    <row r="176" spans="2:10" x14ac:dyDescent="0.6">
      <c r="B176" s="369"/>
    </row>
    <row r="177" spans="1:12" x14ac:dyDescent="0.6">
      <c r="C177" s="414"/>
      <c r="D177" s="414"/>
      <c r="E177" s="414"/>
      <c r="F177" s="414"/>
      <c r="H177" s="359"/>
      <c r="I177" s="414"/>
      <c r="J177" s="414"/>
    </row>
    <row r="178" spans="1:12" x14ac:dyDescent="0.6">
      <c r="F178" s="422"/>
    </row>
    <row r="179" spans="1:12" x14ac:dyDescent="0.6">
      <c r="B179" s="415"/>
      <c r="C179" s="426"/>
      <c r="D179" s="426"/>
      <c r="E179" s="426"/>
      <c r="F179" s="417"/>
      <c r="H179" s="423"/>
    </row>
    <row r="180" spans="1:12" x14ac:dyDescent="0.6">
      <c r="B180" s="416"/>
      <c r="C180" s="426"/>
      <c r="D180" s="426"/>
      <c r="E180" s="426"/>
      <c r="F180" s="418"/>
      <c r="H180" s="409"/>
      <c r="I180" s="434"/>
      <c r="J180" s="434"/>
    </row>
    <row r="181" spans="1:12" x14ac:dyDescent="0.6">
      <c r="B181" s="416"/>
      <c r="C181" s="426"/>
      <c r="D181" s="426"/>
      <c r="E181" s="426"/>
      <c r="F181" s="418"/>
      <c r="H181" s="409"/>
      <c r="I181" s="434"/>
      <c r="J181" s="434"/>
    </row>
    <row r="182" spans="1:12" x14ac:dyDescent="0.6">
      <c r="C182" s="426"/>
      <c r="D182" s="426"/>
      <c r="E182" s="426"/>
      <c r="F182" s="418"/>
      <c r="H182" s="409"/>
      <c r="I182" s="424"/>
      <c r="J182" s="424"/>
    </row>
    <row r="183" spans="1:12" x14ac:dyDescent="0.6">
      <c r="B183" s="415"/>
      <c r="C183" s="426"/>
      <c r="D183" s="426"/>
      <c r="E183" s="426"/>
      <c r="F183" s="418"/>
      <c r="H183" s="423"/>
      <c r="I183" s="403"/>
      <c r="J183" s="403"/>
    </row>
    <row r="184" spans="1:12" x14ac:dyDescent="0.6">
      <c r="B184" s="416"/>
      <c r="C184" s="426"/>
      <c r="D184" s="426"/>
      <c r="E184" s="426"/>
      <c r="F184" s="418"/>
      <c r="H184" s="409"/>
      <c r="I184" s="434"/>
      <c r="J184" s="434"/>
    </row>
    <row r="185" spans="1:12" x14ac:dyDescent="0.6">
      <c r="B185" s="416"/>
      <c r="C185" s="426"/>
      <c r="D185" s="426"/>
      <c r="E185" s="426"/>
      <c r="F185" s="418"/>
    </row>
    <row r="189" spans="1:12" x14ac:dyDescent="0.6">
      <c r="A189" s="425"/>
      <c r="B189" s="359"/>
      <c r="C189" s="299"/>
      <c r="E189" s="299"/>
    </row>
    <row r="190" spans="1:12" x14ac:dyDescent="0.6">
      <c r="C190" s="299"/>
      <c r="E190" s="299"/>
    </row>
    <row r="191" spans="1:12" x14ac:dyDescent="0.6">
      <c r="C191" s="414"/>
      <c r="D191" s="414"/>
      <c r="E191" s="414"/>
      <c r="F191" s="414"/>
      <c r="G191" s="414"/>
      <c r="H191" s="414"/>
      <c r="I191" s="414"/>
      <c r="J191" s="414"/>
      <c r="K191" s="414"/>
      <c r="L191" s="414"/>
    </row>
    <row r="193" spans="2:12" x14ac:dyDescent="0.6">
      <c r="B193" s="389"/>
      <c r="C193" s="411"/>
      <c r="D193" s="411"/>
      <c r="E193" s="428"/>
      <c r="F193" s="411"/>
      <c r="G193" s="411"/>
      <c r="H193" s="411"/>
      <c r="I193" s="411"/>
      <c r="J193" s="411"/>
      <c r="K193" s="428"/>
      <c r="L193" s="428"/>
    </row>
    <row r="194" spans="2:12" ht="15.25" x14ac:dyDescent="1.05">
      <c r="B194" s="389"/>
      <c r="C194" s="429"/>
      <c r="D194" s="429"/>
      <c r="E194" s="429"/>
      <c r="F194" s="429"/>
      <c r="G194" s="429"/>
      <c r="H194" s="429"/>
      <c r="I194" s="429"/>
      <c r="J194" s="429"/>
      <c r="K194" s="430"/>
      <c r="L194" s="430"/>
    </row>
    <row r="195" spans="2:12" x14ac:dyDescent="0.6">
      <c r="B195" s="389"/>
      <c r="C195" s="400"/>
      <c r="D195" s="400"/>
      <c r="E195" s="400"/>
      <c r="F195" s="400"/>
      <c r="G195" s="400"/>
      <c r="H195" s="400"/>
      <c r="I195" s="400"/>
      <c r="J195" s="400"/>
      <c r="K195" s="400"/>
      <c r="L195" s="400"/>
    </row>
    <row r="196" spans="2:12" x14ac:dyDescent="0.6">
      <c r="B196" s="389"/>
      <c r="C196" s="400"/>
      <c r="D196" s="400"/>
      <c r="E196" s="400"/>
      <c r="F196" s="400"/>
      <c r="G196" s="400"/>
      <c r="H196" s="400"/>
      <c r="I196" s="400"/>
      <c r="J196" s="400"/>
      <c r="K196" s="400"/>
      <c r="L196" s="400"/>
    </row>
    <row r="197" spans="2:12" x14ac:dyDescent="0.6">
      <c r="B197" s="389"/>
      <c r="C197" s="400"/>
      <c r="D197" s="400"/>
      <c r="E197" s="400"/>
      <c r="F197" s="400"/>
      <c r="G197" s="400"/>
      <c r="H197" s="400"/>
      <c r="I197" s="400"/>
      <c r="J197" s="400"/>
      <c r="K197" s="400"/>
      <c r="L197" s="400"/>
    </row>
    <row r="198" spans="2:12" ht="15.25" x14ac:dyDescent="1.05">
      <c r="B198" s="389"/>
      <c r="C198" s="410"/>
      <c r="E198" s="299"/>
    </row>
    <row r="199" spans="2:12" x14ac:dyDescent="0.6">
      <c r="B199" s="389"/>
      <c r="C199" s="400"/>
      <c r="E199" s="299"/>
    </row>
    <row r="200" spans="2:12" x14ac:dyDescent="0.6">
      <c r="B200" s="389"/>
      <c r="C200" s="299"/>
      <c r="E200" s="299"/>
    </row>
    <row r="201" spans="2:12" x14ac:dyDescent="0.6">
      <c r="C201" s="414"/>
      <c r="D201" s="414"/>
      <c r="E201" s="414"/>
      <c r="F201" s="414"/>
      <c r="G201" s="414"/>
      <c r="H201" s="414"/>
      <c r="I201" s="414"/>
      <c r="J201" s="414"/>
      <c r="K201" s="414"/>
      <c r="L201" s="414"/>
    </row>
    <row r="203" spans="2:12" x14ac:dyDescent="0.6">
      <c r="B203" s="389"/>
      <c r="C203" s="400"/>
    </row>
    <row r="204" spans="2:12" ht="15.25" x14ac:dyDescent="1.05">
      <c r="B204" s="389"/>
      <c r="C204" s="410"/>
    </row>
    <row r="205" spans="2:12" x14ac:dyDescent="0.6">
      <c r="B205" s="389"/>
      <c r="C205" s="400"/>
      <c r="D205" s="400"/>
      <c r="G205" s="389"/>
    </row>
    <row r="206" spans="2:12" x14ac:dyDescent="0.6">
      <c r="C206" s="299"/>
      <c r="E206" s="299"/>
      <c r="G206" s="389"/>
    </row>
    <row r="207" spans="2:12" x14ac:dyDescent="0.6">
      <c r="B207" s="432"/>
      <c r="C207" s="400"/>
      <c r="E207" s="435"/>
      <c r="G207" s="435"/>
    </row>
    <row r="208" spans="2:12" x14ac:dyDescent="0.6">
      <c r="B208" s="389"/>
      <c r="C208" s="400"/>
      <c r="E208" s="348"/>
    </row>
    <row r="209" spans="1:10" ht="15.25" x14ac:dyDescent="1.05">
      <c r="B209" s="389"/>
      <c r="C209" s="410"/>
      <c r="E209" s="353"/>
    </row>
    <row r="210" spans="1:10" x14ac:dyDescent="0.6">
      <c r="B210" s="389"/>
      <c r="C210" s="400"/>
      <c r="E210" s="348"/>
    </row>
    <row r="212" spans="1:10" x14ac:dyDescent="0.6">
      <c r="C212" s="436"/>
    </row>
    <row r="213" spans="1:10" outlineLevel="1" x14ac:dyDescent="0.6">
      <c r="A213" s="359"/>
    </row>
    <row r="214" spans="1:10" outlineLevel="1" x14ac:dyDescent="0.6">
      <c r="A214" s="425"/>
      <c r="B214" s="408"/>
      <c r="C214" s="299"/>
      <c r="E214" s="299"/>
    </row>
    <row r="215" spans="1:10" outlineLevel="1" x14ac:dyDescent="0.6">
      <c r="B215" s="413"/>
    </row>
    <row r="216" spans="1:10" outlineLevel="1" x14ac:dyDescent="0.6">
      <c r="A216" s="425"/>
    </row>
    <row r="217" spans="1:10" outlineLevel="1" x14ac:dyDescent="0.6">
      <c r="B217" s="359"/>
    </row>
    <row r="218" spans="1:10" outlineLevel="1" x14ac:dyDescent="0.6">
      <c r="B218" s="413"/>
    </row>
    <row r="219" spans="1:10" outlineLevel="1" x14ac:dyDescent="0.6">
      <c r="B219" s="359"/>
    </row>
    <row r="220" spans="1:10" outlineLevel="1" x14ac:dyDescent="0.6">
      <c r="C220" s="414"/>
      <c r="D220" s="414"/>
      <c r="E220" s="414"/>
      <c r="F220" s="414"/>
      <c r="G220" s="414"/>
      <c r="H220" s="414"/>
      <c r="I220" s="414"/>
      <c r="J220" s="414"/>
    </row>
    <row r="221" spans="1:10" outlineLevel="1" x14ac:dyDescent="0.6">
      <c r="C221" s="425"/>
      <c r="D221" s="425"/>
      <c r="E221" s="425"/>
      <c r="F221" s="426"/>
      <c r="G221" s="426"/>
      <c r="H221" s="426"/>
      <c r="I221" s="426"/>
      <c r="J221" s="426"/>
    </row>
    <row r="222" spans="1:10" outlineLevel="1" x14ac:dyDescent="0.6">
      <c r="B222" s="415"/>
      <c r="C222" s="425"/>
      <c r="D222" s="425"/>
      <c r="E222" s="425"/>
      <c r="F222" s="426"/>
      <c r="G222" s="426"/>
      <c r="H222" s="426"/>
      <c r="I222" s="426"/>
      <c r="J222" s="426"/>
    </row>
    <row r="223" spans="1:10" outlineLevel="1" x14ac:dyDescent="0.6">
      <c r="B223" s="416"/>
      <c r="C223" s="425"/>
      <c r="D223" s="425"/>
      <c r="E223" s="426"/>
    </row>
    <row r="224" spans="1:10" outlineLevel="1" x14ac:dyDescent="0.6">
      <c r="B224" s="416"/>
      <c r="C224" s="425"/>
      <c r="D224" s="425"/>
      <c r="E224" s="426"/>
      <c r="F224" s="425"/>
      <c r="G224" s="425"/>
      <c r="H224" s="425"/>
      <c r="I224" s="425"/>
      <c r="J224" s="425"/>
    </row>
    <row r="225" spans="2:10" outlineLevel="1" x14ac:dyDescent="0.6">
      <c r="B225" s="419"/>
      <c r="C225" s="425"/>
      <c r="D225" s="425"/>
      <c r="E225" s="425"/>
      <c r="F225" s="425"/>
      <c r="G225" s="425"/>
      <c r="H225" s="425"/>
      <c r="I225" s="425"/>
      <c r="J225" s="425"/>
    </row>
    <row r="226" spans="2:10" outlineLevel="1" x14ac:dyDescent="0.6">
      <c r="B226" s="421"/>
      <c r="C226" s="426"/>
      <c r="D226" s="426"/>
      <c r="E226" s="425"/>
      <c r="F226" s="425"/>
      <c r="G226" s="425"/>
      <c r="H226" s="425"/>
      <c r="I226" s="425"/>
      <c r="J226" s="425"/>
    </row>
    <row r="227" spans="2:10" outlineLevel="1" x14ac:dyDescent="0.6">
      <c r="B227" s="421"/>
      <c r="C227" s="426"/>
      <c r="D227" s="426"/>
      <c r="E227" s="425"/>
      <c r="F227" s="425"/>
      <c r="G227" s="425"/>
      <c r="H227" s="425"/>
      <c r="I227" s="425"/>
      <c r="J227" s="425"/>
    </row>
    <row r="228" spans="2:10" outlineLevel="1" x14ac:dyDescent="0.6">
      <c r="C228" s="426"/>
      <c r="D228" s="426"/>
      <c r="E228" s="425"/>
      <c r="F228" s="425"/>
      <c r="G228" s="425"/>
      <c r="H228" s="425"/>
      <c r="I228" s="425"/>
      <c r="J228" s="425"/>
    </row>
    <row r="229" spans="2:10" outlineLevel="1" x14ac:dyDescent="0.6">
      <c r="B229" s="415"/>
      <c r="C229" s="426"/>
      <c r="D229" s="426"/>
      <c r="E229" s="425"/>
      <c r="F229" s="426"/>
      <c r="G229" s="426"/>
      <c r="H229" s="426"/>
      <c r="I229" s="426"/>
      <c r="J229" s="426"/>
    </row>
    <row r="230" spans="2:10" outlineLevel="1" x14ac:dyDescent="0.6">
      <c r="B230" s="416"/>
      <c r="C230" s="425"/>
      <c r="D230" s="425"/>
      <c r="E230" s="426"/>
      <c r="F230" s="425"/>
      <c r="G230" s="425"/>
      <c r="H230" s="425"/>
      <c r="I230" s="425"/>
      <c r="J230" s="425"/>
    </row>
    <row r="231" spans="2:10" outlineLevel="1" x14ac:dyDescent="0.6">
      <c r="B231" s="416"/>
      <c r="C231" s="425"/>
      <c r="D231" s="425"/>
      <c r="E231" s="426"/>
      <c r="F231" s="425"/>
      <c r="G231" s="425"/>
      <c r="H231" s="425"/>
      <c r="I231" s="425"/>
      <c r="J231" s="425"/>
    </row>
    <row r="232" spans="2:10" outlineLevel="1" x14ac:dyDescent="0.6">
      <c r="C232" s="425"/>
      <c r="D232" s="425"/>
      <c r="E232" s="426"/>
      <c r="F232" s="425"/>
      <c r="G232" s="425"/>
      <c r="H232" s="425"/>
      <c r="I232" s="425"/>
      <c r="J232" s="425"/>
    </row>
    <row r="233" spans="2:10" outlineLevel="1" x14ac:dyDescent="0.6"/>
    <row r="234" spans="2:10" outlineLevel="1" x14ac:dyDescent="0.6"/>
    <row r="235" spans="2:10" outlineLevel="1" x14ac:dyDescent="0.6">
      <c r="B235" s="359"/>
    </row>
    <row r="236" spans="2:10" outlineLevel="1" x14ac:dyDescent="0.6">
      <c r="B236" s="413"/>
    </row>
    <row r="237" spans="2:10" outlineLevel="1" x14ac:dyDescent="0.6">
      <c r="B237" s="369"/>
    </row>
    <row r="238" spans="2:10" outlineLevel="1" x14ac:dyDescent="0.6">
      <c r="C238" s="414"/>
      <c r="D238" s="414"/>
      <c r="E238" s="414"/>
      <c r="F238" s="414"/>
      <c r="H238" s="359"/>
      <c r="I238" s="414"/>
      <c r="J238" s="414"/>
    </row>
    <row r="239" spans="2:10" outlineLevel="1" x14ac:dyDescent="0.6">
      <c r="F239" s="422"/>
    </row>
    <row r="240" spans="2:10" outlineLevel="1" x14ac:dyDescent="0.6">
      <c r="B240" s="415"/>
      <c r="C240" s="426"/>
      <c r="D240" s="426"/>
      <c r="E240" s="426"/>
      <c r="F240" s="417"/>
      <c r="H240" s="423"/>
    </row>
    <row r="241" spans="1:12" outlineLevel="1" x14ac:dyDescent="0.6">
      <c r="B241" s="416"/>
      <c r="C241" s="426"/>
      <c r="D241" s="426"/>
      <c r="E241" s="426"/>
      <c r="F241" s="418"/>
      <c r="H241" s="409"/>
      <c r="I241" s="434"/>
      <c r="J241" s="434"/>
    </row>
    <row r="242" spans="1:12" outlineLevel="1" x14ac:dyDescent="0.6">
      <c r="B242" s="416"/>
      <c r="C242" s="426"/>
      <c r="D242" s="426"/>
      <c r="E242" s="426"/>
      <c r="F242" s="418"/>
      <c r="H242" s="409"/>
      <c r="I242" s="434"/>
      <c r="J242" s="434"/>
    </row>
    <row r="243" spans="1:12" outlineLevel="1" x14ac:dyDescent="0.6">
      <c r="C243" s="426"/>
      <c r="D243" s="426"/>
      <c r="E243" s="426"/>
      <c r="F243" s="418"/>
      <c r="H243" s="409"/>
      <c r="I243" s="424"/>
      <c r="J243" s="424"/>
    </row>
    <row r="244" spans="1:12" outlineLevel="1" x14ac:dyDescent="0.6">
      <c r="B244" s="415"/>
      <c r="C244" s="426"/>
      <c r="D244" s="426"/>
      <c r="E244" s="426"/>
      <c r="F244" s="418"/>
      <c r="H244" s="423"/>
      <c r="I244" s="403"/>
      <c r="J244" s="403"/>
    </row>
    <row r="245" spans="1:12" outlineLevel="1" x14ac:dyDescent="0.6">
      <c r="B245" s="416"/>
      <c r="C245" s="426"/>
      <c r="D245" s="426"/>
      <c r="E245" s="426"/>
      <c r="F245" s="418"/>
      <c r="H245" s="409"/>
      <c r="I245" s="434"/>
      <c r="J245" s="434"/>
    </row>
    <row r="246" spans="1:12" outlineLevel="1" x14ac:dyDescent="0.6">
      <c r="B246" s="416"/>
      <c r="C246" s="426"/>
      <c r="D246" s="426"/>
      <c r="E246" s="426"/>
      <c r="F246" s="418"/>
    </row>
    <row r="247" spans="1:12" outlineLevel="1" x14ac:dyDescent="0.6"/>
    <row r="248" spans="1:12" outlineLevel="1" x14ac:dyDescent="0.6"/>
    <row r="249" spans="1:12" outlineLevel="1" x14ac:dyDescent="0.6"/>
    <row r="250" spans="1:12" outlineLevel="1" x14ac:dyDescent="0.6"/>
    <row r="251" spans="1:12" outlineLevel="1" x14ac:dyDescent="0.6">
      <c r="A251" s="425"/>
      <c r="B251" s="359"/>
      <c r="C251" s="299"/>
      <c r="E251" s="299"/>
    </row>
    <row r="252" spans="1:12" outlineLevel="1" x14ac:dyDescent="0.6">
      <c r="C252" s="299"/>
      <c r="E252" s="299"/>
    </row>
    <row r="253" spans="1:12" outlineLevel="1" x14ac:dyDescent="0.6">
      <c r="C253" s="414"/>
      <c r="D253" s="414"/>
      <c r="E253" s="414"/>
      <c r="F253" s="414"/>
      <c r="G253" s="414"/>
      <c r="H253" s="414"/>
      <c r="I253" s="414"/>
      <c r="J253" s="414"/>
      <c r="K253" s="414"/>
      <c r="L253" s="414"/>
    </row>
    <row r="254" spans="1:12" outlineLevel="1" x14ac:dyDescent="0.6"/>
    <row r="255" spans="1:12" outlineLevel="1" x14ac:dyDescent="0.6">
      <c r="B255" s="389"/>
      <c r="C255" s="411"/>
      <c r="D255" s="411"/>
      <c r="E255" s="428"/>
      <c r="F255" s="411"/>
      <c r="G255" s="411"/>
      <c r="H255" s="411"/>
      <c r="I255" s="411"/>
      <c r="J255" s="411"/>
      <c r="K255" s="428"/>
      <c r="L255" s="428"/>
    </row>
    <row r="256" spans="1:12" ht="15.25" outlineLevel="1" x14ac:dyDescent="1.05">
      <c r="B256" s="389"/>
      <c r="C256" s="429"/>
      <c r="D256" s="429"/>
      <c r="E256" s="429"/>
      <c r="F256" s="437"/>
      <c r="G256" s="437"/>
      <c r="H256" s="437"/>
      <c r="I256" s="437"/>
      <c r="J256" s="437"/>
      <c r="K256" s="430"/>
      <c r="L256" s="430"/>
    </row>
    <row r="257" spans="2:12" outlineLevel="1" x14ac:dyDescent="0.6">
      <c r="B257" s="389"/>
      <c r="C257" s="400"/>
      <c r="D257" s="400"/>
      <c r="E257" s="400"/>
      <c r="F257" s="400"/>
      <c r="G257" s="400"/>
      <c r="H257" s="400"/>
      <c r="I257" s="400"/>
      <c r="J257" s="400"/>
      <c r="K257" s="400"/>
      <c r="L257" s="400"/>
    </row>
    <row r="258" spans="2:12" outlineLevel="1" x14ac:dyDescent="0.6">
      <c r="B258" s="389"/>
      <c r="C258" s="400"/>
      <c r="D258" s="400"/>
      <c r="E258" s="400"/>
      <c r="F258" s="400"/>
      <c r="G258" s="400"/>
      <c r="H258" s="400"/>
      <c r="I258" s="400"/>
      <c r="J258" s="400"/>
      <c r="K258" s="400"/>
      <c r="L258" s="400"/>
    </row>
    <row r="259" spans="2:12" outlineLevel="1" x14ac:dyDescent="0.6">
      <c r="B259" s="389"/>
      <c r="C259" s="400"/>
      <c r="D259" s="400"/>
      <c r="E259" s="400"/>
      <c r="F259" s="400"/>
      <c r="G259" s="400"/>
      <c r="H259" s="400"/>
      <c r="I259" s="400"/>
      <c r="J259" s="400"/>
      <c r="K259" s="400"/>
      <c r="L259" s="400"/>
    </row>
    <row r="260" spans="2:12" ht="15.25" outlineLevel="1" x14ac:dyDescent="1.05">
      <c r="B260" s="389"/>
      <c r="C260" s="410"/>
      <c r="E260" s="299"/>
    </row>
    <row r="261" spans="2:12" outlineLevel="1" x14ac:dyDescent="0.6">
      <c r="B261" s="389"/>
      <c r="C261" s="400"/>
      <c r="E261" s="299"/>
    </row>
    <row r="262" spans="2:12" outlineLevel="1" x14ac:dyDescent="0.6">
      <c r="B262" s="389"/>
      <c r="C262" s="299"/>
      <c r="E262" s="299"/>
    </row>
    <row r="263" spans="2:12" outlineLevel="1" x14ac:dyDescent="0.6">
      <c r="C263" s="414"/>
      <c r="D263" s="414"/>
      <c r="E263" s="414"/>
      <c r="F263" s="414"/>
      <c r="G263" s="414"/>
      <c r="H263" s="414"/>
      <c r="I263" s="414"/>
      <c r="J263" s="414"/>
      <c r="K263" s="414"/>
      <c r="L263" s="414"/>
    </row>
    <row r="264" spans="2:12" outlineLevel="1" x14ac:dyDescent="0.6"/>
    <row r="265" spans="2:12" outlineLevel="1" x14ac:dyDescent="0.6">
      <c r="C265" s="438"/>
      <c r="D265" s="438"/>
      <c r="E265" s="438"/>
    </row>
    <row r="266" spans="2:12" outlineLevel="1" x14ac:dyDescent="0.6">
      <c r="B266" s="389"/>
      <c r="C266" s="400"/>
      <c r="D266" s="436"/>
      <c r="E266" s="400"/>
    </row>
    <row r="267" spans="2:12" outlineLevel="1" x14ac:dyDescent="0.6">
      <c r="B267" s="389"/>
      <c r="C267" s="439"/>
      <c r="D267" s="440"/>
      <c r="E267" s="439"/>
    </row>
    <row r="268" spans="2:12" outlineLevel="1" x14ac:dyDescent="0.6">
      <c r="B268" s="389"/>
      <c r="C268" s="400"/>
      <c r="D268" s="400"/>
      <c r="E268" s="400"/>
      <c r="G268" s="389"/>
    </row>
    <row r="269" spans="2:12" outlineLevel="1" x14ac:dyDescent="0.6">
      <c r="C269" s="299"/>
      <c r="E269" s="299"/>
      <c r="G269" s="389"/>
    </row>
    <row r="270" spans="2:12" outlineLevel="1" x14ac:dyDescent="0.6">
      <c r="B270" s="432"/>
      <c r="C270" s="400"/>
      <c r="E270" s="435"/>
      <c r="G270" s="435"/>
    </row>
    <row r="271" spans="2:12" outlineLevel="1" x14ac:dyDescent="0.6">
      <c r="B271" s="389"/>
      <c r="C271" s="400"/>
      <c r="E271" s="348"/>
    </row>
    <row r="272" spans="2:12" outlineLevel="1" x14ac:dyDescent="0.6">
      <c r="B272" s="389"/>
      <c r="C272" s="439"/>
      <c r="E272" s="353"/>
    </row>
    <row r="273" spans="2:5" outlineLevel="1" x14ac:dyDescent="0.6">
      <c r="B273" s="389"/>
      <c r="C273" s="400"/>
      <c r="E273" s="348"/>
    </row>
    <row r="274" spans="2:5" outlineLevel="1" x14ac:dyDescent="0.6"/>
  </sheetData>
  <pageMargins left="0.75" right="0.75" top="1" bottom="1" header="0.5" footer="0.5"/>
  <pageSetup scale="76" fitToHeight="0" orientation="landscape" r:id="rId1"/>
  <headerFooter alignWithMargins="0">
    <oddHeader>&amp;C&amp;"Arial,Bold"Public Service Electric and Gas Company Specific Addendum
Attachment 4</oddHeader>
    <oddFooter>&amp;C&amp;"Arial,Bold"Page 4 of 5</oddFooter>
  </headerFooter>
  <rowBreaks count="7" manualBreakCount="7">
    <brk id="33" max="9" man="1"/>
    <brk id="79" max="9" man="1"/>
    <brk id="115" max="9" man="1"/>
    <brk id="151" max="9" man="1"/>
    <brk id="187" max="9" man="1"/>
    <brk id="212" max="11" man="1"/>
    <brk id="250" max="11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M274"/>
  <sheetViews>
    <sheetView view="pageBreakPreview" zoomScale="115" zoomScaleNormal="100" zoomScaleSheetLayoutView="115" workbookViewId="0">
      <selection activeCell="C22" sqref="C22"/>
    </sheetView>
  </sheetViews>
  <sheetFormatPr defaultColWidth="9.08984375" defaultRowHeight="13" outlineLevelRow="1" x14ac:dyDescent="0.6"/>
  <cols>
    <col min="1" max="1" width="12.31640625" style="363" bestFit="1" customWidth="1"/>
    <col min="2" max="2" width="46" style="363" customWidth="1"/>
    <col min="3" max="3" width="17.86328125" style="363" customWidth="1"/>
    <col min="4" max="5" width="13.08984375" style="363" customWidth="1"/>
    <col min="6" max="7" width="12.08984375" style="363" customWidth="1"/>
    <col min="8" max="8" width="11.86328125" style="363" customWidth="1"/>
    <col min="9" max="9" width="11" style="363" customWidth="1"/>
    <col min="10" max="10" width="13.08984375" style="363" customWidth="1"/>
    <col min="11" max="11" width="12.54296875" style="363" customWidth="1"/>
    <col min="12" max="12" width="21" style="363" customWidth="1"/>
    <col min="13" max="13" width="14.31640625" style="363" bestFit="1" customWidth="1"/>
    <col min="14" max="14" width="24.08984375" style="363" bestFit="1" customWidth="1"/>
    <col min="15" max="16" width="10.86328125" style="363" bestFit="1" customWidth="1"/>
    <col min="17" max="17" width="14.453125" style="363" bestFit="1" customWidth="1"/>
    <col min="18" max="16384" width="9.08984375" style="363"/>
  </cols>
  <sheetData>
    <row r="1" spans="1:11" ht="20.5" x14ac:dyDescent="0.9">
      <c r="A1" s="385" t="s">
        <v>391</v>
      </c>
    </row>
    <row r="2" spans="1:11" ht="15.5" x14ac:dyDescent="0.7">
      <c r="A2" s="386" t="s">
        <v>409</v>
      </c>
    </row>
    <row r="3" spans="1:11" x14ac:dyDescent="0.6">
      <c r="A3" s="387" t="s">
        <v>393</v>
      </c>
    </row>
    <row r="5" spans="1:11" x14ac:dyDescent="0.6">
      <c r="A5" s="388" t="s">
        <v>286</v>
      </c>
      <c r="B5" s="359" t="s">
        <v>287</v>
      </c>
    </row>
    <row r="6" spans="1:11" ht="51" customHeight="1" x14ac:dyDescent="0.6">
      <c r="A6" s="389" t="s">
        <v>288</v>
      </c>
      <c r="B6" s="359" t="s">
        <v>394</v>
      </c>
      <c r="C6" s="358" t="s">
        <v>395</v>
      </c>
      <c r="D6" s="358" t="s">
        <v>410</v>
      </c>
      <c r="E6" s="358" t="s">
        <v>411</v>
      </c>
      <c r="G6" s="358" t="s">
        <v>289</v>
      </c>
    </row>
    <row r="8" spans="1:11" x14ac:dyDescent="0.6">
      <c r="A8" s="389">
        <v>1</v>
      </c>
      <c r="B8" s="359" t="s">
        <v>92</v>
      </c>
      <c r="C8" s="267">
        <f>'Att 3'!E8</f>
        <v>57.48</v>
      </c>
      <c r="D8" s="267">
        <f>'Att 3'!E11</f>
        <v>57.48</v>
      </c>
      <c r="E8" s="267">
        <f>D8</f>
        <v>57.48</v>
      </c>
      <c r="G8" s="165" t="s">
        <v>397</v>
      </c>
    </row>
    <row r="9" spans="1:11" x14ac:dyDescent="0.6">
      <c r="A9" s="390" t="s">
        <v>291</v>
      </c>
      <c r="B9" s="359" t="s">
        <v>412</v>
      </c>
      <c r="C9" s="391">
        <f>'Att 4-3'!C21</f>
        <v>0.23</v>
      </c>
      <c r="D9" s="392"/>
      <c r="E9" s="392"/>
      <c r="G9" s="167" t="s">
        <v>413</v>
      </c>
    </row>
    <row r="10" spans="1:11" x14ac:dyDescent="0.6">
      <c r="A10" s="389" t="s">
        <v>294</v>
      </c>
      <c r="B10" s="359" t="s">
        <v>298</v>
      </c>
      <c r="C10" s="393">
        <f>C8+C9</f>
        <v>57.709999999999994</v>
      </c>
      <c r="D10" s="393">
        <f t="shared" ref="D10:E10" si="0">D8+D9</f>
        <v>57.48</v>
      </c>
      <c r="E10" s="393">
        <f t="shared" si="0"/>
        <v>57.48</v>
      </c>
      <c r="G10" s="207" t="s">
        <v>414</v>
      </c>
    </row>
    <row r="11" spans="1:11" x14ac:dyDescent="0.6">
      <c r="A11" s="389"/>
      <c r="B11" s="359"/>
      <c r="C11" s="393"/>
      <c r="D11" s="393"/>
      <c r="E11" s="393"/>
      <c r="G11" s="362"/>
    </row>
    <row r="12" spans="1:11" x14ac:dyDescent="0.6">
      <c r="A12" s="389">
        <v>2</v>
      </c>
      <c r="B12" s="373" t="s">
        <v>93</v>
      </c>
      <c r="C12" s="394">
        <f>'Att 3'!E14</f>
        <v>28</v>
      </c>
      <c r="D12" s="394">
        <f>'Att 3'!C14</f>
        <v>28</v>
      </c>
      <c r="E12" s="394">
        <f>'Att 3'!D14</f>
        <v>29</v>
      </c>
      <c r="G12" s="165" t="s">
        <v>301</v>
      </c>
    </row>
    <row r="13" spans="1:11" x14ac:dyDescent="0.6">
      <c r="A13" s="389">
        <v>3</v>
      </c>
      <c r="B13" s="359" t="s">
        <v>302</v>
      </c>
      <c r="C13" s="394">
        <v>85</v>
      </c>
      <c r="D13" s="394">
        <v>85</v>
      </c>
      <c r="E13" s="394">
        <v>85</v>
      </c>
      <c r="G13" s="165" t="s">
        <v>301</v>
      </c>
    </row>
    <row r="14" spans="1:11" x14ac:dyDescent="0.6">
      <c r="A14" s="389"/>
      <c r="B14" s="359"/>
      <c r="C14" s="394"/>
      <c r="D14" s="394"/>
      <c r="E14" s="394"/>
      <c r="G14" s="165"/>
    </row>
    <row r="15" spans="1:11" x14ac:dyDescent="0.6">
      <c r="A15" s="389"/>
      <c r="B15" s="359" t="s">
        <v>96</v>
      </c>
    </row>
    <row r="16" spans="1:11" x14ac:dyDescent="0.6">
      <c r="A16" s="389">
        <v>4</v>
      </c>
      <c r="B16" s="210" t="s">
        <v>97</v>
      </c>
      <c r="C16" s="215">
        <v>1</v>
      </c>
      <c r="D16" s="215">
        <v>1</v>
      </c>
      <c r="E16" s="215">
        <v>1</v>
      </c>
      <c r="G16" s="165" t="s">
        <v>401</v>
      </c>
      <c r="K16" s="395"/>
    </row>
    <row r="17" spans="1:12" x14ac:dyDescent="0.6">
      <c r="A17" s="389">
        <v>5</v>
      </c>
      <c r="B17" s="210" t="s">
        <v>98</v>
      </c>
      <c r="C17" s="215">
        <v>1</v>
      </c>
      <c r="D17" s="215">
        <v>1</v>
      </c>
      <c r="E17" s="215">
        <v>1</v>
      </c>
      <c r="G17" s="165" t="s">
        <v>401</v>
      </c>
      <c r="K17" s="395"/>
    </row>
    <row r="18" spans="1:12" x14ac:dyDescent="0.6">
      <c r="A18" s="389"/>
    </row>
    <row r="19" spans="1:12" x14ac:dyDescent="0.6">
      <c r="A19" s="389"/>
      <c r="B19" s="169" t="s">
        <v>402</v>
      </c>
    </row>
    <row r="20" spans="1:12" x14ac:dyDescent="0.6">
      <c r="A20" s="389">
        <v>6</v>
      </c>
      <c r="B20" s="363" t="s">
        <v>304</v>
      </c>
      <c r="C20" s="396">
        <f>'Att 3'!C21</f>
        <v>10164267.057513909</v>
      </c>
      <c r="D20" s="397"/>
      <c r="E20" s="397"/>
      <c r="G20" s="165" t="s">
        <v>403</v>
      </c>
    </row>
    <row r="21" spans="1:12" x14ac:dyDescent="0.6">
      <c r="A21" s="389">
        <v>7</v>
      </c>
      <c r="B21" s="363" t="s">
        <v>306</v>
      </c>
      <c r="C21" s="396">
        <f>'Att 3'!C22</f>
        <v>15523986.835758697</v>
      </c>
      <c r="D21" s="397"/>
      <c r="E21" s="397"/>
    </row>
    <row r="22" spans="1:12" x14ac:dyDescent="0.6">
      <c r="A22" s="389"/>
    </row>
    <row r="23" spans="1:12" x14ac:dyDescent="0.6">
      <c r="A23" s="389"/>
      <c r="B23" s="359" t="s">
        <v>307</v>
      </c>
    </row>
    <row r="24" spans="1:12" x14ac:dyDescent="0.6">
      <c r="A24" s="389">
        <v>8</v>
      </c>
      <c r="B24" s="210" t="s">
        <v>97</v>
      </c>
      <c r="C24" s="441">
        <f t="shared" ref="C24:E25" si="1">((+C$8)*C$12/C$13*C16*$C20/1000) + (+C$9*C$12/C$13*$C20/1000)</f>
        <v>193226.30415171263</v>
      </c>
      <c r="D24" s="441">
        <f t="shared" si="1"/>
        <v>192456.21144759041</v>
      </c>
      <c r="E24" s="441">
        <f t="shared" si="1"/>
        <v>199329.64757071863</v>
      </c>
      <c r="F24" s="399"/>
      <c r="G24" s="207" t="s">
        <v>308</v>
      </c>
      <c r="J24" s="400"/>
      <c r="L24" s="400"/>
    </row>
    <row r="25" spans="1:12" ht="15.25" x14ac:dyDescent="1.05">
      <c r="A25" s="389">
        <v>9</v>
      </c>
      <c r="B25" s="210" t="s">
        <v>98</v>
      </c>
      <c r="C25" s="401">
        <f t="shared" si="1"/>
        <v>295116.4688019501</v>
      </c>
      <c r="D25" s="401">
        <f t="shared" si="1"/>
        <v>293940.2985052173</v>
      </c>
      <c r="E25" s="401">
        <f t="shared" si="1"/>
        <v>304438.16630897514</v>
      </c>
      <c r="F25" s="399"/>
      <c r="G25" s="207" t="s">
        <v>309</v>
      </c>
    </row>
    <row r="26" spans="1:12" x14ac:dyDescent="0.6">
      <c r="A26" s="389">
        <v>10</v>
      </c>
      <c r="B26" s="363" t="s">
        <v>310</v>
      </c>
      <c r="C26" s="400">
        <f>+C25+C24</f>
        <v>488342.77295366273</v>
      </c>
      <c r="D26" s="400">
        <f>+D25+D24</f>
        <v>486396.50995280768</v>
      </c>
      <c r="E26" s="400">
        <f>+E25+E24</f>
        <v>503767.81387969374</v>
      </c>
      <c r="J26" s="400"/>
      <c r="L26" s="400"/>
    </row>
    <row r="27" spans="1:12" x14ac:dyDescent="0.6">
      <c r="A27" s="389"/>
    </row>
    <row r="28" spans="1:12" x14ac:dyDescent="0.6">
      <c r="A28" s="389"/>
      <c r="B28" s="359" t="s">
        <v>312</v>
      </c>
    </row>
    <row r="29" spans="1:12" x14ac:dyDescent="0.6">
      <c r="A29" s="389">
        <v>11</v>
      </c>
      <c r="B29" s="210" t="s">
        <v>97</v>
      </c>
      <c r="C29" s="402">
        <f>ROUND(+SUM(C24:E24)/C20*1000,3)</f>
        <v>57.555999999999997</v>
      </c>
      <c r="D29" s="403"/>
      <c r="G29" s="207" t="s">
        <v>406</v>
      </c>
    </row>
    <row r="30" spans="1:12" x14ac:dyDescent="0.6">
      <c r="A30" s="389">
        <v>12</v>
      </c>
      <c r="B30" s="210" t="s">
        <v>98</v>
      </c>
      <c r="C30" s="404">
        <f>ROUND(+SUM(C25:E25)/C21*1000,3)</f>
        <v>57.555999999999997</v>
      </c>
      <c r="G30" s="207" t="s">
        <v>407</v>
      </c>
    </row>
    <row r="31" spans="1:12" x14ac:dyDescent="0.6">
      <c r="A31" s="389"/>
      <c r="B31" s="210"/>
      <c r="C31" s="405"/>
      <c r="G31" s="406"/>
    </row>
    <row r="32" spans="1:12" x14ac:dyDescent="0.6">
      <c r="A32" s="389">
        <v>13</v>
      </c>
      <c r="B32" s="363" t="s">
        <v>315</v>
      </c>
      <c r="C32" s="407">
        <f>ROUND(+SUM(C26:E26)/(C20+C21)*1000,3)</f>
        <v>57.555999999999997</v>
      </c>
      <c r="D32" s="363" t="s">
        <v>316</v>
      </c>
      <c r="G32" s="207" t="s">
        <v>317</v>
      </c>
    </row>
    <row r="33" spans="1:13" x14ac:dyDescent="0.6">
      <c r="D33" s="363" t="s">
        <v>318</v>
      </c>
      <c r="G33" s="165" t="s">
        <v>408</v>
      </c>
    </row>
    <row r="34" spans="1:13" x14ac:dyDescent="0.6">
      <c r="C34" s="403"/>
    </row>
    <row r="35" spans="1:13" x14ac:dyDescent="0.6">
      <c r="B35" s="408"/>
      <c r="D35" s="403"/>
    </row>
    <row r="36" spans="1:13" x14ac:dyDescent="0.6">
      <c r="A36" s="389"/>
      <c r="B36" s="409"/>
      <c r="C36" s="400"/>
      <c r="D36" s="403"/>
      <c r="G36" s="406"/>
    </row>
    <row r="37" spans="1:13" ht="15.25" x14ac:dyDescent="1.05">
      <c r="A37" s="389"/>
      <c r="B37" s="409"/>
      <c r="C37" s="410"/>
      <c r="D37" s="403"/>
      <c r="G37" s="406"/>
    </row>
    <row r="38" spans="1:13" x14ac:dyDescent="0.6">
      <c r="A38" s="389"/>
      <c r="B38" s="409"/>
      <c r="C38" s="411"/>
      <c r="D38" s="403"/>
      <c r="G38" s="406"/>
    </row>
    <row r="39" spans="1:13" x14ac:dyDescent="0.6">
      <c r="B39" s="409"/>
      <c r="D39" s="403"/>
    </row>
    <row r="41" spans="1:13" x14ac:dyDescent="0.6">
      <c r="A41" s="412"/>
      <c r="B41" s="359"/>
      <c r="G41" s="413"/>
    </row>
    <row r="42" spans="1:13" x14ac:dyDescent="0.6">
      <c r="A42" s="412"/>
      <c r="B42" s="359"/>
      <c r="G42" s="413"/>
    </row>
    <row r="43" spans="1:13" x14ac:dyDescent="0.6">
      <c r="B43" s="359"/>
    </row>
    <row r="44" spans="1:13" x14ac:dyDescent="0.6">
      <c r="B44" s="413"/>
    </row>
    <row r="45" spans="1:13" x14ac:dyDescent="0.6">
      <c r="B45" s="359"/>
    </row>
    <row r="46" spans="1:13" x14ac:dyDescent="0.6">
      <c r="C46" s="414"/>
      <c r="D46" s="414"/>
      <c r="E46" s="414"/>
      <c r="F46" s="414"/>
      <c r="G46" s="414"/>
      <c r="H46" s="414"/>
      <c r="I46" s="414"/>
      <c r="J46" s="414"/>
    </row>
    <row r="47" spans="1:13" x14ac:dyDescent="0.6">
      <c r="C47" s="414"/>
      <c r="D47" s="414"/>
      <c r="E47" s="414"/>
      <c r="F47" s="414"/>
      <c r="G47" s="414"/>
    </row>
    <row r="48" spans="1:13" x14ac:dyDescent="0.6">
      <c r="B48" s="415"/>
      <c r="E48" s="297"/>
      <c r="F48" s="298"/>
      <c r="G48" s="298"/>
      <c r="H48" s="298"/>
      <c r="I48" s="297"/>
      <c r="J48" s="297"/>
      <c r="K48" s="299"/>
      <c r="L48" s="299"/>
      <c r="M48" s="299"/>
    </row>
    <row r="49" spans="2:13" x14ac:dyDescent="0.6">
      <c r="B49" s="416"/>
      <c r="C49" s="300"/>
      <c r="D49" s="301"/>
      <c r="E49" s="298"/>
      <c r="F49" s="297"/>
      <c r="G49" s="297"/>
      <c r="H49" s="297"/>
      <c r="I49" s="369"/>
      <c r="J49" s="302"/>
      <c r="K49" s="299"/>
      <c r="L49" s="299"/>
      <c r="M49" s="299"/>
    </row>
    <row r="50" spans="2:13" x14ac:dyDescent="0.6">
      <c r="B50" s="416"/>
      <c r="C50" s="300"/>
      <c r="D50" s="301"/>
      <c r="E50" s="298"/>
      <c r="F50" s="297"/>
      <c r="G50" s="297"/>
      <c r="H50" s="417"/>
      <c r="I50" s="369"/>
      <c r="J50" s="302"/>
      <c r="K50" s="418"/>
      <c r="L50" s="299"/>
      <c r="M50" s="299"/>
    </row>
    <row r="51" spans="2:13" x14ac:dyDescent="0.6">
      <c r="E51" s="300"/>
      <c r="F51" s="301"/>
      <c r="G51" s="301"/>
      <c r="L51" s="299"/>
      <c r="M51" s="299"/>
    </row>
    <row r="52" spans="2:13" x14ac:dyDescent="0.6">
      <c r="B52" s="419"/>
      <c r="C52" s="298"/>
      <c r="D52" s="298"/>
      <c r="E52" s="300"/>
      <c r="F52" s="301"/>
      <c r="G52" s="301"/>
      <c r="H52" s="301"/>
      <c r="I52" s="301"/>
      <c r="J52" s="301"/>
      <c r="K52" s="299"/>
      <c r="L52" s="299"/>
      <c r="M52" s="299"/>
    </row>
    <row r="53" spans="2:13" x14ac:dyDescent="0.6">
      <c r="B53" s="419"/>
      <c r="C53" s="420"/>
      <c r="D53" s="420"/>
      <c r="E53" s="421"/>
      <c r="F53" s="301"/>
      <c r="G53" s="301"/>
      <c r="H53" s="301"/>
      <c r="I53" s="301"/>
      <c r="J53" s="301"/>
      <c r="K53" s="299"/>
      <c r="L53" s="299"/>
      <c r="M53" s="299"/>
    </row>
    <row r="54" spans="2:13" x14ac:dyDescent="0.6">
      <c r="B54" s="419"/>
      <c r="C54" s="420"/>
      <c r="D54" s="420"/>
      <c r="E54" s="421"/>
      <c r="F54" s="301"/>
      <c r="G54" s="301"/>
      <c r="H54" s="301"/>
      <c r="I54" s="301"/>
      <c r="J54" s="301"/>
      <c r="K54" s="299"/>
      <c r="L54" s="299"/>
      <c r="M54" s="299"/>
    </row>
    <row r="55" spans="2:13" x14ac:dyDescent="0.6">
      <c r="G55" s="301"/>
      <c r="H55" s="301"/>
      <c r="I55" s="301"/>
      <c r="J55" s="301"/>
      <c r="K55" s="299"/>
      <c r="L55" s="299"/>
      <c r="M55" s="299"/>
    </row>
    <row r="56" spans="2:13" x14ac:dyDescent="0.6">
      <c r="H56" s="301"/>
      <c r="I56" s="301"/>
      <c r="J56" s="301"/>
      <c r="K56" s="299"/>
      <c r="L56" s="299"/>
      <c r="M56" s="299"/>
    </row>
    <row r="57" spans="2:13" x14ac:dyDescent="0.6">
      <c r="C57" s="301"/>
      <c r="D57" s="301"/>
      <c r="E57" s="301"/>
      <c r="F57" s="301"/>
      <c r="G57" s="301"/>
      <c r="H57" s="301"/>
      <c r="I57" s="301"/>
      <c r="J57" s="301"/>
      <c r="K57" s="299"/>
      <c r="L57" s="299"/>
      <c r="M57" s="299"/>
    </row>
    <row r="58" spans="2:13" x14ac:dyDescent="0.6">
      <c r="B58" s="415"/>
      <c r="C58" s="298"/>
      <c r="D58" s="298"/>
      <c r="E58" s="297"/>
      <c r="F58" s="298"/>
      <c r="G58" s="298"/>
      <c r="H58" s="298"/>
      <c r="I58" s="297"/>
      <c r="J58" s="297"/>
      <c r="K58" s="299"/>
      <c r="L58" s="299"/>
      <c r="M58" s="299"/>
    </row>
    <row r="59" spans="2:13" x14ac:dyDescent="0.6">
      <c r="B59" s="416"/>
      <c r="C59" s="301"/>
      <c r="D59" s="301"/>
      <c r="E59" s="298"/>
      <c r="F59" s="301"/>
      <c r="G59" s="301"/>
      <c r="H59" s="301"/>
      <c r="J59" s="302"/>
      <c r="K59" s="299"/>
      <c r="L59" s="299"/>
      <c r="M59" s="299"/>
    </row>
    <row r="60" spans="2:13" x14ac:dyDescent="0.6">
      <c r="B60" s="416"/>
      <c r="C60" s="301"/>
      <c r="D60" s="301"/>
      <c r="E60" s="298"/>
      <c r="F60" s="301"/>
      <c r="G60" s="301"/>
      <c r="J60" s="302"/>
      <c r="K60" s="418"/>
      <c r="L60" s="299"/>
      <c r="M60" s="299"/>
    </row>
    <row r="61" spans="2:13" x14ac:dyDescent="0.6">
      <c r="C61" s="307"/>
      <c r="D61" s="307"/>
      <c r="E61" s="307"/>
      <c r="F61" s="307"/>
      <c r="G61" s="307"/>
      <c r="K61" s="299"/>
      <c r="L61" s="299"/>
      <c r="M61" s="299"/>
    </row>
    <row r="62" spans="2:13" x14ac:dyDescent="0.6">
      <c r="C62" s="308"/>
      <c r="D62" s="308"/>
      <c r="E62" s="308"/>
      <c r="F62" s="308"/>
      <c r="G62" s="308"/>
      <c r="H62" s="308"/>
      <c r="I62" s="308"/>
      <c r="J62" s="308"/>
      <c r="K62" s="299"/>
      <c r="L62" s="299"/>
      <c r="M62" s="299"/>
    </row>
    <row r="65" spans="2:11" x14ac:dyDescent="0.6">
      <c r="B65" s="359"/>
    </row>
    <row r="66" spans="2:11" x14ac:dyDescent="0.6">
      <c r="B66" s="413"/>
    </row>
    <row r="67" spans="2:11" x14ac:dyDescent="0.6">
      <c r="B67" s="369"/>
    </row>
    <row r="68" spans="2:11" x14ac:dyDescent="0.6">
      <c r="C68" s="414"/>
      <c r="D68" s="414"/>
      <c r="E68" s="414"/>
      <c r="F68" s="414"/>
      <c r="H68" s="359"/>
      <c r="I68" s="414"/>
      <c r="J68" s="414"/>
    </row>
    <row r="69" spans="2:11" x14ac:dyDescent="0.6">
      <c r="C69" s="414"/>
      <c r="D69" s="422"/>
      <c r="E69" s="414"/>
      <c r="F69" s="422"/>
    </row>
    <row r="70" spans="2:11" x14ac:dyDescent="0.6">
      <c r="B70" s="415"/>
      <c r="C70" s="298"/>
      <c r="D70" s="418"/>
      <c r="E70" s="417"/>
      <c r="F70" s="417"/>
      <c r="H70" s="423"/>
    </row>
    <row r="71" spans="2:11" x14ac:dyDescent="0.6">
      <c r="B71" s="416"/>
      <c r="C71" s="297"/>
      <c r="D71" s="418"/>
      <c r="E71" s="298"/>
      <c r="F71" s="418"/>
      <c r="H71" s="409"/>
      <c r="I71" s="424"/>
      <c r="J71" s="424"/>
      <c r="K71" s="406"/>
    </row>
    <row r="72" spans="2:11" x14ac:dyDescent="0.6">
      <c r="B72" s="416"/>
      <c r="C72" s="297"/>
      <c r="D72" s="418"/>
      <c r="E72" s="298"/>
      <c r="F72" s="418"/>
      <c r="H72" s="409"/>
      <c r="I72" s="424"/>
      <c r="J72" s="424"/>
      <c r="K72" s="406"/>
    </row>
    <row r="73" spans="2:11" x14ac:dyDescent="0.6">
      <c r="C73" s="297"/>
      <c r="D73" s="418"/>
      <c r="E73" s="297"/>
      <c r="F73" s="418"/>
      <c r="H73" s="409"/>
      <c r="I73" s="424"/>
      <c r="J73" s="424"/>
      <c r="K73" s="406"/>
    </row>
    <row r="74" spans="2:11" x14ac:dyDescent="0.6">
      <c r="B74" s="415"/>
      <c r="C74" s="298"/>
      <c r="D74" s="418"/>
      <c r="E74" s="298"/>
      <c r="F74" s="418"/>
      <c r="H74" s="423"/>
      <c r="I74" s="403"/>
      <c r="J74" s="403"/>
    </row>
    <row r="75" spans="2:11" x14ac:dyDescent="0.6">
      <c r="B75" s="416"/>
      <c r="C75" s="297"/>
      <c r="D75" s="417"/>
      <c r="E75" s="298"/>
      <c r="F75" s="418"/>
      <c r="H75" s="409"/>
      <c r="I75" s="424"/>
      <c r="J75" s="424"/>
      <c r="K75" s="406"/>
    </row>
    <row r="76" spans="2:11" x14ac:dyDescent="0.6">
      <c r="B76" s="416"/>
      <c r="C76" s="297"/>
      <c r="D76" s="417"/>
      <c r="E76" s="298"/>
      <c r="F76" s="418"/>
    </row>
    <row r="77" spans="2:11" x14ac:dyDescent="0.6">
      <c r="C77" s="308"/>
      <c r="D77" s="417"/>
      <c r="E77" s="308"/>
      <c r="F77" s="417"/>
    </row>
    <row r="78" spans="2:11" x14ac:dyDescent="0.6">
      <c r="C78" s="308"/>
      <c r="D78" s="417"/>
      <c r="E78" s="308"/>
      <c r="F78" s="417"/>
    </row>
    <row r="79" spans="2:11" x14ac:dyDescent="0.6">
      <c r="C79" s="308"/>
      <c r="D79" s="417"/>
      <c r="E79" s="308"/>
      <c r="F79" s="417"/>
    </row>
    <row r="80" spans="2:11" x14ac:dyDescent="0.6">
      <c r="C80" s="299"/>
      <c r="E80" s="299"/>
    </row>
    <row r="81" spans="1:13" x14ac:dyDescent="0.6">
      <c r="A81" s="425"/>
      <c r="B81" s="408"/>
      <c r="C81" s="299"/>
      <c r="E81" s="299"/>
    </row>
    <row r="82" spans="1:13" x14ac:dyDescent="0.6">
      <c r="A82" s="425"/>
      <c r="B82" s="413"/>
    </row>
    <row r="84" spans="1:13" x14ac:dyDescent="0.6">
      <c r="B84" s="359"/>
    </row>
    <row r="85" spans="1:13" x14ac:dyDescent="0.6">
      <c r="B85" s="413"/>
    </row>
    <row r="86" spans="1:13" x14ac:dyDescent="0.6">
      <c r="B86" s="359"/>
    </row>
    <row r="87" spans="1:13" x14ac:dyDescent="0.6">
      <c r="C87" s="414"/>
      <c r="D87" s="414"/>
      <c r="E87" s="414"/>
      <c r="F87" s="414"/>
      <c r="G87" s="414"/>
      <c r="H87" s="414"/>
      <c r="I87" s="414"/>
      <c r="J87" s="414"/>
    </row>
    <row r="88" spans="1:13" x14ac:dyDescent="0.6">
      <c r="C88" s="425"/>
      <c r="D88" s="425"/>
      <c r="E88" s="425"/>
      <c r="F88" s="426"/>
      <c r="G88" s="426"/>
      <c r="H88" s="426"/>
      <c r="I88" s="426"/>
      <c r="J88" s="426"/>
    </row>
    <row r="89" spans="1:13" x14ac:dyDescent="0.6">
      <c r="B89" s="415"/>
      <c r="C89" s="425"/>
      <c r="D89" s="425"/>
      <c r="E89" s="425"/>
      <c r="F89" s="426"/>
      <c r="G89" s="426"/>
      <c r="H89" s="426"/>
      <c r="I89" s="426"/>
      <c r="J89" s="426"/>
      <c r="L89" s="299"/>
      <c r="M89" s="299"/>
    </row>
    <row r="90" spans="1:13" x14ac:dyDescent="0.6">
      <c r="B90" s="416"/>
      <c r="C90" s="425"/>
      <c r="D90" s="425"/>
      <c r="E90" s="426"/>
      <c r="F90" s="425"/>
      <c r="G90" s="426"/>
      <c r="H90" s="426"/>
      <c r="I90" s="426"/>
      <c r="J90" s="425"/>
      <c r="L90" s="299"/>
      <c r="M90" s="299"/>
    </row>
    <row r="91" spans="1:13" x14ac:dyDescent="0.6">
      <c r="B91" s="416"/>
      <c r="C91" s="425"/>
      <c r="D91" s="425"/>
      <c r="E91" s="426"/>
      <c r="F91" s="425"/>
      <c r="G91" s="425"/>
      <c r="H91" s="425"/>
      <c r="I91" s="425"/>
      <c r="J91" s="425"/>
      <c r="L91" s="299"/>
      <c r="M91" s="299"/>
    </row>
    <row r="92" spans="1:13" x14ac:dyDescent="0.6">
      <c r="B92" s="419"/>
      <c r="C92" s="425"/>
      <c r="D92" s="425"/>
      <c r="E92" s="425"/>
      <c r="F92" s="425"/>
      <c r="G92" s="425"/>
      <c r="H92" s="425"/>
      <c r="I92" s="425"/>
      <c r="J92" s="425"/>
      <c r="L92" s="299"/>
      <c r="M92" s="299"/>
    </row>
    <row r="93" spans="1:13" x14ac:dyDescent="0.6">
      <c r="B93" s="421"/>
      <c r="C93" s="426"/>
      <c r="D93" s="426"/>
      <c r="E93" s="425"/>
      <c r="F93" s="425"/>
      <c r="G93" s="425"/>
      <c r="H93" s="425"/>
      <c r="I93" s="425"/>
      <c r="J93" s="425"/>
      <c r="L93" s="299"/>
      <c r="M93" s="299"/>
    </row>
    <row r="94" spans="1:13" x14ac:dyDescent="0.6">
      <c r="B94" s="421"/>
      <c r="C94" s="426"/>
      <c r="D94" s="426"/>
      <c r="E94" s="425"/>
      <c r="F94" s="425"/>
      <c r="G94" s="425"/>
      <c r="H94" s="425"/>
      <c r="I94" s="425"/>
      <c r="J94" s="425"/>
      <c r="L94" s="299"/>
      <c r="M94" s="299"/>
    </row>
    <row r="95" spans="1:13" x14ac:dyDescent="0.6">
      <c r="C95" s="426"/>
      <c r="D95" s="426"/>
      <c r="E95" s="425"/>
      <c r="F95" s="425"/>
      <c r="G95" s="425"/>
      <c r="H95" s="425"/>
      <c r="I95" s="425"/>
      <c r="J95" s="425"/>
      <c r="L95" s="299"/>
      <c r="M95" s="299"/>
    </row>
    <row r="96" spans="1:13" x14ac:dyDescent="0.6">
      <c r="B96" s="415"/>
      <c r="C96" s="426"/>
      <c r="D96" s="426"/>
      <c r="E96" s="425"/>
      <c r="F96" s="426"/>
      <c r="G96" s="426"/>
      <c r="H96" s="426"/>
      <c r="I96" s="426"/>
      <c r="J96" s="426"/>
      <c r="L96" s="299"/>
      <c r="M96" s="299"/>
    </row>
    <row r="97" spans="2:13" x14ac:dyDescent="0.6">
      <c r="B97" s="416"/>
      <c r="C97" s="425"/>
      <c r="D97" s="425"/>
      <c r="E97" s="426"/>
      <c r="F97" s="425"/>
      <c r="G97" s="425"/>
      <c r="H97" s="425"/>
      <c r="I97" s="425"/>
      <c r="J97" s="425"/>
      <c r="L97" s="299"/>
      <c r="M97" s="299"/>
    </row>
    <row r="98" spans="2:13" x14ac:dyDescent="0.6">
      <c r="B98" s="416"/>
      <c r="C98" s="425"/>
      <c r="D98" s="425"/>
      <c r="E98" s="426"/>
      <c r="F98" s="425"/>
      <c r="G98" s="425"/>
      <c r="H98" s="425"/>
      <c r="I98" s="425"/>
      <c r="J98" s="425"/>
      <c r="L98" s="299"/>
      <c r="M98" s="299"/>
    </row>
    <row r="99" spans="2:13" x14ac:dyDescent="0.6">
      <c r="C99" s="425"/>
      <c r="D99" s="425"/>
      <c r="E99" s="426"/>
      <c r="F99" s="425"/>
      <c r="G99" s="425"/>
      <c r="H99" s="425"/>
      <c r="I99" s="425"/>
      <c r="J99" s="425"/>
      <c r="L99" s="299"/>
      <c r="M99" s="299"/>
    </row>
    <row r="102" spans="2:13" x14ac:dyDescent="0.6">
      <c r="B102" s="359"/>
    </row>
    <row r="103" spans="2:13" x14ac:dyDescent="0.6">
      <c r="B103" s="413"/>
    </row>
    <row r="104" spans="2:13" x14ac:dyDescent="0.6">
      <c r="B104" s="369"/>
    </row>
    <row r="105" spans="2:13" x14ac:dyDescent="0.6">
      <c r="C105" s="414"/>
      <c r="D105" s="414"/>
      <c r="E105" s="414"/>
      <c r="F105" s="414"/>
      <c r="H105" s="359"/>
      <c r="I105" s="414"/>
      <c r="J105" s="414"/>
    </row>
    <row r="106" spans="2:13" x14ac:dyDescent="0.6">
      <c r="F106" s="422"/>
    </row>
    <row r="107" spans="2:13" x14ac:dyDescent="0.6">
      <c r="B107" s="415"/>
      <c r="C107" s="426"/>
      <c r="D107" s="426"/>
      <c r="E107" s="426"/>
      <c r="F107" s="417"/>
      <c r="H107" s="423"/>
    </row>
    <row r="108" spans="2:13" x14ac:dyDescent="0.6">
      <c r="B108" s="416"/>
      <c r="C108" s="426"/>
      <c r="D108" s="426"/>
      <c r="E108" s="426"/>
      <c r="F108" s="418"/>
      <c r="H108" s="409"/>
      <c r="I108" s="427"/>
      <c r="J108" s="427"/>
      <c r="K108" s="406"/>
    </row>
    <row r="109" spans="2:13" x14ac:dyDescent="0.6">
      <c r="B109" s="416"/>
      <c r="C109" s="426"/>
      <c r="D109" s="426"/>
      <c r="E109" s="426"/>
      <c r="F109" s="418"/>
      <c r="H109" s="409"/>
      <c r="I109" s="427"/>
      <c r="J109" s="427"/>
      <c r="K109" s="406"/>
    </row>
    <row r="110" spans="2:13" x14ac:dyDescent="0.6">
      <c r="C110" s="426"/>
      <c r="D110" s="426"/>
      <c r="E110" s="426"/>
      <c r="F110" s="418"/>
      <c r="H110" s="409"/>
      <c r="I110" s="424"/>
      <c r="J110" s="424"/>
      <c r="K110" s="406"/>
    </row>
    <row r="111" spans="2:13" x14ac:dyDescent="0.6">
      <c r="B111" s="415"/>
      <c r="C111" s="426"/>
      <c r="D111" s="426"/>
      <c r="E111" s="426"/>
      <c r="F111" s="418"/>
      <c r="H111" s="423"/>
      <c r="I111" s="403"/>
      <c r="J111" s="403"/>
    </row>
    <row r="112" spans="2:13" x14ac:dyDescent="0.6">
      <c r="B112" s="416"/>
      <c r="C112" s="426"/>
      <c r="D112" s="426"/>
      <c r="E112" s="426"/>
      <c r="F112" s="418"/>
      <c r="H112" s="409"/>
      <c r="I112" s="427"/>
      <c r="J112" s="427"/>
      <c r="K112" s="406"/>
    </row>
    <row r="113" spans="1:12" x14ac:dyDescent="0.6">
      <c r="B113" s="416"/>
      <c r="C113" s="426"/>
      <c r="D113" s="426"/>
      <c r="E113" s="426"/>
      <c r="F113" s="418"/>
    </row>
    <row r="114" spans="1:12" x14ac:dyDescent="0.6">
      <c r="C114" s="308"/>
      <c r="D114" s="417"/>
      <c r="E114" s="308"/>
      <c r="F114" s="417"/>
    </row>
    <row r="115" spans="1:12" x14ac:dyDescent="0.6">
      <c r="C115" s="308"/>
      <c r="D115" s="417"/>
      <c r="E115" s="308"/>
      <c r="F115" s="417"/>
    </row>
    <row r="117" spans="1:12" x14ac:dyDescent="0.6">
      <c r="A117" s="425"/>
      <c r="B117" s="359"/>
      <c r="C117" s="299"/>
      <c r="E117" s="299"/>
    </row>
    <row r="118" spans="1:12" x14ac:dyDescent="0.6">
      <c r="C118" s="299"/>
      <c r="E118" s="299"/>
    </row>
    <row r="119" spans="1:12" x14ac:dyDescent="0.6">
      <c r="C119" s="414"/>
      <c r="D119" s="414"/>
      <c r="E119" s="414"/>
      <c r="F119" s="414"/>
      <c r="G119" s="414"/>
      <c r="H119" s="414"/>
      <c r="I119" s="414"/>
      <c r="J119" s="414"/>
    </row>
    <row r="121" spans="1:12" x14ac:dyDescent="0.6">
      <c r="B121" s="389"/>
      <c r="C121" s="411"/>
      <c r="D121" s="411"/>
      <c r="E121" s="428"/>
      <c r="F121" s="411"/>
      <c r="G121" s="411"/>
      <c r="H121" s="411"/>
      <c r="I121" s="411"/>
      <c r="J121" s="411"/>
    </row>
    <row r="122" spans="1:12" ht="15.25" x14ac:dyDescent="1.05">
      <c r="B122" s="389"/>
      <c r="C122" s="429"/>
      <c r="D122" s="429"/>
      <c r="E122" s="429"/>
      <c r="F122" s="429"/>
      <c r="G122" s="429"/>
      <c r="H122" s="429"/>
      <c r="I122" s="429"/>
      <c r="J122" s="429"/>
    </row>
    <row r="123" spans="1:12" x14ac:dyDescent="0.6">
      <c r="B123" s="389"/>
      <c r="C123" s="400"/>
      <c r="D123" s="400"/>
      <c r="E123" s="400"/>
      <c r="F123" s="400"/>
      <c r="G123" s="400"/>
      <c r="H123" s="400"/>
      <c r="I123" s="400"/>
      <c r="J123" s="400"/>
    </row>
    <row r="124" spans="1:12" x14ac:dyDescent="0.6">
      <c r="B124" s="389"/>
      <c r="C124" s="400"/>
      <c r="D124" s="400"/>
      <c r="E124" s="400"/>
      <c r="F124" s="400"/>
      <c r="G124" s="400"/>
      <c r="H124" s="400"/>
      <c r="I124" s="400"/>
      <c r="J124" s="400"/>
      <c r="K124" s="400"/>
      <c r="L124" s="400"/>
    </row>
    <row r="125" spans="1:12" x14ac:dyDescent="0.6">
      <c r="B125" s="389"/>
      <c r="C125" s="400"/>
      <c r="D125" s="400"/>
      <c r="E125" s="400"/>
      <c r="F125" s="400"/>
      <c r="G125" s="400"/>
      <c r="H125" s="400"/>
      <c r="I125" s="400"/>
      <c r="J125" s="400"/>
      <c r="K125" s="400"/>
      <c r="L125" s="400"/>
    </row>
    <row r="126" spans="1:12" x14ac:dyDescent="0.6">
      <c r="B126" s="389"/>
      <c r="C126" s="414"/>
      <c r="D126" s="414"/>
      <c r="F126" s="414"/>
      <c r="G126" s="414"/>
      <c r="H126" s="400"/>
      <c r="I126" s="400"/>
      <c r="J126" s="400"/>
      <c r="K126" s="400"/>
      <c r="L126" s="400"/>
    </row>
    <row r="127" spans="1:12" x14ac:dyDescent="0.6">
      <c r="B127" s="389"/>
      <c r="C127" s="414"/>
      <c r="D127" s="414"/>
      <c r="F127" s="414"/>
      <c r="G127" s="414"/>
      <c r="H127" s="400"/>
      <c r="I127" s="400"/>
      <c r="J127" s="400"/>
      <c r="K127" s="400"/>
      <c r="L127" s="400"/>
    </row>
    <row r="128" spans="1:12" x14ac:dyDescent="0.6">
      <c r="B128" s="389"/>
      <c r="G128" s="400"/>
      <c r="H128" s="400"/>
      <c r="I128" s="400"/>
      <c r="J128" s="400"/>
      <c r="K128" s="400"/>
      <c r="L128" s="400"/>
    </row>
    <row r="129" spans="2:12" x14ac:dyDescent="0.6">
      <c r="B129" s="389"/>
      <c r="C129" s="428"/>
      <c r="D129" s="428"/>
      <c r="F129" s="428"/>
      <c r="G129" s="428"/>
      <c r="H129" s="400"/>
      <c r="I129" s="400"/>
      <c r="J129" s="400"/>
      <c r="K129" s="400"/>
      <c r="L129" s="400"/>
    </row>
    <row r="130" spans="2:12" ht="15.25" x14ac:dyDescent="1.05">
      <c r="B130" s="389"/>
      <c r="C130" s="430"/>
      <c r="D130" s="430"/>
      <c r="F130" s="430"/>
      <c r="G130" s="430"/>
      <c r="H130" s="400"/>
      <c r="I130" s="400"/>
      <c r="J130" s="400"/>
      <c r="K130" s="400"/>
      <c r="L130" s="400"/>
    </row>
    <row r="131" spans="2:12" x14ac:dyDescent="0.6">
      <c r="B131" s="389"/>
      <c r="C131" s="400"/>
      <c r="D131" s="400"/>
      <c r="F131" s="400"/>
      <c r="G131" s="400"/>
      <c r="H131" s="400"/>
      <c r="I131" s="400"/>
      <c r="J131" s="400"/>
      <c r="K131" s="400"/>
      <c r="L131" s="400"/>
    </row>
    <row r="132" spans="2:12" x14ac:dyDescent="0.6">
      <c r="B132" s="389"/>
      <c r="C132" s="400"/>
      <c r="F132" s="400"/>
      <c r="G132" s="400"/>
      <c r="H132" s="400"/>
      <c r="I132" s="400"/>
      <c r="J132" s="400"/>
      <c r="K132" s="400"/>
      <c r="L132" s="400"/>
    </row>
    <row r="133" spans="2:12" x14ac:dyDescent="0.6">
      <c r="B133" s="389"/>
      <c r="C133" s="400"/>
      <c r="D133" s="400"/>
      <c r="E133" s="400"/>
      <c r="F133" s="400"/>
      <c r="G133" s="400"/>
      <c r="H133" s="400"/>
      <c r="I133" s="400"/>
      <c r="J133" s="400"/>
      <c r="K133" s="400"/>
      <c r="L133" s="400"/>
    </row>
    <row r="134" spans="2:12" x14ac:dyDescent="0.6">
      <c r="B134" s="389"/>
      <c r="C134" s="414"/>
      <c r="D134" s="414"/>
      <c r="E134" s="414"/>
      <c r="F134" s="400"/>
      <c r="G134" s="400"/>
      <c r="H134" s="400"/>
      <c r="I134" s="400"/>
      <c r="J134" s="400"/>
      <c r="K134" s="400"/>
      <c r="L134" s="400"/>
    </row>
    <row r="135" spans="2:12" x14ac:dyDescent="0.6">
      <c r="B135" s="389"/>
      <c r="C135" s="400"/>
      <c r="D135" s="400"/>
      <c r="E135" s="400"/>
      <c r="F135" s="400"/>
      <c r="G135" s="400"/>
      <c r="H135" s="400"/>
      <c r="I135" s="400"/>
      <c r="J135" s="400"/>
      <c r="K135" s="400"/>
      <c r="L135" s="400"/>
    </row>
    <row r="136" spans="2:12" ht="15.25" x14ac:dyDescent="1.05">
      <c r="B136" s="389"/>
      <c r="C136" s="410"/>
      <c r="D136" s="410"/>
      <c r="E136" s="410"/>
    </row>
    <row r="137" spans="2:12" x14ac:dyDescent="0.6">
      <c r="B137" s="389"/>
      <c r="C137" s="400"/>
      <c r="D137" s="400"/>
      <c r="E137" s="431"/>
    </row>
    <row r="138" spans="2:12" x14ac:dyDescent="0.6">
      <c r="B138" s="389"/>
      <c r="C138" s="299"/>
      <c r="E138" s="299"/>
    </row>
    <row r="139" spans="2:12" x14ac:dyDescent="0.6">
      <c r="C139" s="414"/>
      <c r="D139" s="414"/>
      <c r="E139" s="414"/>
      <c r="F139" s="414"/>
      <c r="G139" s="414"/>
      <c r="H139" s="414"/>
      <c r="I139" s="414"/>
      <c r="J139" s="414"/>
      <c r="K139" s="414"/>
      <c r="L139" s="414"/>
    </row>
    <row r="141" spans="2:12" x14ac:dyDescent="0.6">
      <c r="B141" s="389"/>
      <c r="C141" s="400"/>
    </row>
    <row r="142" spans="2:12" ht="15.25" x14ac:dyDescent="1.05">
      <c r="B142" s="389"/>
      <c r="C142" s="410"/>
    </row>
    <row r="143" spans="2:12" x14ac:dyDescent="0.6">
      <c r="B143" s="389"/>
      <c r="C143" s="400"/>
    </row>
    <row r="144" spans="2:12" x14ac:dyDescent="0.6">
      <c r="C144" s="299"/>
    </row>
    <row r="145" spans="1:10" x14ac:dyDescent="0.6">
      <c r="B145" s="432"/>
      <c r="C145" s="390"/>
    </row>
    <row r="146" spans="1:10" x14ac:dyDescent="0.6">
      <c r="B146" s="389"/>
      <c r="C146" s="400"/>
    </row>
    <row r="147" spans="1:10" ht="15.25" x14ac:dyDescent="1.05">
      <c r="B147" s="389"/>
      <c r="C147" s="410"/>
    </row>
    <row r="148" spans="1:10" x14ac:dyDescent="0.6">
      <c r="B148" s="389"/>
      <c r="C148" s="400"/>
    </row>
    <row r="151" spans="1:10" x14ac:dyDescent="0.6">
      <c r="D151" s="433"/>
      <c r="E151" s="433"/>
      <c r="F151" s="433"/>
      <c r="G151" s="433"/>
      <c r="H151" s="433"/>
      <c r="I151" s="433"/>
    </row>
    <row r="152" spans="1:10" x14ac:dyDescent="0.6">
      <c r="D152" s="433"/>
      <c r="E152" s="433"/>
      <c r="F152" s="433"/>
      <c r="G152" s="433"/>
      <c r="H152" s="433"/>
      <c r="I152" s="433"/>
    </row>
    <row r="153" spans="1:10" x14ac:dyDescent="0.6">
      <c r="A153" s="425"/>
      <c r="B153" s="408"/>
      <c r="C153" s="299"/>
      <c r="E153" s="299"/>
    </row>
    <row r="154" spans="1:10" x14ac:dyDescent="0.6">
      <c r="B154" s="413"/>
    </row>
    <row r="156" spans="1:10" x14ac:dyDescent="0.6">
      <c r="B156" s="359"/>
    </row>
    <row r="157" spans="1:10" x14ac:dyDescent="0.6">
      <c r="B157" s="413"/>
    </row>
    <row r="158" spans="1:10" x14ac:dyDescent="0.6">
      <c r="B158" s="359"/>
    </row>
    <row r="159" spans="1:10" x14ac:dyDescent="0.6">
      <c r="C159" s="414"/>
      <c r="D159" s="414"/>
      <c r="E159" s="414"/>
      <c r="F159" s="414"/>
      <c r="G159" s="414"/>
      <c r="H159" s="414"/>
      <c r="I159" s="414"/>
      <c r="J159" s="414"/>
    </row>
    <row r="160" spans="1:10" x14ac:dyDescent="0.6">
      <c r="C160" s="425"/>
      <c r="D160" s="425"/>
      <c r="E160" s="425"/>
      <c r="F160" s="426"/>
      <c r="G160" s="426"/>
      <c r="H160" s="426"/>
      <c r="I160" s="426"/>
      <c r="J160" s="426"/>
    </row>
    <row r="161" spans="2:10" x14ac:dyDescent="0.6">
      <c r="B161" s="415"/>
      <c r="C161" s="425"/>
      <c r="D161" s="425"/>
      <c r="E161" s="425"/>
      <c r="F161" s="426"/>
      <c r="G161" s="426"/>
      <c r="H161" s="426"/>
      <c r="I161" s="426"/>
      <c r="J161" s="426"/>
    </row>
    <row r="162" spans="2:10" x14ac:dyDescent="0.6">
      <c r="B162" s="416"/>
      <c r="C162" s="425"/>
      <c r="D162" s="425"/>
      <c r="E162" s="426"/>
      <c r="G162" s="426"/>
      <c r="H162" s="426"/>
      <c r="I162" s="426"/>
      <c r="J162" s="425"/>
    </row>
    <row r="163" spans="2:10" x14ac:dyDescent="0.6">
      <c r="B163" s="416"/>
      <c r="C163" s="425"/>
      <c r="D163" s="425"/>
      <c r="E163" s="426"/>
      <c r="F163" s="425"/>
      <c r="G163" s="425"/>
      <c r="H163" s="425"/>
      <c r="I163" s="425"/>
      <c r="J163" s="425"/>
    </row>
    <row r="164" spans="2:10" x14ac:dyDescent="0.6">
      <c r="B164" s="419"/>
      <c r="C164" s="425"/>
      <c r="D164" s="425"/>
      <c r="E164" s="425"/>
      <c r="F164" s="425"/>
      <c r="G164" s="425"/>
      <c r="H164" s="425"/>
      <c r="I164" s="425"/>
      <c r="J164" s="425"/>
    </row>
    <row r="165" spans="2:10" x14ac:dyDescent="0.6">
      <c r="B165" s="421"/>
      <c r="C165" s="426"/>
      <c r="D165" s="426"/>
      <c r="E165" s="425"/>
      <c r="F165" s="425"/>
      <c r="G165" s="425"/>
      <c r="H165" s="425"/>
      <c r="I165" s="425"/>
      <c r="J165" s="425"/>
    </row>
    <row r="166" spans="2:10" x14ac:dyDescent="0.6">
      <c r="B166" s="421"/>
      <c r="C166" s="426"/>
      <c r="D166" s="426"/>
      <c r="E166" s="425"/>
      <c r="F166" s="425"/>
      <c r="G166" s="425"/>
      <c r="H166" s="425"/>
      <c r="I166" s="425"/>
      <c r="J166" s="425"/>
    </row>
    <row r="167" spans="2:10" x14ac:dyDescent="0.6">
      <c r="C167" s="426"/>
      <c r="D167" s="426"/>
      <c r="E167" s="425"/>
      <c r="F167" s="425"/>
      <c r="G167" s="425"/>
      <c r="H167" s="425"/>
      <c r="I167" s="425"/>
      <c r="J167" s="425"/>
    </row>
    <row r="168" spans="2:10" x14ac:dyDescent="0.6">
      <c r="B168" s="415"/>
      <c r="C168" s="426"/>
      <c r="D168" s="426"/>
      <c r="E168" s="425"/>
      <c r="F168" s="426"/>
      <c r="G168" s="426"/>
      <c r="H168" s="426"/>
      <c r="I168" s="426"/>
      <c r="J168" s="426"/>
    </row>
    <row r="169" spans="2:10" x14ac:dyDescent="0.6">
      <c r="B169" s="416"/>
      <c r="C169" s="425"/>
      <c r="D169" s="425"/>
      <c r="E169" s="426"/>
      <c r="F169" s="425"/>
      <c r="G169" s="425"/>
      <c r="H169" s="425"/>
      <c r="I169" s="425"/>
      <c r="J169" s="425"/>
    </row>
    <row r="170" spans="2:10" x14ac:dyDescent="0.6">
      <c r="B170" s="416"/>
      <c r="C170" s="425"/>
      <c r="D170" s="425"/>
      <c r="E170" s="426"/>
      <c r="F170" s="425"/>
      <c r="G170" s="425"/>
      <c r="H170" s="425"/>
      <c r="I170" s="425"/>
      <c r="J170" s="425"/>
    </row>
    <row r="171" spans="2:10" x14ac:dyDescent="0.6">
      <c r="C171" s="425"/>
      <c r="D171" s="425"/>
      <c r="E171" s="426"/>
      <c r="F171" s="425"/>
      <c r="G171" s="425"/>
      <c r="H171" s="425"/>
      <c r="I171" s="425"/>
      <c r="J171" s="425"/>
    </row>
    <row r="174" spans="2:10" x14ac:dyDescent="0.6">
      <c r="B174" s="359"/>
    </row>
    <row r="175" spans="2:10" x14ac:dyDescent="0.6">
      <c r="B175" s="413"/>
    </row>
    <row r="176" spans="2:10" x14ac:dyDescent="0.6">
      <c r="B176" s="369"/>
    </row>
    <row r="177" spans="1:12" x14ac:dyDescent="0.6">
      <c r="C177" s="414"/>
      <c r="D177" s="414"/>
      <c r="E177" s="414"/>
      <c r="F177" s="414"/>
      <c r="H177" s="359"/>
      <c r="I177" s="414"/>
      <c r="J177" s="414"/>
    </row>
    <row r="178" spans="1:12" x14ac:dyDescent="0.6">
      <c r="F178" s="422"/>
    </row>
    <row r="179" spans="1:12" x14ac:dyDescent="0.6">
      <c r="B179" s="415"/>
      <c r="C179" s="426"/>
      <c r="D179" s="426"/>
      <c r="E179" s="426"/>
      <c r="F179" s="417"/>
      <c r="H179" s="423"/>
    </row>
    <row r="180" spans="1:12" x14ac:dyDescent="0.6">
      <c r="B180" s="416"/>
      <c r="C180" s="426"/>
      <c r="D180" s="426"/>
      <c r="E180" s="426"/>
      <c r="F180" s="418"/>
      <c r="H180" s="409"/>
      <c r="I180" s="434"/>
      <c r="J180" s="434"/>
    </row>
    <row r="181" spans="1:12" x14ac:dyDescent="0.6">
      <c r="B181" s="416"/>
      <c r="C181" s="426"/>
      <c r="D181" s="426"/>
      <c r="E181" s="426"/>
      <c r="F181" s="418"/>
      <c r="H181" s="409"/>
      <c r="I181" s="434"/>
      <c r="J181" s="434"/>
    </row>
    <row r="182" spans="1:12" x14ac:dyDescent="0.6">
      <c r="C182" s="426"/>
      <c r="D182" s="426"/>
      <c r="E182" s="426"/>
      <c r="F182" s="418"/>
      <c r="H182" s="409"/>
      <c r="I182" s="424"/>
      <c r="J182" s="424"/>
    </row>
    <row r="183" spans="1:12" x14ac:dyDescent="0.6">
      <c r="B183" s="415"/>
      <c r="C183" s="426"/>
      <c r="D183" s="426"/>
      <c r="E183" s="426"/>
      <c r="F183" s="418"/>
      <c r="H183" s="423"/>
      <c r="I183" s="403"/>
      <c r="J183" s="403"/>
    </row>
    <row r="184" spans="1:12" x14ac:dyDescent="0.6">
      <c r="B184" s="416"/>
      <c r="C184" s="426"/>
      <c r="D184" s="426"/>
      <c r="E184" s="426"/>
      <c r="F184" s="418"/>
      <c r="H184" s="409"/>
      <c r="I184" s="434"/>
      <c r="J184" s="434"/>
    </row>
    <row r="185" spans="1:12" x14ac:dyDescent="0.6">
      <c r="B185" s="416"/>
      <c r="C185" s="426"/>
      <c r="D185" s="426"/>
      <c r="E185" s="426"/>
      <c r="F185" s="418"/>
    </row>
    <row r="189" spans="1:12" x14ac:dyDescent="0.6">
      <c r="A189" s="425"/>
      <c r="B189" s="359"/>
      <c r="C189" s="299"/>
      <c r="E189" s="299"/>
    </row>
    <row r="190" spans="1:12" x14ac:dyDescent="0.6">
      <c r="C190" s="299"/>
      <c r="E190" s="299"/>
    </row>
    <row r="191" spans="1:12" x14ac:dyDescent="0.6">
      <c r="C191" s="414"/>
      <c r="D191" s="414"/>
      <c r="E191" s="414"/>
      <c r="F191" s="414"/>
      <c r="G191" s="414"/>
      <c r="H191" s="414"/>
      <c r="I191" s="414"/>
      <c r="J191" s="414"/>
      <c r="K191" s="414"/>
      <c r="L191" s="414"/>
    </row>
    <row r="193" spans="2:12" x14ac:dyDescent="0.6">
      <c r="B193" s="389"/>
      <c r="C193" s="411"/>
      <c r="D193" s="411"/>
      <c r="E193" s="428"/>
      <c r="F193" s="411"/>
      <c r="G193" s="411"/>
      <c r="H193" s="411"/>
      <c r="I193" s="411"/>
      <c r="J193" s="411"/>
      <c r="K193" s="428"/>
      <c r="L193" s="428"/>
    </row>
    <row r="194" spans="2:12" ht="15.25" x14ac:dyDescent="1.05">
      <c r="B194" s="389"/>
      <c r="C194" s="429"/>
      <c r="D194" s="429"/>
      <c r="E194" s="429"/>
      <c r="F194" s="429"/>
      <c r="G194" s="429"/>
      <c r="H194" s="429"/>
      <c r="I194" s="429"/>
      <c r="J194" s="429"/>
      <c r="K194" s="430"/>
      <c r="L194" s="430"/>
    </row>
    <row r="195" spans="2:12" x14ac:dyDescent="0.6">
      <c r="B195" s="389"/>
      <c r="C195" s="400"/>
      <c r="D195" s="400"/>
      <c r="E195" s="400"/>
      <c r="F195" s="400"/>
      <c r="G195" s="400"/>
      <c r="H195" s="400"/>
      <c r="I195" s="400"/>
      <c r="J195" s="400"/>
      <c r="K195" s="400"/>
      <c r="L195" s="400"/>
    </row>
    <row r="196" spans="2:12" x14ac:dyDescent="0.6">
      <c r="B196" s="389"/>
      <c r="C196" s="400"/>
      <c r="D196" s="400"/>
      <c r="E196" s="400"/>
      <c r="F196" s="400"/>
      <c r="G196" s="400"/>
      <c r="H196" s="400"/>
      <c r="I196" s="400"/>
      <c r="J196" s="400"/>
      <c r="K196" s="400"/>
      <c r="L196" s="400"/>
    </row>
    <row r="197" spans="2:12" x14ac:dyDescent="0.6">
      <c r="B197" s="389"/>
      <c r="C197" s="400"/>
      <c r="D197" s="400"/>
      <c r="E197" s="400"/>
      <c r="F197" s="400"/>
      <c r="G197" s="400"/>
      <c r="H197" s="400"/>
      <c r="I197" s="400"/>
      <c r="J197" s="400"/>
      <c r="K197" s="400"/>
      <c r="L197" s="400"/>
    </row>
    <row r="198" spans="2:12" ht="15.25" x14ac:dyDescent="1.05">
      <c r="B198" s="389"/>
      <c r="C198" s="410"/>
      <c r="E198" s="299"/>
    </row>
    <row r="199" spans="2:12" x14ac:dyDescent="0.6">
      <c r="B199" s="389"/>
      <c r="C199" s="400"/>
      <c r="E199" s="299"/>
    </row>
    <row r="200" spans="2:12" x14ac:dyDescent="0.6">
      <c r="B200" s="389"/>
      <c r="C200" s="299"/>
      <c r="E200" s="299"/>
    </row>
    <row r="201" spans="2:12" x14ac:dyDescent="0.6">
      <c r="C201" s="414"/>
      <c r="D201" s="414"/>
      <c r="E201" s="414"/>
      <c r="F201" s="414"/>
      <c r="G201" s="414"/>
      <c r="H201" s="414"/>
      <c r="I201" s="414"/>
      <c r="J201" s="414"/>
      <c r="K201" s="414"/>
      <c r="L201" s="414"/>
    </row>
    <row r="203" spans="2:12" x14ac:dyDescent="0.6">
      <c r="B203" s="389"/>
      <c r="C203" s="400"/>
    </row>
    <row r="204" spans="2:12" ht="15.25" x14ac:dyDescent="1.05">
      <c r="B204" s="389"/>
      <c r="C204" s="410"/>
    </row>
    <row r="205" spans="2:12" x14ac:dyDescent="0.6">
      <c r="B205" s="389"/>
      <c r="C205" s="400"/>
      <c r="D205" s="400"/>
      <c r="G205" s="389"/>
    </row>
    <row r="206" spans="2:12" x14ac:dyDescent="0.6">
      <c r="C206" s="299"/>
      <c r="E206" s="299"/>
      <c r="G206" s="389"/>
    </row>
    <row r="207" spans="2:12" x14ac:dyDescent="0.6">
      <c r="B207" s="432"/>
      <c r="C207" s="400"/>
      <c r="E207" s="435"/>
      <c r="G207" s="435"/>
    </row>
    <row r="208" spans="2:12" x14ac:dyDescent="0.6">
      <c r="B208" s="389"/>
      <c r="C208" s="400"/>
      <c r="E208" s="348"/>
    </row>
    <row r="209" spans="1:10" ht="15.25" x14ac:dyDescent="1.05">
      <c r="B209" s="389"/>
      <c r="C209" s="410"/>
      <c r="E209" s="353"/>
    </row>
    <row r="210" spans="1:10" x14ac:dyDescent="0.6">
      <c r="B210" s="389"/>
      <c r="C210" s="400"/>
      <c r="E210" s="348"/>
    </row>
    <row r="212" spans="1:10" x14ac:dyDescent="0.6">
      <c r="C212" s="436"/>
    </row>
    <row r="213" spans="1:10" outlineLevel="1" x14ac:dyDescent="0.6">
      <c r="A213" s="359"/>
    </row>
    <row r="214" spans="1:10" outlineLevel="1" x14ac:dyDescent="0.6">
      <c r="A214" s="425"/>
      <c r="B214" s="408"/>
      <c r="C214" s="299"/>
      <c r="E214" s="299"/>
    </row>
    <row r="215" spans="1:10" outlineLevel="1" x14ac:dyDescent="0.6">
      <c r="B215" s="413"/>
    </row>
    <row r="216" spans="1:10" outlineLevel="1" x14ac:dyDescent="0.6">
      <c r="A216" s="425"/>
    </row>
    <row r="217" spans="1:10" outlineLevel="1" x14ac:dyDescent="0.6">
      <c r="B217" s="359"/>
    </row>
    <row r="218" spans="1:10" outlineLevel="1" x14ac:dyDescent="0.6">
      <c r="B218" s="413"/>
    </row>
    <row r="219" spans="1:10" outlineLevel="1" x14ac:dyDescent="0.6">
      <c r="B219" s="359"/>
    </row>
    <row r="220" spans="1:10" outlineLevel="1" x14ac:dyDescent="0.6">
      <c r="C220" s="414"/>
      <c r="D220" s="414"/>
      <c r="E220" s="414"/>
      <c r="F220" s="414"/>
      <c r="G220" s="414"/>
      <c r="H220" s="414"/>
      <c r="I220" s="414"/>
      <c r="J220" s="414"/>
    </row>
    <row r="221" spans="1:10" outlineLevel="1" x14ac:dyDescent="0.6">
      <c r="C221" s="425"/>
      <c r="D221" s="425"/>
      <c r="E221" s="425"/>
      <c r="F221" s="426"/>
      <c r="G221" s="426"/>
      <c r="H221" s="426"/>
      <c r="I221" s="426"/>
      <c r="J221" s="426"/>
    </row>
    <row r="222" spans="1:10" outlineLevel="1" x14ac:dyDescent="0.6">
      <c r="B222" s="415"/>
      <c r="C222" s="425"/>
      <c r="D222" s="425"/>
      <c r="E222" s="425"/>
      <c r="F222" s="426"/>
      <c r="G222" s="426"/>
      <c r="H222" s="426"/>
      <c r="I222" s="426"/>
      <c r="J222" s="426"/>
    </row>
    <row r="223" spans="1:10" outlineLevel="1" x14ac:dyDescent="0.6">
      <c r="B223" s="416"/>
      <c r="C223" s="425"/>
      <c r="D223" s="425"/>
      <c r="E223" s="426"/>
    </row>
    <row r="224" spans="1:10" outlineLevel="1" x14ac:dyDescent="0.6">
      <c r="B224" s="416"/>
      <c r="C224" s="425"/>
      <c r="D224" s="425"/>
      <c r="E224" s="426"/>
      <c r="F224" s="425"/>
      <c r="G224" s="425"/>
      <c r="H224" s="425"/>
      <c r="I224" s="425"/>
      <c r="J224" s="425"/>
    </row>
    <row r="225" spans="2:10" outlineLevel="1" x14ac:dyDescent="0.6">
      <c r="B225" s="419"/>
      <c r="C225" s="425"/>
      <c r="D225" s="425"/>
      <c r="E225" s="425"/>
      <c r="F225" s="425"/>
      <c r="G225" s="425"/>
      <c r="H225" s="425"/>
      <c r="I225" s="425"/>
      <c r="J225" s="425"/>
    </row>
    <row r="226" spans="2:10" outlineLevel="1" x14ac:dyDescent="0.6">
      <c r="B226" s="421"/>
      <c r="C226" s="426"/>
      <c r="D226" s="426"/>
      <c r="E226" s="425"/>
      <c r="F226" s="425"/>
      <c r="G226" s="425"/>
      <c r="H226" s="425"/>
      <c r="I226" s="425"/>
      <c r="J226" s="425"/>
    </row>
    <row r="227" spans="2:10" outlineLevel="1" x14ac:dyDescent="0.6">
      <c r="B227" s="421"/>
      <c r="C227" s="426"/>
      <c r="D227" s="426"/>
      <c r="E227" s="425"/>
      <c r="F227" s="425"/>
      <c r="G227" s="425"/>
      <c r="H227" s="425"/>
      <c r="I227" s="425"/>
      <c r="J227" s="425"/>
    </row>
    <row r="228" spans="2:10" outlineLevel="1" x14ac:dyDescent="0.6">
      <c r="C228" s="426"/>
      <c r="D228" s="426"/>
      <c r="E228" s="425"/>
      <c r="F228" s="425"/>
      <c r="G228" s="425"/>
      <c r="H228" s="425"/>
      <c r="I228" s="425"/>
      <c r="J228" s="425"/>
    </row>
    <row r="229" spans="2:10" outlineLevel="1" x14ac:dyDescent="0.6">
      <c r="B229" s="415"/>
      <c r="C229" s="426"/>
      <c r="D229" s="426"/>
      <c r="E229" s="425"/>
      <c r="F229" s="426"/>
      <c r="G229" s="426"/>
      <c r="H229" s="426"/>
      <c r="I229" s="426"/>
      <c r="J229" s="426"/>
    </row>
    <row r="230" spans="2:10" outlineLevel="1" x14ac:dyDescent="0.6">
      <c r="B230" s="416"/>
      <c r="C230" s="425"/>
      <c r="D230" s="425"/>
      <c r="E230" s="426"/>
      <c r="F230" s="425"/>
      <c r="G230" s="425"/>
      <c r="H230" s="425"/>
      <c r="I230" s="425"/>
      <c r="J230" s="425"/>
    </row>
    <row r="231" spans="2:10" outlineLevel="1" x14ac:dyDescent="0.6">
      <c r="B231" s="416"/>
      <c r="C231" s="425"/>
      <c r="D231" s="425"/>
      <c r="E231" s="426"/>
      <c r="F231" s="425"/>
      <c r="G231" s="425"/>
      <c r="H231" s="425"/>
      <c r="I231" s="425"/>
      <c r="J231" s="425"/>
    </row>
    <row r="232" spans="2:10" outlineLevel="1" x14ac:dyDescent="0.6">
      <c r="C232" s="425"/>
      <c r="D232" s="425"/>
      <c r="E232" s="426"/>
      <c r="F232" s="425"/>
      <c r="G232" s="425"/>
      <c r="H232" s="425"/>
      <c r="I232" s="425"/>
      <c r="J232" s="425"/>
    </row>
    <row r="233" spans="2:10" outlineLevel="1" x14ac:dyDescent="0.6"/>
    <row r="234" spans="2:10" outlineLevel="1" x14ac:dyDescent="0.6"/>
    <row r="235" spans="2:10" outlineLevel="1" x14ac:dyDescent="0.6">
      <c r="B235" s="359"/>
    </row>
    <row r="236" spans="2:10" outlineLevel="1" x14ac:dyDescent="0.6">
      <c r="B236" s="413"/>
    </row>
    <row r="237" spans="2:10" outlineLevel="1" x14ac:dyDescent="0.6">
      <c r="B237" s="369"/>
    </row>
    <row r="238" spans="2:10" outlineLevel="1" x14ac:dyDescent="0.6">
      <c r="C238" s="414"/>
      <c r="D238" s="414"/>
      <c r="E238" s="414"/>
      <c r="F238" s="414"/>
      <c r="H238" s="359"/>
      <c r="I238" s="414"/>
      <c r="J238" s="414"/>
    </row>
    <row r="239" spans="2:10" outlineLevel="1" x14ac:dyDescent="0.6">
      <c r="F239" s="422"/>
    </row>
    <row r="240" spans="2:10" outlineLevel="1" x14ac:dyDescent="0.6">
      <c r="B240" s="415"/>
      <c r="C240" s="426"/>
      <c r="D240" s="426"/>
      <c r="E240" s="426"/>
      <c r="F240" s="417"/>
      <c r="H240" s="423"/>
    </row>
    <row r="241" spans="1:12" outlineLevel="1" x14ac:dyDescent="0.6">
      <c r="B241" s="416"/>
      <c r="C241" s="426"/>
      <c r="D241" s="426"/>
      <c r="E241" s="426"/>
      <c r="F241" s="418"/>
      <c r="H241" s="409"/>
      <c r="I241" s="434"/>
      <c r="J241" s="434"/>
    </row>
    <row r="242" spans="1:12" outlineLevel="1" x14ac:dyDescent="0.6">
      <c r="B242" s="416"/>
      <c r="C242" s="426"/>
      <c r="D242" s="426"/>
      <c r="E242" s="426"/>
      <c r="F242" s="418"/>
      <c r="H242" s="409"/>
      <c r="I242" s="434"/>
      <c r="J242" s="434"/>
    </row>
    <row r="243" spans="1:12" outlineLevel="1" x14ac:dyDescent="0.6">
      <c r="C243" s="426"/>
      <c r="D243" s="426"/>
      <c r="E243" s="426"/>
      <c r="F243" s="418"/>
      <c r="H243" s="409"/>
      <c r="I243" s="424"/>
      <c r="J243" s="424"/>
    </row>
    <row r="244" spans="1:12" outlineLevel="1" x14ac:dyDescent="0.6">
      <c r="B244" s="415"/>
      <c r="C244" s="426"/>
      <c r="D244" s="426"/>
      <c r="E244" s="426"/>
      <c r="F244" s="418"/>
      <c r="H244" s="423"/>
      <c r="I244" s="403"/>
      <c r="J244" s="403"/>
    </row>
    <row r="245" spans="1:12" outlineLevel="1" x14ac:dyDescent="0.6">
      <c r="B245" s="416"/>
      <c r="C245" s="426"/>
      <c r="D245" s="426"/>
      <c r="E245" s="426"/>
      <c r="F245" s="418"/>
      <c r="H245" s="409"/>
      <c r="I245" s="434"/>
      <c r="J245" s="434"/>
    </row>
    <row r="246" spans="1:12" outlineLevel="1" x14ac:dyDescent="0.6">
      <c r="B246" s="416"/>
      <c r="C246" s="426"/>
      <c r="D246" s="426"/>
      <c r="E246" s="426"/>
      <c r="F246" s="418"/>
    </row>
    <row r="247" spans="1:12" outlineLevel="1" x14ac:dyDescent="0.6"/>
    <row r="248" spans="1:12" outlineLevel="1" x14ac:dyDescent="0.6"/>
    <row r="249" spans="1:12" outlineLevel="1" x14ac:dyDescent="0.6"/>
    <row r="250" spans="1:12" outlineLevel="1" x14ac:dyDescent="0.6"/>
    <row r="251" spans="1:12" outlineLevel="1" x14ac:dyDescent="0.6">
      <c r="A251" s="425"/>
      <c r="B251" s="359"/>
      <c r="C251" s="299"/>
      <c r="E251" s="299"/>
    </row>
    <row r="252" spans="1:12" outlineLevel="1" x14ac:dyDescent="0.6">
      <c r="C252" s="299"/>
      <c r="E252" s="299"/>
    </row>
    <row r="253" spans="1:12" outlineLevel="1" x14ac:dyDescent="0.6">
      <c r="C253" s="414"/>
      <c r="D253" s="414"/>
      <c r="E253" s="414"/>
      <c r="F253" s="414"/>
      <c r="G253" s="414"/>
      <c r="H253" s="414"/>
      <c r="I253" s="414"/>
      <c r="J253" s="414"/>
      <c r="K253" s="414"/>
      <c r="L253" s="414"/>
    </row>
    <row r="254" spans="1:12" outlineLevel="1" x14ac:dyDescent="0.6"/>
    <row r="255" spans="1:12" outlineLevel="1" x14ac:dyDescent="0.6">
      <c r="B255" s="389"/>
      <c r="C255" s="411"/>
      <c r="D255" s="411"/>
      <c r="E255" s="428"/>
      <c r="F255" s="411"/>
      <c r="G255" s="411"/>
      <c r="H255" s="411"/>
      <c r="I255" s="411"/>
      <c r="J255" s="411"/>
      <c r="K255" s="428"/>
      <c r="L255" s="428"/>
    </row>
    <row r="256" spans="1:12" ht="15.25" outlineLevel="1" x14ac:dyDescent="1.05">
      <c r="B256" s="389"/>
      <c r="C256" s="429"/>
      <c r="D256" s="429"/>
      <c r="E256" s="429"/>
      <c r="F256" s="437"/>
      <c r="G256" s="437"/>
      <c r="H256" s="437"/>
      <c r="I256" s="437"/>
      <c r="J256" s="437"/>
      <c r="K256" s="430"/>
      <c r="L256" s="430"/>
    </row>
    <row r="257" spans="2:12" outlineLevel="1" x14ac:dyDescent="0.6">
      <c r="B257" s="389"/>
      <c r="C257" s="400"/>
      <c r="D257" s="400"/>
      <c r="E257" s="400"/>
      <c r="F257" s="400"/>
      <c r="G257" s="400"/>
      <c r="H257" s="400"/>
      <c r="I257" s="400"/>
      <c r="J257" s="400"/>
      <c r="K257" s="400"/>
      <c r="L257" s="400"/>
    </row>
    <row r="258" spans="2:12" outlineLevel="1" x14ac:dyDescent="0.6">
      <c r="B258" s="389"/>
      <c r="C258" s="400"/>
      <c r="D258" s="400"/>
      <c r="E258" s="400"/>
      <c r="F258" s="400"/>
      <c r="G258" s="400"/>
      <c r="H258" s="400"/>
      <c r="I258" s="400"/>
      <c r="J258" s="400"/>
      <c r="K258" s="400"/>
      <c r="L258" s="400"/>
    </row>
    <row r="259" spans="2:12" outlineLevel="1" x14ac:dyDescent="0.6">
      <c r="B259" s="389"/>
      <c r="C259" s="400"/>
      <c r="D259" s="400"/>
      <c r="E259" s="400"/>
      <c r="F259" s="400"/>
      <c r="G259" s="400"/>
      <c r="H259" s="400"/>
      <c r="I259" s="400"/>
      <c r="J259" s="400"/>
      <c r="K259" s="400"/>
      <c r="L259" s="400"/>
    </row>
    <row r="260" spans="2:12" ht="15.25" outlineLevel="1" x14ac:dyDescent="1.05">
      <c r="B260" s="389"/>
      <c r="C260" s="410"/>
      <c r="E260" s="299"/>
    </row>
    <row r="261" spans="2:12" outlineLevel="1" x14ac:dyDescent="0.6">
      <c r="B261" s="389"/>
      <c r="C261" s="400"/>
      <c r="E261" s="299"/>
    </row>
    <row r="262" spans="2:12" outlineLevel="1" x14ac:dyDescent="0.6">
      <c r="B262" s="389"/>
      <c r="C262" s="299"/>
      <c r="E262" s="299"/>
    </row>
    <row r="263" spans="2:12" outlineLevel="1" x14ac:dyDescent="0.6">
      <c r="C263" s="414"/>
      <c r="D263" s="414"/>
      <c r="E263" s="414"/>
      <c r="F263" s="414"/>
      <c r="G263" s="414"/>
      <c r="H263" s="414"/>
      <c r="I263" s="414"/>
      <c r="J263" s="414"/>
      <c r="K263" s="414"/>
      <c r="L263" s="414"/>
    </row>
    <row r="264" spans="2:12" outlineLevel="1" x14ac:dyDescent="0.6"/>
    <row r="265" spans="2:12" outlineLevel="1" x14ac:dyDescent="0.6">
      <c r="C265" s="438"/>
      <c r="D265" s="438"/>
      <c r="E265" s="438"/>
    </row>
    <row r="266" spans="2:12" outlineLevel="1" x14ac:dyDescent="0.6">
      <c r="B266" s="389"/>
      <c r="C266" s="400"/>
      <c r="D266" s="436"/>
      <c r="E266" s="400"/>
    </row>
    <row r="267" spans="2:12" outlineLevel="1" x14ac:dyDescent="0.6">
      <c r="B267" s="389"/>
      <c r="C267" s="439"/>
      <c r="D267" s="440"/>
      <c r="E267" s="439"/>
    </row>
    <row r="268" spans="2:12" outlineLevel="1" x14ac:dyDescent="0.6">
      <c r="B268" s="389"/>
      <c r="C268" s="400"/>
      <c r="D268" s="400"/>
      <c r="E268" s="400"/>
      <c r="G268" s="389"/>
    </row>
    <row r="269" spans="2:12" outlineLevel="1" x14ac:dyDescent="0.6">
      <c r="C269" s="299"/>
      <c r="E269" s="299"/>
      <c r="G269" s="389"/>
    </row>
    <row r="270" spans="2:12" outlineLevel="1" x14ac:dyDescent="0.6">
      <c r="B270" s="432"/>
      <c r="C270" s="400"/>
      <c r="E270" s="435"/>
      <c r="G270" s="435"/>
    </row>
    <row r="271" spans="2:12" outlineLevel="1" x14ac:dyDescent="0.6">
      <c r="B271" s="389"/>
      <c r="C271" s="400"/>
      <c r="E271" s="348"/>
    </row>
    <row r="272" spans="2:12" outlineLevel="1" x14ac:dyDescent="0.6">
      <c r="B272" s="389"/>
      <c r="C272" s="439"/>
      <c r="E272" s="353"/>
    </row>
    <row r="273" spans="2:5" outlineLevel="1" x14ac:dyDescent="0.6">
      <c r="B273" s="389"/>
      <c r="C273" s="400"/>
      <c r="E273" s="348"/>
    </row>
    <row r="274" spans="2:5" outlineLevel="1" x14ac:dyDescent="0.6"/>
  </sheetData>
  <pageMargins left="0.75" right="0.75" top="1" bottom="1" header="0.5" footer="0.5"/>
  <pageSetup scale="76" fitToHeight="0" orientation="landscape" r:id="rId1"/>
  <headerFooter alignWithMargins="0">
    <oddHeader>&amp;C&amp;"Arial,Bold"Public Service Electric and Gas Company Specific Addendum
Attachment 4</oddHeader>
    <oddFooter>&amp;C&amp;"Arial,Bold"Page 5 of 5</oddFooter>
  </headerFooter>
  <rowBreaks count="7" manualBreakCount="7">
    <brk id="33" max="9" man="1"/>
    <brk id="79" max="9" man="1"/>
    <brk id="115" max="9" man="1"/>
    <brk id="151" max="9" man="1"/>
    <brk id="187" max="9" man="1"/>
    <brk id="212" max="11" man="1"/>
    <brk id="250" max="11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E18"/>
  <sheetViews>
    <sheetView view="pageBreakPreview" zoomScale="145" zoomScaleNormal="100" zoomScaleSheetLayoutView="145" workbookViewId="0">
      <selection activeCell="C22" sqref="C22"/>
    </sheetView>
  </sheetViews>
  <sheetFormatPr defaultColWidth="9.08984375" defaultRowHeight="13" x14ac:dyDescent="0.6"/>
  <cols>
    <col min="1" max="1" width="5" style="354" customWidth="1"/>
    <col min="2" max="2" width="39.6796875" style="354" bestFit="1" customWidth="1"/>
    <col min="3" max="3" width="16.6796875" style="354" customWidth="1"/>
    <col min="4" max="16384" width="9.08984375" style="354"/>
  </cols>
  <sheetData>
    <row r="1" spans="1:5" ht="15.5" x14ac:dyDescent="0.7">
      <c r="A1" s="442" t="s">
        <v>415</v>
      </c>
    </row>
    <row r="2" spans="1:5" ht="15.5" x14ac:dyDescent="0.7">
      <c r="A2" s="442" t="s">
        <v>416</v>
      </c>
    </row>
    <row r="3" spans="1:5" x14ac:dyDescent="0.6">
      <c r="A3" s="443"/>
    </row>
    <row r="4" spans="1:5" ht="39" x14ac:dyDescent="0.6">
      <c r="A4" s="389" t="s">
        <v>288</v>
      </c>
      <c r="C4" s="358" t="s">
        <v>88</v>
      </c>
      <c r="E4" s="358" t="s">
        <v>289</v>
      </c>
    </row>
    <row r="5" spans="1:5" ht="10.5" customHeight="1" x14ac:dyDescent="0.6">
      <c r="C5" s="358"/>
    </row>
    <row r="6" spans="1:5" x14ac:dyDescent="0.6">
      <c r="A6" s="444">
        <v>1</v>
      </c>
      <c r="B6" s="359" t="s">
        <v>371</v>
      </c>
      <c r="C6" s="445">
        <v>28</v>
      </c>
    </row>
    <row r="7" spans="1:5" x14ac:dyDescent="0.6">
      <c r="A7" s="444">
        <v>2</v>
      </c>
      <c r="B7" s="359" t="s">
        <v>373</v>
      </c>
      <c r="C7" s="445">
        <f>'Att 3'!E15</f>
        <v>85</v>
      </c>
    </row>
    <row r="8" spans="1:5" x14ac:dyDescent="0.6">
      <c r="A8" s="444">
        <v>3</v>
      </c>
      <c r="B8" s="359" t="s">
        <v>417</v>
      </c>
      <c r="C8" s="446">
        <f>C6/C7</f>
        <v>0.32941176470588235</v>
      </c>
      <c r="E8" s="367" t="s">
        <v>418</v>
      </c>
    </row>
    <row r="9" spans="1:5" x14ac:dyDescent="0.6">
      <c r="A9" s="444">
        <v>4</v>
      </c>
      <c r="B9" s="359" t="s">
        <v>419</v>
      </c>
      <c r="C9" s="447">
        <v>6901</v>
      </c>
      <c r="E9" s="443" t="s">
        <v>420</v>
      </c>
    </row>
    <row r="10" spans="1:5" x14ac:dyDescent="0.6">
      <c r="A10" s="444">
        <v>5</v>
      </c>
      <c r="B10" s="359" t="s">
        <v>421</v>
      </c>
      <c r="C10" s="448">
        <f>C8*C9</f>
        <v>2273.2705882352939</v>
      </c>
      <c r="E10" s="367" t="s">
        <v>422</v>
      </c>
    </row>
    <row r="11" spans="1:5" x14ac:dyDescent="0.6">
      <c r="A11" s="444">
        <v>6</v>
      </c>
      <c r="B11" s="359" t="s">
        <v>423</v>
      </c>
      <c r="C11" s="449">
        <v>138497.08431889772</v>
      </c>
      <c r="E11" s="443" t="s">
        <v>424</v>
      </c>
    </row>
    <row r="12" spans="1:5" x14ac:dyDescent="0.6">
      <c r="A12" s="444">
        <v>7</v>
      </c>
      <c r="B12" s="359" t="s">
        <v>425</v>
      </c>
      <c r="C12" s="450">
        <f>C10*C11</f>
        <v>314841348.3384937</v>
      </c>
      <c r="E12" s="367" t="s">
        <v>426</v>
      </c>
    </row>
    <row r="13" spans="1:5" x14ac:dyDescent="0.6">
      <c r="A13" s="444">
        <v>8</v>
      </c>
      <c r="B13" s="359" t="s">
        <v>427</v>
      </c>
      <c r="C13" s="451">
        <v>25302921.322157942</v>
      </c>
      <c r="E13" s="443" t="s">
        <v>428</v>
      </c>
    </row>
    <row r="14" spans="1:5" x14ac:dyDescent="0.6">
      <c r="A14" s="444">
        <v>9</v>
      </c>
      <c r="B14" s="359" t="s">
        <v>429</v>
      </c>
      <c r="C14" s="452">
        <f>C8*C13</f>
        <v>8335079.9649461452</v>
      </c>
      <c r="E14" s="367" t="s">
        <v>430</v>
      </c>
    </row>
    <row r="15" spans="1:5" x14ac:dyDescent="0.6">
      <c r="A15" s="444">
        <v>10</v>
      </c>
      <c r="B15" s="453" t="s">
        <v>431</v>
      </c>
      <c r="C15" s="454">
        <f>C12/C14</f>
        <v>37.773044729334877</v>
      </c>
      <c r="E15" s="367" t="s">
        <v>432</v>
      </c>
    </row>
    <row r="16" spans="1:5" x14ac:dyDescent="0.6">
      <c r="D16" s="443"/>
    </row>
    <row r="18" spans="3:3" x14ac:dyDescent="0.6">
      <c r="C18" s="455"/>
    </row>
  </sheetData>
  <pageMargins left="0.5" right="0.5" top="1" bottom="1" header="0.3" footer="0.3"/>
  <pageSetup orientation="landscape" r:id="rId1"/>
  <headerFooter>
    <oddHeader>&amp;C&amp;"Arial,Bold"Public Service Electric and Gas Company Specific Addendum
Attachment 5</oddHeader>
    <oddFooter>&amp;C&amp;"Arial,Bold"Page 1 of 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11</vt:i4>
      </vt:variant>
    </vt:vector>
  </HeadingPairs>
  <TitlesOfParts>
    <vt:vector size="20" baseType="lpstr">
      <vt:lpstr>Input</vt:lpstr>
      <vt:lpstr>Att 2</vt:lpstr>
      <vt:lpstr>Att 3</vt:lpstr>
      <vt:lpstr>Att 4-1</vt:lpstr>
      <vt:lpstr>Att 4-2</vt:lpstr>
      <vt:lpstr>Att 4-3</vt:lpstr>
      <vt:lpstr>Att 4-4</vt:lpstr>
      <vt:lpstr>Att 4-5</vt:lpstr>
      <vt:lpstr>Att 5</vt:lpstr>
      <vt:lpstr>'Att 2'!Print_Area</vt:lpstr>
      <vt:lpstr>'Att 3'!Print_Area</vt:lpstr>
      <vt:lpstr>'Att 4-1'!Print_Area</vt:lpstr>
      <vt:lpstr>'Att 4-2'!Print_Area</vt:lpstr>
      <vt:lpstr>'Att 4-3'!Print_Area</vt:lpstr>
      <vt:lpstr>'Att 4-4'!Print_Area</vt:lpstr>
      <vt:lpstr>'Att 4-5'!Print_Area</vt:lpstr>
      <vt:lpstr>Input!Print_Area</vt:lpstr>
      <vt:lpstr>'Att 3'!Print_Titles</vt:lpstr>
      <vt:lpstr>'Att 4-4'!Print_Titles</vt:lpstr>
      <vt:lpstr>'Att 4-5'!Print_Titles</vt:lpstr>
    </vt:vector>
  </TitlesOfParts>
  <Company>PSEG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Carruthers, Jennifer L.</dc:creator>
  <cp:lastModifiedBy>Morrison, Kate</cp:lastModifiedBy>
  <dcterms:created xsi:type="dcterms:W3CDTF">2021-11-10T23:06:55Z</dcterms:created>
  <dcterms:modified xsi:type="dcterms:W3CDTF">2021-12-02T18:29:54Z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{594BD5AC-9582-4F79-87F2-B5AD9B033CE1}</vt:lpwstr>
  </property>
</Properties>
</file>