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U:\Corp\Rates\MGO\BGS PT Yr 20 - BGS Starting June 2022\Nov Filing\"/>
    </mc:Choice>
  </mc:AlternateContent>
  <xr:revisionPtr revIDLastSave="0" documentId="13_ncr:1_{D68FFA69-0A02-4A39-BF51-4AA07E73F387}" xr6:coauthVersionLast="46" xr6:coauthVersionMax="46" xr10:uidLastSave="{00000000-0000-0000-0000-000000000000}"/>
  <bookViews>
    <workbookView xWindow="5930" yWindow="1720" windowWidth="16340" windowHeight="11130" tabRatio="702" xr2:uid="{FFCD7060-73EC-4583-855C-8E3C368AD128}"/>
  </bookViews>
  <sheets>
    <sheet name="BGS PTY18 Cost Alloc" sheetId="13" r:id="rId1"/>
    <sheet name="BGS PTY19 Cost Alloc" sheetId="11" r:id="rId2"/>
    <sheet name="BGS PTY20 Cost Alloc" sheetId="10" r:id="rId3"/>
    <sheet name="Composite Cost Allocation" sheetId="14" r:id="rId4"/>
    <sheet name="NA-Attachment 3 - 21-22" sheetId="19" state="hidden" r:id="rId5"/>
    <sheet name="Attachment 3 - 22-23" sheetId="25" r:id="rId6"/>
    <sheet name="Attachment 3 - 23-24" sheetId="26" r:id="rId7"/>
    <sheet name="Attachment 3 - 24-25" sheetId="28" r:id="rId8"/>
    <sheet name="Attachment 4 - Transmission" sheetId="27" r:id="rId9"/>
  </sheets>
  <definedNames>
    <definedName name="_xlnm.Print_Area" localSheetId="5">'Attachment 3 - 22-23'!$A$1:$G$57</definedName>
    <definedName name="_xlnm.Print_Area" localSheetId="6">'Attachment 3 - 23-24'!$A$1:$G$55</definedName>
    <definedName name="_xlnm.Print_Area" localSheetId="7">'Attachment 3 - 24-25'!$A$1:$G$53</definedName>
    <definedName name="_xlnm.Print_Area" localSheetId="8">'Attachment 4 - Transmission'!$A$1:$C$18</definedName>
    <definedName name="_xlnm.Print_Area" localSheetId="0">'BGS PTY18 Cost Alloc'!$A$1:$J$350</definedName>
    <definedName name="_xlnm.Print_Area" localSheetId="1">'BGS PTY19 Cost Alloc'!$A$1:$J$328</definedName>
    <definedName name="_xlnm.Print_Area" localSheetId="2">'BGS PTY20 Cost Alloc'!$A$1:$J$318</definedName>
    <definedName name="_xlnm.Print_Area" localSheetId="3">'Composite Cost Allocation'!$A$1:$J$176</definedName>
    <definedName name="_xlnm.Print_Area" localSheetId="4">'NA-Attachment 3 - 21-22'!$A$1:$G$62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1" l="1"/>
  <c r="E34" i="11"/>
  <c r="E35" i="11"/>
  <c r="E36" i="11"/>
  <c r="E37" i="11"/>
  <c r="E38" i="11"/>
  <c r="E39" i="11"/>
  <c r="E40" i="11"/>
  <c r="E41" i="11"/>
  <c r="E42" i="11"/>
  <c r="E43" i="11"/>
  <c r="E44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D12" i="26" l="1"/>
  <c r="D10" i="26"/>
  <c r="C33" i="28" l="1"/>
  <c r="D33" i="28" s="1"/>
  <c r="D42" i="28"/>
  <c r="C42" i="28"/>
  <c r="D41" i="28"/>
  <c r="C41" i="28"/>
  <c r="C38" i="28"/>
  <c r="E38" i="28" s="1"/>
  <c r="C15" i="28" s="1"/>
  <c r="B34" i="28"/>
  <c r="D11" i="28"/>
  <c r="A11" i="28"/>
  <c r="A12" i="28" s="1"/>
  <c r="A13" i="28" s="1"/>
  <c r="A14" i="28" s="1"/>
  <c r="A15" i="28" s="1"/>
  <c r="A16" i="28" s="1"/>
  <c r="A17" i="28" s="1"/>
  <c r="A18" i="28" s="1"/>
  <c r="A19" i="28" s="1"/>
  <c r="A20" i="28" s="1"/>
  <c r="C10" i="28"/>
  <c r="C35" i="26"/>
  <c r="D38" i="28" l="1"/>
  <c r="C16" i="28"/>
  <c r="E33" i="28"/>
  <c r="D35" i="28"/>
  <c r="E35" i="28" l="1"/>
  <c r="B8" i="25" l="1"/>
  <c r="B8" i="26" l="1"/>
  <c r="B8" i="28"/>
  <c r="C33" i="25"/>
  <c r="G193" i="10" l="1"/>
  <c r="Q33" i="10" l="1"/>
  <c r="T33" i="10"/>
  <c r="B36" i="26" l="1"/>
  <c r="B34" i="25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C16" i="27" l="1"/>
  <c r="E11" i="26" l="1"/>
  <c r="C10" i="25"/>
  <c r="C42" i="19" l="1"/>
  <c r="C15" i="19" s="1"/>
  <c r="C16" i="19" s="1"/>
  <c r="D35" i="19"/>
  <c r="C35" i="19"/>
  <c r="I289" i="13" l="1"/>
  <c r="H289" i="13"/>
  <c r="G289" i="13"/>
  <c r="F289" i="13"/>
  <c r="E289" i="13"/>
  <c r="C10" i="26" l="1"/>
  <c r="C40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E40" i="26" l="1"/>
  <c r="C15" i="26" s="1"/>
  <c r="D15" i="26" s="1"/>
  <c r="D16" i="26" s="1"/>
  <c r="D40" i="26"/>
  <c r="A11" i="25" l="1"/>
  <c r="A12" i="25" s="1"/>
  <c r="A13" i="25" s="1"/>
  <c r="A14" i="25" s="1"/>
  <c r="A15" i="25" s="1"/>
  <c r="A16" i="25" s="1"/>
  <c r="A17" i="25" s="1"/>
  <c r="A18" i="25" s="1"/>
  <c r="A19" i="25" s="1"/>
  <c r="A20" i="25" s="1"/>
  <c r="H193" i="10" l="1"/>
  <c r="C14" i="25" l="1"/>
  <c r="D194" i="13" l="1"/>
  <c r="E194" i="13" s="1"/>
  <c r="D180" i="13"/>
  <c r="D193" i="11" l="1"/>
  <c r="D46" i="19" l="1"/>
  <c r="D45" i="19"/>
  <c r="C46" i="19"/>
  <c r="C45" i="19"/>
  <c r="D43" i="26" l="1"/>
  <c r="D43" i="25"/>
  <c r="D44" i="26"/>
  <c r="D44" i="25"/>
  <c r="C44" i="26"/>
  <c r="C44" i="25"/>
  <c r="C43" i="26"/>
  <c r="C43" i="25"/>
  <c r="Q15" i="10" l="1"/>
  <c r="B328" i="11" l="1"/>
  <c r="B350" i="13"/>
  <c r="F188" i="10" l="1"/>
  <c r="X95" i="10" l="1"/>
  <c r="U178" i="10" l="1"/>
  <c r="U185" i="10" l="1"/>
  <c r="U177" i="10"/>
  <c r="E42" i="19" l="1"/>
  <c r="D42" i="19"/>
  <c r="C11" i="27" l="1"/>
  <c r="C17" i="27" s="1"/>
  <c r="C37" i="19"/>
  <c r="C38" i="19" s="1"/>
  <c r="D175" i="10"/>
  <c r="E170" i="10"/>
  <c r="C13" i="27" l="1"/>
  <c r="C15" i="27" s="1"/>
  <c r="C18" i="27" s="1"/>
  <c r="D37" i="19" s="1"/>
  <c r="C35" i="25" l="1"/>
  <c r="D38" i="19"/>
  <c r="E35" i="19" s="1"/>
  <c r="E38" i="19" l="1"/>
  <c r="D35" i="26"/>
  <c r="E35" i="26" s="1"/>
  <c r="E37" i="26" s="1"/>
  <c r="E36" i="25"/>
  <c r="X87" i="10"/>
  <c r="E95" i="10"/>
  <c r="R15" i="10"/>
  <c r="Q16" i="10"/>
  <c r="R16" i="10"/>
  <c r="Q17" i="10"/>
  <c r="R17" i="10"/>
  <c r="I60" i="10"/>
  <c r="I60" i="11" s="1"/>
  <c r="I61" i="10"/>
  <c r="I61" i="13" s="1"/>
  <c r="I62" i="10"/>
  <c r="I62" i="13" s="1"/>
  <c r="I63" i="10"/>
  <c r="I63" i="13" s="1"/>
  <c r="I64" i="10"/>
  <c r="I64" i="11" s="1"/>
  <c r="I65" i="10"/>
  <c r="I66" i="10"/>
  <c r="I67" i="10"/>
  <c r="I67" i="13" s="1"/>
  <c r="I68" i="10"/>
  <c r="I68" i="11" s="1"/>
  <c r="I69" i="10"/>
  <c r="I69" i="13" s="1"/>
  <c r="I70" i="10"/>
  <c r="I70" i="13" s="1"/>
  <c r="I71" i="10"/>
  <c r="I71" i="11" s="1"/>
  <c r="W72" i="10"/>
  <c r="E105" i="14"/>
  <c r="R95" i="10"/>
  <c r="F65" i="10"/>
  <c r="F65" i="11" s="1"/>
  <c r="F66" i="10"/>
  <c r="F66" i="11" s="1"/>
  <c r="F67" i="10"/>
  <c r="F67" i="13" s="1"/>
  <c r="F68" i="10"/>
  <c r="F68" i="11" s="1"/>
  <c r="S93" i="10"/>
  <c r="S94" i="10"/>
  <c r="Q95" i="10"/>
  <c r="F60" i="10"/>
  <c r="F60" i="13" s="1"/>
  <c r="F61" i="10"/>
  <c r="F61" i="11" s="1"/>
  <c r="F62" i="10"/>
  <c r="F62" i="11" s="1"/>
  <c r="F63" i="10"/>
  <c r="F63" i="11" s="1"/>
  <c r="F64" i="10"/>
  <c r="F64" i="11" s="1"/>
  <c r="F69" i="10"/>
  <c r="F69" i="11" s="1"/>
  <c r="F70" i="10"/>
  <c r="F70" i="11" s="1"/>
  <c r="F71" i="10"/>
  <c r="F71" i="11" s="1"/>
  <c r="E94" i="11"/>
  <c r="E95" i="11" s="1"/>
  <c r="E94" i="13"/>
  <c r="E95" i="13" s="1"/>
  <c r="F87" i="13"/>
  <c r="D87" i="13"/>
  <c r="F87" i="11"/>
  <c r="D87" i="11"/>
  <c r="E180" i="11"/>
  <c r="C311" i="11" s="1"/>
  <c r="E179" i="11"/>
  <c r="C310" i="11" s="1"/>
  <c r="T30" i="10"/>
  <c r="T30" i="11" s="1"/>
  <c r="Q30" i="10"/>
  <c r="Q30" i="13" s="1"/>
  <c r="X72" i="10"/>
  <c r="E179" i="13"/>
  <c r="C332" i="13" s="1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I90" i="11"/>
  <c r="I89" i="11"/>
  <c r="I88" i="11"/>
  <c r="H90" i="11"/>
  <c r="H89" i="11"/>
  <c r="H88" i="11"/>
  <c r="I87" i="11"/>
  <c r="H87" i="11"/>
  <c r="I86" i="11"/>
  <c r="I85" i="11"/>
  <c r="H86" i="11"/>
  <c r="H85" i="11"/>
  <c r="I83" i="11"/>
  <c r="I82" i="11"/>
  <c r="I81" i="11"/>
  <c r="I80" i="11"/>
  <c r="H83" i="11"/>
  <c r="H82" i="11"/>
  <c r="H81" i="11"/>
  <c r="H80" i="11"/>
  <c r="Y65" i="10"/>
  <c r="Y66" i="10"/>
  <c r="Y67" i="10"/>
  <c r="Y68" i="10"/>
  <c r="Y60" i="10"/>
  <c r="Y61" i="10"/>
  <c r="Y62" i="10"/>
  <c r="Y63" i="10"/>
  <c r="Y64" i="10"/>
  <c r="Y69" i="10"/>
  <c r="Y70" i="10"/>
  <c r="Y71" i="10"/>
  <c r="H85" i="10"/>
  <c r="H86" i="10" s="1"/>
  <c r="H87" i="10" s="1"/>
  <c r="H80" i="10"/>
  <c r="H81" i="10"/>
  <c r="H82" i="10"/>
  <c r="H83" i="10"/>
  <c r="G95" i="10"/>
  <c r="H88" i="10"/>
  <c r="H89" i="10"/>
  <c r="H90" i="10"/>
  <c r="F95" i="10"/>
  <c r="H95" i="10"/>
  <c r="I95" i="10"/>
  <c r="I155" i="14"/>
  <c r="H155" i="14"/>
  <c r="G155" i="14"/>
  <c r="F155" i="14"/>
  <c r="E155" i="14"/>
  <c r="AF72" i="10"/>
  <c r="AE71" i="11"/>
  <c r="AE70" i="11"/>
  <c r="W55" i="11"/>
  <c r="V71" i="11"/>
  <c r="V70" i="11"/>
  <c r="V69" i="11"/>
  <c r="V68" i="11"/>
  <c r="V67" i="11"/>
  <c r="V66" i="11"/>
  <c r="V65" i="11"/>
  <c r="V64" i="11"/>
  <c r="V63" i="11"/>
  <c r="V62" i="11"/>
  <c r="V61" i="11"/>
  <c r="V60" i="11"/>
  <c r="C320" i="11"/>
  <c r="C319" i="11"/>
  <c r="C318" i="11"/>
  <c r="B102" i="11"/>
  <c r="B165" i="11"/>
  <c r="B57" i="11"/>
  <c r="H30" i="11"/>
  <c r="E30" i="11"/>
  <c r="E10" i="11"/>
  <c r="B3" i="11"/>
  <c r="E193" i="11"/>
  <c r="C315" i="11" s="1"/>
  <c r="C314" i="11"/>
  <c r="C313" i="11"/>
  <c r="E300" i="11"/>
  <c r="F307" i="11" s="1"/>
  <c r="E19" i="11"/>
  <c r="Q19" i="11" s="1"/>
  <c r="D83" i="11"/>
  <c r="E15" i="11"/>
  <c r="Q15" i="11" s="1"/>
  <c r="E16" i="11"/>
  <c r="Q16" i="11" s="1"/>
  <c r="E17" i="11"/>
  <c r="Q17" i="11" s="1"/>
  <c r="E18" i="11"/>
  <c r="Q18" i="11" s="1"/>
  <c r="D79" i="11"/>
  <c r="D80" i="11"/>
  <c r="D81" i="11"/>
  <c r="D82" i="11"/>
  <c r="F83" i="11"/>
  <c r="F79" i="11"/>
  <c r="F80" i="11"/>
  <c r="F81" i="11"/>
  <c r="F82" i="11"/>
  <c r="E26" i="11"/>
  <c r="Q26" i="11" s="1"/>
  <c r="D90" i="11"/>
  <c r="E24" i="11"/>
  <c r="Q24" i="11" s="1"/>
  <c r="E25" i="11"/>
  <c r="Q25" i="11" s="1"/>
  <c r="D88" i="11"/>
  <c r="D89" i="11"/>
  <c r="F90" i="11"/>
  <c r="F88" i="11"/>
  <c r="F89" i="11"/>
  <c r="W64" i="11"/>
  <c r="W60" i="11"/>
  <c r="W61" i="11"/>
  <c r="W62" i="11"/>
  <c r="X62" i="11"/>
  <c r="W63" i="11"/>
  <c r="W69" i="11"/>
  <c r="W70" i="11"/>
  <c r="W71" i="11"/>
  <c r="E23" i="11"/>
  <c r="Q23" i="11" s="1"/>
  <c r="E20" i="11"/>
  <c r="Q20" i="11" s="1"/>
  <c r="E21" i="11"/>
  <c r="Q21" i="11" s="1"/>
  <c r="E22" i="11"/>
  <c r="Q22" i="11" s="1"/>
  <c r="D84" i="11"/>
  <c r="D85" i="11"/>
  <c r="D86" i="11"/>
  <c r="F84" i="11"/>
  <c r="F85" i="11"/>
  <c r="F86" i="11"/>
  <c r="F19" i="11"/>
  <c r="R19" i="11" s="1"/>
  <c r="F15" i="11"/>
  <c r="R15" i="11" s="1"/>
  <c r="F16" i="11"/>
  <c r="R16" i="11" s="1"/>
  <c r="F17" i="11"/>
  <c r="R17" i="11" s="1"/>
  <c r="F18" i="11"/>
  <c r="R18" i="11" s="1"/>
  <c r="F94" i="11"/>
  <c r="F95" i="11" s="1"/>
  <c r="F26" i="11"/>
  <c r="R26" i="11" s="1"/>
  <c r="F24" i="11"/>
  <c r="R24" i="11" s="1"/>
  <c r="F25" i="11"/>
  <c r="R25" i="11" s="1"/>
  <c r="G19" i="11"/>
  <c r="S19" i="11" s="1"/>
  <c r="G15" i="11"/>
  <c r="S15" i="11" s="1"/>
  <c r="G16" i="11"/>
  <c r="S16" i="11" s="1"/>
  <c r="G17" i="11"/>
  <c r="S17" i="11" s="1"/>
  <c r="G18" i="11"/>
  <c r="S18" i="11" s="1"/>
  <c r="G94" i="11"/>
  <c r="G95" i="11" s="1"/>
  <c r="G26" i="11"/>
  <c r="S26" i="11" s="1"/>
  <c r="G24" i="11"/>
  <c r="S24" i="11" s="1"/>
  <c r="G25" i="11"/>
  <c r="S25" i="11" s="1"/>
  <c r="H19" i="11"/>
  <c r="T19" i="11" s="1"/>
  <c r="H15" i="11"/>
  <c r="T15" i="11" s="1"/>
  <c r="H16" i="11"/>
  <c r="T16" i="11" s="1"/>
  <c r="H17" i="11"/>
  <c r="T17" i="11" s="1"/>
  <c r="H18" i="11"/>
  <c r="T18" i="11" s="1"/>
  <c r="H26" i="11"/>
  <c r="T26" i="11" s="1"/>
  <c r="H24" i="11"/>
  <c r="T24" i="11" s="1"/>
  <c r="H25" i="11"/>
  <c r="T25" i="11" s="1"/>
  <c r="H94" i="11"/>
  <c r="H95" i="11" s="1"/>
  <c r="I19" i="11"/>
  <c r="U19" i="11" s="1"/>
  <c r="I15" i="11"/>
  <c r="U15" i="11" s="1"/>
  <c r="I16" i="11"/>
  <c r="U16" i="11" s="1"/>
  <c r="I17" i="11"/>
  <c r="U17" i="11" s="1"/>
  <c r="I18" i="11"/>
  <c r="U18" i="11" s="1"/>
  <c r="I94" i="11"/>
  <c r="I95" i="11" s="1"/>
  <c r="I26" i="11"/>
  <c r="U26" i="11" s="1"/>
  <c r="I24" i="11"/>
  <c r="U24" i="11" s="1"/>
  <c r="I25" i="11"/>
  <c r="U25" i="11" s="1"/>
  <c r="E299" i="11"/>
  <c r="F306" i="11" s="1"/>
  <c r="W68" i="11"/>
  <c r="W65" i="11"/>
  <c r="W66" i="11"/>
  <c r="W67" i="11"/>
  <c r="F23" i="11"/>
  <c r="R23" i="11" s="1"/>
  <c r="F20" i="11"/>
  <c r="R20" i="11" s="1"/>
  <c r="F21" i="11"/>
  <c r="R21" i="11" s="1"/>
  <c r="F22" i="11"/>
  <c r="R22" i="11" s="1"/>
  <c r="G23" i="11"/>
  <c r="S23" i="11" s="1"/>
  <c r="G20" i="11"/>
  <c r="S20" i="11" s="1"/>
  <c r="G21" i="11"/>
  <c r="S21" i="11" s="1"/>
  <c r="G22" i="11"/>
  <c r="S22" i="11" s="1"/>
  <c r="H23" i="11"/>
  <c r="T23" i="11" s="1"/>
  <c r="H20" i="11"/>
  <c r="T20" i="11" s="1"/>
  <c r="H21" i="11"/>
  <c r="T21" i="11" s="1"/>
  <c r="H22" i="11"/>
  <c r="T22" i="11" s="1"/>
  <c r="I23" i="11"/>
  <c r="U23" i="11" s="1"/>
  <c r="I20" i="11"/>
  <c r="U20" i="11" s="1"/>
  <c r="I21" i="11"/>
  <c r="U21" i="11" s="1"/>
  <c r="I22" i="11"/>
  <c r="U22" i="11" s="1"/>
  <c r="I293" i="11"/>
  <c r="H293" i="11"/>
  <c r="G293" i="11"/>
  <c r="F293" i="11"/>
  <c r="E293" i="11"/>
  <c r="B286" i="11"/>
  <c r="B285" i="11"/>
  <c r="I263" i="11"/>
  <c r="H263" i="11"/>
  <c r="G263" i="11"/>
  <c r="F263" i="11"/>
  <c r="E263" i="11"/>
  <c r="B239" i="11"/>
  <c r="B238" i="11"/>
  <c r="I217" i="11"/>
  <c r="H217" i="11"/>
  <c r="G217" i="11"/>
  <c r="F217" i="11"/>
  <c r="E217" i="11"/>
  <c r="B209" i="11"/>
  <c r="B208" i="11"/>
  <c r="I198" i="11"/>
  <c r="H198" i="11"/>
  <c r="G198" i="11"/>
  <c r="F198" i="11"/>
  <c r="E198" i="11"/>
  <c r="C184" i="11"/>
  <c r="H175" i="11"/>
  <c r="I166" i="11"/>
  <c r="H166" i="11"/>
  <c r="G166" i="11"/>
  <c r="F166" i="11"/>
  <c r="E166" i="11"/>
  <c r="E150" i="11"/>
  <c r="W162" i="11" s="1"/>
  <c r="H150" i="11"/>
  <c r="Z150" i="11" s="1"/>
  <c r="I150" i="11"/>
  <c r="G150" i="11"/>
  <c r="F150" i="11"/>
  <c r="B144" i="11"/>
  <c r="B143" i="11"/>
  <c r="I128" i="11"/>
  <c r="H128" i="11"/>
  <c r="G128" i="11"/>
  <c r="F128" i="11"/>
  <c r="E128" i="11"/>
  <c r="I110" i="11"/>
  <c r="H110" i="11"/>
  <c r="G110" i="11"/>
  <c r="F110" i="11"/>
  <c r="E110" i="11"/>
  <c r="B104" i="11"/>
  <c r="B103" i="11"/>
  <c r="X95" i="11"/>
  <c r="Y95" i="11" s="1"/>
  <c r="Z95" i="11"/>
  <c r="Y94" i="11"/>
  <c r="Z94" i="11"/>
  <c r="I92" i="11"/>
  <c r="H92" i="11"/>
  <c r="G92" i="11"/>
  <c r="F92" i="11"/>
  <c r="E92" i="11"/>
  <c r="X86" i="11"/>
  <c r="Y86" i="11"/>
  <c r="Z86" i="11"/>
  <c r="X85" i="11"/>
  <c r="Y85" i="11"/>
  <c r="Z85" i="11"/>
  <c r="X84" i="11"/>
  <c r="Y84" i="11"/>
  <c r="Z84" i="11"/>
  <c r="X83" i="11"/>
  <c r="Y83" i="11"/>
  <c r="Z83" i="11"/>
  <c r="X82" i="11"/>
  <c r="Y82" i="11"/>
  <c r="Z82" i="11"/>
  <c r="X81" i="11"/>
  <c r="Y81" i="11"/>
  <c r="Z81" i="11"/>
  <c r="X80" i="11"/>
  <c r="Y80" i="11"/>
  <c r="Z80" i="11"/>
  <c r="X79" i="11"/>
  <c r="Y79" i="11"/>
  <c r="Z79" i="11"/>
  <c r="T13" i="11"/>
  <c r="T31" i="11" s="1"/>
  <c r="Q13" i="11"/>
  <c r="Q79" i="11" s="1"/>
  <c r="X78" i="11"/>
  <c r="Y78" i="11"/>
  <c r="Z78" i="11"/>
  <c r="AB65" i="11"/>
  <c r="AB66" i="11"/>
  <c r="AB67" i="11"/>
  <c r="AB68" i="11"/>
  <c r="X77" i="11"/>
  <c r="Y77" i="11"/>
  <c r="Z77" i="11"/>
  <c r="X76" i="11"/>
  <c r="Y76" i="11"/>
  <c r="Z76" i="11"/>
  <c r="X75" i="11"/>
  <c r="Y75" i="11"/>
  <c r="Z75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B60" i="11"/>
  <c r="AB61" i="11"/>
  <c r="AB62" i="11"/>
  <c r="AB63" i="11"/>
  <c r="AB64" i="11"/>
  <c r="AB69" i="11"/>
  <c r="AB70" i="11"/>
  <c r="AB71" i="11"/>
  <c r="Z60" i="11"/>
  <c r="Z61" i="11"/>
  <c r="Z62" i="11"/>
  <c r="Z63" i="11"/>
  <c r="Z64" i="11"/>
  <c r="Z65" i="11"/>
  <c r="Z66" i="11"/>
  <c r="Z67" i="11"/>
  <c r="Z68" i="11"/>
  <c r="Z69" i="11"/>
  <c r="Z70" i="11"/>
  <c r="Z71" i="11"/>
  <c r="X60" i="11"/>
  <c r="X61" i="11"/>
  <c r="X63" i="11"/>
  <c r="X64" i="11"/>
  <c r="X65" i="11"/>
  <c r="X66" i="11"/>
  <c r="X67" i="11"/>
  <c r="X68" i="11"/>
  <c r="X69" i="11"/>
  <c r="X70" i="11"/>
  <c r="X71" i="11"/>
  <c r="Q69" i="11"/>
  <c r="U13" i="11"/>
  <c r="U58" i="11" s="1"/>
  <c r="S13" i="11"/>
  <c r="S58" i="11" s="1"/>
  <c r="R13" i="11"/>
  <c r="R31" i="11" s="1"/>
  <c r="Q58" i="11"/>
  <c r="I58" i="11"/>
  <c r="G58" i="11"/>
  <c r="F58" i="11"/>
  <c r="E58" i="11"/>
  <c r="B53" i="11"/>
  <c r="B52" i="11"/>
  <c r="I31" i="11"/>
  <c r="H31" i="11"/>
  <c r="G31" i="11"/>
  <c r="F31" i="11"/>
  <c r="E31" i="11"/>
  <c r="AE72" i="11"/>
  <c r="AE71" i="13"/>
  <c r="AE70" i="13"/>
  <c r="W55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C342" i="13"/>
  <c r="C341" i="13"/>
  <c r="C340" i="13"/>
  <c r="D84" i="13"/>
  <c r="D85" i="13"/>
  <c r="D86" i="13"/>
  <c r="F84" i="13"/>
  <c r="F85" i="13"/>
  <c r="F86" i="13"/>
  <c r="E23" i="13"/>
  <c r="Q23" i="13" s="1"/>
  <c r="E20" i="13"/>
  <c r="Q20" i="13" s="1"/>
  <c r="E21" i="13"/>
  <c r="Q21" i="13" s="1"/>
  <c r="E22" i="13"/>
  <c r="Q22" i="13" s="1"/>
  <c r="C337" i="13"/>
  <c r="F23" i="13"/>
  <c r="R23" i="13" s="1"/>
  <c r="F20" i="13"/>
  <c r="R20" i="13" s="1"/>
  <c r="F21" i="13"/>
  <c r="R21" i="13" s="1"/>
  <c r="F22" i="13"/>
  <c r="R22" i="13" s="1"/>
  <c r="F94" i="13"/>
  <c r="F95" i="13" s="1"/>
  <c r="G23" i="13"/>
  <c r="S23" i="13" s="1"/>
  <c r="H23" i="13"/>
  <c r="T23" i="13" s="1"/>
  <c r="H20" i="13"/>
  <c r="T20" i="13" s="1"/>
  <c r="H21" i="13"/>
  <c r="T21" i="13" s="1"/>
  <c r="H22" i="13"/>
  <c r="T22" i="13" s="1"/>
  <c r="H94" i="13"/>
  <c r="H95" i="13" s="1"/>
  <c r="I23" i="13"/>
  <c r="U23" i="13" s="1"/>
  <c r="I20" i="13"/>
  <c r="U20" i="13" s="1"/>
  <c r="I21" i="13"/>
  <c r="U21" i="13" s="1"/>
  <c r="I22" i="13"/>
  <c r="U22" i="13" s="1"/>
  <c r="I94" i="13"/>
  <c r="I95" i="13" s="1"/>
  <c r="H85" i="13"/>
  <c r="H86" i="13" s="1"/>
  <c r="H87" i="13" s="1"/>
  <c r="I85" i="13"/>
  <c r="I86" i="13" s="1"/>
  <c r="I87" i="13" s="1"/>
  <c r="D83" i="13"/>
  <c r="D79" i="13"/>
  <c r="D80" i="13"/>
  <c r="D81" i="13"/>
  <c r="D82" i="13"/>
  <c r="F83" i="13"/>
  <c r="F79" i="13"/>
  <c r="F80" i="13"/>
  <c r="F81" i="13"/>
  <c r="F82" i="13"/>
  <c r="D90" i="13"/>
  <c r="D88" i="13"/>
  <c r="D89" i="13"/>
  <c r="F90" i="13"/>
  <c r="F88" i="13"/>
  <c r="F89" i="13"/>
  <c r="E19" i="13"/>
  <c r="Q19" i="13" s="1"/>
  <c r="E15" i="13"/>
  <c r="Q15" i="13" s="1"/>
  <c r="E16" i="13"/>
  <c r="Q16" i="13" s="1"/>
  <c r="E17" i="13"/>
  <c r="Q17" i="13" s="1"/>
  <c r="E18" i="13"/>
  <c r="Q18" i="13" s="1"/>
  <c r="E26" i="13"/>
  <c r="Q26" i="13" s="1"/>
  <c r="E24" i="13"/>
  <c r="Q24" i="13" s="1"/>
  <c r="E25" i="13"/>
  <c r="Q25" i="13" s="1"/>
  <c r="E180" i="13"/>
  <c r="C333" i="13" s="1"/>
  <c r="F19" i="13"/>
  <c r="R19" i="13" s="1"/>
  <c r="F15" i="13"/>
  <c r="R15" i="13" s="1"/>
  <c r="F16" i="13"/>
  <c r="R16" i="13" s="1"/>
  <c r="F17" i="13"/>
  <c r="R17" i="13" s="1"/>
  <c r="F18" i="13"/>
  <c r="R18" i="13" s="1"/>
  <c r="F26" i="13"/>
  <c r="R26" i="13" s="1"/>
  <c r="F24" i="13"/>
  <c r="R24" i="13" s="1"/>
  <c r="F25" i="13"/>
  <c r="R25" i="13" s="1"/>
  <c r="G19" i="13"/>
  <c r="S19" i="13" s="1"/>
  <c r="H19" i="13"/>
  <c r="T19" i="13" s="1"/>
  <c r="H15" i="13"/>
  <c r="T15" i="13" s="1"/>
  <c r="H16" i="13"/>
  <c r="T16" i="13" s="1"/>
  <c r="H17" i="13"/>
  <c r="T17" i="13" s="1"/>
  <c r="H18" i="13"/>
  <c r="T18" i="13" s="1"/>
  <c r="H26" i="13"/>
  <c r="T26" i="13" s="1"/>
  <c r="H24" i="13"/>
  <c r="T24" i="13" s="1"/>
  <c r="H25" i="13"/>
  <c r="T25" i="13" s="1"/>
  <c r="I19" i="13"/>
  <c r="U19" i="13" s="1"/>
  <c r="I15" i="13"/>
  <c r="U15" i="13" s="1"/>
  <c r="I16" i="13"/>
  <c r="U16" i="13" s="1"/>
  <c r="I17" i="13"/>
  <c r="U17" i="13" s="1"/>
  <c r="I18" i="13"/>
  <c r="U18" i="13" s="1"/>
  <c r="I26" i="13"/>
  <c r="U26" i="13" s="1"/>
  <c r="I24" i="13"/>
  <c r="U24" i="13" s="1"/>
  <c r="I25" i="13"/>
  <c r="U25" i="13" s="1"/>
  <c r="H80" i="13"/>
  <c r="H81" i="13"/>
  <c r="H82" i="13"/>
  <c r="H83" i="13"/>
  <c r="I80" i="13"/>
  <c r="I81" i="13"/>
  <c r="I82" i="13"/>
  <c r="I83" i="13"/>
  <c r="B102" i="13"/>
  <c r="B165" i="13"/>
  <c r="B57" i="13"/>
  <c r="H30" i="13"/>
  <c r="E30" i="13"/>
  <c r="E10" i="13"/>
  <c r="I90" i="13"/>
  <c r="H90" i="13"/>
  <c r="I89" i="13"/>
  <c r="H89" i="13"/>
  <c r="I88" i="13"/>
  <c r="H88" i="13"/>
  <c r="B3" i="13"/>
  <c r="H92" i="13"/>
  <c r="W68" i="13"/>
  <c r="W65" i="13"/>
  <c r="W66" i="13"/>
  <c r="W67" i="13"/>
  <c r="W64" i="13"/>
  <c r="W60" i="13"/>
  <c r="W61" i="13"/>
  <c r="W62" i="13"/>
  <c r="W63" i="13"/>
  <c r="W71" i="13"/>
  <c r="W69" i="13"/>
  <c r="X84" i="13"/>
  <c r="Y84" i="13"/>
  <c r="Z84" i="13"/>
  <c r="W70" i="13"/>
  <c r="E322" i="13"/>
  <c r="F329" i="13" s="1"/>
  <c r="E321" i="13"/>
  <c r="F328" i="13" s="1"/>
  <c r="B286" i="13"/>
  <c r="B285" i="13"/>
  <c r="G15" i="13"/>
  <c r="S15" i="13" s="1"/>
  <c r="G16" i="13"/>
  <c r="S16" i="13" s="1"/>
  <c r="G17" i="13"/>
  <c r="S17" i="13" s="1"/>
  <c r="G18" i="13"/>
  <c r="S18" i="13" s="1"/>
  <c r="G94" i="13"/>
  <c r="G95" i="13" s="1"/>
  <c r="G26" i="13"/>
  <c r="S26" i="13" s="1"/>
  <c r="G24" i="13"/>
  <c r="S24" i="13" s="1"/>
  <c r="G25" i="13"/>
  <c r="S25" i="13" s="1"/>
  <c r="G20" i="13"/>
  <c r="S20" i="13" s="1"/>
  <c r="G21" i="13"/>
  <c r="S21" i="13" s="1"/>
  <c r="G22" i="13"/>
  <c r="S22" i="13" s="1"/>
  <c r="I315" i="13"/>
  <c r="H315" i="13"/>
  <c r="G315" i="13"/>
  <c r="F315" i="13"/>
  <c r="E315" i="13"/>
  <c r="Z86" i="13"/>
  <c r="Z85" i="13"/>
  <c r="Z83" i="13"/>
  <c r="Z82" i="13"/>
  <c r="Z81" i="13"/>
  <c r="Z80" i="13"/>
  <c r="Z79" i="13"/>
  <c r="Z78" i="13"/>
  <c r="Z77" i="13"/>
  <c r="Z76" i="13"/>
  <c r="Z75" i="13"/>
  <c r="Y86" i="13"/>
  <c r="Y85" i="13"/>
  <c r="Y83" i="13"/>
  <c r="Y82" i="13"/>
  <c r="Y81" i="13"/>
  <c r="Y80" i="13"/>
  <c r="Y79" i="13"/>
  <c r="Y78" i="13"/>
  <c r="Y77" i="13"/>
  <c r="Y76" i="13"/>
  <c r="Y75" i="13"/>
  <c r="X75" i="13"/>
  <c r="X86" i="13"/>
  <c r="X85" i="13"/>
  <c r="Y94" i="13"/>
  <c r="Z94" i="13"/>
  <c r="X95" i="13"/>
  <c r="Y95" i="13" s="1"/>
  <c r="Z95" i="13"/>
  <c r="X83" i="13"/>
  <c r="X82" i="13"/>
  <c r="X81" i="13"/>
  <c r="X80" i="13"/>
  <c r="X79" i="13"/>
  <c r="X78" i="13"/>
  <c r="X77" i="13"/>
  <c r="X76" i="13"/>
  <c r="AD71" i="13"/>
  <c r="AD70" i="13"/>
  <c r="AD69" i="13"/>
  <c r="AD68" i="13"/>
  <c r="AD67" i="13"/>
  <c r="AD66" i="13"/>
  <c r="AD65" i="13"/>
  <c r="AD64" i="13"/>
  <c r="AD63" i="13"/>
  <c r="AD62" i="13"/>
  <c r="AD61" i="13"/>
  <c r="AD60" i="13"/>
  <c r="AE72" i="13"/>
  <c r="AB71" i="13"/>
  <c r="AB70" i="13"/>
  <c r="AB69" i="13"/>
  <c r="AB68" i="13"/>
  <c r="AB67" i="13"/>
  <c r="AB66" i="13"/>
  <c r="AB65" i="13"/>
  <c r="AB64" i="13"/>
  <c r="AB63" i="13"/>
  <c r="AB62" i="13"/>
  <c r="AB61" i="13"/>
  <c r="AB60" i="13"/>
  <c r="Z71" i="13"/>
  <c r="Z70" i="13"/>
  <c r="Z69" i="13"/>
  <c r="Z68" i="13"/>
  <c r="Z67" i="13"/>
  <c r="Z66" i="13"/>
  <c r="Z65" i="13"/>
  <c r="Z64" i="13"/>
  <c r="Z63" i="13"/>
  <c r="Z62" i="13"/>
  <c r="Z61" i="13"/>
  <c r="Z60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I198" i="13"/>
  <c r="H198" i="13"/>
  <c r="G198" i="13"/>
  <c r="F198" i="13"/>
  <c r="E198" i="13"/>
  <c r="I263" i="13"/>
  <c r="H263" i="13"/>
  <c r="G263" i="13"/>
  <c r="F263" i="13"/>
  <c r="E263" i="13"/>
  <c r="H217" i="13"/>
  <c r="H128" i="13"/>
  <c r="H110" i="13"/>
  <c r="H150" i="13"/>
  <c r="Q150" i="13" s="1"/>
  <c r="H166" i="13"/>
  <c r="E150" i="13"/>
  <c r="Z162" i="13" s="1"/>
  <c r="Q13" i="13"/>
  <c r="Q79" i="13" s="1"/>
  <c r="C185" i="13"/>
  <c r="B239" i="13"/>
  <c r="B238" i="13"/>
  <c r="C336" i="13"/>
  <c r="C335" i="13"/>
  <c r="I217" i="13"/>
  <c r="G217" i="13"/>
  <c r="F217" i="13"/>
  <c r="E217" i="13"/>
  <c r="B209" i="13"/>
  <c r="B208" i="13"/>
  <c r="H175" i="13"/>
  <c r="I166" i="13"/>
  <c r="G166" i="13"/>
  <c r="F166" i="13"/>
  <c r="E166" i="13"/>
  <c r="I150" i="13"/>
  <c r="G150" i="13"/>
  <c r="F150" i="13"/>
  <c r="B144" i="13"/>
  <c r="B143" i="13"/>
  <c r="I128" i="13"/>
  <c r="G128" i="13"/>
  <c r="F128" i="13"/>
  <c r="E128" i="13"/>
  <c r="I110" i="13"/>
  <c r="G110" i="13"/>
  <c r="F110" i="13"/>
  <c r="E110" i="13"/>
  <c r="B104" i="13"/>
  <c r="B103" i="13"/>
  <c r="I92" i="13"/>
  <c r="G92" i="13"/>
  <c r="F92" i="13"/>
  <c r="E92" i="13"/>
  <c r="U13" i="13"/>
  <c r="U58" i="13" s="1"/>
  <c r="T13" i="13"/>
  <c r="T58" i="13" s="1"/>
  <c r="S13" i="13"/>
  <c r="S58" i="13" s="1"/>
  <c r="R13" i="13"/>
  <c r="R58" i="13" s="1"/>
  <c r="I58" i="13"/>
  <c r="G58" i="13"/>
  <c r="F58" i="13"/>
  <c r="E58" i="13"/>
  <c r="B53" i="13"/>
  <c r="B52" i="13"/>
  <c r="I31" i="13"/>
  <c r="H31" i="13"/>
  <c r="G31" i="13"/>
  <c r="F31" i="13"/>
  <c r="E31" i="13"/>
  <c r="Y94" i="10"/>
  <c r="Z94" i="10"/>
  <c r="W75" i="10"/>
  <c r="V75" i="10" s="1"/>
  <c r="W76" i="10"/>
  <c r="V76" i="10" s="1"/>
  <c r="W77" i="10"/>
  <c r="V77" i="10" s="1"/>
  <c r="W78" i="10"/>
  <c r="V78" i="10" s="1"/>
  <c r="W79" i="10"/>
  <c r="V79" i="10" s="1"/>
  <c r="W80" i="10"/>
  <c r="V80" i="10" s="1"/>
  <c r="W81" i="10"/>
  <c r="V81" i="10" s="1"/>
  <c r="W82" i="10"/>
  <c r="V82" i="10" s="1"/>
  <c r="W83" i="10"/>
  <c r="V83" i="10" s="1"/>
  <c r="W84" i="10"/>
  <c r="V84" i="10" s="1"/>
  <c r="W85" i="10"/>
  <c r="V85" i="10" s="1"/>
  <c r="W86" i="10"/>
  <c r="V86" i="10" s="1"/>
  <c r="Y95" i="10"/>
  <c r="Z95" i="10"/>
  <c r="Z87" i="10"/>
  <c r="Y87" i="10"/>
  <c r="H92" i="10"/>
  <c r="Q23" i="10"/>
  <c r="D87" i="10"/>
  <c r="E87" i="10" s="1"/>
  <c r="Q20" i="10"/>
  <c r="Q21" i="10"/>
  <c r="Q22" i="10"/>
  <c r="E84" i="10"/>
  <c r="D85" i="10"/>
  <c r="E85" i="10" s="1"/>
  <c r="D86" i="10"/>
  <c r="E86" i="10" s="1"/>
  <c r="I85" i="10"/>
  <c r="I86" i="10" s="1"/>
  <c r="I87" i="10" s="1"/>
  <c r="Q163" i="10"/>
  <c r="W163" i="10" s="1"/>
  <c r="Q19" i="10"/>
  <c r="D83" i="10"/>
  <c r="E83" i="10" s="1"/>
  <c r="Q18" i="10"/>
  <c r="E79" i="10"/>
  <c r="D80" i="10"/>
  <c r="E80" i="10" s="1"/>
  <c r="D81" i="10"/>
  <c r="E81" i="10" s="1"/>
  <c r="D82" i="10"/>
  <c r="E82" i="10" s="1"/>
  <c r="I80" i="10"/>
  <c r="I81" i="10"/>
  <c r="I82" i="10"/>
  <c r="I83" i="10"/>
  <c r="Q26" i="10"/>
  <c r="D90" i="10"/>
  <c r="E90" i="10" s="1"/>
  <c r="I90" i="10"/>
  <c r="Q24" i="10"/>
  <c r="Q25" i="10"/>
  <c r="D88" i="10"/>
  <c r="E88" i="10" s="1"/>
  <c r="D89" i="10"/>
  <c r="E89" i="10" s="1"/>
  <c r="I88" i="10"/>
  <c r="I89" i="10"/>
  <c r="Q168" i="10"/>
  <c r="W168" i="10" s="1"/>
  <c r="R23" i="10"/>
  <c r="R20" i="10"/>
  <c r="R21" i="10"/>
  <c r="R22" i="10"/>
  <c r="R19" i="10"/>
  <c r="R18" i="10"/>
  <c r="R26" i="10"/>
  <c r="R24" i="10"/>
  <c r="R25" i="10"/>
  <c r="S23" i="10"/>
  <c r="S20" i="10"/>
  <c r="S21" i="10"/>
  <c r="S22" i="10"/>
  <c r="S19" i="10"/>
  <c r="S15" i="10"/>
  <c r="S16" i="10"/>
  <c r="S17" i="10"/>
  <c r="S18" i="10"/>
  <c r="S26" i="10"/>
  <c r="S24" i="10"/>
  <c r="S25" i="10"/>
  <c r="T23" i="10"/>
  <c r="T20" i="10"/>
  <c r="T21" i="10"/>
  <c r="T22" i="10"/>
  <c r="T19" i="10"/>
  <c r="T15" i="10"/>
  <c r="T16" i="10"/>
  <c r="T17" i="10"/>
  <c r="T18" i="10"/>
  <c r="T26" i="10"/>
  <c r="T24" i="10"/>
  <c r="T25" i="10"/>
  <c r="U23" i="10"/>
  <c r="U20" i="10"/>
  <c r="U21" i="10"/>
  <c r="U22" i="10"/>
  <c r="U19" i="10"/>
  <c r="U15" i="10"/>
  <c r="U16" i="10"/>
  <c r="U17" i="10"/>
  <c r="U18" i="10"/>
  <c r="U26" i="10"/>
  <c r="U24" i="10"/>
  <c r="U25" i="10"/>
  <c r="B278" i="10"/>
  <c r="B277" i="10"/>
  <c r="I192" i="10"/>
  <c r="H192" i="10"/>
  <c r="G192" i="10"/>
  <c r="F192" i="10"/>
  <c r="E192" i="10"/>
  <c r="I256" i="10"/>
  <c r="H256" i="10"/>
  <c r="G256" i="10"/>
  <c r="F256" i="10"/>
  <c r="E256" i="10"/>
  <c r="H210" i="10"/>
  <c r="Q63" i="10"/>
  <c r="Q67" i="10"/>
  <c r="AD77" i="10"/>
  <c r="H128" i="10"/>
  <c r="H110" i="10"/>
  <c r="H148" i="10"/>
  <c r="AC148" i="10" s="1"/>
  <c r="H162" i="10"/>
  <c r="Z72" i="10"/>
  <c r="E148" i="10"/>
  <c r="Z159" i="10" s="1"/>
  <c r="Q13" i="10"/>
  <c r="Q79" i="10" s="1"/>
  <c r="C302" i="10"/>
  <c r="AX181" i="10"/>
  <c r="C179" i="10"/>
  <c r="B232" i="10"/>
  <c r="B231" i="10"/>
  <c r="C301" i="10"/>
  <c r="C8" i="19" s="1"/>
  <c r="C306" i="10"/>
  <c r="C305" i="10"/>
  <c r="C304" i="10"/>
  <c r="I210" i="10"/>
  <c r="G210" i="10"/>
  <c r="F210" i="10"/>
  <c r="E210" i="10"/>
  <c r="B202" i="10"/>
  <c r="B201" i="10"/>
  <c r="H171" i="10"/>
  <c r="I162" i="10"/>
  <c r="G162" i="10"/>
  <c r="F162" i="10"/>
  <c r="E162" i="10"/>
  <c r="I148" i="10"/>
  <c r="G148" i="10"/>
  <c r="F148" i="10"/>
  <c r="B144" i="10"/>
  <c r="B143" i="10"/>
  <c r="I128" i="10"/>
  <c r="G128" i="10"/>
  <c r="F128" i="10"/>
  <c r="E128" i="10"/>
  <c r="I110" i="10"/>
  <c r="G110" i="10"/>
  <c r="F110" i="10"/>
  <c r="E110" i="10"/>
  <c r="B104" i="10"/>
  <c r="B103" i="10"/>
  <c r="I92" i="10"/>
  <c r="G92" i="10"/>
  <c r="F92" i="10"/>
  <c r="E92" i="10"/>
  <c r="U13" i="10"/>
  <c r="U58" i="10" s="1"/>
  <c r="T13" i="10"/>
  <c r="T79" i="10" s="1"/>
  <c r="S13" i="10"/>
  <c r="S31" i="10" s="1"/>
  <c r="R13" i="10"/>
  <c r="R58" i="10" s="1"/>
  <c r="AB72" i="10"/>
  <c r="I58" i="10"/>
  <c r="G58" i="10"/>
  <c r="F58" i="10"/>
  <c r="E58" i="10"/>
  <c r="B53" i="10"/>
  <c r="B52" i="10"/>
  <c r="I31" i="10"/>
  <c r="H31" i="10"/>
  <c r="G31" i="10"/>
  <c r="F31" i="10"/>
  <c r="E31" i="10"/>
  <c r="B3" i="14"/>
  <c r="F124" i="14"/>
  <c r="G124" i="14"/>
  <c r="H124" i="14"/>
  <c r="I124" i="14"/>
  <c r="E124" i="14"/>
  <c r="B148" i="14"/>
  <c r="B147" i="14"/>
  <c r="B51" i="14"/>
  <c r="B50" i="14"/>
  <c r="B49" i="14"/>
  <c r="B48" i="14"/>
  <c r="B47" i="14"/>
  <c r="B46" i="14"/>
  <c r="B45" i="14"/>
  <c r="T150" i="13"/>
  <c r="Q162" i="13"/>
  <c r="T150" i="11"/>
  <c r="R58" i="11"/>
  <c r="AC162" i="11"/>
  <c r="Q31" i="11" l="1"/>
  <c r="E97" i="11"/>
  <c r="AC150" i="11"/>
  <c r="S31" i="11"/>
  <c r="AG63" i="11"/>
  <c r="H65" i="10"/>
  <c r="AG67" i="11"/>
  <c r="T162" i="11"/>
  <c r="W162" i="13"/>
  <c r="Z162" i="11"/>
  <c r="Q162" i="11"/>
  <c r="T162" i="13"/>
  <c r="U31" i="10"/>
  <c r="Q150" i="11"/>
  <c r="AG62" i="13"/>
  <c r="H68" i="10"/>
  <c r="AA94" i="11"/>
  <c r="R31" i="13"/>
  <c r="W150" i="11"/>
  <c r="AC162" i="13"/>
  <c r="AA95" i="11"/>
  <c r="AH71" i="11"/>
  <c r="Z150" i="13"/>
  <c r="S31" i="13"/>
  <c r="U31" i="13"/>
  <c r="U31" i="11"/>
  <c r="T79" i="11"/>
  <c r="W150" i="13"/>
  <c r="AC150" i="13"/>
  <c r="Y67" i="13"/>
  <c r="T159" i="10"/>
  <c r="AA94" i="13"/>
  <c r="H97" i="10"/>
  <c r="T31" i="13"/>
  <c r="Q69" i="13"/>
  <c r="T79" i="13"/>
  <c r="AA95" i="13"/>
  <c r="T58" i="11"/>
  <c r="T69" i="11"/>
  <c r="T69" i="13"/>
  <c r="T148" i="10"/>
  <c r="AC159" i="10"/>
  <c r="H36" i="13"/>
  <c r="T36" i="13" s="1"/>
  <c r="T38" i="11"/>
  <c r="AA65" i="13"/>
  <c r="F60" i="11"/>
  <c r="R60" i="11" s="1"/>
  <c r="AG61" i="13"/>
  <c r="AA70" i="11"/>
  <c r="AA62" i="13"/>
  <c r="Q31" i="13"/>
  <c r="Q58" i="13"/>
  <c r="E97" i="13"/>
  <c r="Q58" i="10"/>
  <c r="AA95" i="10"/>
  <c r="F70" i="13"/>
  <c r="F66" i="13"/>
  <c r="S95" i="10"/>
  <c r="AA94" i="10"/>
  <c r="AB82" i="10" s="1"/>
  <c r="AC82" i="10" s="1"/>
  <c r="F65" i="13"/>
  <c r="F61" i="13"/>
  <c r="Q31" i="10"/>
  <c r="G97" i="10"/>
  <c r="I70" i="11"/>
  <c r="F69" i="13"/>
  <c r="W148" i="10"/>
  <c r="G60" i="10"/>
  <c r="G60" i="11" s="1"/>
  <c r="AC60" i="13"/>
  <c r="AC60" i="11"/>
  <c r="I97" i="10"/>
  <c r="Q69" i="10"/>
  <c r="R31" i="10"/>
  <c r="Z148" i="10"/>
  <c r="T31" i="10"/>
  <c r="Q148" i="10"/>
  <c r="F68" i="13"/>
  <c r="I69" i="11"/>
  <c r="G65" i="10"/>
  <c r="AC65" i="11"/>
  <c r="AC65" i="13"/>
  <c r="G61" i="10"/>
  <c r="G61" i="11" s="1"/>
  <c r="AC61" i="11"/>
  <c r="AC61" i="13"/>
  <c r="G71" i="10"/>
  <c r="G71" i="11" s="1"/>
  <c r="AC71" i="11"/>
  <c r="AC71" i="13"/>
  <c r="G68" i="10"/>
  <c r="G68" i="13" s="1"/>
  <c r="AC68" i="11"/>
  <c r="AC68" i="13"/>
  <c r="G64" i="10"/>
  <c r="G64" i="11" s="1"/>
  <c r="AC64" i="11"/>
  <c r="AC64" i="13"/>
  <c r="Y67" i="11"/>
  <c r="Y64" i="11"/>
  <c r="I63" i="11"/>
  <c r="G70" i="10"/>
  <c r="G70" i="13" s="1"/>
  <c r="AC70" i="11"/>
  <c r="AC70" i="13"/>
  <c r="G67" i="10"/>
  <c r="G67" i="11" s="1"/>
  <c r="AC67" i="11"/>
  <c r="AC67" i="13"/>
  <c r="G63" i="10"/>
  <c r="G63" i="13" s="1"/>
  <c r="AC63" i="11"/>
  <c r="AC63" i="13"/>
  <c r="Y64" i="13"/>
  <c r="W79" i="13"/>
  <c r="V79" i="13" s="1"/>
  <c r="G69" i="10"/>
  <c r="G69" i="11" s="1"/>
  <c r="AC69" i="11"/>
  <c r="AC69" i="13"/>
  <c r="G66" i="10"/>
  <c r="G66" i="13" s="1"/>
  <c r="AC66" i="11"/>
  <c r="AC66" i="13"/>
  <c r="G62" i="10"/>
  <c r="G62" i="11" s="1"/>
  <c r="AC62" i="11"/>
  <c r="AC62" i="13"/>
  <c r="Y65" i="11"/>
  <c r="Y62" i="13"/>
  <c r="Y71" i="13"/>
  <c r="Y60" i="11"/>
  <c r="W86" i="13"/>
  <c r="V86" i="13" s="1"/>
  <c r="Y60" i="13"/>
  <c r="W78" i="11"/>
  <c r="V78" i="11" s="1"/>
  <c r="W81" i="11"/>
  <c r="V81" i="11" s="1"/>
  <c r="W82" i="11"/>
  <c r="V82" i="11" s="1"/>
  <c r="W86" i="11"/>
  <c r="V86" i="11" s="1"/>
  <c r="Y62" i="11"/>
  <c r="Y70" i="13"/>
  <c r="W77" i="13"/>
  <c r="V77" i="13" s="1"/>
  <c r="W75" i="13"/>
  <c r="V75" i="13" s="1"/>
  <c r="Y63" i="13"/>
  <c r="Y68" i="13"/>
  <c r="W79" i="11"/>
  <c r="V79" i="11" s="1"/>
  <c r="Q167" i="13"/>
  <c r="W167" i="13" s="1"/>
  <c r="Y71" i="11"/>
  <c r="AD77" i="11"/>
  <c r="W85" i="11"/>
  <c r="V85" i="11" s="1"/>
  <c r="Y66" i="11"/>
  <c r="T69" i="10"/>
  <c r="W78" i="13"/>
  <c r="V78" i="13" s="1"/>
  <c r="W84" i="11"/>
  <c r="V84" i="11" s="1"/>
  <c r="Y69" i="11"/>
  <c r="I64" i="13"/>
  <c r="S58" i="10"/>
  <c r="E97" i="10"/>
  <c r="Q63" i="13"/>
  <c r="Q159" i="10"/>
  <c r="T58" i="10"/>
  <c r="Y65" i="13"/>
  <c r="AB72" i="13"/>
  <c r="AD77" i="13"/>
  <c r="AD72" i="11"/>
  <c r="Y68" i="11"/>
  <c r="Y72" i="10"/>
  <c r="I68" i="13"/>
  <c r="I71" i="13"/>
  <c r="I67" i="11"/>
  <c r="I60" i="13"/>
  <c r="W82" i="13"/>
  <c r="V82" i="13" s="1"/>
  <c r="Y61" i="11"/>
  <c r="F62" i="13"/>
  <c r="W159" i="10"/>
  <c r="Z72" i="13"/>
  <c r="T30" i="13"/>
  <c r="I117" i="10"/>
  <c r="I135" i="10" s="1"/>
  <c r="Q30" i="11"/>
  <c r="R64" i="10"/>
  <c r="U60" i="10"/>
  <c r="H97" i="11"/>
  <c r="F97" i="11"/>
  <c r="G97" i="11"/>
  <c r="W83" i="13"/>
  <c r="V83" i="13" s="1"/>
  <c r="W84" i="13"/>
  <c r="V84" i="13" s="1"/>
  <c r="Y70" i="11"/>
  <c r="AB72" i="11"/>
  <c r="W80" i="11"/>
  <c r="V80" i="11" s="1"/>
  <c r="Q172" i="13"/>
  <c r="W172" i="13" s="1"/>
  <c r="W76" i="13"/>
  <c r="V76" i="13" s="1"/>
  <c r="W80" i="13"/>
  <c r="V80" i="13" s="1"/>
  <c r="W85" i="13"/>
  <c r="V85" i="13" s="1"/>
  <c r="W81" i="13"/>
  <c r="V81" i="13" s="1"/>
  <c r="X72" i="11"/>
  <c r="Z72" i="11"/>
  <c r="W76" i="11"/>
  <c r="V76" i="11" s="1"/>
  <c r="W77" i="11"/>
  <c r="V77" i="11" s="1"/>
  <c r="W83" i="11"/>
  <c r="V83" i="11" s="1"/>
  <c r="Y63" i="11"/>
  <c r="E238" i="10"/>
  <c r="Q63" i="11"/>
  <c r="W72" i="11"/>
  <c r="AD72" i="13"/>
  <c r="Q172" i="11"/>
  <c r="W172" i="11" s="1"/>
  <c r="E245" i="13"/>
  <c r="X72" i="13"/>
  <c r="Y69" i="13"/>
  <c r="Q67" i="13"/>
  <c r="E245" i="11"/>
  <c r="E111" i="14"/>
  <c r="F113" i="10"/>
  <c r="F131" i="10" s="1"/>
  <c r="I113" i="10"/>
  <c r="I131" i="10" s="1"/>
  <c r="AC72" i="10"/>
  <c r="I112" i="10"/>
  <c r="I130" i="10" s="1"/>
  <c r="W75" i="11"/>
  <c r="V75" i="11" s="1"/>
  <c r="W87" i="10"/>
  <c r="V87" i="10"/>
  <c r="I66" i="13"/>
  <c r="I118" i="10"/>
  <c r="I136" i="10" s="1"/>
  <c r="I66" i="11"/>
  <c r="I62" i="11"/>
  <c r="I105" i="14"/>
  <c r="U64" i="10"/>
  <c r="I65" i="13"/>
  <c r="I65" i="11"/>
  <c r="I61" i="11"/>
  <c r="I72" i="10"/>
  <c r="I114" i="10"/>
  <c r="I132" i="10" s="1"/>
  <c r="I116" i="10"/>
  <c r="I134" i="10" s="1"/>
  <c r="I153" i="10" s="1"/>
  <c r="T95" i="10"/>
  <c r="F112" i="10"/>
  <c r="F130" i="10" s="1"/>
  <c r="F149" i="10" s="1"/>
  <c r="F72" i="10"/>
  <c r="F114" i="10"/>
  <c r="F132" i="10" s="1"/>
  <c r="F71" i="13"/>
  <c r="F67" i="11"/>
  <c r="F112" i="11" s="1"/>
  <c r="F130" i="11" s="1"/>
  <c r="F152" i="11" s="1"/>
  <c r="F118" i="10"/>
  <c r="F136" i="10" s="1"/>
  <c r="F116" i="10"/>
  <c r="R60" i="10"/>
  <c r="F64" i="13"/>
  <c r="F63" i="13"/>
  <c r="F117" i="10"/>
  <c r="F135" i="10" s="1"/>
  <c r="Q167" i="11"/>
  <c r="W167" i="11" s="1"/>
  <c r="Y66" i="13"/>
  <c r="Y61" i="13"/>
  <c r="Q67" i="11"/>
  <c r="W72" i="13"/>
  <c r="I97" i="11" l="1"/>
  <c r="AB83" i="11"/>
  <c r="AC83" i="11" s="1"/>
  <c r="AB78" i="11"/>
  <c r="AC78" i="11" s="1"/>
  <c r="AB77" i="11"/>
  <c r="AC77" i="11" s="1"/>
  <c r="AB86" i="11"/>
  <c r="AC86" i="11" s="1"/>
  <c r="AH71" i="13"/>
  <c r="T176" i="10"/>
  <c r="T184" i="10"/>
  <c r="T188" i="10" s="1"/>
  <c r="AB76" i="11"/>
  <c r="AC76" i="11" s="1"/>
  <c r="AB80" i="11"/>
  <c r="AC80" i="11" s="1"/>
  <c r="AB84" i="11"/>
  <c r="AC84" i="11" s="1"/>
  <c r="AB85" i="11"/>
  <c r="AC85" i="11" s="1"/>
  <c r="AB79" i="11"/>
  <c r="AC79" i="11" s="1"/>
  <c r="AB82" i="11"/>
  <c r="AC82" i="11" s="1"/>
  <c r="AB75" i="11"/>
  <c r="AC75" i="11" s="1"/>
  <c r="AB81" i="11"/>
  <c r="AC81" i="11" s="1"/>
  <c r="AG70" i="11"/>
  <c r="AH70" i="13"/>
  <c r="AH70" i="11"/>
  <c r="AB80" i="13"/>
  <c r="AC80" i="13" s="1"/>
  <c r="AB77" i="13"/>
  <c r="AC77" i="13" s="1"/>
  <c r="AB86" i="13"/>
  <c r="AC86" i="13" s="1"/>
  <c r="AB76" i="13"/>
  <c r="AC76" i="13" s="1"/>
  <c r="AB82" i="13"/>
  <c r="AC82" i="13" s="1"/>
  <c r="AB78" i="13"/>
  <c r="AC78" i="13" s="1"/>
  <c r="AB81" i="13"/>
  <c r="AC81" i="13" s="1"/>
  <c r="AB84" i="13"/>
  <c r="AC84" i="13" s="1"/>
  <c r="AB79" i="13"/>
  <c r="AC79" i="13" s="1"/>
  <c r="AB85" i="13"/>
  <c r="AC85" i="13" s="1"/>
  <c r="AB83" i="13"/>
  <c r="AC83" i="13" s="1"/>
  <c r="AB75" i="13"/>
  <c r="AC75" i="13" s="1"/>
  <c r="AG63" i="13"/>
  <c r="H63" i="10"/>
  <c r="H63" i="13" s="1"/>
  <c r="I168" i="11"/>
  <c r="G71" i="13"/>
  <c r="AF86" i="10"/>
  <c r="F97" i="10"/>
  <c r="AB86" i="10"/>
  <c r="AC86" i="10" s="1"/>
  <c r="H38" i="13"/>
  <c r="T38" i="13" s="1"/>
  <c r="T38" i="10"/>
  <c r="AG62" i="11"/>
  <c r="T42" i="10"/>
  <c r="H41" i="13"/>
  <c r="T41" i="13" s="1"/>
  <c r="T44" i="11"/>
  <c r="T43" i="11"/>
  <c r="T35" i="10"/>
  <c r="H65" i="11"/>
  <c r="H40" i="13"/>
  <c r="T40" i="13" s="1"/>
  <c r="H37" i="13"/>
  <c r="T37" i="13" s="1"/>
  <c r="T36" i="10"/>
  <c r="H34" i="13"/>
  <c r="T34" i="13" s="1"/>
  <c r="H39" i="13"/>
  <c r="T39" i="13" s="1"/>
  <c r="T36" i="11"/>
  <c r="AA65" i="11"/>
  <c r="E39" i="13"/>
  <c r="Q39" i="13" s="1"/>
  <c r="E35" i="13"/>
  <c r="Q35" i="13" s="1"/>
  <c r="Q43" i="11"/>
  <c r="E34" i="13"/>
  <c r="Q34" i="13" s="1"/>
  <c r="E44" i="13"/>
  <c r="Q44" i="13" s="1"/>
  <c r="Q37" i="10"/>
  <c r="Q36" i="11"/>
  <c r="AF81" i="10"/>
  <c r="AF78" i="10"/>
  <c r="E33" i="13"/>
  <c r="Q41" i="11"/>
  <c r="E38" i="13"/>
  <c r="E40" i="13"/>
  <c r="Q40" i="13" s="1"/>
  <c r="E65" i="10"/>
  <c r="Q176" i="10"/>
  <c r="Q180" i="10" s="1"/>
  <c r="F118" i="11"/>
  <c r="F136" i="11" s="1"/>
  <c r="G67" i="13"/>
  <c r="G65" i="11"/>
  <c r="E244" i="10"/>
  <c r="Q44" i="10"/>
  <c r="I116" i="13"/>
  <c r="I134" i="13" s="1"/>
  <c r="I156" i="13" s="1"/>
  <c r="Q44" i="11"/>
  <c r="AG65" i="11"/>
  <c r="AG61" i="11"/>
  <c r="H42" i="13"/>
  <c r="T42" i="13" s="1"/>
  <c r="H61" i="10"/>
  <c r="H61" i="13" s="1"/>
  <c r="I168" i="13"/>
  <c r="H65" i="13"/>
  <c r="F116" i="11"/>
  <c r="F134" i="11" s="1"/>
  <c r="F156" i="11" s="1"/>
  <c r="F117" i="11"/>
  <c r="F135" i="11" s="1"/>
  <c r="G60" i="13"/>
  <c r="H62" i="10"/>
  <c r="H62" i="11" s="1"/>
  <c r="AG65" i="13"/>
  <c r="E62" i="10"/>
  <c r="AA62" i="11"/>
  <c r="E70" i="10"/>
  <c r="AA70" i="13"/>
  <c r="F112" i="13"/>
  <c r="F130" i="13" s="1"/>
  <c r="F152" i="13" s="1"/>
  <c r="G63" i="11"/>
  <c r="G62" i="13"/>
  <c r="AB83" i="10"/>
  <c r="AC83" i="10" s="1"/>
  <c r="AB75" i="10"/>
  <c r="AC75" i="10" s="1"/>
  <c r="AB76" i="10"/>
  <c r="AC76" i="10" s="1"/>
  <c r="AB77" i="10"/>
  <c r="AC77" i="10" s="1"/>
  <c r="F113" i="13"/>
  <c r="F131" i="13" s="1"/>
  <c r="AB78" i="10"/>
  <c r="AC78" i="10" s="1"/>
  <c r="AB79" i="10"/>
  <c r="AC79" i="10" s="1"/>
  <c r="AB80" i="10"/>
  <c r="AC80" i="10" s="1"/>
  <c r="AB84" i="10"/>
  <c r="AC84" i="10" s="1"/>
  <c r="AB81" i="10"/>
  <c r="AC81" i="10" s="1"/>
  <c r="AB85" i="10"/>
  <c r="AC85" i="10" s="1"/>
  <c r="G105" i="14"/>
  <c r="G65" i="13"/>
  <c r="R64" i="13"/>
  <c r="F316" i="13"/>
  <c r="F114" i="13"/>
  <c r="F132" i="13" s="1"/>
  <c r="G112" i="10"/>
  <c r="G130" i="10" s="1"/>
  <c r="G149" i="10" s="1"/>
  <c r="G64" i="13"/>
  <c r="S64" i="10"/>
  <c r="G70" i="11"/>
  <c r="G114" i="10"/>
  <c r="G132" i="10" s="1"/>
  <c r="G66" i="11"/>
  <c r="T180" i="10"/>
  <c r="T179" i="10"/>
  <c r="G72" i="10"/>
  <c r="G118" i="10"/>
  <c r="G136" i="10" s="1"/>
  <c r="G116" i="10"/>
  <c r="G134" i="10" s="1"/>
  <c r="G153" i="10" s="1"/>
  <c r="G113" i="10"/>
  <c r="G131" i="10" s="1"/>
  <c r="G117" i="10"/>
  <c r="G135" i="10" s="1"/>
  <c r="G61" i="13"/>
  <c r="G69" i="13"/>
  <c r="S60" i="10"/>
  <c r="G68" i="11"/>
  <c r="F113" i="11"/>
  <c r="F131" i="11" s="1"/>
  <c r="I118" i="11"/>
  <c r="I136" i="11" s="1"/>
  <c r="I117" i="13"/>
  <c r="I135" i="13" s="1"/>
  <c r="I113" i="11"/>
  <c r="I131" i="11" s="1"/>
  <c r="Y72" i="11"/>
  <c r="U60" i="13"/>
  <c r="AG68" i="11"/>
  <c r="I112" i="11"/>
  <c r="I130" i="11" s="1"/>
  <c r="I118" i="13"/>
  <c r="I136" i="13" s="1"/>
  <c r="F118" i="13"/>
  <c r="F136" i="13" s="1"/>
  <c r="E251" i="13"/>
  <c r="I111" i="14"/>
  <c r="I117" i="11"/>
  <c r="I135" i="11" s="1"/>
  <c r="I116" i="11"/>
  <c r="I134" i="11" s="1"/>
  <c r="I156" i="11" s="1"/>
  <c r="I114" i="11"/>
  <c r="I132" i="11" s="1"/>
  <c r="E251" i="11"/>
  <c r="AG67" i="13"/>
  <c r="I72" i="11"/>
  <c r="U60" i="11"/>
  <c r="I238" i="10"/>
  <c r="I248" i="10" s="1"/>
  <c r="I245" i="13"/>
  <c r="I255" i="13" s="1"/>
  <c r="I245" i="11"/>
  <c r="I255" i="11" s="1"/>
  <c r="I115" i="14"/>
  <c r="U64" i="11"/>
  <c r="I294" i="11"/>
  <c r="I120" i="10"/>
  <c r="I316" i="13"/>
  <c r="I114" i="13"/>
  <c r="I132" i="13" s="1"/>
  <c r="I113" i="13"/>
  <c r="I131" i="13" s="1"/>
  <c r="I112" i="13"/>
  <c r="U64" i="13"/>
  <c r="I72" i="13"/>
  <c r="I149" i="10"/>
  <c r="I138" i="10"/>
  <c r="F294" i="11"/>
  <c r="F114" i="11"/>
  <c r="F132" i="11" s="1"/>
  <c r="F72" i="11"/>
  <c r="R66" i="10"/>
  <c r="R65" i="10"/>
  <c r="R64" i="11"/>
  <c r="F120" i="10"/>
  <c r="F134" i="10"/>
  <c r="F72" i="13"/>
  <c r="R60" i="13"/>
  <c r="F295" i="11"/>
  <c r="F116" i="13"/>
  <c r="F117" i="13"/>
  <c r="F135" i="13" s="1"/>
  <c r="Y72" i="13"/>
  <c r="H67" i="10"/>
  <c r="H67" i="11" s="1"/>
  <c r="AG68" i="13"/>
  <c r="AG69" i="13"/>
  <c r="AG69" i="11"/>
  <c r="H69" i="10"/>
  <c r="T41" i="10"/>
  <c r="H71" i="10"/>
  <c r="AG71" i="11"/>
  <c r="AG71" i="13"/>
  <c r="T43" i="10"/>
  <c r="T40" i="11"/>
  <c r="H44" i="13"/>
  <c r="T44" i="13" s="1"/>
  <c r="T37" i="11"/>
  <c r="AG66" i="13"/>
  <c r="H66" i="10"/>
  <c r="AG66" i="11"/>
  <c r="H68" i="13"/>
  <c r="H68" i="11"/>
  <c r="AG60" i="11"/>
  <c r="H60" i="10"/>
  <c r="AG60" i="13"/>
  <c r="AG64" i="13"/>
  <c r="H64" i="10"/>
  <c r="AG64" i="11"/>
  <c r="T39" i="10"/>
  <c r="AA69" i="11"/>
  <c r="AA69" i="13"/>
  <c r="AF85" i="10"/>
  <c r="E69" i="10"/>
  <c r="E66" i="10"/>
  <c r="AF82" i="10"/>
  <c r="AA66" i="13"/>
  <c r="AA66" i="11"/>
  <c r="AF77" i="10"/>
  <c r="AA61" i="13"/>
  <c r="AA61" i="11"/>
  <c r="E61" i="10"/>
  <c r="E67" i="10"/>
  <c r="AA67" i="11"/>
  <c r="AF83" i="10"/>
  <c r="AA67" i="13"/>
  <c r="Q36" i="10"/>
  <c r="E36" i="13"/>
  <c r="Q36" i="13" s="1"/>
  <c r="AA68" i="13"/>
  <c r="AF84" i="10"/>
  <c r="E68" i="10"/>
  <c r="AA68" i="11"/>
  <c r="E43" i="13"/>
  <c r="Q43" i="13" s="1"/>
  <c r="Q43" i="10"/>
  <c r="AA60" i="13"/>
  <c r="AA60" i="11"/>
  <c r="E60" i="10"/>
  <c r="AA72" i="10"/>
  <c r="AF76" i="10"/>
  <c r="Q35" i="10"/>
  <c r="AF87" i="10"/>
  <c r="E71" i="10"/>
  <c r="AA71" i="11"/>
  <c r="AA71" i="13"/>
  <c r="AA64" i="11"/>
  <c r="AA64" i="13"/>
  <c r="E64" i="10"/>
  <c r="AF80" i="10"/>
  <c r="AF79" i="10"/>
  <c r="E63" i="10"/>
  <c r="AA63" i="13"/>
  <c r="AA63" i="11"/>
  <c r="R166" i="10" l="1"/>
  <c r="AH72" i="13"/>
  <c r="AG72" i="10"/>
  <c r="AG70" i="13"/>
  <c r="AG72" i="13" s="1"/>
  <c r="H70" i="10"/>
  <c r="T60" i="10" s="1"/>
  <c r="S184" i="10"/>
  <c r="S188" i="10" s="1"/>
  <c r="AH72" i="11"/>
  <c r="H62" i="13"/>
  <c r="H63" i="11"/>
  <c r="H168" i="11"/>
  <c r="H168" i="13"/>
  <c r="E65" i="13"/>
  <c r="M65" i="13" s="1"/>
  <c r="M70" i="10"/>
  <c r="G113" i="13"/>
  <c r="G131" i="13" s="1"/>
  <c r="Q39" i="10"/>
  <c r="Q39" i="11"/>
  <c r="Q179" i="10"/>
  <c r="T37" i="10"/>
  <c r="T39" i="11"/>
  <c r="H33" i="13"/>
  <c r="T33" i="13" s="1"/>
  <c r="T34" i="10"/>
  <c r="T42" i="11"/>
  <c r="T44" i="10"/>
  <c r="T34" i="11"/>
  <c r="H43" i="13"/>
  <c r="T43" i="13" s="1"/>
  <c r="T35" i="11"/>
  <c r="T40" i="10"/>
  <c r="T41" i="11"/>
  <c r="H35" i="13"/>
  <c r="T35" i="13" s="1"/>
  <c r="Q40" i="10"/>
  <c r="Q40" i="11"/>
  <c r="Q35" i="11"/>
  <c r="E41" i="13"/>
  <c r="Q41" i="13" s="1"/>
  <c r="Q37" i="11"/>
  <c r="Q41" i="10"/>
  <c r="Q38" i="11"/>
  <c r="J65" i="10"/>
  <c r="Q38" i="10"/>
  <c r="E37" i="13"/>
  <c r="Q37" i="13" s="1"/>
  <c r="E65" i="11"/>
  <c r="E42" i="13"/>
  <c r="Q42" i="13" s="1"/>
  <c r="Q42" i="11"/>
  <c r="Q42" i="10"/>
  <c r="Q34" i="11"/>
  <c r="Q34" i="10"/>
  <c r="M65" i="10"/>
  <c r="R176" i="10"/>
  <c r="R180" i="10" s="1"/>
  <c r="G117" i="13"/>
  <c r="G135" i="13" s="1"/>
  <c r="G117" i="11"/>
  <c r="G135" i="11" s="1"/>
  <c r="F97" i="13"/>
  <c r="H61" i="11"/>
  <c r="J62" i="10"/>
  <c r="F168" i="11"/>
  <c r="Q184" i="10"/>
  <c r="Q188" i="10" s="1"/>
  <c r="F168" i="13"/>
  <c r="P184" i="10"/>
  <c r="P188" i="10" s="1"/>
  <c r="E168" i="13"/>
  <c r="E168" i="11"/>
  <c r="F138" i="11"/>
  <c r="S60" i="11"/>
  <c r="G116" i="11"/>
  <c r="G134" i="11" s="1"/>
  <c r="G156" i="11" s="1"/>
  <c r="G157" i="10"/>
  <c r="E70" i="13"/>
  <c r="M70" i="13" s="1"/>
  <c r="E70" i="11"/>
  <c r="M70" i="11" s="1"/>
  <c r="M62" i="10"/>
  <c r="E62" i="13"/>
  <c r="M62" i="13" s="1"/>
  <c r="E62" i="11"/>
  <c r="G97" i="13"/>
  <c r="AB87" i="10"/>
  <c r="G116" i="13"/>
  <c r="G134" i="13" s="1"/>
  <c r="G156" i="13" s="1"/>
  <c r="G238" i="10"/>
  <c r="G248" i="10" s="1"/>
  <c r="G245" i="11"/>
  <c r="G255" i="11" s="1"/>
  <c r="G118" i="11"/>
  <c r="G136" i="11" s="1"/>
  <c r="G115" i="14"/>
  <c r="G245" i="13"/>
  <c r="G255" i="13" s="1"/>
  <c r="AC87" i="10"/>
  <c r="G294" i="11"/>
  <c r="S64" i="13"/>
  <c r="G114" i="13"/>
  <c r="G132" i="13" s="1"/>
  <c r="H67" i="13"/>
  <c r="G112" i="13"/>
  <c r="G130" i="13" s="1"/>
  <c r="G152" i="13" s="1"/>
  <c r="G316" i="13"/>
  <c r="G72" i="11"/>
  <c r="G295" i="11" s="1"/>
  <c r="G112" i="11"/>
  <c r="G130" i="11" s="1"/>
  <c r="G152" i="11" s="1"/>
  <c r="G114" i="11"/>
  <c r="G132" i="11" s="1"/>
  <c r="G111" i="14"/>
  <c r="G113" i="11"/>
  <c r="G131" i="11" s="1"/>
  <c r="G118" i="13"/>
  <c r="G136" i="13" s="1"/>
  <c r="T65" i="10"/>
  <c r="Q150" i="10" s="1"/>
  <c r="G120" i="10"/>
  <c r="G72" i="13"/>
  <c r="G317" i="13" s="1"/>
  <c r="S60" i="13"/>
  <c r="I120" i="11"/>
  <c r="G138" i="10"/>
  <c r="S64" i="11"/>
  <c r="J164" i="10"/>
  <c r="C11" i="25" s="1"/>
  <c r="R184" i="10"/>
  <c r="AC72" i="11"/>
  <c r="AC72" i="13"/>
  <c r="G168" i="13"/>
  <c r="F120" i="11"/>
  <c r="G168" i="11"/>
  <c r="I295" i="11"/>
  <c r="I157" i="10"/>
  <c r="I130" i="13"/>
  <c r="I120" i="13"/>
  <c r="I317" i="13"/>
  <c r="F108" i="14"/>
  <c r="R65" i="11"/>
  <c r="R65" i="13"/>
  <c r="E181" i="10"/>
  <c r="E182" i="10" s="1"/>
  <c r="F160" i="11"/>
  <c r="F109" i="14"/>
  <c r="R66" i="11"/>
  <c r="R66" i="13"/>
  <c r="F317" i="13"/>
  <c r="F120" i="13"/>
  <c r="F134" i="13"/>
  <c r="F153" i="10"/>
  <c r="F138" i="10"/>
  <c r="E106" i="14"/>
  <c r="H69" i="11"/>
  <c r="H69" i="13"/>
  <c r="H71" i="11"/>
  <c r="H71" i="13"/>
  <c r="H64" i="13"/>
  <c r="H64" i="11"/>
  <c r="H60" i="11"/>
  <c r="H60" i="13"/>
  <c r="AG72" i="11"/>
  <c r="T33" i="11"/>
  <c r="H66" i="11"/>
  <c r="H66" i="13"/>
  <c r="H112" i="10"/>
  <c r="H106" i="14"/>
  <c r="H113" i="10"/>
  <c r="H131" i="10" s="1"/>
  <c r="T64" i="10"/>
  <c r="H114" i="10"/>
  <c r="H132" i="10" s="1"/>
  <c r="T75" i="10"/>
  <c r="T76" i="10"/>
  <c r="M69" i="10"/>
  <c r="E69" i="11"/>
  <c r="E69" i="13"/>
  <c r="J69" i="10"/>
  <c r="E61" i="11"/>
  <c r="J61" i="10"/>
  <c r="M61" i="10"/>
  <c r="E61" i="13"/>
  <c r="R161" i="10"/>
  <c r="E66" i="13"/>
  <c r="E66" i="11"/>
  <c r="J66" i="10"/>
  <c r="M66" i="10"/>
  <c r="E60" i="11"/>
  <c r="Q60" i="10"/>
  <c r="E116" i="10"/>
  <c r="E134" i="10" s="1"/>
  <c r="E117" i="10"/>
  <c r="E135" i="10" s="1"/>
  <c r="Q71" i="10"/>
  <c r="Q72" i="10"/>
  <c r="T166" i="10" s="1"/>
  <c r="E72" i="10"/>
  <c r="E118" i="10"/>
  <c r="E136" i="10" s="1"/>
  <c r="E60" i="13"/>
  <c r="J60" i="10"/>
  <c r="M60" i="10"/>
  <c r="AA72" i="11"/>
  <c r="Q33" i="11"/>
  <c r="E63" i="13"/>
  <c r="J63" i="10"/>
  <c r="M63" i="10"/>
  <c r="E63" i="11"/>
  <c r="M64" i="10"/>
  <c r="E64" i="11"/>
  <c r="J64" i="10"/>
  <c r="E64" i="13"/>
  <c r="AA72" i="13"/>
  <c r="E71" i="13"/>
  <c r="E71" i="11"/>
  <c r="M71" i="10"/>
  <c r="J71" i="10"/>
  <c r="Q38" i="13"/>
  <c r="E68" i="11"/>
  <c r="E68" i="13"/>
  <c r="M68" i="10"/>
  <c r="J68" i="10"/>
  <c r="Q33" i="13"/>
  <c r="E67" i="11"/>
  <c r="E67" i="13"/>
  <c r="Q64" i="10"/>
  <c r="J67" i="10"/>
  <c r="E112" i="10"/>
  <c r="Q76" i="10"/>
  <c r="M67" i="10"/>
  <c r="E113" i="10"/>
  <c r="E131" i="10" s="1"/>
  <c r="Q75" i="10"/>
  <c r="E114" i="10"/>
  <c r="E132" i="10" s="1"/>
  <c r="I152" i="11"/>
  <c r="I138" i="11"/>
  <c r="Q166" i="10" l="1"/>
  <c r="W166" i="10" s="1"/>
  <c r="C11" i="28"/>
  <c r="C13" i="28" s="1"/>
  <c r="C17" i="28" s="1"/>
  <c r="C11" i="26"/>
  <c r="D11" i="26" s="1"/>
  <c r="D13" i="26" s="1"/>
  <c r="D17" i="26" s="1"/>
  <c r="C11" i="19"/>
  <c r="H117" i="10"/>
  <c r="H135" i="10" s="1"/>
  <c r="J135" i="10" s="1"/>
  <c r="J70" i="10"/>
  <c r="H118" i="10"/>
  <c r="H136" i="10" s="1"/>
  <c r="J136" i="10" s="1"/>
  <c r="H70" i="11"/>
  <c r="T71" i="11" s="1"/>
  <c r="H116" i="10"/>
  <c r="H134" i="10" s="1"/>
  <c r="AC156" i="10" s="1"/>
  <c r="H72" i="10"/>
  <c r="T61" i="10"/>
  <c r="Q154" i="10" s="1"/>
  <c r="H70" i="13"/>
  <c r="T61" i="13" s="1"/>
  <c r="Q157" i="13" s="1"/>
  <c r="T71" i="10"/>
  <c r="T72" i="10"/>
  <c r="R167" i="10"/>
  <c r="R168" i="10" s="1"/>
  <c r="J65" i="13"/>
  <c r="R179" i="10"/>
  <c r="T65" i="11"/>
  <c r="Q153" i="11" s="1"/>
  <c r="H175" i="10"/>
  <c r="F198" i="10" s="1"/>
  <c r="F218" i="10" s="1"/>
  <c r="R162" i="10"/>
  <c r="R163" i="10" s="1"/>
  <c r="M65" i="11"/>
  <c r="J65" i="11"/>
  <c r="E112" i="14"/>
  <c r="E252" i="13" s="1"/>
  <c r="P176" i="10"/>
  <c r="P180" i="10" s="1"/>
  <c r="J168" i="13"/>
  <c r="H180" i="13" s="1"/>
  <c r="F205" i="13" s="1"/>
  <c r="G116" i="14"/>
  <c r="G117" i="14" s="1"/>
  <c r="J168" i="11"/>
  <c r="H179" i="11" s="1"/>
  <c r="G203" i="11" s="1"/>
  <c r="G219" i="11" s="1"/>
  <c r="G265" i="11" s="1"/>
  <c r="G30" i="14" s="1"/>
  <c r="G251" i="11"/>
  <c r="G256" i="11" s="1"/>
  <c r="G257" i="11" s="1"/>
  <c r="J62" i="13"/>
  <c r="J62" i="11"/>
  <c r="M62" i="11"/>
  <c r="I97" i="13"/>
  <c r="H97" i="13"/>
  <c r="G138" i="11"/>
  <c r="G120" i="13"/>
  <c r="G138" i="13"/>
  <c r="G244" i="10"/>
  <c r="G249" i="10" s="1"/>
  <c r="G250" i="10" s="1"/>
  <c r="G120" i="11"/>
  <c r="G251" i="13"/>
  <c r="G256" i="13" s="1"/>
  <c r="G257" i="13" s="1"/>
  <c r="R188" i="10"/>
  <c r="U184" i="10"/>
  <c r="U188" i="10" s="1"/>
  <c r="T66" i="10"/>
  <c r="Q151" i="10" s="1"/>
  <c r="H174" i="10"/>
  <c r="E196" i="10" s="1"/>
  <c r="E186" i="11"/>
  <c r="E187" i="11" s="1"/>
  <c r="E246" i="11"/>
  <c r="E246" i="13"/>
  <c r="E107" i="14"/>
  <c r="E239" i="10"/>
  <c r="I152" i="13"/>
  <c r="I138" i="13"/>
  <c r="F248" i="11"/>
  <c r="F115" i="14"/>
  <c r="F241" i="10"/>
  <c r="F248" i="13"/>
  <c r="F111" i="14"/>
  <c r="F249" i="11"/>
  <c r="F242" i="10"/>
  <c r="F249" i="13"/>
  <c r="E187" i="13"/>
  <c r="E188" i="13" s="1"/>
  <c r="F157" i="10"/>
  <c r="F138" i="13"/>
  <c r="F156" i="13"/>
  <c r="G160" i="13"/>
  <c r="Q167" i="10"/>
  <c r="H130" i="10"/>
  <c r="T76" i="13"/>
  <c r="H112" i="13"/>
  <c r="H113" i="13"/>
  <c r="H131" i="13" s="1"/>
  <c r="H114" i="13"/>
  <c r="H132" i="13" s="1"/>
  <c r="H316" i="13"/>
  <c r="T75" i="13"/>
  <c r="T64" i="13"/>
  <c r="T77" i="10"/>
  <c r="T151" i="10" s="1"/>
  <c r="H112" i="11"/>
  <c r="T64" i="11"/>
  <c r="H114" i="11"/>
  <c r="H132" i="11" s="1"/>
  <c r="H294" i="11"/>
  <c r="T76" i="11"/>
  <c r="T75" i="11"/>
  <c r="H113" i="11"/>
  <c r="H131" i="11" s="1"/>
  <c r="U65" i="10"/>
  <c r="T150" i="10"/>
  <c r="W150" i="10" s="1"/>
  <c r="H150" i="10" s="1"/>
  <c r="T86" i="10"/>
  <c r="T87" i="10" s="1"/>
  <c r="U76" i="10"/>
  <c r="T65" i="13"/>
  <c r="H246" i="13"/>
  <c r="H239" i="10"/>
  <c r="H112" i="14"/>
  <c r="H107" i="14"/>
  <c r="H246" i="11"/>
  <c r="J66" i="11"/>
  <c r="M66" i="11"/>
  <c r="M69" i="13"/>
  <c r="J69" i="13"/>
  <c r="M61" i="11"/>
  <c r="J61" i="11"/>
  <c r="M61" i="13"/>
  <c r="J61" i="13"/>
  <c r="M66" i="13"/>
  <c r="J66" i="13"/>
  <c r="J69" i="11"/>
  <c r="M69" i="11"/>
  <c r="J131" i="10"/>
  <c r="E120" i="10"/>
  <c r="E130" i="10"/>
  <c r="M67" i="11"/>
  <c r="E294" i="11"/>
  <c r="J67" i="11"/>
  <c r="Q76" i="11"/>
  <c r="Q64" i="11"/>
  <c r="E113" i="11"/>
  <c r="E131" i="11" s="1"/>
  <c r="E114" i="11"/>
  <c r="E132" i="11" s="1"/>
  <c r="Q75" i="11"/>
  <c r="E112" i="11"/>
  <c r="R171" i="13"/>
  <c r="M68" i="13"/>
  <c r="J68" i="13"/>
  <c r="M71" i="11"/>
  <c r="J71" i="11"/>
  <c r="J63" i="13"/>
  <c r="M63" i="13"/>
  <c r="M72" i="10"/>
  <c r="Q61" i="10"/>
  <c r="Q82" i="10" s="1"/>
  <c r="Q83" i="10" s="1"/>
  <c r="Q161" i="10"/>
  <c r="Q65" i="10"/>
  <c r="Q86" i="10" s="1"/>
  <c r="Q87" i="10" s="1"/>
  <c r="R170" i="13"/>
  <c r="M68" i="11"/>
  <c r="J68" i="11"/>
  <c r="M71" i="13"/>
  <c r="J71" i="13"/>
  <c r="Q162" i="10"/>
  <c r="R165" i="11"/>
  <c r="J64" i="13"/>
  <c r="M64" i="13"/>
  <c r="J63" i="11"/>
  <c r="M63" i="11"/>
  <c r="R72" i="10"/>
  <c r="E153" i="10"/>
  <c r="AC169" i="10"/>
  <c r="J132" i="10"/>
  <c r="R76" i="10"/>
  <c r="T161" i="10"/>
  <c r="R165" i="13"/>
  <c r="R166" i="11"/>
  <c r="R170" i="11"/>
  <c r="E72" i="13"/>
  <c r="E118" i="13"/>
  <c r="E136" i="13" s="1"/>
  <c r="E116" i="13"/>
  <c r="E134" i="13" s="1"/>
  <c r="Q71" i="13"/>
  <c r="J60" i="13"/>
  <c r="Q60" i="13"/>
  <c r="E117" i="13"/>
  <c r="E135" i="13" s="1"/>
  <c r="Q72" i="13"/>
  <c r="M60" i="13"/>
  <c r="Q77" i="10"/>
  <c r="T162" i="10" s="1"/>
  <c r="J67" i="13"/>
  <c r="M67" i="13"/>
  <c r="E113" i="13"/>
  <c r="E131" i="13" s="1"/>
  <c r="Q64" i="13"/>
  <c r="E112" i="13"/>
  <c r="E316" i="13"/>
  <c r="Q76" i="13"/>
  <c r="Q75" i="13"/>
  <c r="E114" i="13"/>
  <c r="E132" i="13" s="1"/>
  <c r="R166" i="13"/>
  <c r="Q62" i="10"/>
  <c r="Q66" i="10"/>
  <c r="J64" i="11"/>
  <c r="M64" i="11"/>
  <c r="R171" i="11"/>
  <c r="Q73" i="10"/>
  <c r="T167" i="10" s="1"/>
  <c r="Q71" i="11"/>
  <c r="M60" i="11"/>
  <c r="Q60" i="11"/>
  <c r="E72" i="11"/>
  <c r="J60" i="11"/>
  <c r="Q72" i="11"/>
  <c r="E118" i="11"/>
  <c r="E136" i="11" s="1"/>
  <c r="E116" i="11"/>
  <c r="E134" i="11" s="1"/>
  <c r="E117" i="11"/>
  <c r="E135" i="11" s="1"/>
  <c r="G160" i="11"/>
  <c r="I160" i="11"/>
  <c r="J70" i="11" l="1"/>
  <c r="U166" i="10"/>
  <c r="X166" i="10" s="1"/>
  <c r="E154" i="10" s="1"/>
  <c r="Z166" i="10" s="1"/>
  <c r="C13" i="25"/>
  <c r="C13" i="26"/>
  <c r="H117" i="11"/>
  <c r="H135" i="11" s="1"/>
  <c r="J135" i="11" s="1"/>
  <c r="H153" i="10"/>
  <c r="J134" i="10"/>
  <c r="H72" i="11"/>
  <c r="H295" i="11" s="1"/>
  <c r="H118" i="13"/>
  <c r="H136" i="13" s="1"/>
  <c r="J136" i="13" s="1"/>
  <c r="H116" i="13"/>
  <c r="H134" i="13" s="1"/>
  <c r="AC159" i="13" s="1"/>
  <c r="H118" i="11"/>
  <c r="H136" i="11" s="1"/>
  <c r="J136" i="11" s="1"/>
  <c r="T72" i="11"/>
  <c r="U72" i="11" s="1"/>
  <c r="H117" i="13"/>
  <c r="H135" i="13" s="1"/>
  <c r="J135" i="13" s="1"/>
  <c r="T61" i="11"/>
  <c r="Q157" i="11" s="1"/>
  <c r="T60" i="11"/>
  <c r="T72" i="13"/>
  <c r="T82" i="13" s="1"/>
  <c r="H116" i="11"/>
  <c r="H134" i="11" s="1"/>
  <c r="AC159" i="11" s="1"/>
  <c r="U61" i="10"/>
  <c r="J72" i="10"/>
  <c r="H120" i="10"/>
  <c r="C122" i="10" s="1"/>
  <c r="T62" i="10"/>
  <c r="Q155" i="10" s="1"/>
  <c r="S176" i="10"/>
  <c r="S180" i="10" s="1"/>
  <c r="J70" i="13"/>
  <c r="U72" i="10"/>
  <c r="H72" i="13"/>
  <c r="H317" i="13" s="1"/>
  <c r="T60" i="13"/>
  <c r="T62" i="13" s="1"/>
  <c r="Q158" i="13" s="1"/>
  <c r="T82" i="10"/>
  <c r="T83" i="10" s="1"/>
  <c r="T71" i="13"/>
  <c r="T154" i="10"/>
  <c r="W154" i="10" s="1"/>
  <c r="H154" i="10" s="1"/>
  <c r="Z154" i="10" s="1"/>
  <c r="T73" i="10"/>
  <c r="T155" i="10" s="1"/>
  <c r="T66" i="11"/>
  <c r="Q154" i="11" s="1"/>
  <c r="H179" i="13"/>
  <c r="G203" i="13" s="1"/>
  <c r="G219" i="13" s="1"/>
  <c r="G265" i="13" s="1"/>
  <c r="E198" i="10"/>
  <c r="E218" i="10" s="1"/>
  <c r="E264" i="10" s="1"/>
  <c r="G198" i="10"/>
  <c r="G218" i="10" s="1"/>
  <c r="G264" i="10" s="1"/>
  <c r="G270" i="10" s="1"/>
  <c r="I198" i="10"/>
  <c r="I218" i="10" s="1"/>
  <c r="E199" i="10"/>
  <c r="H199" i="10"/>
  <c r="G205" i="13"/>
  <c r="G225" i="13" s="1"/>
  <c r="G271" i="13" s="1"/>
  <c r="E245" i="10"/>
  <c r="E252" i="11"/>
  <c r="P179" i="10"/>
  <c r="E247" i="11"/>
  <c r="E255" i="11" s="1"/>
  <c r="E206" i="13"/>
  <c r="I205" i="13"/>
  <c r="I225" i="13" s="1"/>
  <c r="H206" i="13"/>
  <c r="J316" i="13"/>
  <c r="F321" i="13" s="1"/>
  <c r="G321" i="13" s="1"/>
  <c r="E204" i="11"/>
  <c r="I203" i="11"/>
  <c r="I219" i="11" s="1"/>
  <c r="I265" i="11" s="1"/>
  <c r="I30" i="14" s="1"/>
  <c r="F203" i="11"/>
  <c r="F219" i="11" s="1"/>
  <c r="F222" i="11" s="1"/>
  <c r="F223" i="11" s="1"/>
  <c r="F269" i="11" s="1"/>
  <c r="F34" i="14" s="1"/>
  <c r="H204" i="11"/>
  <c r="E203" i="11"/>
  <c r="H180" i="11"/>
  <c r="I205" i="11" s="1"/>
  <c r="I225" i="11" s="1"/>
  <c r="H197" i="10"/>
  <c r="H213" i="10" s="1"/>
  <c r="F196" i="10"/>
  <c r="F212" i="10" s="1"/>
  <c r="F215" i="10" s="1"/>
  <c r="F216" i="10" s="1"/>
  <c r="F262" i="10" s="1"/>
  <c r="F66" i="14" s="1"/>
  <c r="H176" i="10"/>
  <c r="E197" i="10"/>
  <c r="G196" i="10"/>
  <c r="G212" i="10" s="1"/>
  <c r="G258" i="10" s="1"/>
  <c r="G269" i="10" s="1"/>
  <c r="W151" i="10"/>
  <c r="H151" i="10" s="1"/>
  <c r="H214" i="10" s="1"/>
  <c r="I196" i="10"/>
  <c r="I212" i="10" s="1"/>
  <c r="I258" i="10" s="1"/>
  <c r="I269" i="10" s="1"/>
  <c r="Q77" i="11"/>
  <c r="T166" i="11" s="1"/>
  <c r="H115" i="14"/>
  <c r="E240" i="10"/>
  <c r="E248" i="10" s="1"/>
  <c r="Q166" i="11"/>
  <c r="Q171" i="13"/>
  <c r="E115" i="14"/>
  <c r="E247" i="13"/>
  <c r="E255" i="13" s="1"/>
  <c r="E113" i="14"/>
  <c r="T77" i="11"/>
  <c r="T154" i="11" s="1"/>
  <c r="I160" i="13"/>
  <c r="F255" i="11"/>
  <c r="F248" i="10"/>
  <c r="F116" i="14"/>
  <c r="F117" i="14" s="1"/>
  <c r="F251" i="11"/>
  <c r="F244" i="10"/>
  <c r="F249" i="10" s="1"/>
  <c r="F251" i="13"/>
  <c r="F256" i="13" s="1"/>
  <c r="F255" i="13"/>
  <c r="Q166" i="13"/>
  <c r="F225" i="13"/>
  <c r="F160" i="13"/>
  <c r="J294" i="11"/>
  <c r="F299" i="11" s="1"/>
  <c r="G299" i="11" s="1"/>
  <c r="Z150" i="10"/>
  <c r="H247" i="13"/>
  <c r="H255" i="13" s="1"/>
  <c r="H240" i="10"/>
  <c r="H248" i="10" s="1"/>
  <c r="H247" i="11"/>
  <c r="H255" i="11" s="1"/>
  <c r="U65" i="11"/>
  <c r="U76" i="11"/>
  <c r="T86" i="11"/>
  <c r="T87" i="11" s="1"/>
  <c r="T153" i="11"/>
  <c r="W153" i="11" s="1"/>
  <c r="H153" i="11" s="1"/>
  <c r="H130" i="11"/>
  <c r="T77" i="13"/>
  <c r="T154" i="13" s="1"/>
  <c r="H130" i="13"/>
  <c r="H252" i="11"/>
  <c r="H252" i="13"/>
  <c r="H245" i="10"/>
  <c r="U65" i="13"/>
  <c r="Q153" i="13"/>
  <c r="U76" i="13"/>
  <c r="T86" i="13"/>
  <c r="T87" i="13" s="1"/>
  <c r="T153" i="13"/>
  <c r="T66" i="13"/>
  <c r="Q154" i="13" s="1"/>
  <c r="H113" i="14"/>
  <c r="H138" i="10"/>
  <c r="AC152" i="10"/>
  <c r="H149" i="10"/>
  <c r="Q77" i="13"/>
  <c r="T166" i="13" s="1"/>
  <c r="Q66" i="13"/>
  <c r="T170" i="11"/>
  <c r="R72" i="11"/>
  <c r="M72" i="11"/>
  <c r="Q170" i="11"/>
  <c r="Q61" i="11"/>
  <c r="Q82" i="11" s="1"/>
  <c r="Q83" i="11" s="1"/>
  <c r="Q171" i="11"/>
  <c r="AC173" i="13"/>
  <c r="E156" i="13"/>
  <c r="Z168" i="10"/>
  <c r="Q164" i="10"/>
  <c r="J131" i="11"/>
  <c r="E149" i="10"/>
  <c r="J130" i="10"/>
  <c r="E138" i="10"/>
  <c r="AC164" i="10"/>
  <c r="AC171" i="10" s="1"/>
  <c r="Q73" i="11"/>
  <c r="T171" i="11" s="1"/>
  <c r="Q62" i="11"/>
  <c r="T165" i="13"/>
  <c r="R76" i="13"/>
  <c r="J131" i="13"/>
  <c r="U162" i="10"/>
  <c r="X162" i="10" s="1"/>
  <c r="E151" i="10" s="1"/>
  <c r="W162" i="10"/>
  <c r="M72" i="13"/>
  <c r="Q61" i="13"/>
  <c r="Q82" i="13" s="1"/>
  <c r="Q83" i="13" s="1"/>
  <c r="Q170" i="13"/>
  <c r="E130" i="11"/>
  <c r="E120" i="11"/>
  <c r="AC173" i="11"/>
  <c r="E156" i="11"/>
  <c r="E295" i="11"/>
  <c r="U167" i="10"/>
  <c r="X167" i="10" s="1"/>
  <c r="E155" i="10" s="1"/>
  <c r="W167" i="10"/>
  <c r="E317" i="13"/>
  <c r="E205" i="13"/>
  <c r="Q66" i="11"/>
  <c r="U161" i="10"/>
  <c r="X161" i="10" s="1"/>
  <c r="E150" i="10" s="1"/>
  <c r="W161" i="10"/>
  <c r="Q169" i="10"/>
  <c r="J132" i="13"/>
  <c r="E120" i="13"/>
  <c r="E130" i="13"/>
  <c r="Q65" i="13"/>
  <c r="Q86" i="13" s="1"/>
  <c r="Q87" i="13" s="1"/>
  <c r="Q165" i="13"/>
  <c r="R72" i="13"/>
  <c r="T170" i="13"/>
  <c r="Q73" i="13"/>
  <c r="T171" i="13" s="1"/>
  <c r="Q62" i="13"/>
  <c r="J132" i="11"/>
  <c r="R76" i="11"/>
  <c r="T165" i="11"/>
  <c r="Q165" i="11"/>
  <c r="Q65" i="11"/>
  <c r="Q86" i="11" s="1"/>
  <c r="Q87" i="11" s="1"/>
  <c r="G276" i="11"/>
  <c r="J72" i="11" l="1"/>
  <c r="T157" i="13"/>
  <c r="W157" i="13" s="1"/>
  <c r="U176" i="10"/>
  <c r="U180" i="10" s="1"/>
  <c r="S179" i="10"/>
  <c r="T82" i="11"/>
  <c r="T83" i="11" s="1"/>
  <c r="T62" i="11"/>
  <c r="Q158" i="11" s="1"/>
  <c r="H156" i="13"/>
  <c r="J134" i="13"/>
  <c r="T157" i="11"/>
  <c r="W157" i="11" s="1"/>
  <c r="H157" i="11" s="1"/>
  <c r="U61" i="13"/>
  <c r="T73" i="13"/>
  <c r="T158" i="13" s="1"/>
  <c r="W158" i="13" s="1"/>
  <c r="H158" i="13" s="1"/>
  <c r="H227" i="13" s="1"/>
  <c r="U61" i="11"/>
  <c r="T73" i="11"/>
  <c r="T158" i="11" s="1"/>
  <c r="J134" i="11"/>
  <c r="H157" i="13"/>
  <c r="H226" i="13" s="1"/>
  <c r="H272" i="13" s="1"/>
  <c r="H120" i="11"/>
  <c r="C122" i="11" s="1"/>
  <c r="H156" i="11"/>
  <c r="T83" i="13"/>
  <c r="W155" i="10"/>
  <c r="H155" i="10" s="1"/>
  <c r="H220" i="10" s="1"/>
  <c r="H219" i="10"/>
  <c r="H265" i="10" s="1"/>
  <c r="G291" i="13"/>
  <c r="G11" i="14" s="1"/>
  <c r="G22" i="14" s="1"/>
  <c r="G297" i="13"/>
  <c r="G17" i="14" s="1"/>
  <c r="U72" i="13"/>
  <c r="H120" i="13"/>
  <c r="C122" i="13" s="1"/>
  <c r="J72" i="13"/>
  <c r="W154" i="11"/>
  <c r="H154" i="11" s="1"/>
  <c r="F203" i="13"/>
  <c r="F219" i="13" s="1"/>
  <c r="F222" i="13" s="1"/>
  <c r="F223" i="13" s="1"/>
  <c r="F269" i="13" s="1"/>
  <c r="H204" i="13"/>
  <c r="E204" i="13"/>
  <c r="E203" i="13"/>
  <c r="G276" i="13"/>
  <c r="I203" i="13"/>
  <c r="I219" i="13" s="1"/>
  <c r="I265" i="13" s="1"/>
  <c r="H181" i="13"/>
  <c r="G68" i="14"/>
  <c r="G74" i="14" s="1"/>
  <c r="E195" i="10"/>
  <c r="I276" i="11"/>
  <c r="I62" i="14"/>
  <c r="I73" i="14" s="1"/>
  <c r="G205" i="11"/>
  <c r="G225" i="11" s="1"/>
  <c r="G271" i="11" s="1"/>
  <c r="G36" i="14" s="1"/>
  <c r="F205" i="11"/>
  <c r="F225" i="11" s="1"/>
  <c r="F271" i="11" s="1"/>
  <c r="F36" i="14" s="1"/>
  <c r="E205" i="11"/>
  <c r="E225" i="11" s="1"/>
  <c r="E271" i="11" s="1"/>
  <c r="E36" i="14" s="1"/>
  <c r="H181" i="11"/>
  <c r="E206" i="11"/>
  <c r="H206" i="11"/>
  <c r="H195" i="10"/>
  <c r="F195" i="10"/>
  <c r="F222" i="10" s="1"/>
  <c r="Z151" i="10"/>
  <c r="Z152" i="10" s="1"/>
  <c r="F268" i="11"/>
  <c r="F33" i="14" s="1"/>
  <c r="F261" i="10"/>
  <c r="F65" i="14" s="1"/>
  <c r="F73" i="14" s="1"/>
  <c r="I195" i="10"/>
  <c r="I222" i="10" s="1"/>
  <c r="G195" i="10"/>
  <c r="G222" i="10" s="1"/>
  <c r="G277" i="13"/>
  <c r="G62" i="14"/>
  <c r="G73" i="14" s="1"/>
  <c r="J115" i="14"/>
  <c r="W166" i="11"/>
  <c r="U166" i="11"/>
  <c r="X166" i="11" s="1"/>
  <c r="E154" i="11" s="1"/>
  <c r="E221" i="11" s="1"/>
  <c r="E267" i="11" s="1"/>
  <c r="E32" i="14" s="1"/>
  <c r="W166" i="13"/>
  <c r="E116" i="14"/>
  <c r="E117" i="14" s="1"/>
  <c r="J317" i="13"/>
  <c r="F322" i="13" s="1"/>
  <c r="G322" i="13" s="1"/>
  <c r="G323" i="13" s="1"/>
  <c r="E253" i="13"/>
  <c r="E256" i="13" s="1"/>
  <c r="E257" i="13" s="1"/>
  <c r="E246" i="10"/>
  <c r="E249" i="10" s="1"/>
  <c r="E250" i="10" s="1"/>
  <c r="F250" i="10"/>
  <c r="E253" i="11"/>
  <c r="E256" i="11" s="1"/>
  <c r="E257" i="11" s="1"/>
  <c r="F257" i="13"/>
  <c r="F264" i="10"/>
  <c r="F270" i="10" s="1"/>
  <c r="F271" i="13"/>
  <c r="F256" i="11"/>
  <c r="F257" i="11" s="1"/>
  <c r="G271" i="10"/>
  <c r="G274" i="10" s="1"/>
  <c r="W154" i="13"/>
  <c r="H154" i="13" s="1"/>
  <c r="Z154" i="13" s="1"/>
  <c r="J295" i="11"/>
  <c r="F300" i="11" s="1"/>
  <c r="G300" i="11" s="1"/>
  <c r="G301" i="11" s="1"/>
  <c r="H260" i="10"/>
  <c r="H64" i="14" s="1"/>
  <c r="W153" i="13"/>
  <c r="H153" i="13" s="1"/>
  <c r="J255" i="13"/>
  <c r="J255" i="11"/>
  <c r="H253" i="13"/>
  <c r="H256" i="13" s="1"/>
  <c r="H246" i="10"/>
  <c r="H253" i="11"/>
  <c r="H256" i="11" s="1"/>
  <c r="H138" i="11"/>
  <c r="AC155" i="11"/>
  <c r="H152" i="11"/>
  <c r="H259" i="10"/>
  <c r="H116" i="14"/>
  <c r="AC155" i="13"/>
  <c r="H138" i="13"/>
  <c r="H152" i="13"/>
  <c r="Z153" i="11"/>
  <c r="H220" i="11"/>
  <c r="J248" i="10"/>
  <c r="N248" i="10" s="1"/>
  <c r="H157" i="10"/>
  <c r="Z161" i="10"/>
  <c r="E213" i="10"/>
  <c r="E259" i="10" s="1"/>
  <c r="E63" i="14" s="1"/>
  <c r="E214" i="10"/>
  <c r="E260" i="10" s="1"/>
  <c r="E64" i="14" s="1"/>
  <c r="Z162" i="10"/>
  <c r="Z172" i="11"/>
  <c r="J138" i="10"/>
  <c r="C140" i="10"/>
  <c r="C158" i="10" s="1"/>
  <c r="U170" i="13"/>
  <c r="X170" i="13" s="1"/>
  <c r="E157" i="13" s="1"/>
  <c r="W170" i="13"/>
  <c r="E220" i="10"/>
  <c r="Z167" i="10"/>
  <c r="AC168" i="11"/>
  <c r="AC175" i="11" s="1"/>
  <c r="E138" i="11"/>
  <c r="E152" i="11"/>
  <c r="J130" i="11"/>
  <c r="U165" i="13"/>
  <c r="X165" i="13" s="1"/>
  <c r="E153" i="13" s="1"/>
  <c r="W165" i="13"/>
  <c r="E138" i="13"/>
  <c r="E152" i="13"/>
  <c r="J130" i="13"/>
  <c r="AC168" i="13"/>
  <c r="AC175" i="13" s="1"/>
  <c r="E212" i="10"/>
  <c r="E258" i="10" s="1"/>
  <c r="Z163" i="10"/>
  <c r="E157" i="10"/>
  <c r="W165" i="11"/>
  <c r="U165" i="11"/>
  <c r="X165" i="11" s="1"/>
  <c r="E153" i="11" s="1"/>
  <c r="W171" i="13"/>
  <c r="U171" i="13"/>
  <c r="X171" i="13" s="1"/>
  <c r="E158" i="13" s="1"/>
  <c r="E219" i="10"/>
  <c r="E265" i="10" s="1"/>
  <c r="E69" i="14" s="1"/>
  <c r="W171" i="11"/>
  <c r="U171" i="11"/>
  <c r="X171" i="11" s="1"/>
  <c r="E158" i="11" s="1"/>
  <c r="Z172" i="13"/>
  <c r="E225" i="13"/>
  <c r="E271" i="13" s="1"/>
  <c r="U166" i="13"/>
  <c r="X166" i="13" s="1"/>
  <c r="E154" i="13" s="1"/>
  <c r="W170" i="11"/>
  <c r="U170" i="11"/>
  <c r="X170" i="11" s="1"/>
  <c r="E157" i="11" s="1"/>
  <c r="E68" i="14"/>
  <c r="Z157" i="13" l="1"/>
  <c r="C49" i="19"/>
  <c r="C47" i="25"/>
  <c r="W158" i="11"/>
  <c r="H158" i="11" s="1"/>
  <c r="Z158" i="11" s="1"/>
  <c r="U179" i="10"/>
  <c r="H222" i="10"/>
  <c r="G303" i="13"/>
  <c r="G42" i="14"/>
  <c r="G302" i="13"/>
  <c r="G41" i="14"/>
  <c r="H266" i="10"/>
  <c r="H70" i="14" s="1"/>
  <c r="Z155" i="10"/>
  <c r="Z156" i="10" s="1"/>
  <c r="I291" i="13"/>
  <c r="I11" i="14" s="1"/>
  <c r="I22" i="14" s="1"/>
  <c r="H298" i="13"/>
  <c r="H18" i="14" s="1"/>
  <c r="F295" i="13"/>
  <c r="E297" i="13"/>
  <c r="E17" i="14" s="1"/>
  <c r="F297" i="13"/>
  <c r="F17" i="14" s="1"/>
  <c r="G202" i="11"/>
  <c r="G229" i="11" s="1"/>
  <c r="I202" i="13"/>
  <c r="I229" i="13" s="1"/>
  <c r="Z154" i="11"/>
  <c r="Z155" i="11" s="1"/>
  <c r="H221" i="11"/>
  <c r="H267" i="11" s="1"/>
  <c r="H32" i="14" s="1"/>
  <c r="G278" i="13"/>
  <c r="G282" i="13" s="1"/>
  <c r="H202" i="13"/>
  <c r="H220" i="13"/>
  <c r="H266" i="13" s="1"/>
  <c r="I276" i="13"/>
  <c r="E202" i="13"/>
  <c r="F268" i="13"/>
  <c r="G202" i="13"/>
  <c r="G229" i="13" s="1"/>
  <c r="F202" i="13"/>
  <c r="F229" i="13" s="1"/>
  <c r="G277" i="11"/>
  <c r="G278" i="11" s="1"/>
  <c r="G282" i="11" s="1"/>
  <c r="Z166" i="11"/>
  <c r="I202" i="11"/>
  <c r="I229" i="11" s="1"/>
  <c r="E202" i="11"/>
  <c r="H202" i="11"/>
  <c r="F202" i="11"/>
  <c r="F229" i="11" s="1"/>
  <c r="F269" i="10"/>
  <c r="F271" i="10" s="1"/>
  <c r="F274" i="10" s="1"/>
  <c r="F276" i="11"/>
  <c r="Z157" i="11"/>
  <c r="Z159" i="11" s="1"/>
  <c r="E266" i="10"/>
  <c r="E70" i="14" s="1"/>
  <c r="E74" i="14" s="1"/>
  <c r="G75" i="14"/>
  <c r="C53" i="19"/>
  <c r="Z158" i="13"/>
  <c r="Z159" i="13" s="1"/>
  <c r="H226" i="11"/>
  <c r="H272" i="11" s="1"/>
  <c r="H37" i="14" s="1"/>
  <c r="F68" i="14"/>
  <c r="F74" i="14" s="1"/>
  <c r="F75" i="14" s="1"/>
  <c r="Z169" i="10"/>
  <c r="F277" i="13"/>
  <c r="H221" i="13"/>
  <c r="H267" i="13" s="1"/>
  <c r="Z153" i="13"/>
  <c r="Z155" i="13" s="1"/>
  <c r="F277" i="11"/>
  <c r="G275" i="10"/>
  <c r="H257" i="11"/>
  <c r="M200" i="11" s="1"/>
  <c r="H257" i="13"/>
  <c r="M200" i="13" s="1"/>
  <c r="H266" i="11"/>
  <c r="H31" i="14" s="1"/>
  <c r="M248" i="10"/>
  <c r="H249" i="10"/>
  <c r="H117" i="14"/>
  <c r="H160" i="11"/>
  <c r="H69" i="14"/>
  <c r="H269" i="10"/>
  <c r="H63" i="14"/>
  <c r="H73" i="14" s="1"/>
  <c r="H160" i="13"/>
  <c r="H273" i="13"/>
  <c r="E226" i="11"/>
  <c r="E272" i="11" s="1"/>
  <c r="E37" i="14" s="1"/>
  <c r="Z170" i="11"/>
  <c r="E227" i="11"/>
  <c r="E273" i="11" s="1"/>
  <c r="E38" i="14" s="1"/>
  <c r="Z171" i="11"/>
  <c r="E220" i="13"/>
  <c r="E266" i="13" s="1"/>
  <c r="Z165" i="13"/>
  <c r="Z170" i="13"/>
  <c r="E226" i="13"/>
  <c r="E272" i="13" s="1"/>
  <c r="E221" i="13"/>
  <c r="E267" i="13" s="1"/>
  <c r="Z166" i="13"/>
  <c r="E222" i="10"/>
  <c r="C140" i="11"/>
  <c r="C161" i="11" s="1"/>
  <c r="J138" i="11"/>
  <c r="Z164" i="10"/>
  <c r="E269" i="10"/>
  <c r="E62" i="14"/>
  <c r="E73" i="14" s="1"/>
  <c r="E219" i="13"/>
  <c r="E265" i="13" s="1"/>
  <c r="E160" i="13"/>
  <c r="Z167" i="13"/>
  <c r="E227" i="13"/>
  <c r="E273" i="13" s="1"/>
  <c r="Z171" i="13"/>
  <c r="C140" i="13"/>
  <c r="C161" i="13" s="1"/>
  <c r="J138" i="13"/>
  <c r="Z167" i="11"/>
  <c r="E160" i="11"/>
  <c r="E219" i="11"/>
  <c r="E265" i="11" s="1"/>
  <c r="E30" i="14" s="1"/>
  <c r="E220" i="11"/>
  <c r="E266" i="11" s="1"/>
  <c r="E31" i="14" s="1"/>
  <c r="Z165" i="11"/>
  <c r="C45" i="28" l="1"/>
  <c r="D45" i="28" s="1"/>
  <c r="E45" i="28" s="1"/>
  <c r="D47" i="25"/>
  <c r="E47" i="25"/>
  <c r="C47" i="26"/>
  <c r="G304" i="13"/>
  <c r="G308" i="13" s="1"/>
  <c r="F15" i="14"/>
  <c r="F87" i="14" s="1"/>
  <c r="H227" i="11"/>
  <c r="H273" i="11" s="1"/>
  <c r="H38" i="14" s="1"/>
  <c r="C288" i="10"/>
  <c r="H270" i="10"/>
  <c r="H271" i="10" s="1"/>
  <c r="H274" i="10" s="1"/>
  <c r="G43" i="14"/>
  <c r="G83" i="14"/>
  <c r="G94" i="14" s="1"/>
  <c r="F303" i="13"/>
  <c r="F42" i="14"/>
  <c r="F23" i="14"/>
  <c r="G23" i="14"/>
  <c r="G24" i="14" s="1"/>
  <c r="I302" i="13"/>
  <c r="I41" i="14"/>
  <c r="H74" i="14"/>
  <c r="H75" i="14" s="1"/>
  <c r="H299" i="13"/>
  <c r="H19" i="14" s="1"/>
  <c r="H293" i="13"/>
  <c r="H13" i="14" s="1"/>
  <c r="E293" i="13"/>
  <c r="E299" i="13"/>
  <c r="E19" i="14" s="1"/>
  <c r="E291" i="13"/>
  <c r="E11" i="14" s="1"/>
  <c r="E292" i="13"/>
  <c r="E12" i="14" s="1"/>
  <c r="E298" i="13"/>
  <c r="E18" i="14" s="1"/>
  <c r="H292" i="13"/>
  <c r="H12" i="14" s="1"/>
  <c r="F294" i="13"/>
  <c r="F14" i="14" s="1"/>
  <c r="F22" i="14" s="1"/>
  <c r="G281" i="13"/>
  <c r="D49" i="19"/>
  <c r="F276" i="13"/>
  <c r="F278" i="13" s="1"/>
  <c r="F281" i="13" s="1"/>
  <c r="G281" i="11"/>
  <c r="E270" i="10"/>
  <c r="E271" i="10" s="1"/>
  <c r="F275" i="10"/>
  <c r="H229" i="11"/>
  <c r="H229" i="13"/>
  <c r="F278" i="11"/>
  <c r="F281" i="11" s="1"/>
  <c r="Z168" i="11"/>
  <c r="H277" i="13"/>
  <c r="H276" i="11"/>
  <c r="H276" i="13"/>
  <c r="H250" i="10"/>
  <c r="E277" i="13"/>
  <c r="Z168" i="13"/>
  <c r="Z173" i="11"/>
  <c r="E89" i="14"/>
  <c r="E229" i="11"/>
  <c r="J73" i="14"/>
  <c r="E75" i="14"/>
  <c r="E277" i="11"/>
  <c r="J269" i="10"/>
  <c r="Z173" i="13"/>
  <c r="E229" i="13"/>
  <c r="E276" i="11"/>
  <c r="E276" i="13"/>
  <c r="E47" i="26" l="1"/>
  <c r="D47" i="26"/>
  <c r="G307" i="13"/>
  <c r="O161" i="14"/>
  <c r="E13" i="14"/>
  <c r="E85" i="14" s="1"/>
  <c r="H277" i="11"/>
  <c r="H278" i="11" s="1"/>
  <c r="H281" i="11" s="1"/>
  <c r="D53" i="19"/>
  <c r="D49" i="28"/>
  <c r="N289" i="10"/>
  <c r="D289" i="10"/>
  <c r="I83" i="14"/>
  <c r="F89" i="14"/>
  <c r="G89" i="14"/>
  <c r="F24" i="14"/>
  <c r="H302" i="13"/>
  <c r="H84" i="14"/>
  <c r="H303" i="13"/>
  <c r="H42" i="14"/>
  <c r="F302" i="13"/>
  <c r="F304" i="13" s="1"/>
  <c r="F308" i="13" s="1"/>
  <c r="F41" i="14"/>
  <c r="F43" i="14" s="1"/>
  <c r="H85" i="14"/>
  <c r="H128" i="14" s="1"/>
  <c r="E303" i="13"/>
  <c r="E302" i="13"/>
  <c r="E49" i="19"/>
  <c r="F45" i="28" s="1"/>
  <c r="H23" i="14"/>
  <c r="H90" i="14"/>
  <c r="E23" i="14"/>
  <c r="E90" i="14"/>
  <c r="E91" i="14"/>
  <c r="E42" i="14"/>
  <c r="E84" i="14"/>
  <c r="E41" i="14"/>
  <c r="E132" i="14"/>
  <c r="F282" i="13"/>
  <c r="F282" i="11"/>
  <c r="H22" i="14"/>
  <c r="H275" i="10"/>
  <c r="H278" i="13"/>
  <c r="H282" i="13" s="1"/>
  <c r="N295" i="10"/>
  <c r="C295" i="10"/>
  <c r="E278" i="13"/>
  <c r="J276" i="13"/>
  <c r="E275" i="10"/>
  <c r="E83" i="14"/>
  <c r="E274" i="10"/>
  <c r="J276" i="11"/>
  <c r="E278" i="11"/>
  <c r="E22" i="14" l="1"/>
  <c r="J22" i="14" s="1"/>
  <c r="T295" i="10"/>
  <c r="H91" i="14"/>
  <c r="I295" i="10"/>
  <c r="I94" i="14"/>
  <c r="F95" i="14"/>
  <c r="I126" i="14"/>
  <c r="G95" i="14"/>
  <c r="G96" i="14" s="1"/>
  <c r="F86" i="14"/>
  <c r="O160" i="14" s="1"/>
  <c r="H304" i="13"/>
  <c r="H308" i="13" s="1"/>
  <c r="H41" i="14"/>
  <c r="H43" i="14" s="1"/>
  <c r="E304" i="13"/>
  <c r="E308" i="13" s="1"/>
  <c r="J302" i="13"/>
  <c r="F307" i="13"/>
  <c r="F47" i="26"/>
  <c r="F47" i="25"/>
  <c r="F49" i="19"/>
  <c r="H133" i="14"/>
  <c r="H24" i="14"/>
  <c r="E43" i="14"/>
  <c r="E95" i="14"/>
  <c r="E126" i="14"/>
  <c r="H282" i="11"/>
  <c r="H281" i="13"/>
  <c r="H127" i="14"/>
  <c r="H94" i="14"/>
  <c r="E282" i="13"/>
  <c r="C306" i="11"/>
  <c r="G306" i="11" s="1"/>
  <c r="E94" i="14"/>
  <c r="E282" i="11"/>
  <c r="E24" i="14"/>
  <c r="E281" i="13"/>
  <c r="E281" i="11"/>
  <c r="C328" i="13"/>
  <c r="G328" i="13" s="1"/>
  <c r="H134" i="14" l="1"/>
  <c r="H95" i="14"/>
  <c r="H96" i="14" s="1"/>
  <c r="O159" i="14"/>
  <c r="F162" i="14" s="1"/>
  <c r="J41" i="14"/>
  <c r="H307" i="13"/>
  <c r="F94" i="14"/>
  <c r="F96" i="14" s="1"/>
  <c r="E307" i="13"/>
  <c r="E96" i="14"/>
  <c r="F163" i="14" l="1"/>
  <c r="J94" i="14"/>
  <c r="H136" i="14"/>
  <c r="I251" i="11" l="1"/>
  <c r="I256" i="11" s="1"/>
  <c r="I251" i="13" l="1"/>
  <c r="I244" i="10"/>
  <c r="I264" i="10" s="1"/>
  <c r="I116" i="14"/>
  <c r="I117" i="14" s="1"/>
  <c r="J117" i="14" s="1"/>
  <c r="I257" i="11"/>
  <c r="J257" i="11" s="1"/>
  <c r="J256" i="11"/>
  <c r="I271" i="11"/>
  <c r="I36" i="14" s="1"/>
  <c r="I249" i="10" l="1"/>
  <c r="I250" i="10" s="1"/>
  <c r="J250" i="10" s="1"/>
  <c r="J116" i="14"/>
  <c r="I256" i="13"/>
  <c r="I271" i="13"/>
  <c r="I270" i="10"/>
  <c r="I68" i="14"/>
  <c r="I74" i="14" s="1"/>
  <c r="I277" i="11"/>
  <c r="I297" i="13" l="1"/>
  <c r="I17" i="14" s="1"/>
  <c r="I23" i="14" s="1"/>
  <c r="I24" i="14" s="1"/>
  <c r="J24" i="14" s="1"/>
  <c r="J249" i="10"/>
  <c r="M249" i="10" s="1"/>
  <c r="M250" i="10" s="1"/>
  <c r="J256" i="13"/>
  <c r="I257" i="13"/>
  <c r="J257" i="13" s="1"/>
  <c r="I277" i="13"/>
  <c r="J277" i="11"/>
  <c r="I278" i="11"/>
  <c r="I282" i="11" s="1"/>
  <c r="J74" i="14"/>
  <c r="I75" i="14"/>
  <c r="J75" i="14" s="1"/>
  <c r="J270" i="10"/>
  <c r="I271" i="10"/>
  <c r="I303" i="13" l="1"/>
  <c r="I304" i="13" s="1"/>
  <c r="I42" i="14"/>
  <c r="J42" i="14" s="1"/>
  <c r="G126" i="14"/>
  <c r="G132" i="14"/>
  <c r="G136" i="14"/>
  <c r="E127" i="14"/>
  <c r="E128" i="14"/>
  <c r="E133" i="14"/>
  <c r="E134" i="14"/>
  <c r="E136" i="14"/>
  <c r="F130" i="14"/>
  <c r="F132" i="14"/>
  <c r="F129" i="14"/>
  <c r="F136" i="14"/>
  <c r="N249" i="10"/>
  <c r="J23" i="14"/>
  <c r="J277" i="13"/>
  <c r="I278" i="13"/>
  <c r="C307" i="11"/>
  <c r="G307" i="11" s="1"/>
  <c r="I274" i="10"/>
  <c r="J271" i="10"/>
  <c r="J274" i="10" s="1"/>
  <c r="N296" i="10"/>
  <c r="T296" i="10" s="1"/>
  <c r="C296" i="10"/>
  <c r="I296" i="10" s="1"/>
  <c r="I275" i="10"/>
  <c r="J278" i="11"/>
  <c r="I281" i="11"/>
  <c r="C50" i="19" l="1"/>
  <c r="C54" i="19" s="1"/>
  <c r="C48" i="25"/>
  <c r="J303" i="13"/>
  <c r="I43" i="14"/>
  <c r="J43" i="14" s="1"/>
  <c r="I89" i="14"/>
  <c r="I132" i="14" s="1"/>
  <c r="I307" i="13"/>
  <c r="J304" i="13"/>
  <c r="J307" i="13" s="1"/>
  <c r="I308" i="13"/>
  <c r="J282" i="11"/>
  <c r="M201" i="11"/>
  <c r="N250" i="10"/>
  <c r="I300" i="10"/>
  <c r="E46" i="19" s="1"/>
  <c r="E42" i="28" s="1"/>
  <c r="I299" i="10"/>
  <c r="E45" i="19" s="1"/>
  <c r="C329" i="13"/>
  <c r="G329" i="13" s="1"/>
  <c r="I282" i="13"/>
  <c r="J278" i="13"/>
  <c r="I281" i="13"/>
  <c r="J281" i="11"/>
  <c r="C291" i="11"/>
  <c r="J275" i="10"/>
  <c r="C46" i="28" l="1"/>
  <c r="D46" i="28" s="1"/>
  <c r="E46" i="28" s="1"/>
  <c r="C48" i="26"/>
  <c r="E48" i="25"/>
  <c r="D48" i="25"/>
  <c r="E53" i="19"/>
  <c r="E41" i="28"/>
  <c r="E49" i="28" s="1"/>
  <c r="I95" i="14"/>
  <c r="J95" i="14" s="1"/>
  <c r="M201" i="13"/>
  <c r="J308" i="13"/>
  <c r="E43" i="26"/>
  <c r="E51" i="26" s="1"/>
  <c r="E43" i="25"/>
  <c r="E44" i="26"/>
  <c r="E44" i="25"/>
  <c r="D50" i="19"/>
  <c r="C313" i="13"/>
  <c r="J281" i="13"/>
  <c r="J282" i="13"/>
  <c r="E48" i="26" l="1"/>
  <c r="D48" i="26"/>
  <c r="D54" i="19"/>
  <c r="D50" i="28"/>
  <c r="D51" i="28" s="1"/>
  <c r="I96" i="14"/>
  <c r="J96" i="14" s="1"/>
  <c r="C144" i="14" s="1"/>
  <c r="E50" i="19"/>
  <c r="E54" i="19" l="1"/>
  <c r="E55" i="19" s="1"/>
  <c r="I136" i="14"/>
  <c r="E52" i="26"/>
  <c r="F50" i="19"/>
  <c r="C18" i="19" s="1"/>
  <c r="D145" i="14"/>
  <c r="D146" i="14"/>
  <c r="F46" i="28" l="1"/>
  <c r="C18" i="28" s="1"/>
  <c r="C19" i="28" s="1"/>
  <c r="C20" i="28" s="1"/>
  <c r="C34" i="28" s="1"/>
  <c r="E50" i="28"/>
  <c r="E51" i="28" s="1"/>
  <c r="C19" i="19"/>
  <c r="F48" i="25"/>
  <c r="C18" i="25" s="1"/>
  <c r="F48" i="26"/>
  <c r="C18" i="26" s="1"/>
  <c r="D18" i="26" s="1"/>
  <c r="D19" i="26" s="1"/>
  <c r="D20" i="26" s="1"/>
  <c r="D36" i="26" s="1"/>
  <c r="F157" i="14"/>
  <c r="G165" i="14"/>
  <c r="G157" i="14"/>
  <c r="I169" i="14"/>
  <c r="E169" i="14"/>
  <c r="F169" i="14"/>
  <c r="E159" i="14"/>
  <c r="I157" i="14"/>
  <c r="H166" i="14"/>
  <c r="F165" i="14"/>
  <c r="E158" i="14"/>
  <c r="H167" i="14"/>
  <c r="H159" i="14"/>
  <c r="E167" i="14"/>
  <c r="G169" i="14"/>
  <c r="I165" i="14"/>
  <c r="H169" i="14"/>
  <c r="E157" i="14"/>
  <c r="E165" i="14"/>
  <c r="H158" i="14"/>
  <c r="E166" i="14"/>
  <c r="D51" i="26" l="1"/>
  <c r="D52" i="26"/>
  <c r="C35" i="28"/>
  <c r="C49" i="28"/>
  <c r="F49" i="28" s="1"/>
  <c r="C50" i="28"/>
  <c r="E53" i="26"/>
  <c r="C51" i="28" l="1"/>
  <c r="F50" i="28"/>
  <c r="F51" i="28" s="1"/>
  <c r="F53" i="28" s="1"/>
  <c r="D55" i="19"/>
  <c r="F54" i="19"/>
  <c r="C55" i="19"/>
  <c r="F53" i="19"/>
  <c r="F55" i="19" l="1"/>
  <c r="F57" i="19" s="1"/>
  <c r="C40" i="25" l="1"/>
  <c r="E40" i="25" l="1"/>
  <c r="C15" i="25" s="1"/>
  <c r="C16" i="25" s="1"/>
  <c r="D40" i="25"/>
  <c r="C17" i="25" l="1"/>
  <c r="C19" i="25"/>
  <c r="E51" i="25"/>
  <c r="E52" i="25"/>
  <c r="C20" i="25" l="1"/>
  <c r="D34" i="25" s="1"/>
  <c r="E53" i="25"/>
  <c r="C34" i="25" l="1"/>
  <c r="C52" i="25" s="1"/>
  <c r="D36" i="25"/>
  <c r="D52" i="25"/>
  <c r="D51" i="25"/>
  <c r="C16" i="26"/>
  <c r="C19" i="26" s="1"/>
  <c r="C36" i="25" l="1"/>
  <c r="C51" i="25"/>
  <c r="C53" i="25" s="1"/>
  <c r="D53" i="25"/>
  <c r="F52" i="25"/>
  <c r="C17" i="26"/>
  <c r="C20" i="26" s="1"/>
  <c r="F51" i="25" l="1"/>
  <c r="F53" i="25" s="1"/>
  <c r="F55" i="25" s="1"/>
  <c r="C36" i="26"/>
  <c r="C37" i="26" s="1"/>
  <c r="C52" i="26" l="1"/>
  <c r="C51" i="26"/>
  <c r="D37" i="26"/>
  <c r="C53" i="26" l="1"/>
  <c r="F51" i="26"/>
  <c r="D53" i="26"/>
  <c r="F52" i="26"/>
  <c r="F53" i="26" l="1"/>
  <c r="F55" i="2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40A6D2F-AFA9-4D8E-B548-8344B8436F5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00000000-0006-0000-0200-000003000000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</author>
  </authors>
  <commentList>
    <comment ref="C31" authorId="0" shapeId="0" xr:uid="{D2794C1F-19AA-4C16-8426-056D1697CCA0}">
      <text>
        <r>
          <rPr>
            <b/>
            <sz val="8"/>
            <color indexed="81"/>
            <rFont val="Tahoma"/>
            <family val="2"/>
          </rPr>
          <t xml:space="preserve">6/1/19-5/31/20
</t>
        </r>
      </text>
    </comment>
    <comment ref="D31" authorId="0" shapeId="0" xr:uid="{4C3C29C3-F92C-46D7-A5C5-CB0EAE259615}">
      <text>
        <r>
          <rPr>
            <b/>
            <sz val="8"/>
            <color indexed="81"/>
            <rFont val="Tahoma"/>
            <family val="2"/>
          </rPr>
          <t xml:space="preserve">6/1/20-5/31/21
</t>
        </r>
      </text>
    </comment>
    <comment ref="E31" authorId="0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6/1/21-5/31/22
</t>
        </r>
      </text>
    </comment>
  </commentList>
</comments>
</file>

<file path=xl/sharedStrings.xml><?xml version="1.0" encoding="utf-8"?>
<sst xmlns="http://schemas.openxmlformats.org/spreadsheetml/2006/main" count="1888" uniqueCount="437">
  <si>
    <t>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</si>
  <si>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</si>
  <si>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</si>
  <si>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</si>
  <si>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</si>
  <si>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</si>
  <si>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</si>
  <si>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</si>
  <si>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</si>
  <si>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</si>
  <si>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</si>
  <si>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</si>
  <si>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</si>
  <si>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</si>
  <si>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On-Peak</t>
  </si>
  <si>
    <t>Off-Peak</t>
  </si>
  <si>
    <t>Annual</t>
  </si>
  <si>
    <t>Summer - all hrs</t>
  </si>
  <si>
    <t>Winter - all hrs</t>
  </si>
  <si>
    <t>Forwards Prices - Energy Only @ bulk system</t>
  </si>
  <si>
    <t>Expansion Factor =</t>
  </si>
  <si>
    <t>in $/MWh</t>
  </si>
  <si>
    <t>Losses</t>
  </si>
  <si>
    <t>Loss Factors =</t>
  </si>
  <si>
    <t>Profile Meter Data</t>
  </si>
  <si>
    <t>Summer</t>
  </si>
  <si>
    <t>Winter</t>
  </si>
  <si>
    <t>On-Peak periods defined as the 16 hr PJM Trading period, adj for NERC holidays</t>
  </si>
  <si>
    <t>winter MWh =</t>
  </si>
  <si>
    <t>summer MWh =</t>
  </si>
  <si>
    <t>Table #1</t>
  </si>
  <si>
    <t>Table #2</t>
  </si>
  <si>
    <t>Table #5</t>
  </si>
  <si>
    <t>Table #6</t>
  </si>
  <si>
    <t>Table #7</t>
  </si>
  <si>
    <t>Table #8</t>
  </si>
  <si>
    <t>Table #3</t>
  </si>
  <si>
    <t>Table #4</t>
  </si>
  <si>
    <t>in MWh</t>
  </si>
  <si>
    <t>N/A</t>
  </si>
  <si>
    <t>----</t>
  </si>
  <si>
    <t>PJM on pk</t>
  </si>
  <si>
    <t>PJM off pk</t>
  </si>
  <si>
    <t>in $1000</t>
  </si>
  <si>
    <t>System Total</t>
  </si>
  <si>
    <t>Adjusted to Billing Time Periods</t>
  </si>
  <si>
    <t>On-Peak periods as defined in specified rate schedule</t>
  </si>
  <si>
    <t>% Usage During PJM On-Peak Period</t>
  </si>
  <si>
    <t>Class Usage @ customer</t>
  </si>
  <si>
    <t>Summary of Average BGS Energy Only Costs @ customer - PJM Time Periods</t>
  </si>
  <si>
    <t>Development of Post Transition Period BGS Cost and Bid Factors</t>
  </si>
  <si>
    <t>Summary of Average BGS Energy Only Unit Costs @ customer - PJM Time Periods</t>
  </si>
  <si>
    <t>RT</t>
  </si>
  <si>
    <t>GS</t>
  </si>
  <si>
    <t>GST</t>
  </si>
  <si>
    <t>OL/SL</t>
  </si>
  <si>
    <t>Other Analysis</t>
  </si>
  <si>
    <t>% Usage During JCP&amp;L On-Peak Billing Period</t>
  </si>
  <si>
    <t>Delta between PJM and Tariff based On-Peak kWh</t>
  </si>
  <si>
    <t>WH</t>
  </si>
  <si>
    <t>RGT</t>
  </si>
  <si>
    <t>RT{1}</t>
  </si>
  <si>
    <t>RS{2}</t>
  </si>
  <si>
    <t>WH RS</t>
  </si>
  <si>
    <t>WH GS</t>
  </si>
  <si>
    <t>GS{3}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</si>
  <si>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</si>
  <si>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</si>
  <si>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</si>
  <si>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 xml:space="preserve">Jersey Central Power &amp; Light </t>
  </si>
  <si>
    <t>Table #9</t>
  </si>
  <si>
    <t>Summary of Average BGS Energy Only Unit Costs @ customer - JCP&amp;L Time Periods</t>
  </si>
  <si>
    <t>JCP&amp;L On pk</t>
  </si>
  <si>
    <t>JCP&amp;L Off pk</t>
  </si>
  <si>
    <t>Annual Average</t>
  </si>
  <si>
    <t>System Average</t>
  </si>
  <si>
    <t>Table #10</t>
  </si>
  <si>
    <t>in MW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</si>
  <si>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</si>
  <si>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</si>
  <si>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</si>
  <si>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</si>
  <si>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</si>
  <si>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</si>
  <si>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</si>
  <si>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</si>
  <si>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</si>
  <si>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</si>
  <si>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$/MW/day</t>
  </si>
  <si>
    <t>Table #11</t>
  </si>
  <si>
    <t>Ancillary Services</t>
  </si>
  <si>
    <t>forecasted overall annual average</t>
  </si>
  <si>
    <t>$/MWh</t>
  </si>
  <si>
    <t>Table #12</t>
  </si>
  <si>
    <t>Transmission Obl - all months</t>
  </si>
  <si>
    <t>Table #13</t>
  </si>
  <si>
    <t>Summary of BGS Unit Costs @ customer</t>
  </si>
  <si>
    <t>NON-DEMAND RATES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</si>
  <si>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</si>
  <si>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</si>
  <si>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</si>
  <si>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</si>
  <si>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ALL RATES</t>
  </si>
  <si>
    <t>Grand Total Cost in $1000 =</t>
  </si>
  <si>
    <t>All-In Average costs @ bulk system =</t>
  </si>
  <si>
    <t>per MWh at bulk system (per bulk system metered MWh)</t>
  </si>
  <si>
    <t>Table #14</t>
  </si>
  <si>
    <t>Annual - all hrs</t>
  </si>
  <si>
    <t>Assumptions:</t>
  </si>
  <si>
    <t>Analysis time period =</t>
  </si>
  <si>
    <t>summer months</t>
  </si>
  <si>
    <t>winter months</t>
  </si>
  <si>
    <t>Ancillary Services =</t>
  </si>
  <si>
    <t>per MWh</t>
  </si>
  <si>
    <t>Energy Costs =</t>
  </si>
  <si>
    <t>Usage patterns =</t>
  </si>
  <si>
    <t>Obligations =</t>
  </si>
  <si>
    <t>Losses =</t>
  </si>
  <si>
    <t>PJM Time Periods =</t>
  </si>
  <si>
    <t xml:space="preserve">     holidays - New Year's, Memorial, 4th of July, Labor Day, Thanksgiving &amp; Christmas</t>
  </si>
  <si>
    <t>JCP&amp;L Billing time periods =</t>
  </si>
  <si>
    <t>GST On-peak hours are 8 am to 8 pm prevailing time, Monday through Friday.</t>
  </si>
  <si>
    <t>MWhs in PJM time periods</t>
  </si>
  <si>
    <t>Difference in MWhs</t>
  </si>
  <si>
    <t>Check on total $ recovered</t>
  </si>
  <si>
    <t>PJM time periods (Table #8)</t>
  </si>
  <si>
    <t>MWhs in JCP&amp;L time periods</t>
  </si>
  <si>
    <t>(PJM - JCP&amp;L)</t>
  </si>
  <si>
    <t>JCP&amp;L time periods</t>
  </si>
  <si>
    <t>Tariff Based kWh</t>
  </si>
  <si>
    <t>PJM based kWh</t>
  </si>
  <si>
    <t>Generation Obl $/MWh - all months</t>
  </si>
  <si>
    <t>Generation Capacity Cost =</t>
  </si>
  <si>
    <t>Table #15</t>
  </si>
  <si>
    <t>Total Costs by Rate - in $1000</t>
  </si>
  <si>
    <t>Total Costs - in $1000</t>
  </si>
  <si>
    <t>% of Annual Total $</t>
  </si>
  <si>
    <t>per MWh @ bulk system</t>
  </si>
  <si>
    <t>Table #16</t>
  </si>
  <si>
    <t>Generation &amp; Transmission Obligations and Costs and Other Adjustments</t>
  </si>
  <si>
    <t>Charges</t>
  </si>
  <si>
    <t>% usage</t>
  </si>
  <si>
    <t>Block 1 (0-600 kWh/m)</t>
  </si>
  <si>
    <t>¢/kWh</t>
  </si>
  <si>
    <t>Block 2 (&gt;600 kWh/m)</t>
  </si>
  <si>
    <t>off-peak=&gt;</t>
  </si>
  <si>
    <t>on-peak=&gt;</t>
  </si>
  <si>
    <t>On-peak kWh=&gt;</t>
  </si>
  <si>
    <t>Winter MWh =&gt;</t>
  </si>
  <si>
    <t>Summer MWh =&gt;</t>
  </si>
  <si>
    <t>Associated $=&gt;</t>
  </si>
  <si>
    <t>First Block (0-600 kWh/month)=&gt;</t>
  </si>
  <si>
    <t>Second Block (&gt;600 kWh/month)=&gt;</t>
  </si>
  <si>
    <t>Residential summer BGS + Transmission charge differential</t>
  </si>
  <si>
    <t>per BPU and summer blocking percentages</t>
  </si>
  <si>
    <t>Differential (Excl. SUT)</t>
  </si>
  <si>
    <t>Constant for Block 1 (0-600 kWh/m) usage (Excl. SUT)</t>
  </si>
  <si>
    <t>Constant for Block 2 (&gt;600 kWh/m) usage (Excl. SUT)</t>
  </si>
  <si>
    <t>Transmission charges will be based on Retail Tariff rates for the applicable rate schedules</t>
  </si>
  <si>
    <t>Transmission cost =</t>
  </si>
  <si>
    <t>per MW day Summer</t>
  </si>
  <si>
    <t>per MW day Winter</t>
  </si>
  <si>
    <t>Summer Total</t>
  </si>
  <si>
    <t>Winter Total</t>
  </si>
  <si>
    <t>Annual Total</t>
  </si>
  <si>
    <t>TOTAL</t>
  </si>
  <si>
    <t xml:space="preserve"> Consistent with Losses as approved by the BPU</t>
  </si>
  <si>
    <t>Summary of Obligation Costs Expressed as $/MWh @ customer</t>
  </si>
  <si>
    <t>Summary of Total Estimated BGS Costs by Season</t>
  </si>
  <si>
    <t>Off/On Pk</t>
  </si>
  <si>
    <t>LMP ratio</t>
  </si>
  <si>
    <t>based on Forwards prices corrected for zone-hub differential and losses - PJM time periods</t>
  </si>
  <si>
    <t>based on Forwards prices corrected for zone-hub differential and losses</t>
  </si>
  <si>
    <t>based on Forwards prices corrected for zone-hub differential and losses - JCP&amp;L billing time periods</t>
  </si>
  <si>
    <t>Based on 3 Year Average</t>
  </si>
  <si>
    <t>Zone-Hub Basis Differential</t>
  </si>
  <si>
    <t>Ratio to All-In Cost (rounded to 4 decimal places)</t>
  </si>
  <si>
    <t>&lt;=on-peak=&gt;</t>
  </si>
  <si>
    <t>&lt;=off-peak=&gt;</t>
  </si>
  <si>
    <t xml:space="preserve">RT Less </t>
  </si>
  <si>
    <t>Water Heating</t>
  </si>
  <si>
    <t>OPWH</t>
  </si>
  <si>
    <t>CTWH RS</t>
  </si>
  <si>
    <t>CTWH RSH</t>
  </si>
  <si>
    <t>CTWH GS</t>
  </si>
  <si>
    <t>CTWH Total</t>
  </si>
  <si>
    <t>WH On</t>
  </si>
  <si>
    <t>Attachment 2</t>
  </si>
  <si>
    <t>The Holidays identified by PJM are not excluded from the RT or GST Billing On-Peak kWh.</t>
  </si>
  <si>
    <t>RT On-peak hours are 8 am to 8 pm Eastern Standard Time, Monday through Friday.</t>
  </si>
  <si>
    <t>(data rounded to nearest .01 %)</t>
  </si>
  <si>
    <t>Average</t>
  </si>
  <si>
    <t>For Calculation</t>
  </si>
  <si>
    <t>On-Peak=&gt;</t>
  </si>
  <si>
    <t>Off-Peak=&gt;</t>
  </si>
  <si>
    <t>Average=&gt;</t>
  </si>
  <si>
    <t>For Proof</t>
  </si>
  <si>
    <t>Proof</t>
  </si>
  <si>
    <t>Generation Obl $/MWh - Summer - All Hours</t>
  </si>
  <si>
    <t>Generation Obl $/MWh - Summer - On-Peak Hours</t>
  </si>
  <si>
    <t>Generation Obl $/MWh - Winter - On-Peak Hours</t>
  </si>
  <si>
    <t>Generation Obl $/MWh - Winter - All Hours</t>
  </si>
  <si>
    <t>{1} For BGS purposes the RT rate class includes the RS and GS rate class Off-Peak (OPWH) and Controlled Water Heating (CTWH) provisions.  The RT rate class also includes the</t>
  </si>
  <si>
    <t>GST {4}</t>
  </si>
  <si>
    <t>CTWH</t>
  </si>
  <si>
    <t>On-Peak PJM</t>
  </si>
  <si>
    <t>Hours Mon=&gt;Fri</t>
  </si>
  <si>
    <t>On-peak</t>
  </si>
  <si>
    <t>Hours</t>
  </si>
  <si>
    <t>%</t>
  </si>
  <si>
    <t>Average Daily</t>
  </si>
  <si>
    <t>WH Off</t>
  </si>
  <si>
    <t>% usage during Off-Peak period</t>
  </si>
  <si>
    <t xml:space="preserve">  summer billing month RGT rate class usage.  OPWH and CTWH is billed on the average RT rates, while RT and Summer RGT use is billed at on-peak and off-peak rates.</t>
  </si>
  <si>
    <t xml:space="preserve"> PJM trading time periods - 7 AM to 11 PM weekdays, local time, excluding NERC </t>
  </si>
  <si>
    <t>1st</t>
  </si>
  <si>
    <t>2nd</t>
  </si>
  <si>
    <t>total</t>
  </si>
  <si>
    <t>Adjusted</t>
  </si>
  <si>
    <t>includes energy, Generation and Transmission obligations, and Ancillary Services - adjusted to billing time periods</t>
  </si>
  <si>
    <t>Seasonal Payment Factors</t>
  </si>
  <si>
    <t>Seasonal</t>
  </si>
  <si>
    <t>Initial</t>
  </si>
  <si>
    <t>Adjustment</t>
  </si>
  <si>
    <t>Factor</t>
  </si>
  <si>
    <t>Calculation</t>
  </si>
  <si>
    <t>Seasonally Adjusted Summer Payment</t>
  </si>
  <si>
    <t>Price per MWH</t>
  </si>
  <si>
    <t>Seasonally Adjusted Winter Payment</t>
  </si>
  <si>
    <t>Units</t>
  </si>
  <si>
    <t>Seasonal Units</t>
  </si>
  <si>
    <t>Payment</t>
  </si>
  <si>
    <t>Customer Costs Per Allocation Matrix</t>
  </si>
  <si>
    <r>
      <t xml:space="preserve">Supplier Payment </t>
    </r>
    <r>
      <rPr>
        <sz val="10"/>
        <rFont val="Arial"/>
        <family val="2"/>
      </rPr>
      <t>in $1000</t>
    </r>
  </si>
  <si>
    <t>Total Supplier Payment</t>
  </si>
  <si>
    <t>Adjustment Factor Calculation</t>
  </si>
  <si>
    <t>Allocated Customer Costs on a per MWh basis (on bulk system MWhs):</t>
  </si>
  <si>
    <t>Supplier</t>
  </si>
  <si>
    <t>in $1,000's</t>
  </si>
  <si>
    <t>Units @ Customer</t>
  </si>
  <si>
    <t>in kWh</t>
  </si>
  <si>
    <t>Table #17</t>
  </si>
  <si>
    <t>Table #18</t>
  </si>
  <si>
    <t>Table #19</t>
  </si>
  <si>
    <t>Table #16 &amp; Table #17</t>
  </si>
  <si>
    <t>Bulk System Costs</t>
  </si>
  <si>
    <t>Customer &amp; Bulk System Costs</t>
  </si>
  <si>
    <t xml:space="preserve"> Based on Forwards prices @ PJM West corrected for hub-zone basis differential (both based on the figures used to derive the </t>
  </si>
  <si>
    <t>kWh</t>
  </si>
  <si>
    <r>
      <t>Deli</t>
    </r>
    <r>
      <rPr>
        <b/>
        <sz val="10"/>
        <color indexed="20"/>
        <rFont val="Arial"/>
        <family val="2"/>
      </rPr>
      <t>very</t>
    </r>
    <r>
      <rPr>
        <b/>
        <sz val="10"/>
        <color indexed="17"/>
        <rFont val="Arial"/>
        <family val="2"/>
      </rPr>
      <t xml:space="preserve"> kWh</t>
    </r>
  </si>
  <si>
    <t>RSH</t>
  </si>
  <si>
    <t>Total RS</t>
  </si>
  <si>
    <t xml:space="preserve"> </t>
  </si>
  <si>
    <t>Table #C1</t>
  </si>
  <si>
    <t>Table #C2</t>
  </si>
  <si>
    <t>Table #C3</t>
  </si>
  <si>
    <t>Table #C4</t>
  </si>
  <si>
    <t>Table #C5</t>
  </si>
  <si>
    <t>Table #C6</t>
  </si>
  <si>
    <t>Table #C7</t>
  </si>
  <si>
    <t>WH Average =&gt;</t>
  </si>
  <si>
    <t>WH Average=&gt;</t>
  </si>
  <si>
    <t>JC Tariff Based mWh</t>
  </si>
  <si>
    <t>Expansion Factor to Transmission Nodes =</t>
  </si>
  <si>
    <t>Loss Factors from Transmission Nodes =</t>
  </si>
  <si>
    <t>per MWh at transmission nodes (per transmission nodes metered MWh)</t>
  </si>
  <si>
    <t>per MWh @ transmission nodes</t>
  </si>
  <si>
    <t>All-In Average costs @ transmission nodes =</t>
  </si>
  <si>
    <t xml:space="preserve">PJM Marginal Losses = </t>
  </si>
  <si>
    <t>PJM's calculated mean value of hourly marginal loss factor</t>
  </si>
  <si>
    <t>Ratio of BGS Unit Costs @ customer to All-In Average Cost @ transmission nodes (rounded to 3 decimal places)</t>
  </si>
  <si>
    <t xml:space="preserve">Loss = </t>
  </si>
  <si>
    <t>Consistent with Losses as approved by the BPU</t>
  </si>
  <si>
    <t xml:space="preserve">         If total $ were split on a per MWh basis (on transmission nodes MWhs):</t>
  </si>
  <si>
    <t xml:space="preserve">         If total $ were split on a per MWh basis (on bulk nodes MWhs):</t>
  </si>
  <si>
    <t>@ Bulk mwh</t>
  </si>
  <si>
    <t>@ Transmission</t>
  </si>
  <si>
    <t>Loss Factors @ Bulk =</t>
  </si>
  <si>
    <t>Expansion Factors @ Bulk =</t>
  </si>
  <si>
    <t>Loss Factors @ Transmission Node =</t>
  </si>
  <si>
    <t>Expansion Factors @ Transmission Node =</t>
  </si>
  <si>
    <t>RS Excluding</t>
  </si>
  <si>
    <t>RT\RGT\WH</t>
  </si>
  <si>
    <t>Size of Tranches =</t>
  </si>
  <si>
    <r>
      <t xml:space="preserve">{4} The GS and GST units exclude the units associated with the </t>
    </r>
    <r>
      <rPr>
        <sz val="10"/>
        <color indexed="12"/>
        <rFont val="Arial"/>
        <family val="2"/>
      </rPr>
      <t xml:space="preserve">500 </t>
    </r>
    <r>
      <rPr>
        <sz val="10"/>
        <rFont val="Arial"/>
        <family val="2"/>
      </rPr>
      <t>kW and above PLS accounts that will be required to take service under BGS-CIEP</t>
    </r>
  </si>
  <si>
    <t>WH OnPeak MWH</t>
  </si>
  <si>
    <t>WH OffPeak MWH</t>
  </si>
  <si>
    <t>Jersey Central Power and Light</t>
  </si>
  <si>
    <t>1 Year Term Remaining</t>
  </si>
  <si>
    <t>2 Year Term Remaining</t>
  </si>
  <si>
    <t>3 Year Term</t>
  </si>
  <si>
    <t>Final Auction Price - in $/MWh</t>
  </si>
  <si>
    <t>Size of Tranches</t>
  </si>
  <si>
    <t>Total # of Tranches</t>
  </si>
  <si>
    <t>Seasonal Factors</t>
  </si>
  <si>
    <t>Applicable Customer Usage
@ transmission node</t>
  </si>
  <si>
    <t>Summer MWh</t>
  </si>
  <si>
    <t>Winter MWh</t>
  </si>
  <si>
    <t>Composite Bid Price</t>
  </si>
  <si>
    <t>Change of kWh</t>
  </si>
  <si>
    <t xml:space="preserve">Change of kW </t>
  </si>
  <si>
    <t xml:space="preserve">  </t>
  </si>
  <si>
    <t>BGS-RSCP</t>
  </si>
  <si>
    <t>Calculation of Composite BGS-RSCP Price</t>
  </si>
  <si>
    <t>Total
BGS-RSCP
Cost</t>
  </si>
  <si>
    <t>All-in BGS-RSCP Cost</t>
  </si>
  <si>
    <t>BGS-RSCP Composite Cost Allocation</t>
  </si>
  <si>
    <t/>
  </si>
  <si>
    <t>Ratio to All-In Cost (If Winter is greater than Summer)</t>
  </si>
  <si>
    <t>Total Forecasted Ancillary Services &amp; Renewable Power Costs</t>
  </si>
  <si>
    <t>Forecasted Ancillary Services Cost</t>
  </si>
  <si>
    <t>Ancillary Services and Renewable Power Cost =</t>
  </si>
  <si>
    <t>Fixed Unit Cost Adjustment</t>
  </si>
  <si>
    <t>Renewable Portfolio Standard Cost</t>
  </si>
  <si>
    <t>NJ Sales and Use Tax (SUT) =</t>
  </si>
  <si>
    <t>SUT excluded from all costs</t>
  </si>
  <si>
    <t>RT (w/o RGT)</t>
  </si>
  <si>
    <t>mWh</t>
  </si>
  <si>
    <r>
      <t xml:space="preserve">BGS Post Transition
Year </t>
    </r>
    <r>
      <rPr>
        <b/>
        <sz val="10"/>
        <color indexed="12"/>
        <rFont val="Arial"/>
        <family val="2"/>
      </rPr>
      <t>17</t>
    </r>
  </si>
  <si>
    <t>(Rounded to 2 decimals)</t>
  </si>
  <si>
    <t>2020/2021 BGS Supply Period Estimated Supplier Payments Allocated by Rate Class</t>
  </si>
  <si>
    <r>
      <t xml:space="preserve">BGS Post Transition
Year </t>
    </r>
    <r>
      <rPr>
        <b/>
        <sz val="10"/>
        <color indexed="12"/>
        <rFont val="Arial"/>
        <family val="2"/>
      </rPr>
      <t>18</t>
    </r>
  </si>
  <si>
    <t>NJ Sales and Use Tax (SUT) excluded</t>
  </si>
  <si>
    <t>Notes:</t>
  </si>
  <si>
    <t>Total BGS-RSCP Gen Obl - MW</t>
  </si>
  <si>
    <t>Days in BGS Delivery Year</t>
  </si>
  <si>
    <t>= line 3 * line 4 * line 5</t>
  </si>
  <si>
    <t>Eligible Tranches</t>
  </si>
  <si>
    <t>Total Tranches</t>
  </si>
  <si>
    <t>= line 7/ line 8</t>
  </si>
  <si>
    <t>= line 6 * line 9</t>
  </si>
  <si>
    <t>= line 9 * line 11</t>
  </si>
  <si>
    <t>= line 10 / line 12 (rounded to 2 decimal places)</t>
  </si>
  <si>
    <t>L/(H+I), Rounded to 2 decimals</t>
  </si>
  <si>
    <t>Capacity Proxy Price ($/MW-day)</t>
  </si>
  <si>
    <t>Capacity Proxy Price True-Up - $/MW-day</t>
  </si>
  <si>
    <t>Capacity Proxy Price True-Up - $/MWh</t>
  </si>
  <si>
    <t xml:space="preserve"> Line 1 - Line2</t>
  </si>
  <si>
    <t>Line 1 - Line2</t>
  </si>
  <si>
    <r>
      <t xml:space="preserve">BGS Post Transition
Year </t>
    </r>
    <r>
      <rPr>
        <b/>
        <sz val="10"/>
        <color indexed="12"/>
        <rFont val="Arial"/>
        <family val="2"/>
      </rPr>
      <t>19</t>
    </r>
  </si>
  <si>
    <r>
      <t xml:space="preserve">BGS Post Transition
Year </t>
    </r>
    <r>
      <rPr>
        <b/>
        <sz val="10"/>
        <color indexed="12"/>
        <rFont val="Arial"/>
        <family val="2"/>
      </rPr>
      <t>20</t>
    </r>
  </si>
  <si>
    <t xml:space="preserve">Capacity Proxy Price True-Up Annual Cost </t>
  </si>
  <si>
    <t>% of tranches eligible for Payment</t>
  </si>
  <si>
    <t>Capacity Proxy Price True-Up Cost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</si>
  <si>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</si>
  <si>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</si>
  <si>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2022/2023
Delivery Year</t>
  </si>
  <si>
    <t>Post Transition Year 18 Bid price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</si>
  <si>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 xml:space="preserve">18 </t>
    </r>
    <r>
      <rPr>
        <sz val="10"/>
        <rFont val="Arial"/>
        <family val="2"/>
      </rPr>
      <t>and adjusted to match the total cost at the actual supplier bid price.</t>
    </r>
  </si>
  <si>
    <t>2021/2022 BGS Supply Period Estimated Supplier Payments Allocated by Rate Class</t>
  </si>
  <si>
    <t>Table #15A</t>
  </si>
  <si>
    <t>Summary of Total Estimated BGS Costs by Season excluding Transmission</t>
  </si>
  <si>
    <t xml:space="preserve">   </t>
  </si>
  <si>
    <t>June 1, 2021 through May 31, 2022</t>
  </si>
  <si>
    <t>2019 Auction</t>
  </si>
  <si>
    <t>2020 Auction</t>
  </si>
  <si>
    <t>2021 Auction</t>
  </si>
  <si>
    <t>line #</t>
  </si>
  <si>
    <t>Tranche %</t>
  </si>
  <si>
    <t>NITS Rate ($/MW-yr)</t>
  </si>
  <si>
    <t>Payment ($/yr)</t>
  </si>
  <si>
    <t>Total Usage @ Transmission Node (MWh)</t>
  </si>
  <si>
    <t>Allocated Usage @ Transmission Node(MWh)</t>
  </si>
  <si>
    <t>Allocated Transmission Obligation (MW)</t>
  </si>
  <si>
    <t>Transmission Price ($/MWh) (Rounded to 2 decimals)</t>
  </si>
  <si>
    <t xml:space="preserve">BGS RSCP Eligible Transmission Obligations (MW) </t>
  </si>
  <si>
    <t>2022 Auction</t>
  </si>
  <si>
    <r>
      <t xml:space="preserve">BGS Post Transition
Year </t>
    </r>
    <r>
      <rPr>
        <b/>
        <sz val="10"/>
        <color indexed="12"/>
        <rFont val="Arial"/>
        <family val="2"/>
      </rPr>
      <t>21</t>
    </r>
  </si>
  <si>
    <t>2023 Auction</t>
  </si>
  <si>
    <t>2021/2022
Delivery Year</t>
  </si>
  <si>
    <r>
      <t xml:space="preserve">Table #10 of the </t>
    </r>
    <r>
      <rPr>
        <sz val="10"/>
        <color rgb="FF0000FF"/>
        <rFont val="Arial"/>
        <family val="2"/>
      </rPr>
      <t>2021</t>
    </r>
    <r>
      <rPr>
        <sz val="10"/>
        <rFont val="Arial"/>
        <family val="2"/>
      </rPr>
      <t xml:space="preserve"> BGS Auction Cost and Bid Factor Tables</t>
    </r>
  </si>
  <si>
    <t>Capacity Proxy Price True-Up - in $/MWh</t>
  </si>
  <si>
    <r>
      <t xml:space="preserve">Table #14 * Table #6 from </t>
    </r>
    <r>
      <rPr>
        <sz val="10"/>
        <color rgb="FF0000FF"/>
        <rFont val="Arial"/>
        <family val="2"/>
      </rPr>
      <t>2021</t>
    </r>
    <r>
      <rPr>
        <sz val="10"/>
        <rFont val="Arial"/>
        <family val="2"/>
      </rPr>
      <t xml:space="preserve"> BGS Auction Cost and Bid Factor Tables</t>
    </r>
  </si>
  <si>
    <t>Table A - 2021/2022 Delivery Year</t>
  </si>
  <si>
    <t>Development of Capacity Proxy Price True-Up $/MWh 
and Calculation of Composite BGS-RSCP Price</t>
  </si>
  <si>
    <t>Table A - 2023/2024 Delivery Year - Illustrative Only</t>
  </si>
  <si>
    <t>GS RSCP</t>
  </si>
  <si>
    <t>GST RSCP</t>
  </si>
  <si>
    <t>Zero, as Transmission product will be excluded from BGS product starting June 1, 2021.</t>
  </si>
  <si>
    <t>includes Energy, Generation obligations, and Ancillary Services - adjusted to billing time periods</t>
  </si>
  <si>
    <t>includes Energy, Generation Obligations, and Ancillary Services - adjusted to billing time periods</t>
  </si>
  <si>
    <t>Transmission charges retail tariff rates for the applicable rate schedules to be excluded</t>
  </si>
  <si>
    <t>(2) Attachment 4 - Development of Transmission Cost included Bid Prices of 2019 and 2020 Auctions.</t>
  </si>
  <si>
    <t>Attachment 3 - Page 1 of 3</t>
  </si>
  <si>
    <t>Attachment 3 - Page 2 of 3</t>
  </si>
  <si>
    <t>JCPL Transmission Cost - in $/MWh (2)</t>
  </si>
  <si>
    <t>Attachment 3 - Page 3 of 3</t>
  </si>
  <si>
    <t>June 1, 2023 through May 31, 2024 - Illustrative Only</t>
  </si>
  <si>
    <t>Attachment 4</t>
  </si>
  <si>
    <t>Post Transition Year 18 Costs w/o Transmission</t>
  </si>
  <si>
    <t>Post Transition Year 19 Costs w/o Transmission</t>
  </si>
  <si>
    <t>Composite (Tranche Weighted) Costs w/o Transmission</t>
  </si>
  <si>
    <t>includes Energy and Ancillary Services, Generation Obligations charged separately - adjusted to billing time periods</t>
  </si>
  <si>
    <t>Zonal Capacity Price ($/MW-day) - JCPL Zone</t>
  </si>
  <si>
    <t>(1) as may be determined by the RPM or its successor or otherwise - Illustrative Only</t>
  </si>
  <si>
    <t>JCPL Transmission Cost - in $/MWh (1)</t>
  </si>
  <si>
    <t>(1) Based on PJM 2021-22 Second Incremental Auction for illustration purpose. Will be updated with Final Zonal Capacity Price when available for delivery year 2021/2022.</t>
  </si>
  <si>
    <t>From NERA Input for Nov Updt</t>
  </si>
  <si>
    <t>Forecast 2021Delivery MWh</t>
  </si>
  <si>
    <r>
      <t>calendar month sales forecasted for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2021</t>
    </r>
  </si>
  <si>
    <r>
      <t xml:space="preserve">obligations - annual average forecasted for </t>
    </r>
    <r>
      <rPr>
        <i/>
        <sz val="10"/>
        <color indexed="12"/>
        <rFont val="Arial"/>
        <family val="2"/>
      </rPr>
      <t>2021</t>
    </r>
    <r>
      <rPr>
        <i/>
        <sz val="10"/>
        <rFont val="Arial"/>
        <family val="2"/>
      </rPr>
      <t>; costs are market estimates</t>
    </r>
  </si>
  <si>
    <r>
      <t xml:space="preserve">Forecasted </t>
    </r>
    <r>
      <rPr>
        <i/>
        <sz val="10"/>
        <color indexed="12"/>
        <rFont val="Arial"/>
        <family val="2"/>
      </rPr>
      <t>2021</t>
    </r>
    <r>
      <rPr>
        <i/>
        <sz val="10"/>
        <rFont val="Arial"/>
        <family val="2"/>
      </rPr>
      <t xml:space="preserve"> kWh</t>
    </r>
  </si>
  <si>
    <t>2022 BGS Auction Cost and Bid Factor Tables</t>
  </si>
  <si>
    <t>2022/2023 BGS Supply Period Estimated Supplier Payments Allocated by Rate Class</t>
  </si>
  <si>
    <r>
      <t xml:space="preserve">Based on an average of </t>
    </r>
    <r>
      <rPr>
        <i/>
        <sz val="10"/>
        <color indexed="12"/>
        <rFont val="Arial"/>
        <family val="2"/>
      </rPr>
      <t>2018</t>
    </r>
    <r>
      <rPr>
        <i/>
        <sz val="10"/>
        <rFont val="Arial"/>
        <family val="2"/>
      </rPr>
      <t xml:space="preserve"> through </t>
    </r>
    <r>
      <rPr>
        <i/>
        <sz val="10"/>
        <color indexed="12"/>
        <rFont val="Arial"/>
        <family val="2"/>
      </rPr>
      <t>2020</t>
    </r>
    <r>
      <rPr>
        <i/>
        <sz val="10"/>
        <rFont val="Arial"/>
        <family val="2"/>
      </rPr>
      <t xml:space="preserve"> Load Profile Information</t>
    </r>
  </si>
  <si>
    <r>
      <t xml:space="preserve">2021 </t>
    </r>
    <r>
      <rPr>
        <i/>
        <sz val="10"/>
        <rFont val="Arial"/>
        <family val="2"/>
      </rPr>
      <t>Forecasted Calendar Month Sales</t>
    </r>
  </si>
  <si>
    <t>Not Applicable to 2022/2023 BGS Supply Period</t>
  </si>
  <si>
    <r>
      <t xml:space="preserve"> forecasted </t>
    </r>
    <r>
      <rPr>
        <sz val="10"/>
        <color indexed="12"/>
        <rFont val="Arial"/>
        <family val="2"/>
      </rPr>
      <t>2021</t>
    </r>
    <r>
      <rPr>
        <sz val="10"/>
        <rFont val="Arial"/>
        <family val="2"/>
      </rPr>
      <t xml:space="preserve"> energy use by class based upon PJM on/off % from </t>
    </r>
    <r>
      <rPr>
        <sz val="10"/>
        <color indexed="12"/>
        <rFont val="Arial"/>
        <family val="2"/>
      </rPr>
      <t>2018 through 2020</t>
    </r>
    <r>
      <rPr>
        <sz val="10"/>
        <rFont val="Arial"/>
        <family val="2"/>
      </rPr>
      <t xml:space="preserve"> class load profiles</t>
    </r>
  </si>
  <si>
    <r>
      <t xml:space="preserve">   JCP&amp;L billing on/off % from </t>
    </r>
    <r>
      <rPr>
        <sz val="10"/>
        <color indexed="12"/>
        <rFont val="Arial"/>
        <family val="2"/>
      </rPr>
      <t>2021</t>
    </r>
    <r>
      <rPr>
        <sz val="10"/>
        <rFont val="Arial"/>
        <family val="2"/>
      </rPr>
      <t xml:space="preserve"> forecasted billing determinants</t>
    </r>
  </si>
  <si>
    <r>
      <t xml:space="preserve"> class totals for </t>
    </r>
    <r>
      <rPr>
        <sz val="10"/>
        <color indexed="12"/>
        <rFont val="Arial"/>
        <family val="2"/>
      </rPr>
      <t>2021</t>
    </r>
    <r>
      <rPr>
        <sz val="10"/>
        <rFont val="Arial"/>
        <family val="2"/>
      </rPr>
      <t xml:space="preserve"> excluding accounts required to take service under BGS-CIEP as of </t>
    </r>
    <r>
      <rPr>
        <sz val="10"/>
        <color indexed="12"/>
        <rFont val="Arial"/>
        <family val="2"/>
      </rPr>
      <t>June 1, 2022</t>
    </r>
  </si>
  <si>
    <t>Post Transition Year 20 Costs w/o Transmission</t>
  </si>
  <si>
    <t>Post Transition Year 19 Bid price</t>
  </si>
  <si>
    <r>
      <t xml:space="preserve">Table #14 * Table #6 from 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 xml:space="preserve"> BGS Auction Cost and Bid Factor Tables - Illustrative Only</t>
    </r>
  </si>
  <si>
    <t>Table A - 2024/2025 Delivery Year - Illustrative Only</t>
  </si>
  <si>
    <r>
      <t xml:space="preserve">BGS Post Transition
Year </t>
    </r>
    <r>
      <rPr>
        <b/>
        <sz val="10"/>
        <color indexed="12"/>
        <rFont val="Arial"/>
        <family val="2"/>
      </rPr>
      <t>22</t>
    </r>
  </si>
  <si>
    <t>2024 Auction</t>
  </si>
  <si>
    <r>
      <t xml:space="preserve"> Bid Factors and establish retail rates in Post Transition Year </t>
    </r>
    <r>
      <rPr>
        <sz val="10"/>
        <color indexed="12"/>
        <rFont val="Arial"/>
        <family val="2"/>
      </rPr>
      <t>19</t>
    </r>
    <r>
      <rPr>
        <sz val="10"/>
        <rFont val="Arial"/>
        <family val="2"/>
      </rPr>
      <t xml:space="preserve"> and adjusted to match the total cost at the actual supplier bid price.</t>
    </r>
  </si>
  <si>
    <t>BPU Order Docket No. ER19040428 dated Nov. 13, 2019 and Docket No. ER20030190 dated Nov. 18, 2020</t>
  </si>
  <si>
    <t>Development of Assumed Transmission Cost in Bids During 2020 BGS Auction</t>
  </si>
  <si>
    <t>(1) Attachment 4 - Development of Transmission Cost included in 2020 Auctions.</t>
  </si>
  <si>
    <t>BGS Order Docket No. ER20030190 dated Nov. 18, 2020 and xxxxxxxx dated Nov. xx, 2021</t>
  </si>
  <si>
    <t>Illustrative Only</t>
  </si>
  <si>
    <t>BGS Order Docket No.  xxxxxxxx dated Nov. xx, 2021</t>
  </si>
  <si>
    <r>
      <t xml:space="preserve"> based on </t>
    </r>
    <r>
      <rPr>
        <sz val="10"/>
        <color indexed="12"/>
        <rFont val="Arial"/>
        <family val="2"/>
      </rPr>
      <t xml:space="preserve">6/22 to 5/23 </t>
    </r>
    <r>
      <rPr>
        <sz val="10"/>
        <rFont val="Arial"/>
        <family val="2"/>
      </rPr>
      <t>Forwards @ PJM West corrected for hub-zone basis differential</t>
    </r>
  </si>
  <si>
    <r>
      <t xml:space="preserve">Table #10 of the </t>
    </r>
    <r>
      <rPr>
        <sz val="10"/>
        <color rgb="FF0000FF"/>
        <rFont val="Arial"/>
        <family val="2"/>
      </rPr>
      <t>2022</t>
    </r>
    <r>
      <rPr>
        <sz val="10"/>
        <rFont val="Arial"/>
        <family val="2"/>
      </rPr>
      <t xml:space="preserve"> BGS Auction Cost and Bid Factor Tables </t>
    </r>
  </si>
  <si>
    <t xml:space="preserve">Table #14 * Table #6 from 2022 BGS Auction Cost and Bid Factor Tables </t>
  </si>
  <si>
    <t xml:space="preserve">Table A - 2022/2023 Delivery Year </t>
  </si>
  <si>
    <t xml:space="preserve">June 1, 2022 through May 31, 2023 </t>
  </si>
  <si>
    <t>*: If PJM holds an auction under the Reliability Pricing Model (“RPM”) or its successor or otherwise at least 20 business days prior to the BGS-RSCP Auction, then capacity proxy price for delivery year 2023/2024 is void.</t>
  </si>
  <si>
    <t>*: If PJM holds an auction under the Reliability Pricing Model (“RPM”) or its successor or otherwise at least 20 business days prior to the BGS-RSCP Auction, then capacity proxy price for delivery year 2024/2025 is void.</t>
  </si>
  <si>
    <t>2024/2025 *
Delivery Year</t>
  </si>
  <si>
    <t>BRA @ June 2021 illustratively, will be updated with Final PJM RPM  or its successor or otherwise</t>
  </si>
  <si>
    <r>
      <t xml:space="preserve">2023/2024
Delivery Year </t>
    </r>
    <r>
      <rPr>
        <sz val="8"/>
        <rFont val="Arial"/>
        <family val="2"/>
      </rPr>
      <t>for Winning Suppliers from 2021 BGS-RSCP Auction</t>
    </r>
  </si>
  <si>
    <r>
      <t xml:space="preserve">2023/2024
Delivery Year </t>
    </r>
    <r>
      <rPr>
        <sz val="8"/>
        <rFont val="Arial"/>
        <family val="2"/>
      </rPr>
      <t>for Winning Suppliers from 2022 BGS-RSCP Auction</t>
    </r>
  </si>
  <si>
    <t>Migration Adjustment Target 8 mil</t>
  </si>
  <si>
    <t>* Illustrative Only, as may be determined by the RPM or its successor or otherwise</t>
  </si>
  <si>
    <t>June 1, 2024 through May 31, 2025 - Illustrative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</si>
</sst>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%"/>
    <numFmt numFmtId="169" formatCode="0.0000%"/>
    <numFmt numFmtId="170" formatCode="#,##0.0"/>
    <numFmt numFmtId="171" formatCode="_(&quot;$&quot;* #,##0_);_(&quot;$&quot;* \(#,##0\);_(&quot;$&quot;* &quot;-&quot;??_);_(@_)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%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_(* #,##0.000000_);_(* \(#,##0.000000\);_(* &quot;-&quot;??_);_(@_)"/>
    <numFmt numFmtId="181" formatCode="0.000000%"/>
    <numFmt numFmtId="182" formatCode="mm/dd/yy;@"/>
    <numFmt numFmtId="183" formatCode="_(&quot;$&quot;* #,##0.000000_);_(&quot;$&quot;* \(#,##0.000000\);_(&quot;$&quot;* &quot;-&quot;??_);_(@_)"/>
    <numFmt numFmtId="184" formatCode="&quot;$&quot;#,##0"/>
    <numFmt numFmtId="185" formatCode="&quot;$&quot;#,##0.00"/>
    <numFmt numFmtId="186" formatCode="_(* #,##0.0_);_(* \(#,##0.0\);_(* &quot;-&quot;??_);_(@_)"/>
    <numFmt numFmtId="187" formatCode="&quot;$&quot;#,##0.000"/>
    <numFmt numFmtId="188" formatCode="0.00000%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54"/>
      <name val="Arial"/>
      <family val="2"/>
    </font>
    <font>
      <u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53"/>
      <name val="Arial"/>
      <family val="2"/>
    </font>
    <font>
      <u/>
      <sz val="10"/>
      <color indexed="53"/>
      <name val="Arial"/>
      <family val="2"/>
    </font>
    <font>
      <u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2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2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7"/>
      <name val="Arial"/>
      <family val="2"/>
    </font>
    <font>
      <u/>
      <sz val="10"/>
      <color indexed="17"/>
      <name val="Arial"/>
      <family val="2"/>
    </font>
    <font>
      <sz val="9"/>
      <color indexed="81"/>
      <name val="Tahoma"/>
      <family val="2"/>
    </font>
    <font>
      <sz val="10"/>
      <color indexed="30"/>
      <name val="Arial"/>
      <family val="2"/>
    </font>
    <font>
      <u/>
      <sz val="10"/>
      <color indexed="16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0066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color rgb="FF0000FF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71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3" fontId="3" fillId="0" borderId="0" xfId="1" quotePrefix="1" applyFont="1"/>
    <xf numFmtId="0" fontId="10" fillId="0" borderId="0" xfId="0" applyFont="1"/>
    <xf numFmtId="44" fontId="5" fillId="0" borderId="0" xfId="2" applyNumberFormat="1" applyFont="1" applyFill="1"/>
    <xf numFmtId="0" fontId="0" fillId="0" borderId="0" xfId="0" applyFill="1" applyAlignment="1">
      <alignment horizontal="left"/>
    </xf>
    <xf numFmtId="0" fontId="0" fillId="0" borderId="0" xfId="0" applyFill="1"/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0" fontId="9" fillId="0" borderId="0" xfId="0" applyFont="1" applyFill="1" applyAlignment="1">
      <alignment horizontal="left"/>
    </xf>
    <xf numFmtId="0" fontId="4" fillId="0" borderId="0" xfId="0" quotePrefix="1" applyFont="1" applyFill="1" applyBorder="1"/>
    <xf numFmtId="39" fontId="3" fillId="0" borderId="0" xfId="0" quotePrefix="1" applyNumberFormat="1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6" fillId="0" borderId="0" xfId="0" quotePrefix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" fontId="0" fillId="0" borderId="0" xfId="0" applyNumberFormat="1" applyFill="1"/>
    <xf numFmtId="174" fontId="5" fillId="0" borderId="0" xfId="3" applyNumberFormat="1" applyFont="1" applyFill="1"/>
    <xf numFmtId="174" fontId="5" fillId="0" borderId="0" xfId="3" quotePrefix="1" applyNumberFormat="1" applyFont="1" applyFill="1"/>
    <xf numFmtId="9" fontId="5" fillId="0" borderId="0" xfId="3" quotePrefix="1" applyFont="1" applyFill="1"/>
    <xf numFmtId="9" fontId="3" fillId="0" borderId="0" xfId="3" quotePrefix="1" applyFont="1" applyFill="1"/>
    <xf numFmtId="9" fontId="5" fillId="0" borderId="0" xfId="3" applyNumberFormat="1" applyFont="1" applyFill="1"/>
    <xf numFmtId="9" fontId="6" fillId="0" borderId="0" xfId="3" applyFont="1" applyFill="1"/>
    <xf numFmtId="9" fontId="5" fillId="0" borderId="0" xfId="3" quotePrefix="1" applyFont="1" applyFill="1" applyAlignment="1">
      <alignment horizontal="center"/>
    </xf>
    <xf numFmtId="17" fontId="0" fillId="0" borderId="0" xfId="0" quotePrefix="1" applyNumberFormat="1" applyFill="1"/>
    <xf numFmtId="17" fontId="4" fillId="0" borderId="0" xfId="0" applyNumberFormat="1" applyFont="1" applyFill="1"/>
    <xf numFmtId="0" fontId="10" fillId="0" borderId="0" xfId="0" applyFont="1" applyFill="1" applyAlignment="1">
      <alignment horizontal="center"/>
    </xf>
    <xf numFmtId="17" fontId="6" fillId="0" borderId="0" xfId="0" applyNumberFormat="1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3" fontId="5" fillId="0" borderId="0" xfId="0" applyNumberFormat="1" applyFont="1" applyFill="1"/>
    <xf numFmtId="3" fontId="12" fillId="0" borderId="0" xfId="0" applyNumberFormat="1" applyFont="1" applyFill="1"/>
    <xf numFmtId="0" fontId="0" fillId="0" borderId="4" xfId="0" applyFill="1" applyBorder="1" applyAlignment="1">
      <alignment horizontal="right"/>
    </xf>
    <xf numFmtId="3" fontId="0" fillId="0" borderId="0" xfId="0" quotePrefix="1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0" fillId="0" borderId="0" xfId="0" applyNumberFormat="1" applyFill="1"/>
    <xf numFmtId="166" fontId="0" fillId="0" borderId="5" xfId="0" applyNumberForma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7" fontId="0" fillId="0" borderId="0" xfId="0" applyNumberFormat="1" applyFill="1" applyAlignment="1">
      <alignment horizontal="center"/>
    </xf>
    <xf numFmtId="37" fontId="0" fillId="0" borderId="0" xfId="0" applyNumberFormat="1" applyFill="1"/>
    <xf numFmtId="0" fontId="9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6" xfId="0" applyFill="1" applyBorder="1" applyAlignment="1">
      <alignment horizontal="right"/>
    </xf>
    <xf numFmtId="3" fontId="0" fillId="0" borderId="7" xfId="0" quotePrefix="1" applyNumberFormat="1" applyFill="1" applyBorder="1"/>
    <xf numFmtId="3" fontId="0" fillId="0" borderId="7" xfId="0" applyNumberFormat="1" applyFill="1" applyBorder="1"/>
    <xf numFmtId="179" fontId="5" fillId="0" borderId="0" xfId="0" applyNumberFormat="1" applyFont="1" applyFill="1"/>
    <xf numFmtId="171" fontId="0" fillId="0" borderId="0" xfId="0" applyNumberFormat="1" applyFill="1" applyBorder="1"/>
    <xf numFmtId="4" fontId="5" fillId="0" borderId="0" xfId="0" applyNumberFormat="1" applyFont="1" applyFill="1"/>
    <xf numFmtId="9" fontId="5" fillId="0" borderId="0" xfId="3" applyFont="1" applyFill="1"/>
    <xf numFmtId="0" fontId="0" fillId="0" borderId="0" xfId="0" applyFill="1" applyAlignment="1">
      <alignment horizontal="center"/>
    </xf>
    <xf numFmtId="169" fontId="5" fillId="0" borderId="0" xfId="0" applyNumberFormat="1" applyFont="1" applyFill="1"/>
    <xf numFmtId="166" fontId="0" fillId="0" borderId="0" xfId="0" applyNumberFormat="1" applyFill="1"/>
    <xf numFmtId="44" fontId="3" fillId="0" borderId="0" xfId="2" quotePrefix="1" applyFont="1" applyFill="1"/>
    <xf numFmtId="172" fontId="3" fillId="0" borderId="0" xfId="2" quotePrefix="1" applyNumberFormat="1" applyFont="1" applyFill="1"/>
    <xf numFmtId="171" fontId="3" fillId="0" borderId="0" xfId="2" quotePrefix="1" applyNumberFormat="1" applyFont="1" applyFill="1"/>
    <xf numFmtId="17" fontId="0" fillId="0" borderId="0" xfId="0" applyNumberFormat="1" applyFill="1" applyAlignment="1">
      <alignment horizontal="right"/>
    </xf>
    <xf numFmtId="44" fontId="3" fillId="0" borderId="0" xfId="2" applyFont="1" applyFill="1"/>
    <xf numFmtId="172" fontId="3" fillId="0" borderId="0" xfId="2" applyNumberFormat="1" applyFont="1" applyFill="1"/>
    <xf numFmtId="44" fontId="3" fillId="0" borderId="0" xfId="2" quotePrefix="1" applyNumberFormat="1" applyFont="1" applyFill="1"/>
    <xf numFmtId="171" fontId="0" fillId="0" borderId="0" xfId="0" applyNumberFormat="1" applyFill="1"/>
    <xf numFmtId="171" fontId="3" fillId="0" borderId="0" xfId="2" applyNumberFormat="1" applyFont="1" applyFill="1"/>
    <xf numFmtId="39" fontId="0" fillId="0" borderId="0" xfId="0" applyNumberFormat="1" applyFill="1"/>
    <xf numFmtId="171" fontId="0" fillId="0" borderId="0" xfId="2" applyNumberFormat="1" applyFont="1" applyFill="1"/>
    <xf numFmtId="171" fontId="14" fillId="0" borderId="0" xfId="2" applyNumberFormat="1" applyFont="1" applyFill="1"/>
    <xf numFmtId="170" fontId="5" fillId="0" borderId="0" xfId="0" applyNumberFormat="1" applyFont="1" applyFill="1"/>
    <xf numFmtId="170" fontId="0" fillId="0" borderId="0" xfId="0" applyNumberFormat="1" applyFill="1"/>
    <xf numFmtId="170" fontId="12" fillId="0" borderId="0" xfId="0" applyNumberFormat="1" applyFont="1" applyFill="1"/>
    <xf numFmtId="0" fontId="0" fillId="0" borderId="0" xfId="0" applyFill="1" applyAlignment="1">
      <alignment horizontal="right"/>
    </xf>
    <xf numFmtId="0" fontId="5" fillId="0" borderId="0" xfId="0" applyFont="1" applyFill="1"/>
    <xf numFmtId="0" fontId="0" fillId="0" borderId="0" xfId="0" quotePrefix="1" applyFill="1" applyAlignment="1">
      <alignment horizontal="right"/>
    </xf>
    <xf numFmtId="171" fontId="5" fillId="0" borderId="0" xfId="2" applyNumberFormat="1" applyFont="1" applyFill="1"/>
    <xf numFmtId="0" fontId="0" fillId="0" borderId="0" xfId="0" quotePrefix="1" applyFill="1"/>
    <xf numFmtId="0" fontId="3" fillId="0" borderId="0" xfId="0" quotePrefix="1" applyFont="1" applyFill="1" applyAlignment="1">
      <alignment horizontal="center"/>
    </xf>
    <xf numFmtId="44" fontId="0" fillId="0" borderId="0" xfId="2" quotePrefix="1" applyFont="1" applyFill="1"/>
    <xf numFmtId="0" fontId="10" fillId="0" borderId="0" xfId="0" applyFont="1" applyFill="1" applyAlignment="1">
      <alignment horizontal="left"/>
    </xf>
    <xf numFmtId="44" fontId="3" fillId="0" borderId="0" xfId="2" applyNumberFormat="1" applyFont="1" applyFill="1"/>
    <xf numFmtId="43" fontId="4" fillId="0" borderId="0" xfId="1" quotePrefix="1" applyFont="1" applyFill="1" applyBorder="1"/>
    <xf numFmtId="43" fontId="3" fillId="0" borderId="0" xfId="1" quotePrefix="1" applyFont="1" applyFill="1"/>
    <xf numFmtId="43" fontId="3" fillId="0" borderId="0" xfId="1" quotePrefix="1" applyFont="1" applyFill="1" applyBorder="1"/>
    <xf numFmtId="44" fontId="4" fillId="0" borderId="0" xfId="0" applyNumberFormat="1" applyFont="1" applyFill="1"/>
    <xf numFmtId="44" fontId="0" fillId="0" borderId="0" xfId="0" applyNumberFormat="1" applyFill="1"/>
    <xf numFmtId="43" fontId="3" fillId="0" borderId="0" xfId="1" applyFont="1" applyFill="1"/>
    <xf numFmtId="177" fontId="4" fillId="0" borderId="0" xfId="1" applyNumberFormat="1" applyFont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7" fontId="15" fillId="0" borderId="0" xfId="0" applyNumberFormat="1" applyFont="1" applyFill="1"/>
    <xf numFmtId="0" fontId="16" fillId="0" borderId="0" xfId="0" applyFont="1" applyFill="1"/>
    <xf numFmtId="10" fontId="0" fillId="0" borderId="0" xfId="0" applyNumberFormat="1" applyFill="1"/>
    <xf numFmtId="0" fontId="3" fillId="0" borderId="0" xfId="0" applyFont="1" applyFill="1" applyAlignment="1">
      <alignment horizontal="right"/>
    </xf>
    <xf numFmtId="167" fontId="3" fillId="0" borderId="0" xfId="0" applyNumberFormat="1" applyFont="1" applyFill="1"/>
    <xf numFmtId="0" fontId="17" fillId="0" borderId="0" xfId="0" applyFont="1" applyFill="1"/>
    <xf numFmtId="44" fontId="4" fillId="0" borderId="0" xfId="2" quotePrefix="1" applyFont="1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10" fontId="12" fillId="0" borderId="0" xfId="0" applyNumberFormat="1" applyFont="1" applyFill="1"/>
    <xf numFmtId="173" fontId="3" fillId="0" borderId="0" xfId="2" quotePrefix="1" applyNumberFormat="1" applyFont="1" applyFill="1"/>
    <xf numFmtId="22" fontId="0" fillId="0" borderId="0" xfId="0" applyNumberFormat="1" applyFill="1"/>
    <xf numFmtId="0" fontId="10" fillId="0" borderId="0" xfId="0" applyFont="1" applyFill="1" applyAlignment="1">
      <alignment horizontal="right"/>
    </xf>
    <xf numFmtId="171" fontId="14" fillId="0" borderId="0" xfId="0" applyNumberFormat="1" applyFont="1" applyFill="1"/>
    <xf numFmtId="176" fontId="4" fillId="0" borderId="0" xfId="1" quotePrefix="1" applyNumberFormat="1" applyFont="1" applyFill="1" applyBorder="1"/>
    <xf numFmtId="176" fontId="3" fillId="0" borderId="0" xfId="1" quotePrefix="1" applyNumberFormat="1" applyFont="1" applyFill="1" applyBorder="1"/>
    <xf numFmtId="176" fontId="3" fillId="0" borderId="0" xfId="0" applyNumberFormat="1" applyFont="1" applyFill="1" applyAlignment="1">
      <alignment horizontal="right"/>
    </xf>
    <xf numFmtId="165" fontId="5" fillId="0" borderId="0" xfId="0" applyNumberFormat="1" applyFont="1" applyFill="1"/>
    <xf numFmtId="0" fontId="4" fillId="0" borderId="0" xfId="0" quotePrefix="1" applyFont="1" applyFill="1" applyAlignment="1"/>
    <xf numFmtId="9" fontId="5" fillId="0" borderId="9" xfId="3" applyNumberFormat="1" applyFont="1" applyFill="1" applyBorder="1"/>
    <xf numFmtId="9" fontId="5" fillId="0" borderId="10" xfId="3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0" fillId="0" borderId="0" xfId="0" applyFont="1" applyFill="1"/>
    <xf numFmtId="9" fontId="22" fillId="0" borderId="0" xfId="3" applyFont="1" applyFill="1"/>
    <xf numFmtId="10" fontId="5" fillId="0" borderId="0" xfId="3" quotePrefix="1" applyNumberFormat="1" applyFont="1" applyFill="1" applyAlignment="1">
      <alignment horizontal="center"/>
    </xf>
    <xf numFmtId="0" fontId="12" fillId="0" borderId="0" xfId="0" applyFont="1" applyFill="1"/>
    <xf numFmtId="1" fontId="0" fillId="0" borderId="0" xfId="0" applyNumberFormat="1"/>
    <xf numFmtId="3" fontId="10" fillId="0" borderId="0" xfId="0" applyNumberFormat="1" applyFont="1" applyFill="1"/>
    <xf numFmtId="174" fontId="2" fillId="0" borderId="0" xfId="3" applyNumberFormat="1" applyFill="1"/>
    <xf numFmtId="171" fontId="2" fillId="0" borderId="0" xfId="2" applyNumberFormat="1" applyFill="1" applyBorder="1"/>
    <xf numFmtId="171" fontId="2" fillId="0" borderId="7" xfId="2" applyNumberFormat="1" applyFill="1" applyBorder="1"/>
    <xf numFmtId="44" fontId="2" fillId="0" borderId="0" xfId="2" applyFill="1"/>
    <xf numFmtId="172" fontId="2" fillId="0" borderId="0" xfId="2" applyNumberFormat="1" applyFill="1"/>
    <xf numFmtId="171" fontId="2" fillId="0" borderId="0" xfId="2" applyNumberFormat="1" applyFill="1"/>
    <xf numFmtId="44" fontId="2" fillId="0" borderId="0" xfId="2" quotePrefix="1" applyFont="1" applyFill="1"/>
    <xf numFmtId="172" fontId="2" fillId="0" borderId="0" xfId="2" quotePrefix="1" applyNumberFormat="1" applyFont="1" applyFill="1"/>
    <xf numFmtId="3" fontId="2" fillId="0" borderId="0" xfId="2" quotePrefix="1" applyNumberFormat="1" applyFont="1" applyFill="1"/>
    <xf numFmtId="175" fontId="2" fillId="0" borderId="0" xfId="1" applyNumberFormat="1" applyFill="1"/>
    <xf numFmtId="171" fontId="2" fillId="0" borderId="0" xfId="2" applyNumberFormat="1"/>
    <xf numFmtId="9" fontId="2" fillId="0" borderId="0" xfId="3"/>
    <xf numFmtId="171" fontId="2" fillId="0" borderId="0" xfId="3" applyNumberFormat="1"/>
    <xf numFmtId="44" fontId="2" fillId="0" borderId="0" xfId="2"/>
    <xf numFmtId="10" fontId="12" fillId="0" borderId="0" xfId="3" applyNumberFormat="1" applyFont="1" applyFill="1"/>
    <xf numFmtId="169" fontId="12" fillId="0" borderId="0" xfId="0" applyNumberFormat="1" applyFont="1" applyFill="1"/>
    <xf numFmtId="9" fontId="4" fillId="0" borderId="0" xfId="0" applyNumberFormat="1" applyFont="1" applyFill="1" applyAlignment="1">
      <alignment horizontal="center"/>
    </xf>
    <xf numFmtId="9" fontId="12" fillId="0" borderId="0" xfId="3" quotePrefix="1" applyFont="1" applyFill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177" fontId="3" fillId="0" borderId="0" xfId="1" applyNumberFormat="1" applyFont="1"/>
    <xf numFmtId="44" fontId="2" fillId="0" borderId="0" xfId="2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179" fontId="12" fillId="0" borderId="0" xfId="0" applyNumberFormat="1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177" fontId="5" fillId="0" borderId="0" xfId="1" applyNumberFormat="1" applyFont="1"/>
    <xf numFmtId="9" fontId="28" fillId="0" borderId="0" xfId="3" applyFont="1" applyFill="1"/>
    <xf numFmtId="17" fontId="12" fillId="0" borderId="0" xfId="0" applyNumberFormat="1" applyFont="1" applyFill="1"/>
    <xf numFmtId="17" fontId="28" fillId="0" borderId="0" xfId="0" applyNumberFormat="1" applyFont="1" applyFill="1"/>
    <xf numFmtId="9" fontId="21" fillId="0" borderId="0" xfId="3" quotePrefix="1" applyFont="1" applyFill="1"/>
    <xf numFmtId="0" fontId="21" fillId="0" borderId="0" xfId="0" applyFont="1" applyFill="1" applyBorder="1"/>
    <xf numFmtId="178" fontId="5" fillId="0" borderId="0" xfId="1" applyNumberFormat="1" applyFont="1"/>
    <xf numFmtId="9" fontId="3" fillId="0" borderId="11" xfId="3" applyNumberFormat="1" applyFont="1" applyFill="1" applyBorder="1"/>
    <xf numFmtId="9" fontId="3" fillId="0" borderId="12" xfId="3" applyNumberFormat="1" applyFont="1" applyFill="1" applyBorder="1"/>
    <xf numFmtId="9" fontId="3" fillId="0" borderId="0" xfId="3" applyNumberFormat="1" applyFont="1" applyFill="1"/>
    <xf numFmtId="174" fontId="5" fillId="0" borderId="0" xfId="3" applyNumberFormat="1" applyFont="1" applyFill="1" applyBorder="1"/>
    <xf numFmtId="0" fontId="34" fillId="0" borderId="0" xfId="0" applyFont="1" applyFill="1" applyAlignment="1">
      <alignment horizontal="center" wrapText="1"/>
    </xf>
    <xf numFmtId="17" fontId="0" fillId="0" borderId="9" xfId="0" applyNumberFormat="1" applyFill="1" applyBorder="1"/>
    <xf numFmtId="3" fontId="5" fillId="0" borderId="15" xfId="0" applyNumberFormat="1" applyFont="1" applyFill="1" applyBorder="1"/>
    <xf numFmtId="3" fontId="12" fillId="0" borderId="15" xfId="0" applyNumberFormat="1" applyFont="1" applyFill="1" applyBorder="1"/>
    <xf numFmtId="3" fontId="12" fillId="0" borderId="10" xfId="0" applyNumberFormat="1" applyFont="1" applyFill="1" applyBorder="1"/>
    <xf numFmtId="17" fontId="0" fillId="0" borderId="11" xfId="0" applyNumberFormat="1" applyFill="1" applyBorder="1"/>
    <xf numFmtId="3" fontId="5" fillId="0" borderId="0" xfId="0" applyNumberFormat="1" applyFont="1" applyFill="1" applyBorder="1"/>
    <xf numFmtId="3" fontId="12" fillId="0" borderId="13" xfId="0" applyNumberFormat="1" applyFont="1" applyFill="1" applyBorder="1"/>
    <xf numFmtId="17" fontId="0" fillId="0" borderId="12" xfId="0" applyNumberFormat="1" applyFill="1" applyBorder="1"/>
    <xf numFmtId="3" fontId="5" fillId="0" borderId="16" xfId="0" applyNumberFormat="1" applyFont="1" applyFill="1" applyBorder="1"/>
    <xf numFmtId="3" fontId="12" fillId="0" borderId="16" xfId="0" applyNumberFormat="1" applyFont="1" applyFill="1" applyBorder="1"/>
    <xf numFmtId="3" fontId="12" fillId="0" borderId="14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Fill="1" applyBorder="1"/>
    <xf numFmtId="3" fontId="12" fillId="0" borderId="19" xfId="0" applyNumberFormat="1" applyFont="1" applyFill="1" applyBorder="1"/>
    <xf numFmtId="3" fontId="26" fillId="0" borderId="0" xfId="0" applyNumberFormat="1" applyFont="1" applyFill="1"/>
    <xf numFmtId="3" fontId="0" fillId="0" borderId="2" xfId="0" applyNumberFormat="1" applyFill="1" applyBorder="1"/>
    <xf numFmtId="3" fontId="35" fillId="0" borderId="0" xfId="0" applyNumberFormat="1" applyFont="1" applyFill="1"/>
    <xf numFmtId="3" fontId="18" fillId="2" borderId="0" xfId="0" applyNumberFormat="1" applyFont="1" applyFill="1"/>
    <xf numFmtId="9" fontId="5" fillId="0" borderId="0" xfId="3" quotePrefix="1" applyFont="1" applyFill="1" applyBorder="1" applyAlignment="1">
      <alignment horizontal="center"/>
    </xf>
    <xf numFmtId="10" fontId="5" fillId="0" borderId="0" xfId="3" quotePrefix="1" applyNumberFormat="1" applyFont="1" applyFill="1" applyBorder="1" applyAlignment="1">
      <alignment horizontal="center"/>
    </xf>
    <xf numFmtId="10" fontId="12" fillId="0" borderId="0" xfId="3" applyNumberFormat="1" applyFont="1" applyFill="1" applyBorder="1"/>
    <xf numFmtId="174" fontId="5" fillId="0" borderId="15" xfId="3" applyNumberFormat="1" applyFont="1" applyFill="1" applyBorder="1"/>
    <xf numFmtId="174" fontId="5" fillId="0" borderId="16" xfId="3" applyNumberFormat="1" applyFont="1" applyFill="1" applyBorder="1"/>
    <xf numFmtId="9" fontId="5" fillId="0" borderId="15" xfId="3" quotePrefix="1" applyFont="1" applyFill="1" applyBorder="1" applyAlignment="1">
      <alignment horizontal="center"/>
    </xf>
    <xf numFmtId="10" fontId="5" fillId="0" borderId="15" xfId="3" quotePrefix="1" applyNumberFormat="1" applyFont="1" applyFill="1" applyBorder="1" applyAlignment="1">
      <alignment horizontal="center"/>
    </xf>
    <xf numFmtId="10" fontId="12" fillId="0" borderId="15" xfId="3" applyNumberFormat="1" applyFont="1" applyFill="1" applyBorder="1"/>
    <xf numFmtId="9" fontId="12" fillId="0" borderId="10" xfId="3" quotePrefix="1" applyFont="1" applyFill="1" applyBorder="1" applyAlignment="1">
      <alignment horizontal="center"/>
    </xf>
    <xf numFmtId="9" fontId="12" fillId="0" borderId="13" xfId="3" quotePrefix="1" applyFont="1" applyFill="1" applyBorder="1" applyAlignment="1">
      <alignment horizontal="center"/>
    </xf>
    <xf numFmtId="9" fontId="5" fillId="0" borderId="16" xfId="3" quotePrefix="1" applyFont="1" applyFill="1" applyBorder="1" applyAlignment="1">
      <alignment horizontal="center"/>
    </xf>
    <xf numFmtId="10" fontId="5" fillId="0" borderId="16" xfId="3" quotePrefix="1" applyNumberFormat="1" applyFont="1" applyFill="1" applyBorder="1" applyAlignment="1">
      <alignment horizontal="center"/>
    </xf>
    <xf numFmtId="10" fontId="12" fillId="0" borderId="16" xfId="3" applyNumberFormat="1" applyFont="1" applyFill="1" applyBorder="1"/>
    <xf numFmtId="9" fontId="12" fillId="0" borderId="14" xfId="3" quotePrefix="1" applyFont="1" applyFill="1" applyBorder="1" applyAlignment="1">
      <alignment horizontal="center"/>
    </xf>
    <xf numFmtId="167" fontId="0" fillId="0" borderId="0" xfId="0" applyNumberFormat="1" applyFill="1" applyBorder="1"/>
    <xf numFmtId="179" fontId="5" fillId="0" borderId="15" xfId="0" applyNumberFormat="1" applyFont="1" applyFill="1" applyBorder="1"/>
    <xf numFmtId="179" fontId="12" fillId="0" borderId="15" xfId="0" applyNumberFormat="1" applyFont="1" applyFill="1" applyBorder="1"/>
    <xf numFmtId="179" fontId="12" fillId="0" borderId="10" xfId="0" applyNumberFormat="1" applyFont="1" applyFill="1" applyBorder="1"/>
    <xf numFmtId="179" fontId="5" fillId="0" borderId="0" xfId="0" applyNumberFormat="1" applyFont="1" applyFill="1" applyBorder="1"/>
    <xf numFmtId="179" fontId="12" fillId="0" borderId="0" xfId="0" applyNumberFormat="1" applyFont="1" applyFill="1" applyBorder="1"/>
    <xf numFmtId="179" fontId="12" fillId="0" borderId="13" xfId="0" applyNumberFormat="1" applyFont="1" applyFill="1" applyBorder="1"/>
    <xf numFmtId="179" fontId="5" fillId="0" borderId="16" xfId="0" applyNumberFormat="1" applyFont="1" applyFill="1" applyBorder="1"/>
    <xf numFmtId="179" fontId="12" fillId="0" borderId="16" xfId="0" applyNumberFormat="1" applyFont="1" applyFill="1" applyBorder="1"/>
    <xf numFmtId="179" fontId="12" fillId="0" borderId="14" xfId="0" applyNumberFormat="1" applyFont="1" applyFill="1" applyBorder="1"/>
    <xf numFmtId="10" fontId="12" fillId="0" borderId="10" xfId="3" applyNumberFormat="1" applyFont="1" applyFill="1" applyBorder="1"/>
    <xf numFmtId="10" fontId="12" fillId="0" borderId="13" xfId="3" applyNumberFormat="1" applyFont="1" applyFill="1" applyBorder="1"/>
    <xf numFmtId="10" fontId="12" fillId="0" borderId="14" xfId="3" applyNumberFormat="1" applyFont="1" applyFill="1" applyBorder="1"/>
    <xf numFmtId="0" fontId="36" fillId="0" borderId="0" xfId="0" applyFont="1" applyFill="1"/>
    <xf numFmtId="44" fontId="2" fillId="0" borderId="0" xfId="2" applyFont="1" applyFill="1"/>
    <xf numFmtId="0" fontId="0" fillId="3" borderId="0" xfId="0" applyFill="1"/>
    <xf numFmtId="0" fontId="0" fillId="3" borderId="0" xfId="0" applyFill="1" applyAlignment="1">
      <alignment horizontal="center"/>
    </xf>
    <xf numFmtId="44" fontId="2" fillId="3" borderId="0" xfId="2" applyFill="1"/>
    <xf numFmtId="0" fontId="4" fillId="3" borderId="0" xfId="0" applyFont="1" applyFill="1" applyAlignment="1">
      <alignment horizontal="center"/>
    </xf>
    <xf numFmtId="177" fontId="4" fillId="3" borderId="0" xfId="1" applyNumberFormat="1" applyFont="1" applyFill="1"/>
    <xf numFmtId="10" fontId="0" fillId="0" borderId="0" xfId="3" applyNumberFormat="1" applyFont="1" applyFill="1"/>
    <xf numFmtId="0" fontId="13" fillId="0" borderId="0" xfId="0" applyFont="1" applyFill="1"/>
    <xf numFmtId="177" fontId="4" fillId="0" borderId="0" xfId="1" applyNumberFormat="1" applyFont="1" applyFill="1"/>
    <xf numFmtId="9" fontId="2" fillId="0" borderId="0" xfId="3" quotePrefix="1" applyFont="1" applyFill="1"/>
    <xf numFmtId="181" fontId="0" fillId="0" borderId="0" xfId="3" applyNumberFormat="1" applyFont="1" applyFill="1"/>
    <xf numFmtId="0" fontId="7" fillId="0" borderId="0" xfId="0" quotePrefix="1" applyFont="1" applyFill="1" applyAlignment="1">
      <alignment horizontal="center"/>
    </xf>
    <xf numFmtId="44" fontId="0" fillId="0" borderId="0" xfId="2" applyFont="1" applyFill="1"/>
    <xf numFmtId="169" fontId="0" fillId="0" borderId="0" xfId="3" applyNumberFormat="1" applyFont="1" applyFill="1"/>
    <xf numFmtId="166" fontId="0" fillId="0" borderId="0" xfId="0" applyNumberFormat="1" applyFill="1" applyAlignment="1">
      <alignment horizontal="right"/>
    </xf>
    <xf numFmtId="168" fontId="0" fillId="0" borderId="0" xfId="3" applyNumberFormat="1" applyFont="1" applyFill="1"/>
    <xf numFmtId="168" fontId="0" fillId="0" borderId="0" xfId="3" quotePrefix="1" applyNumberFormat="1" applyFont="1" applyFill="1"/>
    <xf numFmtId="9" fontId="3" fillId="0" borderId="13" xfId="3" applyNumberFormat="1" applyFont="1" applyFill="1" applyBorder="1"/>
    <xf numFmtId="9" fontId="3" fillId="0" borderId="14" xfId="3" applyNumberFormat="1" applyFont="1" applyFill="1" applyBorder="1"/>
    <xf numFmtId="0" fontId="31" fillId="0" borderId="0" xfId="0" applyFont="1" applyFill="1"/>
    <xf numFmtId="0" fontId="0" fillId="3" borderId="0" xfId="0" applyFill="1" applyAlignment="1">
      <alignment horizontal="left"/>
    </xf>
    <xf numFmtId="44" fontId="2" fillId="3" borderId="0" xfId="2" quotePrefix="1" applyFont="1" applyFill="1" applyAlignment="1">
      <alignment horizontal="left"/>
    </xf>
    <xf numFmtId="182" fontId="5" fillId="0" borderId="0" xfId="0" applyNumberFormat="1" applyFont="1" applyFill="1"/>
    <xf numFmtId="182" fontId="0" fillId="0" borderId="0" xfId="0" applyNumberFormat="1" applyFill="1"/>
    <xf numFmtId="2" fontId="0" fillId="0" borderId="0" xfId="0" applyNumberFormat="1" applyFill="1"/>
    <xf numFmtId="175" fontId="3" fillId="0" borderId="0" xfId="1" applyNumberFormat="1" applyFont="1" applyFill="1" applyAlignment="1">
      <alignment horizontal="center"/>
    </xf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75" fontId="10" fillId="0" borderId="0" xfId="1" applyNumberFormat="1" applyFont="1" applyFill="1"/>
    <xf numFmtId="174" fontId="0" fillId="0" borderId="0" xfId="3" applyNumberFormat="1" applyFont="1" applyFill="1"/>
    <xf numFmtId="14" fontId="0" fillId="0" borderId="0" xfId="0" applyNumberFormat="1" applyFill="1"/>
    <xf numFmtId="1" fontId="0" fillId="0" borderId="0" xfId="0" applyNumberFormat="1" applyFill="1"/>
    <xf numFmtId="10" fontId="39" fillId="0" borderId="0" xfId="3" applyNumberFormat="1" applyFont="1" applyFill="1" applyAlignment="1">
      <alignment horizontal="center"/>
    </xf>
    <xf numFmtId="9" fontId="22" fillId="4" borderId="0" xfId="3" applyFont="1" applyFill="1"/>
    <xf numFmtId="3" fontId="18" fillId="4" borderId="0" xfId="0" applyNumberFormat="1" applyFont="1" applyFill="1"/>
    <xf numFmtId="3" fontId="23" fillId="4" borderId="0" xfId="0" applyNumberFormat="1" applyFont="1" applyFill="1"/>
    <xf numFmtId="3" fontId="30" fillId="4" borderId="0" xfId="0" applyNumberFormat="1" applyFont="1" applyFill="1"/>
    <xf numFmtId="3" fontId="24" fillId="5" borderId="0" xfId="0" applyNumberFormat="1" applyFont="1" applyFill="1"/>
    <xf numFmtId="9" fontId="27" fillId="5" borderId="0" xfId="3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0" fillId="0" borderId="0" xfId="0" applyNumberFormat="1" applyFont="1" applyFill="1"/>
    <xf numFmtId="0" fontId="40" fillId="0" borderId="0" xfId="0" applyFont="1" applyFill="1"/>
    <xf numFmtId="0" fontId="3" fillId="0" borderId="0" xfId="0" quotePrefix="1" applyFont="1" applyFill="1"/>
    <xf numFmtId="44" fontId="2" fillId="0" borderId="0" xfId="2" quotePrefix="1" applyNumberFormat="1" applyFont="1" applyFill="1"/>
    <xf numFmtId="44" fontId="2" fillId="0" borderId="0" xfId="2" applyNumberFormat="1" applyFill="1"/>
    <xf numFmtId="180" fontId="5" fillId="0" borderId="0" xfId="1" applyNumberFormat="1" applyFont="1"/>
    <xf numFmtId="3" fontId="23" fillId="4" borderId="0" xfId="0" applyNumberFormat="1" applyFont="1" applyFill="1" applyAlignment="1">
      <alignment horizontal="center"/>
    </xf>
    <xf numFmtId="3" fontId="3" fillId="5" borderId="0" xfId="0" applyNumberFormat="1" applyFont="1" applyFill="1"/>
    <xf numFmtId="1" fontId="39" fillId="0" borderId="0" xfId="3" applyNumberFormat="1" applyFont="1" applyFill="1" applyAlignment="1">
      <alignment horizontal="center"/>
    </xf>
    <xf numFmtId="165" fontId="0" fillId="0" borderId="0" xfId="0" applyNumberFormat="1" applyFill="1"/>
    <xf numFmtId="44" fontId="2" fillId="0" borderId="0" xfId="2" applyNumberFormat="1"/>
    <xf numFmtId="3" fontId="25" fillId="5" borderId="0" xfId="0" applyNumberFormat="1" applyFont="1" applyFill="1"/>
    <xf numFmtId="17" fontId="43" fillId="0" borderId="0" xfId="0" applyNumberFormat="1" applyFont="1" applyFill="1"/>
    <xf numFmtId="3" fontId="44" fillId="4" borderId="0" xfId="0" applyNumberFormat="1" applyFont="1" applyFill="1"/>
    <xf numFmtId="164" fontId="0" fillId="0" borderId="0" xfId="0" applyNumberFormat="1" applyFill="1"/>
    <xf numFmtId="3" fontId="37" fillId="4" borderId="0" xfId="0" applyNumberFormat="1" applyFont="1" applyFill="1"/>
    <xf numFmtId="3" fontId="41" fillId="4" borderId="0" xfId="0" applyNumberFormat="1" applyFont="1" applyFill="1"/>
    <xf numFmtId="3" fontId="43" fillId="0" borderId="0" xfId="0" applyNumberFormat="1" applyFont="1" applyFill="1"/>
    <xf numFmtId="175" fontId="43" fillId="0" borderId="0" xfId="1" applyNumberFormat="1" applyFont="1" applyFill="1"/>
    <xf numFmtId="44" fontId="12" fillId="0" borderId="13" xfId="2" applyFont="1" applyFill="1" applyBorder="1"/>
    <xf numFmtId="10" fontId="12" fillId="0" borderId="13" xfId="3" applyNumberFormat="1" applyFont="1" applyBorder="1"/>
    <xf numFmtId="10" fontId="12" fillId="0" borderId="18" xfId="3" applyNumberFormat="1" applyFont="1" applyBorder="1"/>
    <xf numFmtId="0" fontId="0" fillId="0" borderId="0" xfId="0" applyBorder="1"/>
    <xf numFmtId="9" fontId="2" fillId="0" borderId="0" xfId="3" applyFont="1" applyAlignment="1">
      <alignment horizontal="left"/>
    </xf>
    <xf numFmtId="9" fontId="10" fillId="0" borderId="0" xfId="3" applyFont="1" applyAlignment="1">
      <alignment horizontal="left"/>
    </xf>
    <xf numFmtId="184" fontId="0" fillId="0" borderId="0" xfId="0" applyNumberFormat="1"/>
    <xf numFmtId="175" fontId="0" fillId="0" borderId="0" xfId="1" applyNumberFormat="1" applyFont="1"/>
    <xf numFmtId="184" fontId="2" fillId="0" borderId="18" xfId="2" applyNumberFormat="1" applyBorder="1"/>
    <xf numFmtId="184" fontId="14" fillId="0" borderId="18" xfId="2" applyNumberFormat="1" applyFont="1" applyBorder="1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171" fontId="2" fillId="0" borderId="0" xfId="2" quotePrefix="1" applyNumberFormat="1" applyFont="1" applyFill="1"/>
    <xf numFmtId="44" fontId="2" fillId="0" borderId="0" xfId="2" applyNumberFormat="1" applyFont="1" applyFill="1"/>
    <xf numFmtId="0" fontId="2" fillId="0" borderId="0" xfId="4"/>
    <xf numFmtId="22" fontId="2" fillId="0" borderId="0" xfId="4" applyNumberFormat="1" applyAlignment="1">
      <alignment horizontal="center"/>
    </xf>
    <xf numFmtId="22" fontId="2" fillId="0" borderId="0" xfId="4" applyNumberFormat="1"/>
    <xf numFmtId="22" fontId="7" fillId="0" borderId="0" xfId="4" applyNumberFormat="1" applyFont="1" applyAlignment="1">
      <alignment horizontal="center"/>
    </xf>
    <xf numFmtId="0" fontId="2" fillId="0" borderId="0" xfId="4" applyFill="1" applyAlignment="1">
      <alignment horizontal="right"/>
    </xf>
    <xf numFmtId="22" fontId="4" fillId="0" borderId="0" xfId="4" applyNumberFormat="1" applyFont="1" applyAlignment="1">
      <alignment horizontal="center"/>
    </xf>
    <xf numFmtId="0" fontId="2" fillId="0" borderId="0" xfId="4" quotePrefix="1" applyFill="1"/>
    <xf numFmtId="22" fontId="4" fillId="0" borderId="20" xfId="4" applyNumberFormat="1" applyFont="1" applyBorder="1" applyAlignment="1">
      <alignment horizontal="center" wrapText="1"/>
    </xf>
    <xf numFmtId="0" fontId="4" fillId="0" borderId="0" xfId="4" applyFont="1"/>
    <xf numFmtId="0" fontId="2" fillId="0" borderId="20" xfId="4" applyFont="1" applyBorder="1" applyAlignment="1">
      <alignment horizontal="center" wrapText="1"/>
    </xf>
    <xf numFmtId="0" fontId="2" fillId="0" borderId="21" xfId="4" applyFont="1" applyBorder="1" applyAlignment="1">
      <alignment horizontal="center" wrapText="1"/>
    </xf>
    <xf numFmtId="0" fontId="2" fillId="0" borderId="17" xfId="4" quotePrefix="1" applyBorder="1" applyAlignment="1">
      <alignment horizontal="center"/>
    </xf>
    <xf numFmtId="0" fontId="2" fillId="0" borderId="0" xfId="4" applyFont="1" applyAlignment="1">
      <alignment horizontal="left"/>
    </xf>
    <xf numFmtId="7" fontId="2" fillId="0" borderId="18" xfId="2" applyNumberFormat="1" applyFont="1" applyFill="1" applyBorder="1"/>
    <xf numFmtId="0" fontId="2" fillId="0" borderId="0" xfId="4" applyFill="1"/>
    <xf numFmtId="44" fontId="2" fillId="0" borderId="0" xfId="4" applyNumberFormat="1" applyFill="1"/>
    <xf numFmtId="0" fontId="10" fillId="0" borderId="0" xfId="4" applyFont="1" applyAlignment="1">
      <alignment horizontal="left"/>
    </xf>
    <xf numFmtId="0" fontId="2" fillId="0" borderId="0" xfId="4" applyAlignment="1">
      <alignment horizontal="left"/>
    </xf>
    <xf numFmtId="1" fontId="2" fillId="0" borderId="18" xfId="3" applyNumberFormat="1" applyFont="1" applyFill="1" applyBorder="1"/>
    <xf numFmtId="10" fontId="12" fillId="0" borderId="13" xfId="4" applyNumberFormat="1" applyFont="1" applyBorder="1"/>
    <xf numFmtId="0" fontId="12" fillId="0" borderId="18" xfId="4" applyFont="1" applyBorder="1"/>
    <xf numFmtId="0" fontId="12" fillId="0" borderId="13" xfId="4" applyFont="1" applyBorder="1"/>
    <xf numFmtId="167" fontId="2" fillId="0" borderId="18" xfId="4" applyNumberFormat="1" applyFont="1" applyBorder="1"/>
    <xf numFmtId="167" fontId="2" fillId="0" borderId="13" xfId="4" applyNumberFormat="1" applyFont="1" applyBorder="1"/>
    <xf numFmtId="167" fontId="12" fillId="0" borderId="13" xfId="4" applyNumberFormat="1" applyFont="1" applyBorder="1"/>
    <xf numFmtId="167" fontId="12" fillId="0" borderId="18" xfId="4" applyNumberFormat="1" applyFont="1" applyBorder="1"/>
    <xf numFmtId="0" fontId="2" fillId="0" borderId="18" xfId="4" applyBorder="1"/>
    <xf numFmtId="0" fontId="2" fillId="0" borderId="13" xfId="4" applyBorder="1"/>
    <xf numFmtId="0" fontId="10" fillId="0" borderId="0" xfId="4" applyFont="1" applyBorder="1" applyAlignment="1">
      <alignment horizontal="left" wrapText="1"/>
    </xf>
    <xf numFmtId="0" fontId="2" fillId="0" borderId="0" xfId="4" applyBorder="1" applyAlignment="1">
      <alignment horizontal="left"/>
    </xf>
    <xf numFmtId="3" fontId="2" fillId="0" borderId="18" xfId="4" applyNumberFormat="1" applyFont="1" applyFill="1" applyBorder="1"/>
    <xf numFmtId="3" fontId="2" fillId="0" borderId="13" xfId="4" applyNumberFormat="1" applyBorder="1"/>
    <xf numFmtId="3" fontId="2" fillId="0" borderId="18" xfId="4" applyNumberFormat="1" applyBorder="1"/>
    <xf numFmtId="0" fontId="6" fillId="0" borderId="0" xfId="4" applyFont="1" applyAlignment="1">
      <alignment horizontal="left"/>
    </xf>
    <xf numFmtId="3" fontId="2" fillId="0" borderId="0" xfId="4" applyNumberFormat="1"/>
    <xf numFmtId="184" fontId="2" fillId="0" borderId="19" xfId="4" applyNumberFormat="1" applyBorder="1"/>
    <xf numFmtId="184" fontId="2" fillId="0" borderId="14" xfId="4" applyNumberFormat="1" applyBorder="1"/>
    <xf numFmtId="183" fontId="2" fillId="0" borderId="0" xfId="4" applyNumberFormat="1" applyFill="1" applyBorder="1"/>
    <xf numFmtId="184" fontId="2" fillId="0" borderId="0" xfId="4" applyNumberFormat="1"/>
    <xf numFmtId="185" fontId="2" fillId="0" borderId="0" xfId="4" applyNumberFormat="1"/>
    <xf numFmtId="167" fontId="2" fillId="0" borderId="13" xfId="4" applyNumberFormat="1" applyFont="1" applyFill="1" applyBorder="1"/>
    <xf numFmtId="0" fontId="2" fillId="0" borderId="0" xfId="0" applyFont="1" applyFill="1" applyAlignment="1">
      <alignment horizontal="right"/>
    </xf>
    <xf numFmtId="184" fontId="0" fillId="0" borderId="0" xfId="0" applyNumberFormat="1" applyFill="1"/>
    <xf numFmtId="0" fontId="46" fillId="0" borderId="0" xfId="4" applyFont="1"/>
    <xf numFmtId="0" fontId="2" fillId="0" borderId="0" xfId="4" applyAlignment="1">
      <alignment horizontal="right"/>
    </xf>
    <xf numFmtId="0" fontId="2" fillId="0" borderId="0" xfId="4" applyBorder="1"/>
    <xf numFmtId="0" fontId="2" fillId="0" borderId="0" xfId="4" applyFill="1" applyBorder="1"/>
    <xf numFmtId="9" fontId="0" fillId="0" borderId="0" xfId="3" applyFont="1" applyFill="1"/>
    <xf numFmtId="0" fontId="2" fillId="0" borderId="0" xfId="0" applyFont="1" applyFill="1" applyBorder="1"/>
    <xf numFmtId="167" fontId="0" fillId="0" borderId="0" xfId="0" applyNumberFormat="1" applyFill="1" applyBorder="1" applyAlignment="1">
      <alignment horizontal="right"/>
    </xf>
    <xf numFmtId="167" fontId="3" fillId="0" borderId="0" xfId="2" quotePrefix="1" applyNumberFormat="1" applyFont="1" applyFill="1" applyBorder="1"/>
    <xf numFmtId="167" fontId="2" fillId="0" borderId="0" xfId="0" applyNumberFormat="1" applyFont="1" applyFill="1" applyBorder="1"/>
    <xf numFmtId="186" fontId="0" fillId="0" borderId="0" xfId="1" applyNumberFormat="1" applyFont="1" applyFill="1"/>
    <xf numFmtId="175" fontId="0" fillId="0" borderId="0" xfId="1" applyNumberFormat="1" applyFont="1" applyFill="1"/>
    <xf numFmtId="184" fontId="50" fillId="0" borderId="0" xfId="0" applyNumberFormat="1" applyFont="1" applyFill="1"/>
    <xf numFmtId="0" fontId="50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/>
    <xf numFmtId="174" fontId="0" fillId="0" borderId="0" xfId="0" applyNumberFormat="1" applyFill="1"/>
    <xf numFmtId="0" fontId="2" fillId="0" borderId="0" xfId="0" quotePrefix="1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0" fontId="51" fillId="0" borderId="0" xfId="3" quotePrefix="1" applyNumberFormat="1" applyFont="1" applyFill="1"/>
    <xf numFmtId="44" fontId="51" fillId="0" borderId="0" xfId="2" quotePrefix="1" applyFont="1" applyFill="1"/>
    <xf numFmtId="0" fontId="51" fillId="0" borderId="0" xfId="0" applyFont="1" applyFill="1"/>
    <xf numFmtId="0" fontId="53" fillId="0" borderId="0" xfId="0" quotePrefix="1" applyFont="1" applyFill="1"/>
    <xf numFmtId="10" fontId="53" fillId="0" borderId="0" xfId="3" applyNumberFormat="1" applyFont="1" applyFill="1"/>
    <xf numFmtId="0" fontId="2" fillId="0" borderId="13" xfId="4" quotePrefix="1" applyBorder="1" applyAlignment="1">
      <alignment horizontal="center"/>
    </xf>
    <xf numFmtId="167" fontId="4" fillId="0" borderId="0" xfId="0" applyNumberFormat="1" applyFont="1"/>
    <xf numFmtId="0" fontId="2" fillId="0" borderId="0" xfId="4" applyAlignment="1">
      <alignment vertical="top"/>
    </xf>
    <xf numFmtId="0" fontId="4" fillId="0" borderId="0" xfId="4" applyFont="1" applyFill="1" applyAlignment="1">
      <alignment vertical="top" wrapText="1"/>
    </xf>
    <xf numFmtId="185" fontId="2" fillId="0" borderId="0" xfId="4" applyNumberFormat="1" applyAlignment="1">
      <alignment vertical="top" wrapText="1"/>
    </xf>
    <xf numFmtId="0" fontId="2" fillId="0" borderId="0" xfId="4" quotePrefix="1" applyFont="1" applyAlignment="1">
      <alignment horizontal="left" vertical="top"/>
    </xf>
    <xf numFmtId="44" fontId="47" fillId="0" borderId="0" xfId="2" quotePrefix="1" applyFont="1" applyFill="1"/>
    <xf numFmtId="8" fontId="2" fillId="0" borderId="0" xfId="2" applyNumberFormat="1" applyFont="1" applyFill="1"/>
    <xf numFmtId="8" fontId="47" fillId="0" borderId="0" xfId="0" applyNumberFormat="1" applyFont="1" applyFill="1"/>
    <xf numFmtId="185" fontId="54" fillId="0" borderId="0" xfId="0" applyNumberFormat="1" applyFont="1" applyFill="1"/>
    <xf numFmtId="164" fontId="0" fillId="0" borderId="0" xfId="0" applyNumberFormat="1" applyFill="1" applyBorder="1"/>
    <xf numFmtId="175" fontId="47" fillId="0" borderId="0" xfId="1" applyNumberFormat="1" applyFont="1" applyFill="1" applyBorder="1"/>
    <xf numFmtId="0" fontId="2" fillId="0" borderId="0" xfId="0" applyFont="1" applyFill="1" applyBorder="1" applyAlignment="1">
      <alignment horizontal="left"/>
    </xf>
    <xf numFmtId="3" fontId="47" fillId="0" borderId="0" xfId="0" applyNumberFormat="1" applyFont="1" applyFill="1" applyBorder="1"/>
    <xf numFmtId="175" fontId="0" fillId="0" borderId="0" xfId="0" applyNumberFormat="1" applyFill="1" applyBorder="1"/>
    <xf numFmtId="174" fontId="0" fillId="0" borderId="0" xfId="3" applyNumberFormat="1" applyFont="1" applyFill="1" applyBorder="1"/>
    <xf numFmtId="184" fontId="47" fillId="0" borderId="0" xfId="0" applyNumberFormat="1" applyFont="1" applyFill="1" applyBorder="1"/>
    <xf numFmtId="184" fontId="0" fillId="0" borderId="0" xfId="0" applyNumberFormat="1" applyFill="1" applyBorder="1"/>
    <xf numFmtId="9" fontId="0" fillId="0" borderId="0" xfId="3" applyFont="1" applyFill="1" applyBorder="1"/>
    <xf numFmtId="0" fontId="49" fillId="0" borderId="0" xfId="0" applyFont="1" applyFill="1" applyBorder="1"/>
    <xf numFmtId="2" fontId="49" fillId="0" borderId="0" xfId="0" applyNumberFormat="1" applyFont="1" applyFill="1" applyBorder="1"/>
    <xf numFmtId="185" fontId="47" fillId="0" borderId="0" xfId="0" applyNumberFormat="1" applyFont="1" applyFill="1" applyBorder="1"/>
    <xf numFmtId="10" fontId="0" fillId="0" borderId="0" xfId="3" applyNumberFormat="1" applyFont="1" applyFill="1" applyBorder="1"/>
    <xf numFmtId="10" fontId="0" fillId="0" borderId="0" xfId="0" applyNumberFormat="1" applyFill="1" applyBorder="1"/>
    <xf numFmtId="174" fontId="0" fillId="0" borderId="0" xfId="0" applyNumberFormat="1" applyFill="1" applyBorder="1"/>
    <xf numFmtId="174" fontId="47" fillId="0" borderId="0" xfId="3" applyNumberFormat="1" applyFont="1" applyFill="1" applyBorder="1"/>
    <xf numFmtId="2" fontId="0" fillId="0" borderId="0" xfId="0" applyNumberFormat="1" applyFill="1" applyBorder="1"/>
    <xf numFmtId="0" fontId="53" fillId="0" borderId="0" xfId="0" applyFont="1" applyFill="1" applyBorder="1"/>
    <xf numFmtId="174" fontId="4" fillId="0" borderId="0" xfId="3" applyNumberFormat="1" applyFont="1" applyFill="1" applyBorder="1" applyAlignment="1" applyProtection="1">
      <alignment horizontal="right"/>
    </xf>
    <xf numFmtId="44" fontId="0" fillId="0" borderId="0" xfId="2" applyFont="1" applyFill="1" applyBorder="1"/>
    <xf numFmtId="0" fontId="0" fillId="0" borderId="0" xfId="0" quotePrefix="1" applyFill="1" applyBorder="1"/>
    <xf numFmtId="174" fontId="4" fillId="0" borderId="0" xfId="3" applyNumberFormat="1" applyFont="1" applyFill="1" applyBorder="1"/>
    <xf numFmtId="0" fontId="47" fillId="0" borderId="0" xfId="0" quotePrefix="1" applyFont="1" applyFill="1" applyAlignment="1">
      <alignment wrapText="1"/>
    </xf>
    <xf numFmtId="0" fontId="2" fillId="0" borderId="0" xfId="4" applyAlignment="1">
      <alignment horizontal="left" wrapText="1"/>
    </xf>
    <xf numFmtId="185" fontId="4" fillId="0" borderId="0" xfId="2" applyNumberFormat="1" applyFont="1" applyFill="1"/>
    <xf numFmtId="0" fontId="47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Fill="1" applyAlignment="1">
      <alignment horizontal="left"/>
    </xf>
    <xf numFmtId="17" fontId="5" fillId="0" borderId="0" xfId="0" applyNumberFormat="1" applyFont="1" applyFill="1"/>
    <xf numFmtId="4" fontId="5" fillId="0" borderId="15" xfId="0" applyNumberFormat="1" applyFont="1" applyFill="1" applyBorder="1"/>
    <xf numFmtId="4" fontId="5" fillId="0" borderId="0" xfId="0" applyNumberFormat="1" applyFont="1" applyFill="1" applyBorder="1"/>
    <xf numFmtId="4" fontId="5" fillId="0" borderId="16" xfId="0" applyNumberFormat="1" applyFont="1" applyFill="1" applyBorder="1"/>
    <xf numFmtId="187" fontId="12" fillId="0" borderId="0" xfId="0" applyNumberFormat="1" applyFont="1" applyFill="1"/>
    <xf numFmtId="8" fontId="47" fillId="0" borderId="0" xfId="0" applyNumberFormat="1" applyFont="1" applyFill="1" applyAlignment="1">
      <alignment horizontal="right"/>
    </xf>
    <xf numFmtId="185" fontId="54" fillId="0" borderId="0" xfId="0" applyNumberFormat="1" applyFont="1" applyFill="1" applyAlignment="1">
      <alignment horizontal="right"/>
    </xf>
    <xf numFmtId="8" fontId="5" fillId="0" borderId="0" xfId="2" applyNumberFormat="1" applyFont="1" applyFill="1" applyAlignment="1">
      <alignment horizontal="right"/>
    </xf>
    <xf numFmtId="0" fontId="2" fillId="0" borderId="0" xfId="4" quotePrefix="1" applyAlignment="1">
      <alignment horizontal="left"/>
    </xf>
    <xf numFmtId="184" fontId="2" fillId="0" borderId="0" xfId="4" quotePrefix="1" applyNumberFormat="1" applyAlignment="1">
      <alignment horizontal="right"/>
    </xf>
    <xf numFmtId="169" fontId="2" fillId="0" borderId="0" xfId="3" quotePrefix="1" applyNumberFormat="1" applyAlignment="1">
      <alignment horizontal="right"/>
    </xf>
    <xf numFmtId="184" fontId="2" fillId="0" borderId="0" xfId="2" applyNumberFormat="1" applyFont="1" applyFill="1"/>
    <xf numFmtId="0" fontId="52" fillId="0" borderId="0" xfId="0" applyFont="1"/>
    <xf numFmtId="185" fontId="2" fillId="0" borderId="18" xfId="2" applyNumberFormat="1" applyFont="1" applyFill="1" applyBorder="1"/>
    <xf numFmtId="185" fontId="10" fillId="0" borderId="18" xfId="2" applyNumberFormat="1" applyFont="1" applyFill="1" applyBorder="1"/>
    <xf numFmtId="0" fontId="6" fillId="0" borderId="0" xfId="4" applyFont="1"/>
    <xf numFmtId="166" fontId="0" fillId="0" borderId="0" xfId="0" applyNumberFormat="1" applyFill="1" applyBorder="1"/>
    <xf numFmtId="17" fontId="43" fillId="0" borderId="9" xfId="0" applyNumberFormat="1" applyFont="1" applyFill="1" applyBorder="1"/>
    <xf numFmtId="3" fontId="18" fillId="4" borderId="15" xfId="0" applyNumberFormat="1" applyFont="1" applyFill="1" applyBorder="1"/>
    <xf numFmtId="3" fontId="23" fillId="4" borderId="15" xfId="0" applyNumberFormat="1" applyFont="1" applyFill="1" applyBorder="1"/>
    <xf numFmtId="3" fontId="0" fillId="0" borderId="15" xfId="0" applyNumberFormat="1" applyFill="1" applyBorder="1"/>
    <xf numFmtId="3" fontId="24" fillId="5" borderId="15" xfId="0" applyNumberFormat="1" applyFont="1" applyFill="1" applyBorder="1"/>
    <xf numFmtId="0" fontId="0" fillId="0" borderId="15" xfId="0" applyFill="1" applyBorder="1"/>
    <xf numFmtId="3" fontId="3" fillId="5" borderId="15" xfId="0" applyNumberFormat="1" applyFont="1" applyFill="1" applyBorder="1"/>
    <xf numFmtId="3" fontId="2" fillId="0" borderId="15" xfId="0" applyNumberFormat="1" applyFont="1" applyFill="1" applyBorder="1"/>
    <xf numFmtId="0" fontId="5" fillId="0" borderId="15" xfId="0" applyFont="1" applyFill="1" applyBorder="1"/>
    <xf numFmtId="3" fontId="5" fillId="0" borderId="10" xfId="0" applyNumberFormat="1" applyFont="1" applyFill="1" applyBorder="1"/>
    <xf numFmtId="17" fontId="43" fillId="0" borderId="11" xfId="0" applyNumberFormat="1" applyFont="1" applyFill="1" applyBorder="1"/>
    <xf numFmtId="3" fontId="18" fillId="4" borderId="0" xfId="0" applyNumberFormat="1" applyFont="1" applyFill="1" applyBorder="1"/>
    <xf numFmtId="3" fontId="23" fillId="4" borderId="0" xfId="0" applyNumberFormat="1" applyFont="1" applyFill="1" applyBorder="1"/>
    <xf numFmtId="3" fontId="24" fillId="5" borderId="0" xfId="0" applyNumberFormat="1" applyFont="1" applyFill="1" applyBorder="1"/>
    <xf numFmtId="3" fontId="3" fillId="5" borderId="0" xfId="0" applyNumberFormat="1" applyFont="1" applyFill="1" applyBorder="1"/>
    <xf numFmtId="3" fontId="2" fillId="0" borderId="0" xfId="0" applyNumberFormat="1" applyFont="1" applyFill="1" applyBorder="1"/>
    <xf numFmtId="0" fontId="5" fillId="0" borderId="0" xfId="0" applyFont="1" applyFill="1" applyBorder="1"/>
    <xf numFmtId="3" fontId="5" fillId="0" borderId="13" xfId="0" applyNumberFormat="1" applyFont="1" applyFill="1" applyBorder="1"/>
    <xf numFmtId="0" fontId="3" fillId="0" borderId="0" xfId="0" applyFont="1" applyFill="1" applyBorder="1"/>
    <xf numFmtId="17" fontId="43" fillId="0" borderId="12" xfId="0" applyNumberFormat="1" applyFont="1" applyFill="1" applyBorder="1"/>
    <xf numFmtId="3" fontId="18" fillId="4" borderId="16" xfId="0" applyNumberFormat="1" applyFont="1" applyFill="1" applyBorder="1"/>
    <xf numFmtId="3" fontId="23" fillId="4" borderId="16" xfId="0" applyNumberFormat="1" applyFont="1" applyFill="1" applyBorder="1"/>
    <xf numFmtId="3" fontId="0" fillId="0" borderId="16" xfId="0" applyNumberFormat="1" applyFill="1" applyBorder="1"/>
    <xf numFmtId="3" fontId="24" fillId="5" borderId="16" xfId="0" applyNumberFormat="1" applyFont="1" applyFill="1" applyBorder="1"/>
    <xf numFmtId="0" fontId="5" fillId="0" borderId="16" xfId="0" quotePrefix="1" applyFont="1" applyFill="1" applyBorder="1"/>
    <xf numFmtId="3" fontId="3" fillId="5" borderId="16" xfId="0" applyNumberFormat="1" applyFont="1" applyFill="1" applyBorder="1"/>
    <xf numFmtId="3" fontId="2" fillId="0" borderId="16" xfId="0" applyNumberFormat="1" applyFont="1" applyFill="1" applyBorder="1"/>
    <xf numFmtId="0" fontId="0" fillId="0" borderId="16" xfId="0" applyFill="1" applyBorder="1"/>
    <xf numFmtId="0" fontId="5" fillId="0" borderId="16" xfId="0" applyFont="1" applyFill="1" applyBorder="1"/>
    <xf numFmtId="3" fontId="5" fillId="0" borderId="14" xfId="0" applyNumberFormat="1" applyFont="1" applyFill="1" applyBorder="1"/>
    <xf numFmtId="0" fontId="57" fillId="0" borderId="0" xfId="4" applyFont="1"/>
    <xf numFmtId="0" fontId="47" fillId="0" borderId="0" xfId="4" applyFont="1"/>
    <xf numFmtId="0" fontId="4" fillId="0" borderId="0" xfId="4" applyFont="1" applyAlignment="1">
      <alignment horizontal="center" wrapText="1"/>
    </xf>
    <xf numFmtId="0" fontId="2" fillId="0" borderId="0" xfId="4" applyFont="1" applyFill="1" applyAlignment="1">
      <alignment horizontal="center" wrapText="1"/>
    </xf>
    <xf numFmtId="0" fontId="48" fillId="0" borderId="0" xfId="4" applyFont="1" applyAlignment="1">
      <alignment horizontal="center" wrapText="1"/>
    </xf>
    <xf numFmtId="0" fontId="4" fillId="0" borderId="0" xfId="4" applyFont="1" applyFill="1" applyAlignment="1">
      <alignment wrapText="1"/>
    </xf>
    <xf numFmtId="185" fontId="47" fillId="0" borderId="0" xfId="4" applyNumberFormat="1" applyFont="1"/>
    <xf numFmtId="0" fontId="2" fillId="0" borderId="0" xfId="0" quotePrefix="1" applyFont="1" applyAlignment="1">
      <alignment horizontal="left"/>
    </xf>
    <xf numFmtId="0" fontId="47" fillId="0" borderId="0" xfId="4" applyFont="1" applyAlignment="1">
      <alignment horizontal="center" wrapText="1"/>
    </xf>
    <xf numFmtId="0" fontId="4" fillId="0" borderId="0" xfId="4" applyFont="1" applyFill="1" applyAlignment="1">
      <alignment vertical="top"/>
    </xf>
    <xf numFmtId="0" fontId="2" fillId="0" borderId="0" xfId="4" applyAlignment="1">
      <alignment horizontal="left" vertical="top"/>
    </xf>
    <xf numFmtId="3" fontId="47" fillId="0" borderId="16" xfId="4" applyNumberFormat="1" applyFont="1" applyBorder="1" applyAlignment="1">
      <alignment vertical="top"/>
    </xf>
    <xf numFmtId="1" fontId="2" fillId="0" borderId="0" xfId="4" applyNumberFormat="1" applyAlignment="1">
      <alignment vertical="top"/>
    </xf>
    <xf numFmtId="174" fontId="2" fillId="0" borderId="0" xfId="3" applyNumberFormat="1" applyAlignment="1">
      <alignment vertical="top"/>
    </xf>
    <xf numFmtId="0" fontId="2" fillId="0" borderId="0" xfId="4" quotePrefix="1" applyAlignment="1">
      <alignment horizontal="left" vertical="top"/>
    </xf>
    <xf numFmtId="0" fontId="2" fillId="0" borderId="0" xfId="4" applyAlignment="1">
      <alignment vertical="center"/>
    </xf>
    <xf numFmtId="0" fontId="4" fillId="0" borderId="0" xfId="4" applyFont="1" applyFill="1" applyAlignment="1">
      <alignment vertical="center" wrapText="1"/>
    </xf>
    <xf numFmtId="184" fontId="2" fillId="0" borderId="0" xfId="4" applyNumberFormat="1" applyAlignment="1">
      <alignment vertical="center"/>
    </xf>
    <xf numFmtId="0" fontId="2" fillId="0" borderId="0" xfId="4" applyAlignment="1"/>
    <xf numFmtId="185" fontId="2" fillId="0" borderId="0" xfId="4" applyNumberFormat="1" applyAlignment="1">
      <alignment wrapText="1"/>
    </xf>
    <xf numFmtId="7" fontId="10" fillId="0" borderId="18" xfId="2" applyNumberFormat="1" applyFont="1" applyFill="1" applyBorder="1"/>
    <xf numFmtId="37" fontId="2" fillId="0" borderId="0" xfId="1" applyNumberFormat="1" applyAlignment="1"/>
    <xf numFmtId="185" fontId="47" fillId="0" borderId="0" xfId="4" applyNumberFormat="1" applyFont="1" applyAlignment="1">
      <alignment horizontal="right"/>
    </xf>
    <xf numFmtId="185" fontId="47" fillId="0" borderId="0" xfId="4" applyNumberFormat="1" applyFont="1" applyAlignment="1">
      <alignment horizontal="right" vertical="top"/>
    </xf>
    <xf numFmtId="184" fontId="47" fillId="0" borderId="0" xfId="4" applyNumberFormat="1" applyFont="1" applyAlignment="1">
      <alignment horizontal="right" vertical="top"/>
    </xf>
    <xf numFmtId="9" fontId="2" fillId="0" borderId="0" xfId="3" applyFont="1" applyFill="1"/>
    <xf numFmtId="9" fontId="0" fillId="0" borderId="0" xfId="3" applyFont="1" applyFill="1" applyAlignment="1">
      <alignment horizontal="right"/>
    </xf>
    <xf numFmtId="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75" fontId="0" fillId="0" borderId="0" xfId="0" applyNumberFormat="1"/>
    <xf numFmtId="10" fontId="2" fillId="0" borderId="0" xfId="3" quotePrefix="1" applyNumberFormat="1" applyAlignment="1">
      <alignment horizontal="right"/>
    </xf>
    <xf numFmtId="0" fontId="4" fillId="0" borderId="0" xfId="0" applyFont="1" applyAlignment="1">
      <alignment horizontal="center"/>
    </xf>
    <xf numFmtId="8" fontId="2" fillId="0" borderId="0" xfId="4" applyNumberFormat="1"/>
    <xf numFmtId="0" fontId="7" fillId="0" borderId="0" xfId="0" applyFont="1" applyFill="1" applyAlignment="1">
      <alignment horizontal="center"/>
    </xf>
    <xf numFmtId="0" fontId="2" fillId="0" borderId="0" xfId="4" applyAlignment="1">
      <alignment horizontal="left" wrapText="1"/>
    </xf>
    <xf numFmtId="185" fontId="5" fillId="0" borderId="18" xfId="4" applyNumberFormat="1" applyFont="1" applyFill="1" applyBorder="1"/>
    <xf numFmtId="0" fontId="6" fillId="0" borderId="0" xfId="0" applyFont="1" applyAlignment="1">
      <alignment horizontal="center" wrapText="1"/>
    </xf>
    <xf numFmtId="10" fontId="0" fillId="0" borderId="0" xfId="3" applyNumberFormat="1" applyFont="1"/>
    <xf numFmtId="175" fontId="47" fillId="0" borderId="0" xfId="0" applyNumberFormat="1" applyFont="1"/>
    <xf numFmtId="185" fontId="47" fillId="0" borderId="0" xfId="2" applyNumberFormat="1" applyFont="1" applyFill="1" applyBorder="1"/>
    <xf numFmtId="7" fontId="4" fillId="0" borderId="0" xfId="0" applyNumberFormat="1" applyFont="1"/>
    <xf numFmtId="22" fontId="6" fillId="0" borderId="20" xfId="4" applyNumberFormat="1" applyFont="1" applyBorder="1" applyAlignment="1">
      <alignment horizontal="center" wrapText="1"/>
    </xf>
    <xf numFmtId="22" fontId="6" fillId="0" borderId="21" xfId="4" applyNumberFormat="1" applyFont="1" applyBorder="1" applyAlignment="1">
      <alignment horizontal="center" wrapText="1"/>
    </xf>
    <xf numFmtId="7" fontId="10" fillId="7" borderId="18" xfId="2" applyNumberFormat="1" applyFont="1" applyFill="1" applyBorder="1"/>
    <xf numFmtId="185" fontId="10" fillId="7" borderId="18" xfId="4" applyNumberFormat="1" applyFont="1" applyFill="1" applyBorder="1"/>
    <xf numFmtId="7" fontId="2" fillId="0" borderId="18" xfId="4" applyNumberFormat="1" applyFont="1" applyFill="1" applyBorder="1"/>
    <xf numFmtId="0" fontId="7" fillId="0" borderId="0" xfId="0" applyFont="1" applyFill="1" applyAlignment="1">
      <alignment horizontal="center"/>
    </xf>
    <xf numFmtId="0" fontId="2" fillId="0" borderId="0" xfId="4" applyAlignment="1">
      <alignment horizontal="center"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vertical="top"/>
    </xf>
    <xf numFmtId="170" fontId="2" fillId="0" borderId="0" xfId="4" applyNumberFormat="1" applyAlignment="1">
      <alignment vertical="top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top" wrapText="1"/>
    </xf>
    <xf numFmtId="0" fontId="7" fillId="0" borderId="0" xfId="0" applyFont="1" applyFill="1" applyAlignment="1"/>
    <xf numFmtId="185" fontId="2" fillId="8" borderId="18" xfId="2" applyNumberFormat="1" applyFont="1" applyFill="1" applyBorder="1"/>
    <xf numFmtId="185" fontId="54" fillId="8" borderId="18" xfId="4" applyNumberFormat="1" applyFont="1" applyFill="1" applyBorder="1"/>
    <xf numFmtId="184" fontId="10" fillId="0" borderId="18" xfId="2" applyNumberFormat="1" applyFont="1" applyBorder="1"/>
    <xf numFmtId="185" fontId="2" fillId="7" borderId="18" xfId="4" applyNumberFormat="1" applyFont="1" applyFill="1" applyBorder="1"/>
    <xf numFmtId="185" fontId="54" fillId="7" borderId="18" xfId="4" applyNumberFormat="1" applyFont="1" applyFill="1" applyBorder="1"/>
    <xf numFmtId="0" fontId="2" fillId="0" borderId="0" xfId="4" quotePrefix="1" applyAlignment="1"/>
    <xf numFmtId="10" fontId="47" fillId="0" borderId="0" xfId="3" quotePrefix="1" applyNumberFormat="1" applyFont="1" applyFill="1" applyAlignment="1">
      <alignment horizontal="right"/>
    </xf>
    <xf numFmtId="10" fontId="47" fillId="0" borderId="0" xfId="3" applyNumberFormat="1" applyFont="1" applyFill="1"/>
    <xf numFmtId="10" fontId="47" fillId="0" borderId="15" xfId="3" quotePrefix="1" applyNumberFormat="1" applyFont="1" applyFill="1" applyBorder="1" applyAlignment="1">
      <alignment horizontal="right"/>
    </xf>
    <xf numFmtId="9" fontId="12" fillId="0" borderId="15" xfId="3" quotePrefix="1" applyFont="1" applyFill="1" applyBorder="1" applyAlignment="1">
      <alignment horizontal="center"/>
    </xf>
    <xf numFmtId="10" fontId="47" fillId="0" borderId="15" xfId="3" applyNumberFormat="1" applyFont="1" applyFill="1" applyBorder="1"/>
    <xf numFmtId="10" fontId="47" fillId="0" borderId="0" xfId="3" quotePrefix="1" applyNumberFormat="1" applyFont="1" applyFill="1" applyBorder="1" applyAlignment="1">
      <alignment horizontal="right"/>
    </xf>
    <xf numFmtId="9" fontId="12" fillId="0" borderId="0" xfId="3" quotePrefix="1" applyFont="1" applyFill="1" applyBorder="1" applyAlignment="1">
      <alignment horizontal="center"/>
    </xf>
    <xf numFmtId="10" fontId="47" fillId="0" borderId="0" xfId="3" applyNumberFormat="1" applyFont="1" applyFill="1" applyBorder="1"/>
    <xf numFmtId="10" fontId="47" fillId="0" borderId="16" xfId="3" quotePrefix="1" applyNumberFormat="1" applyFont="1" applyFill="1" applyBorder="1" applyAlignment="1">
      <alignment horizontal="right"/>
    </xf>
    <xf numFmtId="9" fontId="12" fillId="0" borderId="16" xfId="3" quotePrefix="1" applyFont="1" applyFill="1" applyBorder="1" applyAlignment="1">
      <alignment horizontal="center"/>
    </xf>
    <xf numFmtId="10" fontId="47" fillId="0" borderId="16" xfId="3" applyNumberFormat="1" applyFont="1" applyFill="1" applyBorder="1"/>
    <xf numFmtId="3" fontId="47" fillId="5" borderId="0" xfId="0" applyNumberFormat="1" applyFont="1" applyFill="1"/>
    <xf numFmtId="3" fontId="47" fillId="5" borderId="15" xfId="0" applyNumberFormat="1" applyFont="1" applyFill="1" applyBorder="1"/>
    <xf numFmtId="3" fontId="47" fillId="5" borderId="0" xfId="0" applyNumberFormat="1" applyFont="1" applyFill="1" applyBorder="1"/>
    <xf numFmtId="3" fontId="47" fillId="5" borderId="16" xfId="0" applyNumberFormat="1" applyFont="1" applyFill="1" applyBorder="1"/>
    <xf numFmtId="10" fontId="5" fillId="0" borderId="0" xfId="3" applyNumberFormat="1" applyFont="1" applyFill="1"/>
    <xf numFmtId="10" fontId="5" fillId="0" borderId="15" xfId="3" applyNumberFormat="1" applyFont="1" applyFill="1" applyBorder="1"/>
    <xf numFmtId="10" fontId="5" fillId="0" borderId="10" xfId="3" applyNumberFormat="1" applyFont="1" applyFill="1" applyBorder="1"/>
    <xf numFmtId="10" fontId="5" fillId="0" borderId="0" xfId="3" applyNumberFormat="1" applyFont="1" applyFill="1" applyBorder="1"/>
    <xf numFmtId="10" fontId="5" fillId="0" borderId="13" xfId="3" applyNumberFormat="1" applyFont="1" applyFill="1" applyBorder="1"/>
    <xf numFmtId="10" fontId="5" fillId="0" borderId="16" xfId="3" applyNumberFormat="1" applyFont="1" applyFill="1" applyBorder="1"/>
    <xf numFmtId="10" fontId="5" fillId="0" borderId="14" xfId="3" applyNumberFormat="1" applyFont="1" applyFill="1" applyBorder="1"/>
    <xf numFmtId="0" fontId="2" fillId="0" borderId="0" xfId="0" applyFont="1" applyFill="1" applyAlignment="1">
      <alignment horizontal="left"/>
    </xf>
    <xf numFmtId="167" fontId="0" fillId="0" borderId="0" xfId="0" applyNumberFormat="1" applyFill="1"/>
    <xf numFmtId="0" fontId="7" fillId="0" borderId="0" xfId="0" applyFont="1" applyFill="1" applyAlignment="1">
      <alignment horizontal="center"/>
    </xf>
    <xf numFmtId="186" fontId="47" fillId="0" borderId="0" xfId="1" applyNumberFormat="1" applyFont="1"/>
    <xf numFmtId="0" fontId="2" fillId="0" borderId="0" xfId="4" applyFill="1" applyAlignment="1">
      <alignment horizontal="left" vertical="top"/>
    </xf>
    <xf numFmtId="0" fontId="2" fillId="0" borderId="0" xfId="4" quotePrefix="1" applyFill="1" applyAlignment="1">
      <alignment horizontal="left" vertical="top"/>
    </xf>
    <xf numFmtId="0" fontId="2" fillId="0" borderId="0" xfId="4" quotePrefix="1" applyFill="1" applyAlignment="1">
      <alignment horizontal="left" vertical="center"/>
    </xf>
    <xf numFmtId="0" fontId="2" fillId="0" borderId="0" xfId="4" applyFill="1" applyAlignment="1">
      <alignment horizontal="left" vertical="center"/>
    </xf>
    <xf numFmtId="0" fontId="2" fillId="0" borderId="0" xfId="4" applyFill="1" applyAlignment="1">
      <alignment vertical="center"/>
    </xf>
    <xf numFmtId="0" fontId="2" fillId="0" borderId="0" xfId="4" applyFill="1" applyAlignment="1">
      <alignment horizontal="left"/>
    </xf>
    <xf numFmtId="3" fontId="2" fillId="0" borderId="0" xfId="4" applyNumberFormat="1" applyFont="1" applyAlignment="1">
      <alignment vertical="top"/>
    </xf>
    <xf numFmtId="0" fontId="58" fillId="0" borderId="0" xfId="4" applyFont="1"/>
    <xf numFmtId="0" fontId="59" fillId="0" borderId="0" xfId="4" applyFont="1"/>
    <xf numFmtId="0" fontId="9" fillId="0" borderId="0" xfId="0" applyFont="1" applyAlignment="1">
      <alignment horizontal="center" wrapText="1"/>
    </xf>
    <xf numFmtId="22" fontId="4" fillId="0" borderId="0" xfId="4" applyNumberFormat="1" applyFont="1" applyBorder="1" applyAlignment="1">
      <alignment horizontal="center" wrapText="1"/>
    </xf>
    <xf numFmtId="0" fontId="4" fillId="0" borderId="0" xfId="4" applyFont="1" applyFill="1" applyAlignment="1">
      <alignment vertical="center"/>
    </xf>
    <xf numFmtId="0" fontId="13" fillId="0" borderId="0" xfId="4" applyFont="1" applyFill="1" applyAlignment="1">
      <alignment vertical="center" wrapText="1"/>
    </xf>
    <xf numFmtId="165" fontId="49" fillId="0" borderId="0" xfId="0" applyNumberFormat="1" applyFont="1" applyFill="1" applyBorder="1"/>
    <xf numFmtId="179" fontId="4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" fontId="47" fillId="0" borderId="18" xfId="3" applyNumberFormat="1" applyFont="1" applyFill="1" applyBorder="1"/>
    <xf numFmtId="167" fontId="5" fillId="0" borderId="0" xfId="0" applyNumberFormat="1" applyFont="1" applyFill="1"/>
    <xf numFmtId="179" fontId="3" fillId="0" borderId="0" xfId="0" applyNumberFormat="1" applyFont="1" applyFill="1"/>
    <xf numFmtId="4" fontId="5" fillId="0" borderId="9" xfId="0" applyNumberFormat="1" applyFont="1" applyFill="1" applyBorder="1"/>
    <xf numFmtId="167" fontId="5" fillId="0" borderId="15" xfId="0" applyNumberFormat="1" applyFont="1" applyFill="1" applyBorder="1"/>
    <xf numFmtId="179" fontId="3" fillId="0" borderId="10" xfId="0" applyNumberFormat="1" applyFont="1" applyFill="1" applyBorder="1"/>
    <xf numFmtId="4" fontId="5" fillId="0" borderId="11" xfId="0" applyNumberFormat="1" applyFont="1" applyFill="1" applyBorder="1"/>
    <xf numFmtId="179" fontId="3" fillId="0" borderId="13" xfId="0" applyNumberFormat="1" applyFont="1" applyFill="1" applyBorder="1"/>
    <xf numFmtId="9" fontId="12" fillId="0" borderId="13" xfId="3" applyNumberFormat="1" applyFont="1" applyFill="1" applyBorder="1"/>
    <xf numFmtId="4" fontId="5" fillId="0" borderId="12" xfId="0" applyNumberFormat="1" applyFont="1" applyFill="1" applyBorder="1"/>
    <xf numFmtId="167" fontId="0" fillId="0" borderId="16" xfId="0" applyNumberFormat="1" applyFill="1" applyBorder="1"/>
    <xf numFmtId="179" fontId="3" fillId="0" borderId="14" xfId="0" applyNumberFormat="1" applyFont="1" applyFill="1" applyBorder="1"/>
    <xf numFmtId="9" fontId="12" fillId="0" borderId="14" xfId="3" applyNumberFormat="1" applyFont="1" applyFill="1" applyBorder="1"/>
    <xf numFmtId="171" fontId="2" fillId="0" borderId="0" xfId="0" applyNumberFormat="1" applyFont="1" applyFill="1"/>
    <xf numFmtId="1" fontId="47" fillId="0" borderId="0" xfId="0" applyNumberFormat="1" applyFont="1"/>
    <xf numFmtId="2" fontId="2" fillId="0" borderId="0" xfId="4" applyNumberFormat="1" applyAlignment="1">
      <alignment horizontal="right"/>
    </xf>
    <xf numFmtId="185" fontId="47" fillId="0" borderId="0" xfId="4" applyNumberFormat="1" applyFont="1" applyAlignment="1">
      <alignment horizontal="center" vertical="top"/>
    </xf>
    <xf numFmtId="0" fontId="2" fillId="0" borderId="0" xfId="0" quotePrefix="1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horizontal="left" vertical="top"/>
    </xf>
    <xf numFmtId="185" fontId="54" fillId="0" borderId="0" xfId="4" applyNumberFormat="1" applyFont="1" applyBorder="1" applyAlignment="1">
      <alignment horizontal="center" vertical="top"/>
    </xf>
    <xf numFmtId="185" fontId="2" fillId="0" borderId="0" xfId="4" applyNumberFormat="1" applyFont="1" applyBorder="1" applyAlignment="1">
      <alignment horizontal="center" vertical="top"/>
    </xf>
    <xf numFmtId="170" fontId="2" fillId="0" borderId="0" xfId="4" applyNumberFormat="1" applyFont="1" applyFill="1" applyAlignment="1">
      <alignment horizontal="center" vertical="top"/>
    </xf>
    <xf numFmtId="3" fontId="47" fillId="0" borderId="0" xfId="4" applyNumberFormat="1" applyFont="1" applyBorder="1" applyAlignment="1">
      <alignment horizontal="center" vertical="top"/>
    </xf>
    <xf numFmtId="184" fontId="2" fillId="0" borderId="0" xfId="4" applyNumberFormat="1" applyFont="1" applyAlignment="1">
      <alignment horizontal="center" vertical="top"/>
    </xf>
    <xf numFmtId="1" fontId="2" fillId="0" borderId="0" xfId="4" applyNumberFormat="1" applyFont="1" applyAlignment="1">
      <alignment horizontal="center" vertical="top"/>
    </xf>
    <xf numFmtId="3" fontId="2" fillId="0" borderId="0" xfId="4" applyNumberFormat="1" applyFont="1" applyAlignment="1">
      <alignment horizontal="center" vertical="top"/>
    </xf>
    <xf numFmtId="174" fontId="2" fillId="0" borderId="0" xfId="3" applyNumberFormat="1" applyAlignment="1">
      <alignment horizontal="center" vertical="top"/>
    </xf>
    <xf numFmtId="184" fontId="2" fillId="0" borderId="0" xfId="4" applyNumberFormat="1" applyAlignment="1">
      <alignment horizontal="center" vertical="top"/>
    </xf>
    <xf numFmtId="3" fontId="2" fillId="0" borderId="0" xfId="4" applyNumberFormat="1" applyFill="1" applyAlignment="1">
      <alignment horizontal="center" vertical="top"/>
    </xf>
    <xf numFmtId="37" fontId="2" fillId="0" borderId="0" xfId="1" applyNumberFormat="1" applyAlignment="1">
      <alignment horizontal="center" vertical="top"/>
    </xf>
    <xf numFmtId="185" fontId="2" fillId="0" borderId="0" xfId="4" applyNumberFormat="1" applyAlignment="1">
      <alignment horizontal="center" vertical="top" wrapText="1"/>
    </xf>
    <xf numFmtId="185" fontId="54" fillId="0" borderId="0" xfId="4" applyNumberFormat="1" applyFont="1" applyAlignment="1">
      <alignment horizontal="center" vertical="top"/>
    </xf>
    <xf numFmtId="0" fontId="2" fillId="0" borderId="0" xfId="4" quotePrefix="1" applyFont="1" applyAlignment="1">
      <alignment vertical="top" wrapText="1"/>
    </xf>
    <xf numFmtId="0" fontId="13" fillId="0" borderId="0" xfId="4" applyFont="1" applyFill="1" applyAlignment="1">
      <alignment vertical="top" wrapText="1"/>
    </xf>
    <xf numFmtId="185" fontId="47" fillId="0" borderId="0" xfId="4" applyNumberFormat="1" applyFont="1" applyFill="1" applyAlignment="1">
      <alignment horizontal="center" vertical="top"/>
    </xf>
    <xf numFmtId="185" fontId="2" fillId="0" borderId="20" xfId="4" applyNumberFormat="1" applyFont="1" applyFill="1" applyBorder="1" applyAlignment="1">
      <alignment horizontal="center" vertical="top"/>
    </xf>
    <xf numFmtId="3" fontId="47" fillId="0" borderId="16" xfId="4" applyNumberFormat="1" applyFont="1" applyBorder="1" applyAlignment="1">
      <alignment horizontal="center" vertical="top"/>
    </xf>
    <xf numFmtId="1" fontId="2" fillId="0" borderId="0" xfId="4" applyNumberFormat="1" applyAlignment="1">
      <alignment horizontal="center" vertical="top"/>
    </xf>
    <xf numFmtId="3" fontId="2" fillId="0" borderId="0" xfId="4" applyNumberFormat="1" applyFont="1" applyFill="1" applyAlignment="1">
      <alignment horizontal="center" vertical="top"/>
    </xf>
    <xf numFmtId="185" fontId="2" fillId="0" borderId="0" xfId="4" applyNumberFormat="1" applyFill="1" applyAlignment="1">
      <alignment horizontal="center" vertical="top" wrapText="1"/>
    </xf>
    <xf numFmtId="0" fontId="4" fillId="0" borderId="0" xfId="4" applyFont="1" applyFill="1" applyAlignment="1">
      <alignment horizontal="left" vertical="top" wrapText="1"/>
    </xf>
    <xf numFmtId="0" fontId="13" fillId="0" borderId="0" xfId="4" applyFont="1" applyFill="1" applyAlignment="1">
      <alignment horizontal="left" vertical="top" wrapText="1"/>
    </xf>
    <xf numFmtId="0" fontId="4" fillId="0" borderId="0" xfId="4" applyFont="1" applyFill="1" applyAlignment="1">
      <alignment horizontal="left" vertical="top"/>
    </xf>
    <xf numFmtId="7" fontId="2" fillId="9" borderId="18" xfId="4" applyNumberFormat="1" applyFont="1" applyFill="1" applyBorder="1"/>
    <xf numFmtId="185" fontId="54" fillId="0" borderId="0" xfId="4" applyNumberFormat="1" applyFont="1" applyFill="1" applyAlignment="1">
      <alignment horizontal="center" vertical="top"/>
    </xf>
    <xf numFmtId="169" fontId="0" fillId="0" borderId="0" xfId="0" applyNumberFormat="1" applyFill="1" applyBorder="1"/>
    <xf numFmtId="169" fontId="21" fillId="4" borderId="0" xfId="0" applyNumberFormat="1" applyFont="1" applyFill="1" applyBorder="1"/>
    <xf numFmtId="10" fontId="47" fillId="6" borderId="0" xfId="0" applyNumberFormat="1" applyFont="1" applyFill="1" applyBorder="1"/>
    <xf numFmtId="169" fontId="47" fillId="6" borderId="0" xfId="0" applyNumberFormat="1" applyFont="1" applyFill="1" applyBorder="1"/>
    <xf numFmtId="169" fontId="47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44" fontId="2" fillId="0" borderId="0" xfId="2" applyFont="1" applyFill="1" applyBorder="1"/>
    <xf numFmtId="169" fontId="0" fillId="0" borderId="0" xfId="3" applyNumberFormat="1" applyFont="1" applyFill="1" applyBorder="1"/>
    <xf numFmtId="44" fontId="3" fillId="0" borderId="0" xfId="2" applyFont="1" applyFill="1" applyBorder="1"/>
    <xf numFmtId="44" fontId="3" fillId="0" borderId="0" xfId="2" quotePrefix="1" applyFont="1" applyFill="1" applyBorder="1"/>
    <xf numFmtId="169" fontId="47" fillId="0" borderId="0" xfId="3" applyNumberFormat="1" applyFont="1" applyFill="1" applyBorder="1"/>
    <xf numFmtId="188" fontId="0" fillId="0" borderId="0" xfId="3" applyNumberFormat="1" applyFont="1" applyFill="1" applyBorder="1"/>
    <xf numFmtId="169" fontId="60" fillId="4" borderId="0" xfId="8" applyNumberFormat="1" applyFont="1" applyFill="1" applyBorder="1" applyAlignment="1">
      <alignment vertical="center"/>
    </xf>
    <xf numFmtId="171" fontId="3" fillId="0" borderId="0" xfId="2" quotePrefix="1" applyNumberFormat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right"/>
    </xf>
    <xf numFmtId="171" fontId="2" fillId="0" borderId="0" xfId="2" quotePrefix="1" applyNumberFormat="1" applyFont="1" applyFill="1" applyBorder="1"/>
    <xf numFmtId="169" fontId="4" fillId="4" borderId="0" xfId="0" applyNumberFormat="1" applyFont="1" applyFill="1" applyBorder="1"/>
    <xf numFmtId="185" fontId="0" fillId="0" borderId="0" xfId="0" applyNumberFormat="1" applyFill="1" applyBorder="1"/>
    <xf numFmtId="7" fontId="0" fillId="0" borderId="0" xfId="0" applyNumberFormat="1" applyFill="1" applyBorder="1"/>
    <xf numFmtId="0" fontId="50" fillId="0" borderId="0" xfId="0" applyFont="1" applyFill="1" applyBorder="1"/>
    <xf numFmtId="9" fontId="56" fillId="0" borderId="0" xfId="3" applyFont="1" applyFill="1" applyBorder="1"/>
    <xf numFmtId="0" fontId="56" fillId="0" borderId="0" xfId="0" applyFont="1" applyFill="1" applyBorder="1"/>
    <xf numFmtId="184" fontId="0" fillId="0" borderId="0" xfId="0" applyNumberFormat="1" applyFill="1" applyBorder="1" applyAlignment="1">
      <alignment horizontal="center"/>
    </xf>
    <xf numFmtId="0" fontId="47" fillId="0" borderId="0" xfId="0" applyFont="1" applyFill="1" applyBorder="1"/>
    <xf numFmtId="0" fontId="49" fillId="0" borderId="0" xfId="0" applyFont="1" applyFill="1" applyBorder="1" applyAlignment="1">
      <alignment horizontal="right"/>
    </xf>
    <xf numFmtId="3" fontId="49" fillId="0" borderId="0" xfId="0" applyNumberFormat="1" applyFont="1" applyFill="1" applyBorder="1"/>
    <xf numFmtId="9" fontId="2" fillId="0" borderId="0" xfId="3" applyFill="1"/>
    <xf numFmtId="171" fontId="2" fillId="0" borderId="0" xfId="3" applyNumberFormat="1" applyFill="1"/>
    <xf numFmtId="0" fontId="7" fillId="0" borderId="0" xfId="0" applyFont="1" applyFill="1" applyAlignment="1">
      <alignment horizontal="center"/>
    </xf>
    <xf numFmtId="17" fontId="0" fillId="0" borderId="0" xfId="0" applyNumberFormat="1" applyFill="1" applyAlignment="1">
      <alignment horizontal="left"/>
    </xf>
    <xf numFmtId="176" fontId="3" fillId="0" borderId="0" xfId="1" quotePrefix="1" applyNumberFormat="1" applyFont="1" applyFill="1"/>
    <xf numFmtId="176" fontId="4" fillId="0" borderId="0" xfId="1" quotePrefix="1" applyNumberFormat="1" applyFont="1" applyFill="1"/>
    <xf numFmtId="188" fontId="53" fillId="0" borderId="0" xfId="3" applyNumberFormat="1" applyFont="1" applyFill="1"/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wrapText="1"/>
    </xf>
    <xf numFmtId="0" fontId="2" fillId="0" borderId="0" xfId="4" applyFill="1" applyAlignment="1">
      <alignment horizontal="left" wrapText="1"/>
    </xf>
    <xf numFmtId="0" fontId="2" fillId="0" borderId="11" xfId="4" applyFont="1" applyFill="1" applyBorder="1" applyAlignment="1">
      <alignment horizontal="left" wrapText="1"/>
    </xf>
    <xf numFmtId="0" fontId="2" fillId="0" borderId="0" xfId="0" quotePrefix="1" applyFont="1" applyAlignment="1">
      <alignment horizontal="left" wrapText="1"/>
    </xf>
    <xf numFmtId="0" fontId="2" fillId="0" borderId="0" xfId="4" quotePrefix="1" applyAlignment="1">
      <alignment horizontal="left" vertical="top" wrapText="1"/>
    </xf>
    <xf numFmtId="0" fontId="7" fillId="0" borderId="0" xfId="0" applyFont="1" applyFill="1" applyAlignment="1">
      <alignment horizontal="center" wrapText="1"/>
    </xf>
    <xf numFmtId="0" fontId="57" fillId="0" borderId="0" xfId="4" applyFont="1" applyAlignment="1">
      <alignment horizontal="center"/>
    </xf>
    <xf numFmtId="22" fontId="7" fillId="0" borderId="0" xfId="4" applyNumberFormat="1" applyFont="1" applyAlignment="1">
      <alignment horizontal="center"/>
    </xf>
    <xf numFmtId="22" fontId="29" fillId="0" borderId="0" xfId="4" applyNumberFormat="1" applyFont="1" applyAlignment="1">
      <alignment horizontal="center"/>
    </xf>
    <xf numFmtId="0" fontId="2" fillId="0" borderId="0" xfId="4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0" xfId="4" applyFont="1" applyFill="1" applyAlignment="1">
      <alignment horizontal="left" vertical="top" wrapText="1"/>
    </xf>
    <xf numFmtId="0" fontId="2" fillId="0" borderId="0" xfId="4" applyAlignment="1">
      <alignment horizontal="left" vertical="top" wrapText="1"/>
    </xf>
  </cellXfs>
  <cellStyles count="9">
    <cellStyle name="Comma" xfId="1" builtinId="3"/>
    <cellStyle name="Comma 2" xfId="7" xr:uid="{E69C12F5-BA1A-4988-994F-6DED097B836C}"/>
    <cellStyle name="Currency" xfId="2" builtinId="4"/>
    <cellStyle name="Normal" xfId="0" builtinId="0"/>
    <cellStyle name="Normal 2" xfId="4" xr:uid="{00000000-0005-0000-0000-000003000000}"/>
    <cellStyle name="Normal 2 4" xfId="8" xr:uid="{10C07421-F444-4C3C-9780-C2FC7B4CF7ED}"/>
    <cellStyle name="Normal 3" xfId="5" xr:uid="{00000000-0005-0000-0000-000004000000}"/>
    <cellStyle name="Percent" xfId="3" builtinId="5"/>
    <cellStyle name="Percent 2" xfId="6" xr:uid="{00000000-0005-0000-0000-000006000000}"/>
  </cellStyles>
  <dxfs count="0"/>
  <tableStyles count="0" defaultTableStyle="TableStyleMedium2" defaultPivotStyle="PivotStyleLight16"/>
  <colors>
    <mruColors>
      <color rgb="FF0000FF"/>
      <color rgb="FFCC99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69"/>
  <sheetViews>
    <sheetView tabSelected="1" view="pageBreakPreview" topLeftCell="A35" zoomScale="75" zoomScaleNormal="60" zoomScaleSheetLayoutView="75" workbookViewId="0">
      <selection activeCell="E166" sqref="E166"/>
    </sheetView>
  </sheetViews>
  <sheetFormatPr defaultColWidth="9.08984375" defaultRowHeight="12.5" x14ac:dyDescent="0.25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6.54296875" style="13" customWidth="1"/>
    <col min="6" max="6" width="16" style="13" customWidth="1"/>
    <col min="7" max="7" width="16.54296875" style="13" customWidth="1"/>
    <col min="8" max="8" width="15.453125" style="13" customWidth="1"/>
    <col min="9" max="9" width="14.08984375" style="13" customWidth="1"/>
    <col min="10" max="10" width="16.453125" style="13" customWidth="1"/>
    <col min="11" max="11" width="12.54296875" style="13" customWidth="1"/>
    <col min="12" max="12" width="16.54296875" style="13" customWidth="1"/>
    <col min="13" max="13" width="17" style="13" hidden="1" customWidth="1"/>
    <col min="14" max="14" width="15.08984375" style="13" hidden="1" customWidth="1"/>
    <col min="15" max="16" width="12.453125" style="13" hidden="1" customWidth="1"/>
    <col min="17" max="17" width="13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0.54296875" style="13" hidden="1" customWidth="1"/>
    <col min="26" max="26" width="11.54296875" style="13" hidden="1" customWidth="1"/>
    <col min="27" max="27" width="12.54296875" style="13" hidden="1" customWidth="1"/>
    <col min="28" max="28" width="13.453125" style="13" hidden="1" customWidth="1"/>
    <col min="29" max="29" width="11" style="13" hidden="1" customWidth="1"/>
    <col min="30" max="30" width="14.08984375" style="13" hidden="1" customWidth="1"/>
    <col min="31" max="31" width="9.90625" style="13" hidden="1" customWidth="1"/>
    <col min="32" max="32" width="9.08984375" style="13" hidden="1" customWidth="1"/>
    <col min="33" max="33" width="12" style="13" hidden="1" customWidth="1"/>
    <col min="34" max="35" width="9.08984375" style="13" hidden="1" customWidth="1"/>
    <col min="36" max="37" width="9.08984375" style="13" customWidth="1"/>
    <col min="38" max="38" width="9.453125" style="13" customWidth="1"/>
    <col min="39" max="46" width="9.08984375" style="13" customWidth="1"/>
    <col min="47" max="48" width="10.90625" style="13" customWidth="1"/>
    <col min="49" max="49" width="12.453125" style="13" customWidth="1"/>
    <col min="50" max="50" width="10.90625" style="13" customWidth="1"/>
    <col min="51" max="51" width="11.453125" style="13" customWidth="1"/>
    <col min="52" max="16384" width="9.08984375" style="13"/>
  </cols>
  <sheetData>
    <row r="1" spans="1:26" ht="15.5" x14ac:dyDescent="0.35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5" x14ac:dyDescent="0.35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5" x14ac:dyDescent="0.35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1:26" ht="15.5" x14ac:dyDescent="0.3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5" x14ac:dyDescent="0.35">
      <c r="B5" s="639" t="s">
        <v>320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x14ac:dyDescent="0.25">
      <c r="L6" s="120" t="s">
        <v>252</v>
      </c>
    </row>
    <row r="8" spans="1:26" ht="15.5" x14ac:dyDescent="0.35">
      <c r="B8" s="14" t="s">
        <v>50</v>
      </c>
    </row>
    <row r="9" spans="1:26" ht="13" x14ac:dyDescent="0.3">
      <c r="A9" s="15"/>
      <c r="B9" s="16" t="s">
        <v>45</v>
      </c>
    </row>
    <row r="10" spans="1:26" ht="13" x14ac:dyDescent="0.3">
      <c r="E10" s="17" t="str">
        <f>'BGS PTY20 Cost Alloc'!$E$10</f>
        <v>Based on an average of 2018 through 2020 Load Profile Information</v>
      </c>
    </row>
    <row r="11" spans="1:26" ht="13" x14ac:dyDescent="0.3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3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ht="13" x14ac:dyDescent="0.3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ht="13" x14ac:dyDescent="0.3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" x14ac:dyDescent="0.3">
      <c r="A15" s="22"/>
      <c r="B15" s="28" t="s">
        <v>1</v>
      </c>
      <c r="C15" s="29"/>
      <c r="D15" s="29"/>
      <c r="E15" s="153">
        <f>'BGS PTY20 Cost Alloc'!E15</f>
        <v>0.49259999999999998</v>
      </c>
      <c r="F15" s="153">
        <f>'BGS PTY20 Cost Alloc'!F15</f>
        <v>0.5171</v>
      </c>
      <c r="G15" s="153">
        <f>'BGS PTY20 Cost Alloc'!G15</f>
        <v>0.57699999999999996</v>
      </c>
      <c r="H15" s="153">
        <f>'BGS PTY20 Cost Alloc'!H15</f>
        <v>0.55369999999999997</v>
      </c>
      <c r="I15" s="153">
        <f>'BGS PTY20 Cost Alloc'!I15</f>
        <v>0.33700000000000002</v>
      </c>
      <c r="J15" s="29"/>
      <c r="K15" s="30"/>
      <c r="L15" s="30"/>
      <c r="M15" s="30"/>
      <c r="N15" s="31"/>
      <c r="O15" s="32"/>
      <c r="P15" s="32"/>
      <c r="Q15" s="32">
        <f t="shared" ref="Q15:Q26" si="0">1-E15</f>
        <v>0.50740000000000007</v>
      </c>
      <c r="R15" s="32">
        <f t="shared" ref="R15:R26" si="1">1-F15</f>
        <v>0.4829</v>
      </c>
      <c r="S15" s="32">
        <f t="shared" ref="S15:S26" si="2">1-G15</f>
        <v>0.42300000000000004</v>
      </c>
      <c r="T15" s="32">
        <f t="shared" ref="T15:T26" si="3">1-H15</f>
        <v>0.44630000000000003</v>
      </c>
      <c r="U15" s="32">
        <f t="shared" ref="U15:U26" si="4">1-I15</f>
        <v>0.66300000000000003</v>
      </c>
      <c r="V15" s="32"/>
      <c r="W15" s="32"/>
      <c r="X15" s="32"/>
      <c r="Y15" s="32"/>
      <c r="Z15" s="32"/>
    </row>
    <row r="16" spans="1:26" ht="13" x14ac:dyDescent="0.3">
      <c r="A16" s="22"/>
      <c r="B16" s="28" t="s">
        <v>2</v>
      </c>
      <c r="C16" s="29"/>
      <c r="D16" s="29"/>
      <c r="E16" s="153">
        <f>'BGS PTY20 Cost Alloc'!E16</f>
        <v>0.47</v>
      </c>
      <c r="F16" s="153">
        <f>'BGS PTY20 Cost Alloc'!F16</f>
        <v>0.49769999999999998</v>
      </c>
      <c r="G16" s="153">
        <f>'BGS PTY20 Cost Alloc'!G16</f>
        <v>0.56659999999999999</v>
      </c>
      <c r="H16" s="153">
        <f>'BGS PTY20 Cost Alloc'!H16</f>
        <v>0.54600000000000004</v>
      </c>
      <c r="I16" s="153">
        <f>'BGS PTY20 Cost Alloc'!I16</f>
        <v>0.30819999999999997</v>
      </c>
      <c r="J16" s="29"/>
      <c r="K16" s="30"/>
      <c r="L16" s="30"/>
      <c r="M16" s="30"/>
      <c r="N16" s="31"/>
      <c r="O16" s="32"/>
      <c r="P16" s="32"/>
      <c r="Q16" s="32">
        <f t="shared" si="0"/>
        <v>0.53</v>
      </c>
      <c r="R16" s="32">
        <f t="shared" si="1"/>
        <v>0.50229999999999997</v>
      </c>
      <c r="S16" s="32">
        <f t="shared" si="2"/>
        <v>0.43340000000000001</v>
      </c>
      <c r="T16" s="32">
        <f t="shared" si="3"/>
        <v>0.45399999999999996</v>
      </c>
      <c r="U16" s="32">
        <f t="shared" si="4"/>
        <v>0.69179999999999997</v>
      </c>
      <c r="V16" s="32"/>
      <c r="W16" s="32"/>
      <c r="X16" s="32"/>
      <c r="Y16" s="32"/>
      <c r="Z16" s="32"/>
    </row>
    <row r="17" spans="1:26" ht="13" x14ac:dyDescent="0.3">
      <c r="A17" s="22"/>
      <c r="B17" s="28" t="s">
        <v>3</v>
      </c>
      <c r="C17" s="29"/>
      <c r="D17" s="29"/>
      <c r="E17" s="153">
        <f>'BGS PTY20 Cost Alloc'!E17</f>
        <v>0.47660000000000002</v>
      </c>
      <c r="F17" s="153">
        <f>'BGS PTY20 Cost Alloc'!F17</f>
        <v>0.50309999999999999</v>
      </c>
      <c r="G17" s="153">
        <f>'BGS PTY20 Cost Alloc'!G17</f>
        <v>0.58230000000000004</v>
      </c>
      <c r="H17" s="153">
        <f>'BGS PTY20 Cost Alloc'!H17</f>
        <v>0.53749999999999998</v>
      </c>
      <c r="I17" s="153">
        <f>'BGS PTY20 Cost Alloc'!I17</f>
        <v>0.30209999999999998</v>
      </c>
      <c r="J17" s="29"/>
      <c r="K17" s="30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1"/>
        <v>0.49690000000000001</v>
      </c>
      <c r="S17" s="32">
        <f t="shared" si="2"/>
        <v>0.41769999999999996</v>
      </c>
      <c r="T17" s="32">
        <f t="shared" si="3"/>
        <v>0.46250000000000002</v>
      </c>
      <c r="U17" s="32">
        <f t="shared" si="4"/>
        <v>0.69789999999999996</v>
      </c>
      <c r="V17" s="32"/>
      <c r="W17" s="32"/>
      <c r="X17" s="32"/>
      <c r="Y17" s="32"/>
      <c r="Z17" s="32"/>
    </row>
    <row r="18" spans="1:26" ht="13" x14ac:dyDescent="0.3">
      <c r="A18" s="22"/>
      <c r="B18" s="28" t="s">
        <v>4</v>
      </c>
      <c r="C18" s="29"/>
      <c r="D18" s="29"/>
      <c r="E18" s="153">
        <f>'BGS PTY20 Cost Alloc'!E18</f>
        <v>0.50070000000000003</v>
      </c>
      <c r="F18" s="153">
        <f>'BGS PTY20 Cost Alloc'!F18</f>
        <v>0.52190000000000003</v>
      </c>
      <c r="G18" s="153">
        <f>'BGS PTY20 Cost Alloc'!G18</f>
        <v>0.59840000000000004</v>
      </c>
      <c r="H18" s="153">
        <f>'BGS PTY20 Cost Alloc'!H18</f>
        <v>0.55600000000000005</v>
      </c>
      <c r="I18" s="153">
        <f>'BGS PTY20 Cost Alloc'!I18</f>
        <v>0.3145</v>
      </c>
      <c r="J18" s="29"/>
      <c r="K18" s="30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1"/>
        <v>0.47809999999999997</v>
      </c>
      <c r="S18" s="32">
        <f t="shared" si="2"/>
        <v>0.40159999999999996</v>
      </c>
      <c r="T18" s="32">
        <f t="shared" si="3"/>
        <v>0.44399999999999995</v>
      </c>
      <c r="U18" s="32">
        <f t="shared" si="4"/>
        <v>0.6855</v>
      </c>
      <c r="V18" s="32"/>
      <c r="W18" s="32"/>
      <c r="X18" s="32"/>
      <c r="Y18" s="32"/>
      <c r="Z18" s="32"/>
    </row>
    <row r="19" spans="1:26" ht="13" x14ac:dyDescent="0.3">
      <c r="A19" s="22"/>
      <c r="B19" s="28" t="s">
        <v>5</v>
      </c>
      <c r="C19" s="29"/>
      <c r="D19" s="29"/>
      <c r="E19" s="153">
        <f>'BGS PTY20 Cost Alloc'!E19</f>
        <v>0.47789999999999999</v>
      </c>
      <c r="F19" s="153">
        <f>'BGS PTY20 Cost Alloc'!F19</f>
        <v>0.49490000000000001</v>
      </c>
      <c r="G19" s="153">
        <f>'BGS PTY20 Cost Alloc'!G19</f>
        <v>0.58460000000000001</v>
      </c>
      <c r="H19" s="153">
        <f>'BGS PTY20 Cost Alloc'!H19</f>
        <v>0.55469999999999997</v>
      </c>
      <c r="I19" s="153">
        <f>'BGS PTY20 Cost Alloc'!I19</f>
        <v>0.29649999999999999</v>
      </c>
      <c r="J19" s="29"/>
      <c r="K19" s="30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1"/>
        <v>0.50509999999999999</v>
      </c>
      <c r="S19" s="32">
        <f t="shared" si="2"/>
        <v>0.41539999999999999</v>
      </c>
      <c r="T19" s="32">
        <f t="shared" si="3"/>
        <v>0.44530000000000003</v>
      </c>
      <c r="U19" s="32">
        <f t="shared" si="4"/>
        <v>0.70350000000000001</v>
      </c>
      <c r="V19" s="32"/>
      <c r="W19" s="32"/>
      <c r="X19" s="32"/>
      <c r="Y19" s="32"/>
      <c r="Z19" s="32"/>
    </row>
    <row r="20" spans="1:26" ht="13" x14ac:dyDescent="0.3">
      <c r="A20" s="22"/>
      <c r="B20" s="28" t="s">
        <v>6</v>
      </c>
      <c r="C20" s="29"/>
      <c r="D20" s="29"/>
      <c r="E20" s="153">
        <f>'BGS PTY20 Cost Alloc'!E20</f>
        <v>0.52170000000000005</v>
      </c>
      <c r="F20" s="153">
        <f>'BGS PTY20 Cost Alloc'!F20</f>
        <v>0.52869999999999995</v>
      </c>
      <c r="G20" s="153">
        <f>'BGS PTY20 Cost Alloc'!G20</f>
        <v>0.57709999999999995</v>
      </c>
      <c r="H20" s="153">
        <f>'BGS PTY20 Cost Alloc'!H20</f>
        <v>0.5605</v>
      </c>
      <c r="I20" s="153">
        <f>'BGS PTY20 Cost Alloc'!I20</f>
        <v>0.29330000000000001</v>
      </c>
      <c r="J20" s="29"/>
      <c r="K20" s="30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1"/>
        <v>0.47130000000000005</v>
      </c>
      <c r="S20" s="32">
        <f t="shared" si="2"/>
        <v>0.42290000000000005</v>
      </c>
      <c r="T20" s="32">
        <f t="shared" si="3"/>
        <v>0.4395</v>
      </c>
      <c r="U20" s="32">
        <f t="shared" si="4"/>
        <v>0.70669999999999999</v>
      </c>
      <c r="V20" s="32"/>
      <c r="W20" s="32"/>
      <c r="X20" s="32"/>
      <c r="Y20" s="32"/>
      <c r="Z20" s="32"/>
    </row>
    <row r="21" spans="1:26" ht="13" x14ac:dyDescent="0.3">
      <c r="A21" s="22"/>
      <c r="B21" s="28" t="s">
        <v>7</v>
      </c>
      <c r="C21" s="29"/>
      <c r="D21" s="29"/>
      <c r="E21" s="153">
        <f>'BGS PTY20 Cost Alloc'!E21</f>
        <v>0.52810000000000001</v>
      </c>
      <c r="F21" s="153">
        <f>'BGS PTY20 Cost Alloc'!F21</f>
        <v>0.52680000000000005</v>
      </c>
      <c r="G21" s="153">
        <f>'BGS PTY20 Cost Alloc'!G21</f>
        <v>0.58420000000000005</v>
      </c>
      <c r="H21" s="153">
        <f>'BGS PTY20 Cost Alloc'!H21</f>
        <v>0.56000000000000005</v>
      </c>
      <c r="I21" s="153">
        <f>'BGS PTY20 Cost Alloc'!I21</f>
        <v>0.29370000000000002</v>
      </c>
      <c r="J21" s="29"/>
      <c r="K21" s="30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1"/>
        <v>0.47319999999999995</v>
      </c>
      <c r="S21" s="32">
        <f t="shared" si="2"/>
        <v>0.41579999999999995</v>
      </c>
      <c r="T21" s="32">
        <f t="shared" si="3"/>
        <v>0.43999999999999995</v>
      </c>
      <c r="U21" s="32">
        <f t="shared" si="4"/>
        <v>0.70629999999999993</v>
      </c>
      <c r="V21" s="32"/>
      <c r="W21" s="32"/>
      <c r="X21" s="32"/>
      <c r="Y21" s="32"/>
      <c r="Z21" s="32"/>
    </row>
    <row r="22" spans="1:26" ht="13" x14ac:dyDescent="0.3">
      <c r="A22" s="22"/>
      <c r="B22" s="28" t="s">
        <v>8</v>
      </c>
      <c r="C22" s="29"/>
      <c r="D22" s="29"/>
      <c r="E22" s="153">
        <f>'BGS PTY20 Cost Alloc'!E22</f>
        <v>0.53610000000000002</v>
      </c>
      <c r="F22" s="153">
        <f>'BGS PTY20 Cost Alloc'!F22</f>
        <v>0.53549999999999998</v>
      </c>
      <c r="G22" s="153">
        <f>'BGS PTY20 Cost Alloc'!G22</f>
        <v>0.5867</v>
      </c>
      <c r="H22" s="153">
        <f>'BGS PTY20 Cost Alloc'!H22</f>
        <v>0.56420000000000003</v>
      </c>
      <c r="I22" s="153">
        <f>'BGS PTY20 Cost Alloc'!I22</f>
        <v>0.3019</v>
      </c>
      <c r="J22" s="29"/>
      <c r="K22" s="30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1"/>
        <v>0.46450000000000002</v>
      </c>
      <c r="S22" s="32">
        <f t="shared" si="2"/>
        <v>0.4133</v>
      </c>
      <c r="T22" s="32">
        <f t="shared" si="3"/>
        <v>0.43579999999999997</v>
      </c>
      <c r="U22" s="32">
        <f t="shared" si="4"/>
        <v>0.69809999999999994</v>
      </c>
      <c r="V22" s="32"/>
      <c r="W22" s="32"/>
      <c r="X22" s="32"/>
      <c r="Y22" s="32"/>
      <c r="Z22" s="32"/>
    </row>
    <row r="23" spans="1:26" ht="13" x14ac:dyDescent="0.3">
      <c r="A23" s="22"/>
      <c r="B23" s="28" t="s">
        <v>9</v>
      </c>
      <c r="C23" s="29"/>
      <c r="D23" s="29"/>
      <c r="E23" s="153">
        <f>'BGS PTY20 Cost Alloc'!E23</f>
        <v>0.46660000000000001</v>
      </c>
      <c r="F23" s="153">
        <f>'BGS PTY20 Cost Alloc'!F23</f>
        <v>0.47660000000000002</v>
      </c>
      <c r="G23" s="153">
        <f>'BGS PTY20 Cost Alloc'!G23</f>
        <v>0.56779999999999997</v>
      </c>
      <c r="H23" s="153">
        <f>'BGS PTY20 Cost Alloc'!H23</f>
        <v>0.5403</v>
      </c>
      <c r="I23" s="153">
        <f>'BGS PTY20 Cost Alloc'!I23</f>
        <v>0.3029</v>
      </c>
      <c r="J23" s="29"/>
      <c r="K23" s="30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1"/>
        <v>0.52339999999999998</v>
      </c>
      <c r="S23" s="32">
        <f t="shared" si="2"/>
        <v>0.43220000000000003</v>
      </c>
      <c r="T23" s="32">
        <f t="shared" si="3"/>
        <v>0.4597</v>
      </c>
      <c r="U23" s="32">
        <f t="shared" si="4"/>
        <v>0.69710000000000005</v>
      </c>
      <c r="V23" s="32"/>
      <c r="W23" s="32"/>
      <c r="X23" s="32"/>
      <c r="Y23" s="32"/>
      <c r="Z23" s="32"/>
    </row>
    <row r="24" spans="1:26" ht="13" x14ac:dyDescent="0.3">
      <c r="A24" s="22"/>
      <c r="B24" s="28" t="s">
        <v>10</v>
      </c>
      <c r="C24" s="29"/>
      <c r="D24" s="29"/>
      <c r="E24" s="153">
        <f>'BGS PTY20 Cost Alloc'!E24</f>
        <v>0.49909999999999999</v>
      </c>
      <c r="F24" s="153">
        <f>'BGS PTY20 Cost Alloc'!F24</f>
        <v>0.52910000000000001</v>
      </c>
      <c r="G24" s="153">
        <f>'BGS PTY20 Cost Alloc'!G24</f>
        <v>0.60489999999999999</v>
      </c>
      <c r="H24" s="153">
        <f>'BGS PTY20 Cost Alloc'!H24</f>
        <v>0.57609999999999995</v>
      </c>
      <c r="I24" s="153">
        <f>'BGS PTY20 Cost Alloc'!I24</f>
        <v>0.34639999999999999</v>
      </c>
      <c r="J24" s="29"/>
      <c r="K24" s="30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1"/>
        <v>0.47089999999999999</v>
      </c>
      <c r="S24" s="32">
        <f t="shared" si="2"/>
        <v>0.39510000000000001</v>
      </c>
      <c r="T24" s="32">
        <f t="shared" si="3"/>
        <v>0.42390000000000005</v>
      </c>
      <c r="U24" s="32">
        <f t="shared" si="4"/>
        <v>0.65359999999999996</v>
      </c>
      <c r="V24" s="32"/>
      <c r="W24" s="32"/>
      <c r="X24" s="32"/>
      <c r="Y24" s="32"/>
      <c r="Z24" s="32"/>
    </row>
    <row r="25" spans="1:26" ht="13" x14ac:dyDescent="0.3">
      <c r="A25" s="22"/>
      <c r="B25" s="28" t="s">
        <v>11</v>
      </c>
      <c r="C25" s="29"/>
      <c r="D25" s="29"/>
      <c r="E25" s="153">
        <f>'BGS PTY20 Cost Alloc'!E25</f>
        <v>0.45639999999999997</v>
      </c>
      <c r="F25" s="153">
        <f>'BGS PTY20 Cost Alloc'!F25</f>
        <v>0.48420000000000002</v>
      </c>
      <c r="G25" s="153">
        <f>'BGS PTY20 Cost Alloc'!G25</f>
        <v>0.56459999999999999</v>
      </c>
      <c r="H25" s="153">
        <f>'BGS PTY20 Cost Alloc'!H25</f>
        <v>0.53259999999999996</v>
      </c>
      <c r="I25" s="153">
        <f>'BGS PTY20 Cost Alloc'!I25</f>
        <v>0.32219999999999999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1"/>
        <v>0.51580000000000004</v>
      </c>
      <c r="S25" s="32">
        <f t="shared" si="2"/>
        <v>0.43540000000000001</v>
      </c>
      <c r="T25" s="32">
        <f t="shared" si="3"/>
        <v>0.46740000000000004</v>
      </c>
      <c r="U25" s="32">
        <f t="shared" si="4"/>
        <v>0.67779999999999996</v>
      </c>
      <c r="V25" s="32"/>
      <c r="W25" s="32"/>
      <c r="X25" s="32"/>
      <c r="Y25" s="32"/>
      <c r="Z25" s="32"/>
    </row>
    <row r="26" spans="1:26" ht="13" x14ac:dyDescent="0.3">
      <c r="A26" s="22"/>
      <c r="B26" s="28" t="s">
        <v>12</v>
      </c>
      <c r="C26" s="29"/>
      <c r="D26" s="29"/>
      <c r="E26" s="153">
        <f>'BGS PTY20 Cost Alloc'!E26</f>
        <v>0.46160000000000001</v>
      </c>
      <c r="F26" s="153">
        <f>'BGS PTY20 Cost Alloc'!F26</f>
        <v>0.4829</v>
      </c>
      <c r="G26" s="153">
        <f>'BGS PTY20 Cost Alloc'!G26</f>
        <v>0.55369999999999997</v>
      </c>
      <c r="H26" s="153">
        <f>'BGS PTY20 Cost Alloc'!H26</f>
        <v>0.52359999999999995</v>
      </c>
      <c r="I26" s="153">
        <f>'BGS PTY20 Cost Alloc'!I26</f>
        <v>0.32629999999999998</v>
      </c>
      <c r="J26" s="29"/>
      <c r="K26" s="30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1"/>
        <v>0.5171</v>
      </c>
      <c r="S26" s="32">
        <f t="shared" si="2"/>
        <v>0.44630000000000003</v>
      </c>
      <c r="T26" s="32">
        <f t="shared" si="3"/>
        <v>0.47640000000000005</v>
      </c>
      <c r="U26" s="32">
        <f t="shared" si="4"/>
        <v>0.67369999999999997</v>
      </c>
      <c r="V26" s="32"/>
      <c r="W26" s="32"/>
      <c r="X26" s="32"/>
      <c r="Y26" s="32"/>
      <c r="Z26" s="32"/>
    </row>
    <row r="27" spans="1:26" ht="13" x14ac:dyDescent="0.3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" x14ac:dyDescent="0.3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3" x14ac:dyDescent="0.3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3">
      <c r="A30" s="22"/>
      <c r="C30" s="23"/>
      <c r="D30" s="23"/>
      <c r="E30" s="23" t="str">
        <f>'BGS PTY20 Cost Alloc'!$E$30</f>
        <v>2021 Forecasted Calendar Month Sales</v>
      </c>
      <c r="F30" s="23" t="s">
        <v>39</v>
      </c>
      <c r="G30" s="23" t="s">
        <v>39</v>
      </c>
      <c r="H30" s="23" t="str">
        <f>'BGS PTY20 Cost Alloc'!$E$30</f>
        <v>2021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PTY20 Cost Alloc'!Q30</f>
        <v>2021 Forecasted Calendar Month Sales</v>
      </c>
      <c r="R30" s="23" t="s">
        <v>39</v>
      </c>
      <c r="S30" s="23" t="s">
        <v>39</v>
      </c>
      <c r="T30" s="23" t="str">
        <f>'BGS PTY20 Cost Alloc'!T30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ht="13" x14ac:dyDescent="0.3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ht="13" x14ac:dyDescent="0.3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" x14ac:dyDescent="0.3">
      <c r="A33" s="22"/>
      <c r="B33" s="28" t="s">
        <v>1</v>
      </c>
      <c r="C33" s="35"/>
      <c r="D33" s="135"/>
      <c r="E33" s="153">
        <f>'BGS PTY20 Cost Alloc'!E33</f>
        <v>0.3523</v>
      </c>
      <c r="F33" s="156" t="s">
        <v>40</v>
      </c>
      <c r="G33" s="156" t="s">
        <v>40</v>
      </c>
      <c r="H33" s="153">
        <f>'BGS PTY20 Cost Alloc'!H33</f>
        <v>0.41959999999999997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5">1-E33</f>
        <v>0.64769999999999994</v>
      </c>
      <c r="R33" s="32"/>
      <c r="S33" s="32"/>
      <c r="T33" s="32">
        <f t="shared" ref="T33:T44" si="6">1-H33</f>
        <v>0.58040000000000003</v>
      </c>
      <c r="U33" s="32"/>
      <c r="V33" s="32"/>
      <c r="W33" s="32"/>
      <c r="X33" s="32"/>
      <c r="Y33" s="32"/>
      <c r="Z33" s="32"/>
    </row>
    <row r="34" spans="1:26" ht="13" x14ac:dyDescent="0.3">
      <c r="A34" s="22"/>
      <c r="B34" s="28" t="s">
        <v>2</v>
      </c>
      <c r="C34" s="35"/>
      <c r="D34" s="135"/>
      <c r="E34" s="153">
        <f>'BGS PTY20 Cost Alloc'!E34</f>
        <v>0.34749999999999998</v>
      </c>
      <c r="F34" s="156" t="s">
        <v>40</v>
      </c>
      <c r="G34" s="156" t="s">
        <v>40</v>
      </c>
      <c r="H34" s="153">
        <f>'BGS PTY20 Cost Alloc'!H34</f>
        <v>0.42799999999999999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5"/>
        <v>0.65250000000000008</v>
      </c>
      <c r="R34" s="32"/>
      <c r="S34" s="32"/>
      <c r="T34" s="32">
        <f t="shared" si="6"/>
        <v>0.57200000000000006</v>
      </c>
      <c r="U34" s="32"/>
      <c r="V34" s="32"/>
      <c r="W34" s="32"/>
      <c r="X34" s="32"/>
      <c r="Y34" s="32"/>
      <c r="Z34" s="32"/>
    </row>
    <row r="35" spans="1:26" ht="13" x14ac:dyDescent="0.3">
      <c r="A35" s="22"/>
      <c r="B35" s="28" t="s">
        <v>3</v>
      </c>
      <c r="C35" s="35"/>
      <c r="D35" s="135"/>
      <c r="E35" s="153">
        <f>'BGS PTY20 Cost Alloc'!E35</f>
        <v>0.3448</v>
      </c>
      <c r="F35" s="156" t="s">
        <v>40</v>
      </c>
      <c r="G35" s="156" t="s">
        <v>40</v>
      </c>
      <c r="H35" s="153">
        <f>'BGS PTY20 Cost Alloc'!H35</f>
        <v>0.4274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5"/>
        <v>0.6552</v>
      </c>
      <c r="R35" s="32"/>
      <c r="S35" s="32"/>
      <c r="T35" s="32">
        <f t="shared" si="6"/>
        <v>0.5726</v>
      </c>
      <c r="U35" s="32"/>
      <c r="V35" s="32"/>
      <c r="W35" s="32"/>
      <c r="X35" s="32"/>
      <c r="Y35" s="32"/>
      <c r="Z35" s="32"/>
    </row>
    <row r="36" spans="1:26" ht="13" x14ac:dyDescent="0.3">
      <c r="A36" s="22"/>
      <c r="B36" s="28" t="s">
        <v>4</v>
      </c>
      <c r="C36" s="35"/>
      <c r="D36" s="135"/>
      <c r="E36" s="153">
        <f>'BGS PTY20 Cost Alloc'!E36</f>
        <v>0.35089999999999999</v>
      </c>
      <c r="F36" s="156" t="s">
        <v>40</v>
      </c>
      <c r="G36" s="156" t="s">
        <v>40</v>
      </c>
      <c r="H36" s="153">
        <f>'BGS PTY20 Cost Alloc'!H36</f>
        <v>0.43519999999999998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5"/>
        <v>0.64910000000000001</v>
      </c>
      <c r="R36" s="32"/>
      <c r="S36" s="32"/>
      <c r="T36" s="32">
        <f t="shared" si="6"/>
        <v>0.56479999999999997</v>
      </c>
      <c r="U36" s="32"/>
      <c r="V36" s="32"/>
      <c r="W36" s="32"/>
      <c r="X36" s="32"/>
      <c r="Y36" s="32"/>
      <c r="Z36" s="32"/>
    </row>
    <row r="37" spans="1:26" ht="13" x14ac:dyDescent="0.3">
      <c r="A37" s="22"/>
      <c r="B37" s="28" t="s">
        <v>5</v>
      </c>
      <c r="C37" s="35"/>
      <c r="D37" s="135"/>
      <c r="E37" s="153">
        <f>'BGS PTY20 Cost Alloc'!E37</f>
        <v>0.3695</v>
      </c>
      <c r="F37" s="156" t="s">
        <v>40</v>
      </c>
      <c r="G37" s="156" t="s">
        <v>40</v>
      </c>
      <c r="H37" s="153">
        <f>'BGS PTY20 Cost Alloc'!H37</f>
        <v>0.44419999999999998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5"/>
        <v>0.63050000000000006</v>
      </c>
      <c r="R37" s="32"/>
      <c r="S37" s="32"/>
      <c r="T37" s="32">
        <f t="shared" si="6"/>
        <v>0.55580000000000007</v>
      </c>
      <c r="U37" s="32"/>
      <c r="V37" s="32"/>
      <c r="W37" s="32"/>
      <c r="X37" s="32"/>
      <c r="Y37" s="32"/>
      <c r="Z37" s="32"/>
    </row>
    <row r="38" spans="1:26" ht="13" x14ac:dyDescent="0.3">
      <c r="A38" s="22"/>
      <c r="B38" s="28" t="s">
        <v>6</v>
      </c>
      <c r="C38" s="35"/>
      <c r="D38" s="135"/>
      <c r="E38" s="153">
        <f>'BGS PTY20 Cost Alloc'!E38</f>
        <v>0.39810000000000001</v>
      </c>
      <c r="F38" s="156" t="s">
        <v>40</v>
      </c>
      <c r="G38" s="156" t="s">
        <v>40</v>
      </c>
      <c r="H38" s="153">
        <f>'BGS PTY20 Cost Alloc'!H38</f>
        <v>0.46050000000000002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5"/>
        <v>0.60189999999999999</v>
      </c>
      <c r="R38" s="32"/>
      <c r="S38" s="32"/>
      <c r="T38" s="32">
        <f t="shared" si="6"/>
        <v>0.53949999999999998</v>
      </c>
      <c r="U38" s="32"/>
      <c r="V38" s="32"/>
      <c r="W38" s="32"/>
      <c r="X38" s="32"/>
      <c r="Y38" s="32"/>
      <c r="Z38" s="32"/>
    </row>
    <row r="39" spans="1:26" ht="13" x14ac:dyDescent="0.3">
      <c r="A39" s="22"/>
      <c r="B39" s="28" t="s">
        <v>7</v>
      </c>
      <c r="C39" s="35"/>
      <c r="D39" s="135"/>
      <c r="E39" s="153">
        <f>'BGS PTY20 Cost Alloc'!E39</f>
        <v>0.41460000000000002</v>
      </c>
      <c r="F39" s="156" t="s">
        <v>40</v>
      </c>
      <c r="G39" s="156" t="s">
        <v>40</v>
      </c>
      <c r="H39" s="153">
        <f>'BGS PTY20 Cost Alloc'!H39</f>
        <v>0.4592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5"/>
        <v>0.58539999999999992</v>
      </c>
      <c r="R39" s="32"/>
      <c r="S39" s="32"/>
      <c r="T39" s="32">
        <f t="shared" si="6"/>
        <v>0.54079999999999995</v>
      </c>
      <c r="U39" s="32"/>
      <c r="V39" s="32"/>
      <c r="W39" s="32"/>
      <c r="X39" s="32"/>
      <c r="Y39" s="32"/>
      <c r="Z39" s="32"/>
    </row>
    <row r="40" spans="1:26" ht="13" x14ac:dyDescent="0.3">
      <c r="A40" s="22"/>
      <c r="B40" s="28" t="s">
        <v>8</v>
      </c>
      <c r="C40" s="35"/>
      <c r="D40" s="135"/>
      <c r="E40" s="153">
        <f>'BGS PTY20 Cost Alloc'!E40</f>
        <v>0.41870000000000002</v>
      </c>
      <c r="F40" s="156" t="s">
        <v>40</v>
      </c>
      <c r="G40" s="156" t="s">
        <v>40</v>
      </c>
      <c r="H40" s="153">
        <f>'BGS PTY20 Cost Alloc'!H40</f>
        <v>0.46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5"/>
        <v>0.58129999999999993</v>
      </c>
      <c r="R40" s="32"/>
      <c r="S40" s="32"/>
      <c r="T40" s="32">
        <f t="shared" si="6"/>
        <v>0.54</v>
      </c>
      <c r="U40" s="32"/>
      <c r="V40" s="32"/>
      <c r="W40" s="32"/>
      <c r="X40" s="32"/>
      <c r="Y40" s="32"/>
      <c r="Z40" s="32"/>
    </row>
    <row r="41" spans="1:26" ht="13" x14ac:dyDescent="0.3">
      <c r="A41" s="22"/>
      <c r="B41" s="28" t="s">
        <v>9</v>
      </c>
      <c r="C41" s="35"/>
      <c r="D41" s="135"/>
      <c r="E41" s="153">
        <f>'BGS PTY20 Cost Alloc'!E41</f>
        <v>0.4083</v>
      </c>
      <c r="F41" s="156" t="s">
        <v>40</v>
      </c>
      <c r="G41" s="156" t="s">
        <v>40</v>
      </c>
      <c r="H41" s="153">
        <f>'BGS PTY20 Cost Alloc'!H41</f>
        <v>0.46350000000000002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5"/>
        <v>0.5917</v>
      </c>
      <c r="R41" s="32"/>
      <c r="S41" s="32"/>
      <c r="T41" s="32">
        <f t="shared" si="6"/>
        <v>0.53649999999999998</v>
      </c>
      <c r="U41" s="32"/>
      <c r="V41" s="32"/>
      <c r="W41" s="32"/>
      <c r="X41" s="32"/>
      <c r="Y41" s="32"/>
      <c r="Z41" s="32"/>
    </row>
    <row r="42" spans="1:26" ht="13" x14ac:dyDescent="0.3">
      <c r="A42" s="22"/>
      <c r="B42" s="28" t="s">
        <v>10</v>
      </c>
      <c r="C42" s="35"/>
      <c r="D42" s="135"/>
      <c r="E42" s="153">
        <f>'BGS PTY20 Cost Alloc'!E42</f>
        <v>0.37069999999999997</v>
      </c>
      <c r="F42" s="156" t="s">
        <v>40</v>
      </c>
      <c r="G42" s="156" t="s">
        <v>40</v>
      </c>
      <c r="H42" s="153">
        <f>'BGS PTY20 Cost Alloc'!H42</f>
        <v>0.4592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5"/>
        <v>0.62929999999999997</v>
      </c>
      <c r="R42" s="32"/>
      <c r="S42" s="32"/>
      <c r="T42" s="32">
        <f t="shared" si="6"/>
        <v>0.54079999999999995</v>
      </c>
      <c r="U42" s="32"/>
      <c r="V42" s="32"/>
      <c r="W42" s="32"/>
      <c r="X42" s="32"/>
      <c r="Y42" s="32"/>
      <c r="Z42" s="32"/>
    </row>
    <row r="43" spans="1:26" ht="13" x14ac:dyDescent="0.3">
      <c r="A43" s="22"/>
      <c r="B43" s="28" t="s">
        <v>11</v>
      </c>
      <c r="C43" s="35"/>
      <c r="D43" s="135"/>
      <c r="E43" s="153">
        <f>'BGS PTY20 Cost Alloc'!E43</f>
        <v>0.35199999999999998</v>
      </c>
      <c r="F43" s="156" t="s">
        <v>40</v>
      </c>
      <c r="G43" s="156" t="s">
        <v>40</v>
      </c>
      <c r="H43" s="153">
        <f>'BGS PTY20 Cost Alloc'!H43</f>
        <v>0.44429999999999997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0.55570000000000008</v>
      </c>
      <c r="U43" s="32"/>
      <c r="V43" s="32"/>
      <c r="W43" s="32"/>
      <c r="X43" s="32"/>
      <c r="Y43" s="32"/>
      <c r="Z43" s="32"/>
    </row>
    <row r="44" spans="1:26" ht="13" x14ac:dyDescent="0.3">
      <c r="A44" s="22"/>
      <c r="B44" s="28" t="s">
        <v>12</v>
      </c>
      <c r="C44" s="35"/>
      <c r="D44" s="135"/>
      <c r="E44" s="153">
        <f>'BGS PTY20 Cost Alloc'!E44</f>
        <v>0.35210000000000002</v>
      </c>
      <c r="F44" s="156" t="s">
        <v>40</v>
      </c>
      <c r="G44" s="156" t="s">
        <v>40</v>
      </c>
      <c r="H44" s="153">
        <f>'BGS PTY20 Cost Alloc'!H44</f>
        <v>0.4244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5"/>
        <v>0.64789999999999992</v>
      </c>
      <c r="R44" s="32"/>
      <c r="S44" s="32"/>
      <c r="T44" s="32">
        <f t="shared" si="6"/>
        <v>0.5756</v>
      </c>
      <c r="U44" s="32"/>
      <c r="V44" s="32"/>
      <c r="W44" s="32"/>
      <c r="X44" s="32"/>
      <c r="Y44" s="32"/>
      <c r="Z44" s="32"/>
    </row>
    <row r="45" spans="1:26" ht="13" x14ac:dyDescent="0.3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" x14ac:dyDescent="0.3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" x14ac:dyDescent="0.3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" x14ac:dyDescent="0.3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ht="13" x14ac:dyDescent="0.3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ht="13" x14ac:dyDescent="0.3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ht="13" x14ac:dyDescent="0.3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5" x14ac:dyDescent="0.35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5" x14ac:dyDescent="0.35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ht="13" x14ac:dyDescent="0.3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ht="13" x14ac:dyDescent="0.3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69" t="str">
        <f>'BGS PTY20 Cost Alloc'!Y55</f>
        <v>Forecast 2021Delivery MWh</v>
      </c>
      <c r="X55" s="170"/>
      <c r="Y55" s="170"/>
      <c r="Z55" s="31"/>
    </row>
    <row r="56" spans="1:33" ht="13" x14ac:dyDescent="0.3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7" t="s">
        <v>248</v>
      </c>
    </row>
    <row r="57" spans="1:33" ht="13" x14ac:dyDescent="0.3">
      <c r="A57" s="22"/>
      <c r="B57" s="39" t="str">
        <f>'BGS PTY20 Cost Alloc'!$B$57</f>
        <v>calendar month sales forecasted for 2021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ht="13" x14ac:dyDescent="0.3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ht="13" x14ac:dyDescent="0.3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ht="13" x14ac:dyDescent="0.3">
      <c r="A60" s="22"/>
      <c r="B60" s="28" t="s">
        <v>1</v>
      </c>
      <c r="C60" s="49"/>
      <c r="D60" s="49"/>
      <c r="E60" s="50">
        <f>'BGS PTY20 Cost Alloc'!E60</f>
        <v>22142</v>
      </c>
      <c r="F60" s="50">
        <f>'BGS PTY20 Cost Alloc'!F60</f>
        <v>816952</v>
      </c>
      <c r="G60" s="50">
        <f>'BGS PTY20 Cost Alloc'!G60</f>
        <v>461911</v>
      </c>
      <c r="H60" s="50">
        <f>'BGS PTY20 Cost Alloc'!H60</f>
        <v>16347</v>
      </c>
      <c r="I60" s="50">
        <f>'BGS PTY20 Cost Alloc'!I60</f>
        <v>9591</v>
      </c>
      <c r="J60" s="50">
        <f t="shared" ref="J60:J72" si="7">SUM(E60:I60)</f>
        <v>1326943</v>
      </c>
      <c r="K60" s="49"/>
      <c r="L60" s="49"/>
      <c r="M60" s="50">
        <f t="shared" ref="M60:M71" si="8">E60-ROUND(SUM($W60/1000),0)</f>
        <v>21307</v>
      </c>
      <c r="N60" s="51" t="s">
        <v>28</v>
      </c>
      <c r="O60" s="52"/>
      <c r="P60" s="53"/>
      <c r="Q60" s="53">
        <f>SUM(E60:E64,E69:E71)</f>
        <v>134983</v>
      </c>
      <c r="R60" s="53">
        <f>SUM(F60:F64,F69:F71)</f>
        <v>5301746</v>
      </c>
      <c r="S60" s="53">
        <f>SUM(G60:G64,G69:G71)</f>
        <v>3491416</v>
      </c>
      <c r="T60" s="53">
        <f>SUM(H60:H64,H69:H71)</f>
        <v>135324</v>
      </c>
      <c r="U60" s="54">
        <f>SUM(I60:I64,I69:I71)</f>
        <v>76732</v>
      </c>
      <c r="V60" s="168">
        <f>'BGS PTY20 Cost Alloc'!V60</f>
        <v>44197</v>
      </c>
      <c r="W60" s="50">
        <f>'BGS PTY20 Cost Alloc'!W60</f>
        <v>835305.33333340008</v>
      </c>
      <c r="X60" s="50">
        <f>'BGS PTY20 Cost Alloc'!X60</f>
        <v>17031.333333400002</v>
      </c>
      <c r="Y60" s="55">
        <f t="shared" ref="Y60:Y71" si="9">W60-X60</f>
        <v>818274.00000000012</v>
      </c>
      <c r="Z60" s="50">
        <f>'BGS PTY20 Cost Alloc'!Z60</f>
        <v>1765042.4267481999</v>
      </c>
      <c r="AA60" s="50">
        <f>'BGS PTY20 Cost Alloc'!AA60</f>
        <v>21307.337336645403</v>
      </c>
      <c r="AB60" s="50">
        <f>'BGS PTY20 Cost Alloc'!AB60</f>
        <v>815187.26223660598</v>
      </c>
      <c r="AC60" s="50">
        <f>'BGS PTY20 Cost Alloc'!AC60</f>
        <v>461928.34518643201</v>
      </c>
      <c r="AD60" s="50">
        <f>'BGS PTY20 Cost Alloc'!AD60</f>
        <v>0</v>
      </c>
      <c r="AG60" s="50">
        <f>'BGS PTY20 Cost Alloc'!AG60</f>
        <v>16346.95763927</v>
      </c>
    </row>
    <row r="61" spans="1:33" ht="13" x14ac:dyDescent="0.3">
      <c r="A61" s="22"/>
      <c r="B61" s="28" t="s">
        <v>2</v>
      </c>
      <c r="C61" s="49"/>
      <c r="D61" s="49"/>
      <c r="E61" s="50">
        <f>'BGS PTY20 Cost Alloc'!E61</f>
        <v>20768</v>
      </c>
      <c r="F61" s="50">
        <f>'BGS PTY20 Cost Alloc'!F61</f>
        <v>733590</v>
      </c>
      <c r="G61" s="50">
        <f>'BGS PTY20 Cost Alloc'!G61</f>
        <v>457070</v>
      </c>
      <c r="H61" s="50">
        <f>'BGS PTY20 Cost Alloc'!H61</f>
        <v>17353</v>
      </c>
      <c r="I61" s="50">
        <f>'BGS PTY20 Cost Alloc'!I61</f>
        <v>9591</v>
      </c>
      <c r="J61" s="50">
        <f t="shared" si="7"/>
        <v>1238372</v>
      </c>
      <c r="K61" s="49"/>
      <c r="L61" s="49"/>
      <c r="M61" s="50">
        <f t="shared" si="8"/>
        <v>19994</v>
      </c>
      <c r="N61" s="51"/>
      <c r="O61" s="52"/>
      <c r="P61" s="114" t="s">
        <v>193</v>
      </c>
      <c r="Q61" s="53">
        <f>SUMPRODUCT(E33:E37,M60:M64)+SUMPRODUCT(E42:E44,M69:M71)</f>
        <v>45628.715299999996</v>
      </c>
      <c r="R61" s="47"/>
      <c r="S61" s="131" t="s">
        <v>177</v>
      </c>
      <c r="T61" s="53">
        <f>SUMPRODUCT(H33:H37,H60:H64)+SUMPRODUCT(H42:H44,H69:H71)</f>
        <v>58871.465100000001</v>
      </c>
      <c r="U61" s="48">
        <f>T61/T60</f>
        <v>0.43504082867783989</v>
      </c>
      <c r="V61" s="168">
        <f>'BGS PTY20 Cost Alloc'!V61</f>
        <v>44228</v>
      </c>
      <c r="W61" s="50">
        <f>'BGS PTY20 Cost Alloc'!W61</f>
        <v>773514.33333319996</v>
      </c>
      <c r="X61" s="50">
        <f>'BGS PTY20 Cost Alloc'!X61</f>
        <v>16190.666666599998</v>
      </c>
      <c r="Y61" s="55">
        <f t="shared" si="9"/>
        <v>757323.66666659992</v>
      </c>
      <c r="Z61" s="50">
        <f>'BGS PTY20 Cost Alloc'!Z61</f>
        <v>1695865.6894336999</v>
      </c>
      <c r="AA61" s="50">
        <f>'BGS PTY20 Cost Alloc'!AA61</f>
        <v>19994.198345899702</v>
      </c>
      <c r="AB61" s="50">
        <f>'BGS PTY20 Cost Alloc'!AB61</f>
        <v>731893.73229800106</v>
      </c>
      <c r="AC61" s="50">
        <f>'BGS PTY20 Cost Alloc'!AC61</f>
        <v>457085.50981368299</v>
      </c>
      <c r="AD61" s="50">
        <f>'BGS PTY20 Cost Alloc'!AD61</f>
        <v>0</v>
      </c>
      <c r="AG61" s="50">
        <f>'BGS PTY20 Cost Alloc'!AG61</f>
        <v>17353.1172310275</v>
      </c>
    </row>
    <row r="62" spans="1:33" ht="13" x14ac:dyDescent="0.3">
      <c r="A62" s="22"/>
      <c r="B62" s="28" t="s">
        <v>3</v>
      </c>
      <c r="C62" s="49"/>
      <c r="D62" s="49"/>
      <c r="E62" s="50">
        <f>'BGS PTY20 Cost Alloc'!E62</f>
        <v>19458</v>
      </c>
      <c r="F62" s="50">
        <f>'BGS PTY20 Cost Alloc'!F62</f>
        <v>694392</v>
      </c>
      <c r="G62" s="50">
        <f>'BGS PTY20 Cost Alloc'!G62</f>
        <v>446967</v>
      </c>
      <c r="H62" s="50">
        <f>'BGS PTY20 Cost Alloc'!H62</f>
        <v>16155</v>
      </c>
      <c r="I62" s="50">
        <f>'BGS PTY20 Cost Alloc'!I62</f>
        <v>9591</v>
      </c>
      <c r="J62" s="50">
        <f t="shared" si="7"/>
        <v>1186563</v>
      </c>
      <c r="K62" s="49"/>
      <c r="L62" s="49"/>
      <c r="M62" s="50">
        <f t="shared" si="8"/>
        <v>18695</v>
      </c>
      <c r="N62" s="51"/>
      <c r="O62" s="52"/>
      <c r="P62" s="114" t="s">
        <v>194</v>
      </c>
      <c r="Q62" s="53">
        <f>SUMPRODUCT(Q33:Q37,M60:M64)+SUMPRODUCT(Q42:Q44,M69:M71)</f>
        <v>83476.284700000018</v>
      </c>
      <c r="R62" s="47"/>
      <c r="S62" s="131" t="s">
        <v>178</v>
      </c>
      <c r="T62" s="53">
        <f>+T60-T61</f>
        <v>76452.534899999999</v>
      </c>
      <c r="U62" s="48"/>
      <c r="V62" s="168">
        <f>'BGS PTY20 Cost Alloc'!V62</f>
        <v>44256</v>
      </c>
      <c r="W62" s="50">
        <f>'BGS PTY20 Cost Alloc'!W62</f>
        <v>762524</v>
      </c>
      <c r="X62" s="50">
        <f>'BGS PTY20 Cost Alloc'!X62</f>
        <v>16807.333333299997</v>
      </c>
      <c r="Y62" s="55">
        <f t="shared" si="9"/>
        <v>745716.66666670004</v>
      </c>
      <c r="Z62" s="50">
        <f>'BGS PTY20 Cost Alloc'!Z62</f>
        <v>1518576.2878121</v>
      </c>
      <c r="AA62" s="50">
        <f>'BGS PTY20 Cost Alloc'!AA62</f>
        <v>18695.207039934798</v>
      </c>
      <c r="AB62" s="50">
        <f>'BGS PTY20 Cost Alloc'!AB62</f>
        <v>692873.01100558601</v>
      </c>
      <c r="AC62" s="50">
        <f>'BGS PTY20 Cost Alloc'!AC62</f>
        <v>446984.38002500997</v>
      </c>
      <c r="AD62" s="50">
        <f>'BGS PTY20 Cost Alloc'!AD62</f>
        <v>0</v>
      </c>
      <c r="AG62" s="50">
        <f>'BGS PTY20 Cost Alloc'!AG62</f>
        <v>16155.437702774301</v>
      </c>
    </row>
    <row r="63" spans="1:33" ht="13" x14ac:dyDescent="0.3">
      <c r="A63" s="22"/>
      <c r="B63" s="28" t="s">
        <v>4</v>
      </c>
      <c r="C63" s="49"/>
      <c r="D63" s="49"/>
      <c r="E63" s="50">
        <f>'BGS PTY20 Cost Alloc'!E63</f>
        <v>17588</v>
      </c>
      <c r="F63" s="50">
        <f>'BGS PTY20 Cost Alloc'!F63</f>
        <v>622304</v>
      </c>
      <c r="G63" s="50">
        <f>'BGS PTY20 Cost Alloc'!G63</f>
        <v>424176</v>
      </c>
      <c r="H63" s="50">
        <f>'BGS PTY20 Cost Alloc'!H63</f>
        <v>18178</v>
      </c>
      <c r="I63" s="50">
        <f>'BGS PTY20 Cost Alloc'!I63</f>
        <v>9591</v>
      </c>
      <c r="J63" s="50">
        <f t="shared" si="7"/>
        <v>1091837</v>
      </c>
      <c r="K63" s="49"/>
      <c r="L63" s="49"/>
      <c r="M63" s="50">
        <f t="shared" si="8"/>
        <v>16806</v>
      </c>
      <c r="N63" s="46"/>
      <c r="O63" s="47"/>
      <c r="P63" s="114" t="s">
        <v>195</v>
      </c>
      <c r="Q63" s="53">
        <f>SUM(W60:W64,W69:W71)/1000</f>
        <v>5877.0313333332997</v>
      </c>
      <c r="R63" s="47"/>
      <c r="S63" s="47"/>
      <c r="T63" s="47"/>
      <c r="U63" s="48"/>
      <c r="V63" s="168">
        <f>'BGS PTY20 Cost Alloc'!V63</f>
        <v>44287</v>
      </c>
      <c r="W63" s="50">
        <f>'BGS PTY20 Cost Alloc'!W63</f>
        <v>782029.66666670004</v>
      </c>
      <c r="X63" s="50">
        <f>'BGS PTY20 Cost Alloc'!X63</f>
        <v>15679.666666699999</v>
      </c>
      <c r="Y63" s="55">
        <f t="shared" si="9"/>
        <v>766350</v>
      </c>
      <c r="Z63" s="50">
        <f>'BGS PTY20 Cost Alloc'!Z63</f>
        <v>1254456.2899922</v>
      </c>
      <c r="AA63" s="50">
        <f>'BGS PTY20 Cost Alloc'!AA63</f>
        <v>16805.6496854457</v>
      </c>
      <c r="AB63" s="50">
        <f>'BGS PTY20 Cost Alloc'!AB63</f>
        <v>621050.23602456297</v>
      </c>
      <c r="AC63" s="50">
        <f>'BGS PTY20 Cost Alloc'!AC63</f>
        <v>424192.23496152501</v>
      </c>
      <c r="AD63" s="50">
        <f>'BGS PTY20 Cost Alloc'!AD63</f>
        <v>0</v>
      </c>
      <c r="AG63" s="50">
        <f>'BGS PTY20 Cost Alloc'!AG63</f>
        <v>18177.598447401298</v>
      </c>
    </row>
    <row r="64" spans="1:33" ht="13" x14ac:dyDescent="0.3">
      <c r="A64" s="22"/>
      <c r="B64" s="28" t="s">
        <v>5</v>
      </c>
      <c r="C64" s="49"/>
      <c r="D64" s="49"/>
      <c r="E64" s="50">
        <f>'BGS PTY20 Cost Alloc'!E64</f>
        <v>13518</v>
      </c>
      <c r="F64" s="50">
        <f>'BGS PTY20 Cost Alloc'!F64</f>
        <v>575300</v>
      </c>
      <c r="G64" s="50">
        <f>'BGS PTY20 Cost Alloc'!G64</f>
        <v>403525</v>
      </c>
      <c r="H64" s="50">
        <f>'BGS PTY20 Cost Alloc'!H64</f>
        <v>17667</v>
      </c>
      <c r="I64" s="50">
        <f>'BGS PTY20 Cost Alloc'!I64</f>
        <v>9591</v>
      </c>
      <c r="J64" s="50">
        <f t="shared" si="7"/>
        <v>1019601</v>
      </c>
      <c r="K64" s="49"/>
      <c r="L64" s="49"/>
      <c r="M64" s="50">
        <f t="shared" si="8"/>
        <v>12764</v>
      </c>
      <c r="N64" s="51" t="s">
        <v>29</v>
      </c>
      <c r="O64" s="52"/>
      <c r="P64" s="53"/>
      <c r="Q64" s="53">
        <f>+SUM(E65:E68)</f>
        <v>66252</v>
      </c>
      <c r="R64" s="53">
        <f>+SUM(F65:F68)</f>
        <v>3771661</v>
      </c>
      <c r="S64" s="53">
        <f>+SUM(G65:G68)</f>
        <v>1985450</v>
      </c>
      <c r="T64" s="53">
        <f>+SUM(H65:H68)</f>
        <v>70011</v>
      </c>
      <c r="U64" s="54">
        <f>+SUM(I65:I68)</f>
        <v>38368</v>
      </c>
      <c r="V64" s="168">
        <f>'BGS PTY20 Cost Alloc'!V64</f>
        <v>44317</v>
      </c>
      <c r="W64" s="50">
        <f>'BGS PTY20 Cost Alloc'!W64</f>
        <v>753569.66666659992</v>
      </c>
      <c r="X64" s="50">
        <f>'BGS PTY20 Cost Alloc'!X64</f>
        <v>17137.333333299997</v>
      </c>
      <c r="Y64" s="55">
        <f t="shared" si="9"/>
        <v>736432.33333329996</v>
      </c>
      <c r="Z64" s="50">
        <f>'BGS PTY20 Cost Alloc'!Z64</f>
        <v>942306.53541420004</v>
      </c>
      <c r="AA64" s="50">
        <f>'BGS PTY20 Cost Alloc'!AA64</f>
        <v>12764.137949146099</v>
      </c>
      <c r="AB64" s="50">
        <f>'BGS PTY20 Cost Alloc'!AB64</f>
        <v>574358.45418210607</v>
      </c>
      <c r="AC64" s="50">
        <f>'BGS PTY20 Cost Alloc'!AC64</f>
        <v>403542.358227205</v>
      </c>
      <c r="AD64" s="50">
        <f>'BGS PTY20 Cost Alloc'!AD64</f>
        <v>0</v>
      </c>
      <c r="AG64" s="50">
        <f>'BGS PTY20 Cost Alloc'!AG64</f>
        <v>17666.677462861106</v>
      </c>
    </row>
    <row r="65" spans="1:34" ht="13" x14ac:dyDescent="0.3">
      <c r="A65" s="22"/>
      <c r="B65" s="28" t="s">
        <v>6</v>
      </c>
      <c r="C65" s="49"/>
      <c r="D65" s="49"/>
      <c r="E65" s="50">
        <f>'BGS PTY20 Cost Alloc'!E65</f>
        <v>14337</v>
      </c>
      <c r="F65" s="50">
        <f>'BGS PTY20 Cost Alloc'!F65</f>
        <v>723824</v>
      </c>
      <c r="G65" s="50">
        <f>'BGS PTY20 Cost Alloc'!G65</f>
        <v>451534</v>
      </c>
      <c r="H65" s="50">
        <f>'BGS PTY20 Cost Alloc'!H65</f>
        <v>17075</v>
      </c>
      <c r="I65" s="50">
        <f>'BGS PTY20 Cost Alloc'!I65</f>
        <v>9592</v>
      </c>
      <c r="J65" s="50">
        <f t="shared" si="7"/>
        <v>1216362</v>
      </c>
      <c r="K65" s="49"/>
      <c r="L65" s="50"/>
      <c r="M65" s="50">
        <f t="shared" si="8"/>
        <v>13623</v>
      </c>
      <c r="N65" s="51"/>
      <c r="O65" s="52"/>
      <c r="P65" s="157" t="s">
        <v>151</v>
      </c>
      <c r="Q65" s="158">
        <f>SUMPRODUCT(E38:E41,M65:M68)</f>
        <v>26208.334600000002</v>
      </c>
      <c r="R65" s="158">
        <f>'BGS PTY20 Cost Alloc'!R65</f>
        <v>2001184.2100860353</v>
      </c>
      <c r="S65" s="131" t="s">
        <v>177</v>
      </c>
      <c r="T65" s="53">
        <f>+SUMPRODUCT(H38:H41,H65:H68)</f>
        <v>32259.11</v>
      </c>
      <c r="U65" s="56">
        <f>T65/T64</f>
        <v>0.46077202153947239</v>
      </c>
      <c r="V65" s="168">
        <f>'BGS PTY20 Cost Alloc'!V65</f>
        <v>44348</v>
      </c>
      <c r="W65" s="50">
        <f>'BGS PTY20 Cost Alloc'!W65</f>
        <v>714211.33333319984</v>
      </c>
      <c r="X65" s="50">
        <f>'BGS PTY20 Cost Alloc'!X65</f>
        <v>14597.666666599998</v>
      </c>
      <c r="Y65" s="55">
        <f t="shared" si="9"/>
        <v>699613.66666659981</v>
      </c>
      <c r="Z65" s="50">
        <f>'BGS PTY20 Cost Alloc'!Z65</f>
        <v>958170.39933430008</v>
      </c>
      <c r="AA65" s="50">
        <f>'BGS PTY20 Cost Alloc'!AA65</f>
        <v>12665.0697668962</v>
      </c>
      <c r="AB65" s="50">
        <f>'BGS PTY20 Cost Alloc'!AB65</f>
        <v>723823.84716710309</v>
      </c>
      <c r="AC65" s="50">
        <f>'BGS PTY20 Cost Alloc'!AC65</f>
        <v>451548.88985111599</v>
      </c>
      <c r="AD65" s="50">
        <f>'BGS PTY20 Cost Alloc'!AD65</f>
        <v>0</v>
      </c>
      <c r="AG65" s="50">
        <f>'BGS PTY20 Cost Alloc'!AG65</f>
        <v>17074.971081431897</v>
      </c>
    </row>
    <row r="66" spans="1:34" ht="13" x14ac:dyDescent="0.3">
      <c r="A66" s="22"/>
      <c r="B66" s="28" t="s">
        <v>7</v>
      </c>
      <c r="C66" s="49"/>
      <c r="D66" s="49"/>
      <c r="E66" s="50">
        <f>'BGS PTY20 Cost Alloc'!E66</f>
        <v>17436</v>
      </c>
      <c r="F66" s="50">
        <f>'BGS PTY20 Cost Alloc'!F66</f>
        <v>1009661</v>
      </c>
      <c r="G66" s="50">
        <f>'BGS PTY20 Cost Alloc'!G66</f>
        <v>508986</v>
      </c>
      <c r="H66" s="50">
        <f>'BGS PTY20 Cost Alloc'!H66</f>
        <v>18215</v>
      </c>
      <c r="I66" s="50">
        <f>'BGS PTY20 Cost Alloc'!I66</f>
        <v>9592</v>
      </c>
      <c r="J66" s="50">
        <f t="shared" si="7"/>
        <v>1563890</v>
      </c>
      <c r="K66" s="49"/>
      <c r="L66" s="50"/>
      <c r="M66" s="50">
        <f t="shared" si="8"/>
        <v>16819</v>
      </c>
      <c r="N66" s="51"/>
      <c r="O66" s="52"/>
      <c r="P66" s="157" t="s">
        <v>152</v>
      </c>
      <c r="Q66" s="158">
        <f>SUMPRODUCT(Q38:Q41,M65:M68)</f>
        <v>37596.665399999998</v>
      </c>
      <c r="R66" s="158">
        <f>'BGS PTY20 Cost Alloc'!R66</f>
        <v>1770476.7899139645</v>
      </c>
      <c r="S66" s="131" t="s">
        <v>178</v>
      </c>
      <c r="T66" s="53">
        <f>+T64-T65</f>
        <v>37751.89</v>
      </c>
      <c r="U66" s="48"/>
      <c r="V66" s="168">
        <f>'BGS PTY20 Cost Alloc'!V66</f>
        <v>44378</v>
      </c>
      <c r="W66" s="50">
        <f>'BGS PTY20 Cost Alloc'!W66</f>
        <v>616807.99999989988</v>
      </c>
      <c r="X66" s="50">
        <f>'BGS PTY20 Cost Alloc'!X66</f>
        <v>13290</v>
      </c>
      <c r="Y66" s="55">
        <f t="shared" si="9"/>
        <v>603517.99999989988</v>
      </c>
      <c r="Z66" s="50">
        <f>'BGS PTY20 Cost Alloc'!Z66</f>
        <v>1130406.3633818</v>
      </c>
      <c r="AA66" s="50">
        <f>'BGS PTY20 Cost Alloc'!AA66</f>
        <v>15689.100177203498</v>
      </c>
      <c r="AB66" s="50">
        <f>'BGS PTY20 Cost Alloc'!AB66</f>
        <v>1009660.73545941</v>
      </c>
      <c r="AC66" s="50">
        <f>'BGS PTY20 Cost Alloc'!AC66</f>
        <v>508998.82814385497</v>
      </c>
      <c r="AD66" s="50">
        <f>'BGS PTY20 Cost Alloc'!AD66</f>
        <v>0</v>
      </c>
      <c r="AG66" s="50">
        <f>'BGS PTY20 Cost Alloc'!AG66</f>
        <v>18215.475614256502</v>
      </c>
    </row>
    <row r="67" spans="1:34" ht="13" x14ac:dyDescent="0.3">
      <c r="A67" s="22"/>
      <c r="B67" s="28" t="s">
        <v>8</v>
      </c>
      <c r="C67" s="49"/>
      <c r="D67" s="49"/>
      <c r="E67" s="50">
        <f>'BGS PTY20 Cost Alloc'!E67</f>
        <v>18793</v>
      </c>
      <c r="F67" s="50">
        <f>'BGS PTY20 Cost Alloc'!F67</f>
        <v>1124675</v>
      </c>
      <c r="G67" s="50">
        <f>'BGS PTY20 Cost Alloc'!G67</f>
        <v>522761</v>
      </c>
      <c r="H67" s="50">
        <f>'BGS PTY20 Cost Alloc'!H67</f>
        <v>17554</v>
      </c>
      <c r="I67" s="50">
        <f>'BGS PTY20 Cost Alloc'!I67</f>
        <v>9592</v>
      </c>
      <c r="J67" s="50">
        <f t="shared" si="7"/>
        <v>1693375</v>
      </c>
      <c r="K67" s="49"/>
      <c r="L67" s="49"/>
      <c r="M67" s="50">
        <f t="shared" si="8"/>
        <v>18245</v>
      </c>
      <c r="N67" s="57"/>
      <c r="O67" s="58"/>
      <c r="P67" s="114" t="s">
        <v>195</v>
      </c>
      <c r="Q67" s="53">
        <f>SUM(W65:W68)/1000</f>
        <v>2446.2373333329997</v>
      </c>
      <c r="R67" s="66"/>
      <c r="S67" s="58"/>
      <c r="T67" s="58"/>
      <c r="U67" s="59"/>
      <c r="V67" s="168">
        <f>'BGS PTY20 Cost Alloc'!V67</f>
        <v>44409</v>
      </c>
      <c r="W67" s="50">
        <f>'BGS PTY20 Cost Alloc'!W67</f>
        <v>547708.33333329996</v>
      </c>
      <c r="X67" s="50">
        <f>'BGS PTY20 Cost Alloc'!X67</f>
        <v>10810</v>
      </c>
      <c r="Y67" s="55">
        <f t="shared" si="9"/>
        <v>536898.33333329996</v>
      </c>
      <c r="Z67" s="50">
        <f>'BGS PTY20 Cost Alloc'!Z67</f>
        <v>1189656.5865750001</v>
      </c>
      <c r="AA67" s="50">
        <f>'BGS PTY20 Cost Alloc'!AA67</f>
        <v>17056.286055908298</v>
      </c>
      <c r="AB67" s="50">
        <f>'BGS PTY20 Cost Alloc'!AB67</f>
        <v>1124674.67502419</v>
      </c>
      <c r="AC67" s="50">
        <f>'BGS PTY20 Cost Alloc'!AC67</f>
        <v>522771.83015931502</v>
      </c>
      <c r="AD67" s="50">
        <f>'BGS PTY20 Cost Alloc'!AD67</f>
        <v>0</v>
      </c>
      <c r="AG67" s="50">
        <f>'BGS PTY20 Cost Alloc'!AG67</f>
        <v>17553.704291102902</v>
      </c>
    </row>
    <row r="68" spans="1:34" ht="13" x14ac:dyDescent="0.3">
      <c r="A68" s="22"/>
      <c r="B68" s="28" t="s">
        <v>9</v>
      </c>
      <c r="C68" s="49"/>
      <c r="D68" s="49"/>
      <c r="E68" s="50">
        <f>'BGS PTY20 Cost Alloc'!E68</f>
        <v>15686</v>
      </c>
      <c r="F68" s="50">
        <f>'BGS PTY20 Cost Alloc'!F68</f>
        <v>913501</v>
      </c>
      <c r="G68" s="50">
        <f>'BGS PTY20 Cost Alloc'!G68</f>
        <v>502169</v>
      </c>
      <c r="H68" s="50">
        <f>'BGS PTY20 Cost Alloc'!H68</f>
        <v>17167</v>
      </c>
      <c r="I68" s="50">
        <f>'BGS PTY20 Cost Alloc'!I68</f>
        <v>9592</v>
      </c>
      <c r="J68" s="50">
        <f t="shared" si="7"/>
        <v>1458115</v>
      </c>
      <c r="K68" s="49"/>
      <c r="L68" s="49"/>
      <c r="M68" s="50">
        <f t="shared" si="8"/>
        <v>15118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8">
        <f>'BGS PTY20 Cost Alloc'!V68</f>
        <v>44440</v>
      </c>
      <c r="W68" s="50">
        <f>'BGS PTY20 Cost Alloc'!W68</f>
        <v>567509.66666659992</v>
      </c>
      <c r="X68" s="50">
        <f>'BGS PTY20 Cost Alloc'!X68</f>
        <v>10542.333333300001</v>
      </c>
      <c r="Y68" s="55">
        <f t="shared" si="9"/>
        <v>556967.33333329996</v>
      </c>
      <c r="Z68" s="50">
        <f>'BGS PTY20 Cost Alloc'!Z68</f>
        <v>978953.98121590004</v>
      </c>
      <c r="AA68" s="50">
        <f>'BGS PTY20 Cost Alloc'!AA68</f>
        <v>14140.466268611901</v>
      </c>
      <c r="AB68" s="50">
        <f>'BGS PTY20 Cost Alloc'!AB68</f>
        <v>913501.49541683996</v>
      </c>
      <c r="AC68" s="50">
        <f>'BGS PTY20 Cost Alloc'!AC68</f>
        <v>502179.55454450502</v>
      </c>
      <c r="AD68" s="50">
        <f>'BGS PTY20 Cost Alloc'!AD68</f>
        <v>0</v>
      </c>
      <c r="AG68" s="50">
        <f>'BGS PTY20 Cost Alloc'!AG68</f>
        <v>17166.546802519799</v>
      </c>
    </row>
    <row r="69" spans="1:34" ht="13" x14ac:dyDescent="0.3">
      <c r="A69" s="22"/>
      <c r="B69" s="28" t="s">
        <v>10</v>
      </c>
      <c r="C69" s="49"/>
      <c r="D69" s="49"/>
      <c r="E69" s="50">
        <f>'BGS PTY20 Cost Alloc'!E69</f>
        <v>11029</v>
      </c>
      <c r="F69" s="50">
        <f>'BGS PTY20 Cost Alloc'!F69</f>
        <v>623412</v>
      </c>
      <c r="G69" s="50">
        <f>'BGS PTY20 Cost Alloc'!G69</f>
        <v>433635</v>
      </c>
      <c r="H69" s="50">
        <f>'BGS PTY20 Cost Alloc'!H69</f>
        <v>15970</v>
      </c>
      <c r="I69" s="50">
        <f>'BGS PTY20 Cost Alloc'!I69</f>
        <v>9592</v>
      </c>
      <c r="J69" s="50">
        <f t="shared" si="7"/>
        <v>1093638</v>
      </c>
      <c r="K69" s="49"/>
      <c r="L69" s="49"/>
      <c r="M69" s="50">
        <f t="shared" si="8"/>
        <v>10446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8">
        <f>'BGS PTY20 Cost Alloc'!V69</f>
        <v>44470</v>
      </c>
      <c r="W69" s="50">
        <f>'BGS PTY20 Cost Alloc'!W69</f>
        <v>583154.33333339996</v>
      </c>
      <c r="X69" s="50">
        <f>'BGS PTY20 Cost Alloc'!X69</f>
        <v>14313.333333400002</v>
      </c>
      <c r="Y69" s="55">
        <f t="shared" si="9"/>
        <v>568841</v>
      </c>
      <c r="Z69" s="50">
        <f>'BGS PTY20 Cost Alloc'!Z69</f>
        <v>794832.41336419992</v>
      </c>
      <c r="AA69" s="50">
        <f>'BGS PTY20 Cost Alloc'!AA69</f>
        <v>10445.763041697901</v>
      </c>
      <c r="AB69" s="50">
        <f>'BGS PTY20 Cost Alloc'!AB69</f>
        <v>622617.13954493799</v>
      </c>
      <c r="AC69" s="50">
        <f>'BGS PTY20 Cost Alloc'!AC69</f>
        <v>433648.67972447904</v>
      </c>
      <c r="AD69" s="50">
        <f>'BGS PTY20 Cost Alloc'!AD69</f>
        <v>0</v>
      </c>
      <c r="AG69" s="50">
        <f>'BGS PTY20 Cost Alloc'!AG69</f>
        <v>15969.761700734198</v>
      </c>
    </row>
    <row r="70" spans="1:34" ht="13" x14ac:dyDescent="0.3">
      <c r="A70" s="22"/>
      <c r="B70" s="28" t="s">
        <v>11</v>
      </c>
      <c r="C70" s="49"/>
      <c r="D70" s="49"/>
      <c r="E70" s="50">
        <f>'BGS PTY20 Cost Alloc'!E70</f>
        <v>12570</v>
      </c>
      <c r="F70" s="50">
        <f>'BGS PTY20 Cost Alloc'!F70</f>
        <v>551904</v>
      </c>
      <c r="G70" s="50">
        <f>'BGS PTY20 Cost Alloc'!G70</f>
        <v>408518</v>
      </c>
      <c r="H70" s="50">
        <f>'BGS PTY20 Cost Alloc'!H70</f>
        <v>15357</v>
      </c>
      <c r="I70" s="50">
        <f>'BGS PTY20 Cost Alloc'!I70</f>
        <v>9592</v>
      </c>
      <c r="J70" s="50">
        <f t="shared" si="7"/>
        <v>997941</v>
      </c>
      <c r="K70" s="49"/>
      <c r="L70" s="49"/>
      <c r="M70" s="50">
        <f t="shared" si="8"/>
        <v>11927</v>
      </c>
      <c r="N70" s="46"/>
      <c r="O70" s="47"/>
      <c r="P70" s="47"/>
      <c r="Q70" s="47"/>
      <c r="R70" s="47"/>
      <c r="S70" s="47"/>
      <c r="T70" s="47"/>
      <c r="U70" s="48"/>
      <c r="V70" s="168">
        <f>'BGS PTY20 Cost Alloc'!V70</f>
        <v>44501</v>
      </c>
      <c r="W70" s="50">
        <f>'BGS PTY20 Cost Alloc'!W70</f>
        <v>642712.66666670004</v>
      </c>
      <c r="X70" s="50">
        <f>'BGS PTY20 Cost Alloc'!X70</f>
        <v>14152.666666700001</v>
      </c>
      <c r="Y70" s="55">
        <f t="shared" si="9"/>
        <v>628560</v>
      </c>
      <c r="Z70" s="50">
        <f>'BGS PTY20 Cost Alloc'!Z70</f>
        <v>1012227.7764767</v>
      </c>
      <c r="AA70" s="50">
        <f>'BGS PTY20 Cost Alloc'!AA70</f>
        <v>11927.184929167301</v>
      </c>
      <c r="AB70" s="50">
        <f>'BGS PTY20 Cost Alloc'!AB70</f>
        <v>550891.622294356</v>
      </c>
      <c r="AC70" s="50">
        <f>'BGS PTY20 Cost Alloc'!AC70</f>
        <v>408531.73555070499</v>
      </c>
      <c r="AD70" s="50">
        <f>'BGS PTY20 Cost Alloc'!AD70</f>
        <v>0</v>
      </c>
      <c r="AE70" s="13">
        <f>'BGS PTY20 Cost Alloc'!AE70</f>
        <v>0</v>
      </c>
      <c r="AG70" s="50">
        <f>'BGS PTY20 Cost Alloc'!AG70</f>
        <v>15356.794896446898</v>
      </c>
      <c r="AH70" s="13">
        <f>'BGS PTY20 Cost Alloc'!AH70</f>
        <v>0</v>
      </c>
    </row>
    <row r="71" spans="1:34" ht="13" x14ac:dyDescent="0.3">
      <c r="A71" s="22"/>
      <c r="B71" s="28" t="s">
        <v>12</v>
      </c>
      <c r="C71" s="49"/>
      <c r="D71" s="49"/>
      <c r="E71" s="50">
        <f>'BGS PTY20 Cost Alloc'!E71</f>
        <v>17910</v>
      </c>
      <c r="F71" s="50">
        <f>'BGS PTY20 Cost Alloc'!F71</f>
        <v>683892</v>
      </c>
      <c r="G71" s="50">
        <f>'BGS PTY20 Cost Alloc'!G71</f>
        <v>455614</v>
      </c>
      <c r="H71" s="50">
        <f>'BGS PTY20 Cost Alloc'!H71</f>
        <v>18297</v>
      </c>
      <c r="I71" s="50">
        <f>'BGS PTY20 Cost Alloc'!I71</f>
        <v>9593</v>
      </c>
      <c r="J71" s="50">
        <f t="shared" si="7"/>
        <v>1185306</v>
      </c>
      <c r="K71" s="49"/>
      <c r="L71" s="49"/>
      <c r="M71" s="50">
        <f t="shared" si="8"/>
        <v>17166</v>
      </c>
      <c r="N71" s="51"/>
      <c r="O71" s="52"/>
      <c r="P71" s="115" t="s">
        <v>148</v>
      </c>
      <c r="Q71" s="53">
        <f>SUM(E60:E64,E69:E71)</f>
        <v>134983</v>
      </c>
      <c r="R71" s="53"/>
      <c r="S71" s="115" t="s">
        <v>148</v>
      </c>
      <c r="T71" s="53">
        <f>SUM(H60:H64,H69:H71)</f>
        <v>135324</v>
      </c>
      <c r="U71" s="54"/>
      <c r="V71" s="168">
        <f>'BGS PTY20 Cost Alloc'!V71</f>
        <v>44531</v>
      </c>
      <c r="W71" s="50">
        <f>'BGS PTY20 Cost Alloc'!W71</f>
        <v>744221.33333329984</v>
      </c>
      <c r="X71" s="50">
        <f>'BGS PTY20 Cost Alloc'!X71</f>
        <v>15457.666666599998</v>
      </c>
      <c r="Y71" s="55">
        <f t="shared" si="9"/>
        <v>728763.66666669981</v>
      </c>
      <c r="Z71" s="50">
        <f>'BGS PTY20 Cost Alloc'!Z71</f>
        <v>1464538.6911909999</v>
      </c>
      <c r="AA71" s="50">
        <f>'BGS PTY20 Cost Alloc'!AA71</f>
        <v>17165.9125120233</v>
      </c>
      <c r="AB71" s="50">
        <f>'BGS PTY20 Cost Alloc'!AB71</f>
        <v>682427.43413011893</v>
      </c>
      <c r="AC71" s="50">
        <f>'BGS PTY20 Cost Alloc'!AC71</f>
        <v>455628.87038743001</v>
      </c>
      <c r="AD71" s="50">
        <f>'BGS PTY20 Cost Alloc'!AD71</f>
        <v>0</v>
      </c>
      <c r="AE71" s="13">
        <f>'BGS PTY20 Cost Alloc'!AE71</f>
        <v>0</v>
      </c>
      <c r="AG71" s="50">
        <f>'BGS PTY20 Cost Alloc'!AG71</f>
        <v>18296.695571419106</v>
      </c>
      <c r="AH71" s="13">
        <f>'BGS PTY20 Cost Alloc'!AH71</f>
        <v>0</v>
      </c>
    </row>
    <row r="72" spans="1:34" ht="13" x14ac:dyDescent="0.3">
      <c r="A72" s="22"/>
      <c r="B72" s="60" t="s">
        <v>13</v>
      </c>
      <c r="C72" s="55"/>
      <c r="D72" s="55"/>
      <c r="E72" s="55">
        <f>SUM(E60:E71)</f>
        <v>201235</v>
      </c>
      <c r="F72" s="55">
        <f>SUM(F60:F71)</f>
        <v>9073407</v>
      </c>
      <c r="G72" s="55">
        <f>SUM(G60:G71)</f>
        <v>5476866</v>
      </c>
      <c r="H72" s="55">
        <f>SUM(H60:H71)</f>
        <v>205335</v>
      </c>
      <c r="I72" s="55">
        <f>SUM(I60:I71)</f>
        <v>115100</v>
      </c>
      <c r="J72" s="55">
        <f t="shared" si="7"/>
        <v>15071943</v>
      </c>
      <c r="K72" s="55"/>
      <c r="L72" s="55"/>
      <c r="M72" s="55">
        <f>SUM(M60:M71)</f>
        <v>192910</v>
      </c>
      <c r="N72" s="51"/>
      <c r="O72" s="52"/>
      <c r="P72" s="114" t="s">
        <v>146</v>
      </c>
      <c r="Q72" s="53">
        <f>SUMPRODUCT(E15:E19,E60:E64)+SUMPRODUCT(E24:E26,E69:E71)</f>
        <v>64717.133700000006</v>
      </c>
      <c r="R72" s="47">
        <f>Q72/Q71</f>
        <v>0.47944655030633493</v>
      </c>
      <c r="S72" s="114" t="s">
        <v>177</v>
      </c>
      <c r="T72" s="53">
        <f>SUMPRODUCT(H15:H19,H60:H64)+SUMPRODUCT(H24:H26,H69:H71)</f>
        <v>74076.001699999993</v>
      </c>
      <c r="U72" s="48">
        <f>T72/T71</f>
        <v>0.54739737001566602</v>
      </c>
      <c r="W72" s="55">
        <f t="shared" ref="W72:AD72" si="10">SUM(W60:W71)</f>
        <v>8323268.6666662982</v>
      </c>
      <c r="X72" s="55">
        <f t="shared" si="10"/>
        <v>176009.9999999</v>
      </c>
      <c r="Y72" s="55">
        <f t="shared" si="10"/>
        <v>8147258.6666663997</v>
      </c>
      <c r="Z72" s="55">
        <f t="shared" si="10"/>
        <v>14705033.4409393</v>
      </c>
      <c r="AA72" s="55">
        <f t="shared" si="10"/>
        <v>188656.31310858007</v>
      </c>
      <c r="AB72" s="55">
        <f t="shared" si="10"/>
        <v>9062959.6447838172</v>
      </c>
      <c r="AC72" s="55">
        <f t="shared" si="10"/>
        <v>5477041.2165752612</v>
      </c>
      <c r="AD72" s="55">
        <f t="shared" si="10"/>
        <v>0</v>
      </c>
      <c r="AE72" s="13">
        <f>'BGS PTY20 Cost Alloc'!AE72</f>
        <v>0</v>
      </c>
      <c r="AG72" s="55">
        <f>SUM(AG60:AG71)</f>
        <v>205333.73844124551</v>
      </c>
      <c r="AH72" s="13">
        <f>'BGS PTY20 Cost Alloc'!AH72</f>
        <v>0</v>
      </c>
    </row>
    <row r="73" spans="1:34" ht="13" x14ac:dyDescent="0.3">
      <c r="A73" s="22"/>
      <c r="B73" s="28"/>
      <c r="J73" s="61"/>
      <c r="N73" s="51"/>
      <c r="O73" s="52"/>
      <c r="P73" s="114" t="s">
        <v>145</v>
      </c>
      <c r="Q73" s="53">
        <f>+Q71-Q72</f>
        <v>70265.866299999994</v>
      </c>
      <c r="R73" s="47"/>
      <c r="S73" s="114" t="s">
        <v>178</v>
      </c>
      <c r="T73" s="53">
        <f>+T71-T72</f>
        <v>61247.998300000007</v>
      </c>
      <c r="U73" s="48"/>
    </row>
    <row r="74" spans="1:34" ht="15.5" x14ac:dyDescent="0.3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ht="13" x14ac:dyDescent="0.3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66252</v>
      </c>
      <c r="R75" s="44"/>
      <c r="S75" s="116" t="s">
        <v>149</v>
      </c>
      <c r="T75" s="53">
        <f>+SUM(H65:H68)</f>
        <v>70011</v>
      </c>
      <c r="U75" s="45"/>
      <c r="V75" s="55">
        <f t="shared" ref="V75:V86" si="11">W60-W75</f>
        <v>320756.33333330014</v>
      </c>
      <c r="W75" s="55">
        <f t="shared" ref="W75:W86" si="12">SUM(X75:Z75)</f>
        <v>514549.00000009994</v>
      </c>
      <c r="X75" s="50">
        <f>'BGS PTY20 Cost Alloc'!X75</f>
        <v>14248.666666700001</v>
      </c>
      <c r="Y75" s="50">
        <f>'BGS PTY20 Cost Alloc'!Y75</f>
        <v>495277.66666669998</v>
      </c>
      <c r="Z75" s="50">
        <f>'BGS PTY20 Cost Alloc'!Z75</f>
        <v>5022.6666667</v>
      </c>
      <c r="AA75" s="55"/>
      <c r="AB75" s="13">
        <f t="shared" ref="AB75:AB86" si="13">(V75*$AA$94+W75*$AA$95)/1000</f>
        <v>184.55137954062275</v>
      </c>
      <c r="AC75" s="13">
        <f t="shared" ref="AC75:AC86" si="14">(W60/1000)-AB75</f>
        <v>650.75395379277734</v>
      </c>
    </row>
    <row r="76" spans="1:34" s="63" customFormat="1" ht="13" x14ac:dyDescent="0.3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34081.579400000002</v>
      </c>
      <c r="R76" s="47">
        <f>Q76/Q75</f>
        <v>0.51442340457646563</v>
      </c>
      <c r="S76" s="131" t="s">
        <v>177</v>
      </c>
      <c r="T76" s="53">
        <f>+SUMPRODUCT(H20:H23,H65:H68)</f>
        <v>38950.234400000001</v>
      </c>
      <c r="U76" s="48">
        <f>T76/T75</f>
        <v>0.55634449443658851</v>
      </c>
      <c r="V76" s="55">
        <f t="shared" si="11"/>
        <v>297719.66666659992</v>
      </c>
      <c r="W76" s="55">
        <f t="shared" si="12"/>
        <v>475794.66666660004</v>
      </c>
      <c r="X76" s="50">
        <f>'BGS PTY20 Cost Alloc'!X76</f>
        <v>12657.333333299999</v>
      </c>
      <c r="Y76" s="50">
        <f>'BGS PTY20 Cost Alloc'!Y76</f>
        <v>458632.33333330002</v>
      </c>
      <c r="Z76" s="50">
        <f>'BGS PTY20 Cost Alloc'!Z76</f>
        <v>4505</v>
      </c>
      <c r="AA76" s="55"/>
      <c r="AB76" s="13">
        <f t="shared" si="13"/>
        <v>170.78505036627348</v>
      </c>
      <c r="AC76" s="13">
        <f t="shared" si="14"/>
        <v>602.72928296692646</v>
      </c>
      <c r="AD76" s="13"/>
    </row>
    <row r="77" spans="1:34" ht="13" x14ac:dyDescent="0.3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32170.420599999998</v>
      </c>
      <c r="R77" s="58"/>
      <c r="S77" s="132" t="s">
        <v>178</v>
      </c>
      <c r="T77" s="66">
        <f>T75-T76</f>
        <v>31060.765599999999</v>
      </c>
      <c r="U77" s="59"/>
      <c r="V77" s="55">
        <f t="shared" si="11"/>
        <v>292376.33333330002</v>
      </c>
      <c r="W77" s="55">
        <f t="shared" si="12"/>
        <v>470147.66666669998</v>
      </c>
      <c r="X77" s="50">
        <f>'BGS PTY20 Cost Alloc'!X77</f>
        <v>13409.333333299999</v>
      </c>
      <c r="Y77" s="50">
        <f>'BGS PTY20 Cost Alloc'!Y77</f>
        <v>451983.66666669998</v>
      </c>
      <c r="Z77" s="50">
        <f>'BGS PTY20 Cost Alloc'!Z77</f>
        <v>4754.6666667</v>
      </c>
      <c r="AA77" s="55"/>
      <c r="AB77" s="13">
        <f t="shared" si="13"/>
        <v>168.54262114622043</v>
      </c>
      <c r="AC77" s="13">
        <f t="shared" si="14"/>
        <v>593.98137885377957</v>
      </c>
      <c r="AD77" s="55">
        <f>SUM(AB65:AB68)</f>
        <v>3771660.7530675433</v>
      </c>
    </row>
    <row r="78" spans="1:34" ht="13" x14ac:dyDescent="0.3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1"/>
        <v>305576.00000000006</v>
      </c>
      <c r="W78" s="55">
        <f t="shared" si="12"/>
        <v>476453.66666669998</v>
      </c>
      <c r="X78" s="50">
        <f>'BGS PTY20 Cost Alloc'!X78</f>
        <v>12400</v>
      </c>
      <c r="Y78" s="50">
        <f>'BGS PTY20 Cost Alloc'!Y78</f>
        <v>459671.66666669998</v>
      </c>
      <c r="Z78" s="50">
        <f>'BGS PTY20 Cost Alloc'!Z78</f>
        <v>4382</v>
      </c>
      <c r="AA78" s="55"/>
      <c r="AB78" s="13">
        <f t="shared" si="13"/>
        <v>171.90778407357479</v>
      </c>
      <c r="AC78" s="13">
        <f t="shared" si="14"/>
        <v>610.12188259312518</v>
      </c>
    </row>
    <row r="79" spans="1:34" ht="13" x14ac:dyDescent="0.3">
      <c r="A79" s="22"/>
      <c r="B79" s="28" t="s">
        <v>1</v>
      </c>
      <c r="C79" s="67">
        <v>42.05</v>
      </c>
      <c r="D79" s="162">
        <f>ROUND(C79*$H$329,3)</f>
        <v>41.063000000000002</v>
      </c>
      <c r="E79" s="67">
        <v>33.119</v>
      </c>
      <c r="F79" s="162">
        <f>ROUND(E79*$H$329,3)</f>
        <v>32.341000000000001</v>
      </c>
      <c r="H79" s="33">
        <v>0.94</v>
      </c>
      <c r="I79" s="33">
        <v>0.96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1"/>
        <v>297743.3333332999</v>
      </c>
      <c r="W79" s="55">
        <f t="shared" si="12"/>
        <v>455826.33333330002</v>
      </c>
      <c r="X79" s="50">
        <f>'BGS PTY20 Cost Alloc'!X79</f>
        <v>13980.333333299999</v>
      </c>
      <c r="Y79" s="50">
        <f>'BGS PTY20 Cost Alloc'!Y79</f>
        <v>437747</v>
      </c>
      <c r="Z79" s="50">
        <f>'BGS PTY20 Cost Alloc'!Z79</f>
        <v>4099</v>
      </c>
      <c r="AA79" s="55"/>
      <c r="AB79" s="13">
        <f t="shared" si="13"/>
        <v>165.10777300822832</v>
      </c>
      <c r="AC79" s="13">
        <f t="shared" si="14"/>
        <v>588.46189365837154</v>
      </c>
    </row>
    <row r="80" spans="1:34" ht="13" x14ac:dyDescent="0.3">
      <c r="A80" s="22"/>
      <c r="B80" s="28" t="s">
        <v>2</v>
      </c>
      <c r="C80" s="67">
        <v>39.75</v>
      </c>
      <c r="D80" s="162">
        <f>ROUND(C80*$H$329,3)</f>
        <v>38.817</v>
      </c>
      <c r="E80" s="67">
        <v>31.306999999999999</v>
      </c>
      <c r="F80" s="162">
        <f>ROUND(E80*$H$329,3)</f>
        <v>30.571999999999999</v>
      </c>
      <c r="H80" s="175">
        <f>H79</f>
        <v>0.94</v>
      </c>
      <c r="I80" s="175">
        <f>I79</f>
        <v>0.96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11"/>
        <v>289509.66666659981</v>
      </c>
      <c r="W80" s="55">
        <f t="shared" si="12"/>
        <v>424701.66666660004</v>
      </c>
      <c r="X80" s="50">
        <f>'BGS PTY20 Cost Alloc'!X80</f>
        <v>11440.333333299999</v>
      </c>
      <c r="Y80" s="50">
        <f>'BGS PTY20 Cost Alloc'!Y80</f>
        <v>409653</v>
      </c>
      <c r="Z80" s="50">
        <f>'BGS PTY20 Cost Alloc'!Z80</f>
        <v>3608.3333333</v>
      </c>
      <c r="AA80" s="55"/>
      <c r="AB80" s="13">
        <f t="shared" si="13"/>
        <v>155.27400354850786</v>
      </c>
      <c r="AC80" s="13">
        <f t="shared" si="14"/>
        <v>558.937329784692</v>
      </c>
    </row>
    <row r="81" spans="1:29" ht="13" x14ac:dyDescent="0.3">
      <c r="A81" s="22"/>
      <c r="B81" s="28" t="s">
        <v>3</v>
      </c>
      <c r="C81" s="67">
        <v>32.1</v>
      </c>
      <c r="D81" s="162">
        <f>ROUND(C81*$H$329,3)</f>
        <v>31.346</v>
      </c>
      <c r="E81" s="67">
        <v>25.282</v>
      </c>
      <c r="F81" s="162">
        <f>ROUND(E81*$H$329,3)</f>
        <v>24.687999999999999</v>
      </c>
      <c r="H81" s="175">
        <f>H79</f>
        <v>0.94</v>
      </c>
      <c r="I81" s="175">
        <f>I79</f>
        <v>0.96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1"/>
        <v>253672.33333329984</v>
      </c>
      <c r="W81" s="55">
        <f t="shared" si="12"/>
        <v>363135.66666660004</v>
      </c>
      <c r="X81" s="50">
        <f>'BGS PTY20 Cost Alloc'!X81</f>
        <v>10803.333333299999</v>
      </c>
      <c r="Y81" s="50">
        <f>'BGS PTY20 Cost Alloc'!Y81</f>
        <v>349101</v>
      </c>
      <c r="Z81" s="50">
        <f>'BGS PTY20 Cost Alloc'!Z81</f>
        <v>3231.3333333</v>
      </c>
      <c r="AA81" s="55"/>
      <c r="AB81" s="13">
        <f t="shared" si="13"/>
        <v>133.49488991908572</v>
      </c>
      <c r="AC81" s="13">
        <f t="shared" si="14"/>
        <v>483.31311008081411</v>
      </c>
    </row>
    <row r="82" spans="1:29" ht="13" x14ac:dyDescent="0.3">
      <c r="A82" s="22"/>
      <c r="B82" s="28" t="s">
        <v>4</v>
      </c>
      <c r="C82" s="67">
        <v>29.05</v>
      </c>
      <c r="D82" s="162">
        <f>ROUND(C82*$H$329,3)</f>
        <v>28.367999999999999</v>
      </c>
      <c r="E82" s="67">
        <v>22.88</v>
      </c>
      <c r="F82" s="162">
        <f>ROUND(E82*$H$329,3)</f>
        <v>22.343</v>
      </c>
      <c r="H82" s="175">
        <f>H79</f>
        <v>0.94</v>
      </c>
      <c r="I82" s="175">
        <f>I79</f>
        <v>0.96</v>
      </c>
      <c r="L82" s="139"/>
      <c r="N82" s="51"/>
      <c r="O82" s="52"/>
      <c r="P82" s="114" t="s">
        <v>147</v>
      </c>
      <c r="Q82" s="53">
        <f>Q72-Q61</f>
        <v>19088.41840000001</v>
      </c>
      <c r="R82" s="47"/>
      <c r="S82" s="114" t="s">
        <v>147</v>
      </c>
      <c r="T82" s="53">
        <f>T72-T61</f>
        <v>15204.536599999992</v>
      </c>
      <c r="U82" s="48"/>
      <c r="V82" s="55">
        <f t="shared" si="11"/>
        <v>224627.99999999994</v>
      </c>
      <c r="W82" s="55">
        <f t="shared" si="12"/>
        <v>323080.33333330002</v>
      </c>
      <c r="X82" s="50">
        <f>'BGS PTY20 Cost Alloc'!X82</f>
        <v>8673.3333332999991</v>
      </c>
      <c r="Y82" s="50">
        <f>'BGS PTY20 Cost Alloc'!Y82</f>
        <v>311620</v>
      </c>
      <c r="Z82" s="50">
        <f>'BGS PTY20 Cost Alloc'!Z82</f>
        <v>2787</v>
      </c>
      <c r="AA82" s="55"/>
      <c r="AB82" s="13">
        <f t="shared" si="13"/>
        <v>118.64328621030796</v>
      </c>
      <c r="AC82" s="13">
        <f t="shared" si="14"/>
        <v>429.06504712299198</v>
      </c>
    </row>
    <row r="83" spans="1:29" ht="13" x14ac:dyDescent="0.3">
      <c r="A83" s="22"/>
      <c r="B83" s="28" t="s">
        <v>5</v>
      </c>
      <c r="C83" s="67">
        <v>29.05</v>
      </c>
      <c r="D83" s="162">
        <f>ROUND(C83*$H$329,3)</f>
        <v>28.367999999999999</v>
      </c>
      <c r="E83" s="67">
        <v>22.88</v>
      </c>
      <c r="F83" s="162">
        <f>ROUND(E83*$H$329,3)</f>
        <v>22.343</v>
      </c>
      <c r="H83" s="175">
        <f>H79</f>
        <v>0.94</v>
      </c>
      <c r="I83" s="175">
        <f>I79</f>
        <v>0.96</v>
      </c>
      <c r="L83" s="139"/>
      <c r="N83" s="51"/>
      <c r="O83" s="52"/>
      <c r="P83" s="114" t="s">
        <v>150</v>
      </c>
      <c r="Q83" s="140">
        <f>Q82*(E117-E118)</f>
        <v>128800.36233305873</v>
      </c>
      <c r="R83" s="47"/>
      <c r="S83" s="114" t="s">
        <v>150</v>
      </c>
      <c r="T83" s="140">
        <f>T82*(H117-H118)</f>
        <v>99151.293468539385</v>
      </c>
      <c r="U83" s="48"/>
      <c r="V83" s="55">
        <f t="shared" si="11"/>
        <v>237751.99999999988</v>
      </c>
      <c r="W83" s="55">
        <f t="shared" si="12"/>
        <v>329757.66666660004</v>
      </c>
      <c r="X83" s="50">
        <f>'BGS PTY20 Cost Alloc'!X83</f>
        <v>8150.3333333</v>
      </c>
      <c r="Y83" s="50">
        <f>'BGS PTY20 Cost Alloc'!Y83</f>
        <v>318782.33333330002</v>
      </c>
      <c r="Z83" s="50">
        <f>'BGS PTY20 Cost Alloc'!Z83</f>
        <v>2825</v>
      </c>
      <c r="AA83" s="55"/>
      <c r="AB83" s="13">
        <f t="shared" si="13"/>
        <v>122.10506887208116</v>
      </c>
      <c r="AC83" s="13">
        <f t="shared" si="14"/>
        <v>445.40459779451879</v>
      </c>
    </row>
    <row r="84" spans="1:29" ht="13" x14ac:dyDescent="0.3">
      <c r="A84" s="22"/>
      <c r="B84" s="178" t="s">
        <v>6</v>
      </c>
      <c r="C84" s="211">
        <v>28.25</v>
      </c>
      <c r="D84" s="212">
        <f>ROUND(C84*$H$328,3)</f>
        <v>37.664999999999999</v>
      </c>
      <c r="E84" s="211">
        <v>18.882000000000001</v>
      </c>
      <c r="F84" s="213">
        <f>ROUND(E84*$H$328,3)</f>
        <v>25.175000000000001</v>
      </c>
      <c r="H84" s="128">
        <v>0.93</v>
      </c>
      <c r="I84" s="129">
        <v>0.9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11"/>
        <v>241361.66666669998</v>
      </c>
      <c r="W84" s="55">
        <f t="shared" si="12"/>
        <v>341792.66666669998</v>
      </c>
      <c r="X84" s="50">
        <f>'BGS PTY20 Cost Alloc'!X84</f>
        <v>11773.666666700001</v>
      </c>
      <c r="Y84" s="50">
        <f>'BGS PTY20 Cost Alloc'!Y84</f>
        <v>326971.66666669998</v>
      </c>
      <c r="Z84" s="50">
        <f>'BGS PTY20 Cost Alloc'!Z84</f>
        <v>3047.3333333</v>
      </c>
      <c r="AA84" s="55"/>
      <c r="AB84" s="13">
        <f t="shared" si="13"/>
        <v>125.95820856228451</v>
      </c>
      <c r="AC84" s="13">
        <f t="shared" si="14"/>
        <v>457.19612477111548</v>
      </c>
    </row>
    <row r="85" spans="1:29" ht="13" x14ac:dyDescent="0.3">
      <c r="A85" s="22"/>
      <c r="B85" s="182" t="s">
        <v>7</v>
      </c>
      <c r="C85" s="214">
        <v>32.9</v>
      </c>
      <c r="D85" s="215">
        <f>ROUND(C85*$H$328,3)</f>
        <v>43.863999999999997</v>
      </c>
      <c r="E85" s="214">
        <v>21.99</v>
      </c>
      <c r="F85" s="216">
        <f>ROUND(E85*$H$328,3)</f>
        <v>29.318000000000001</v>
      </c>
      <c r="H85" s="173">
        <f t="shared" ref="H85:I87" si="15">H84</f>
        <v>0.93</v>
      </c>
      <c r="I85" s="241">
        <f t="shared" si="15"/>
        <v>0.9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1"/>
        <v>260765.33333330008</v>
      </c>
      <c r="W85" s="55">
        <f t="shared" si="12"/>
        <v>381947.33333339996</v>
      </c>
      <c r="X85" s="50">
        <f>'BGS PTY20 Cost Alloc'!X85</f>
        <v>11407.666666700001</v>
      </c>
      <c r="Y85" s="50">
        <f>'BGS PTY20 Cost Alloc'!Y85</f>
        <v>367055</v>
      </c>
      <c r="Z85" s="50">
        <f>'BGS PTY20 Cost Alloc'!Z85</f>
        <v>3484.6666667</v>
      </c>
      <c r="AA85" s="55"/>
      <c r="AB85" s="13">
        <f t="shared" si="13"/>
        <v>139.69036973444722</v>
      </c>
      <c r="AC85" s="13">
        <f t="shared" si="14"/>
        <v>503.02229693225274</v>
      </c>
    </row>
    <row r="86" spans="1:29" ht="13" x14ac:dyDescent="0.3">
      <c r="A86" s="22"/>
      <c r="B86" s="182" t="s">
        <v>8</v>
      </c>
      <c r="C86" s="214">
        <v>30.75</v>
      </c>
      <c r="D86" s="215">
        <f>ROUND(C86*$H$328,3)</f>
        <v>40.997999999999998</v>
      </c>
      <c r="E86" s="214">
        <v>20.553000000000001</v>
      </c>
      <c r="F86" s="216">
        <f>ROUND(E86*$H$328,3)</f>
        <v>27.402000000000001</v>
      </c>
      <c r="H86" s="173">
        <f t="shared" si="15"/>
        <v>0.93</v>
      </c>
      <c r="I86" s="241">
        <f t="shared" si="15"/>
        <v>0.9</v>
      </c>
      <c r="L86" s="139"/>
      <c r="N86" s="51"/>
      <c r="O86" s="52"/>
      <c r="P86" s="114" t="s">
        <v>147</v>
      </c>
      <c r="Q86" s="53">
        <f>Q76-Q65</f>
        <v>7873.2448000000004</v>
      </c>
      <c r="R86" s="47"/>
      <c r="S86" s="114" t="s">
        <v>147</v>
      </c>
      <c r="T86" s="53">
        <f>T76-T65</f>
        <v>6691.1244000000006</v>
      </c>
      <c r="U86" s="48"/>
      <c r="V86" s="55">
        <f t="shared" si="11"/>
        <v>292150.99999999983</v>
      </c>
      <c r="W86" s="55">
        <f t="shared" si="12"/>
        <v>452070.33333330002</v>
      </c>
      <c r="X86" s="50">
        <f>'BGS PTY20 Cost Alloc'!X86</f>
        <v>12416.333333299999</v>
      </c>
      <c r="Y86" s="50">
        <f>'BGS PTY20 Cost Alloc'!Y86</f>
        <v>435429.66666669998</v>
      </c>
      <c r="Z86" s="50">
        <f>'BGS PTY20 Cost Alloc'!Z86</f>
        <v>4224.3333333</v>
      </c>
      <c r="AA86" s="55"/>
      <c r="AB86" s="13">
        <f t="shared" si="13"/>
        <v>163.37360557843982</v>
      </c>
      <c r="AC86" s="13">
        <f t="shared" si="14"/>
        <v>580.84772775485999</v>
      </c>
    </row>
    <row r="87" spans="1:29" ht="13" x14ac:dyDescent="0.3">
      <c r="A87" s="22"/>
      <c r="B87" s="185" t="s">
        <v>9</v>
      </c>
      <c r="C87" s="217">
        <v>30.45</v>
      </c>
      <c r="D87" s="218">
        <f>ROUND(C87*$H$328,3)</f>
        <v>40.597999999999999</v>
      </c>
      <c r="E87" s="217">
        <v>20.353000000000002</v>
      </c>
      <c r="F87" s="219">
        <f>ROUND(E87*$H$328,3)</f>
        <v>27.135999999999999</v>
      </c>
      <c r="H87" s="174">
        <f t="shared" si="15"/>
        <v>0.93</v>
      </c>
      <c r="I87" s="242">
        <f t="shared" si="15"/>
        <v>0.9</v>
      </c>
      <c r="L87" s="139"/>
      <c r="N87" s="64"/>
      <c r="O87" s="65"/>
      <c r="P87" s="117" t="s">
        <v>150</v>
      </c>
      <c r="Q87" s="141">
        <f>Q86*(E113-E114)</f>
        <v>118608.63261778578</v>
      </c>
      <c r="R87" s="58"/>
      <c r="S87" s="117" t="s">
        <v>150</v>
      </c>
      <c r="T87" s="141">
        <f>T86*(H113-H114)</f>
        <v>100347.7542474763</v>
      </c>
      <c r="U87" s="59"/>
      <c r="AA87" s="55"/>
    </row>
    <row r="88" spans="1:29" ht="13" x14ac:dyDescent="0.3">
      <c r="A88" s="22"/>
      <c r="B88" s="28" t="s">
        <v>10</v>
      </c>
      <c r="C88" s="67">
        <v>28.35</v>
      </c>
      <c r="D88" s="162">
        <f>ROUND(C88*$H$329,3)</f>
        <v>27.684000000000001</v>
      </c>
      <c r="E88" s="67">
        <v>22.327999999999999</v>
      </c>
      <c r="F88" s="162">
        <f>ROUND(E88*$H$329,3)</f>
        <v>21.803999999999998</v>
      </c>
      <c r="H88" s="175">
        <f>H79</f>
        <v>0.94</v>
      </c>
      <c r="I88" s="175">
        <f>I79</f>
        <v>0.96</v>
      </c>
      <c r="L88" s="139"/>
    </row>
    <row r="89" spans="1:29" ht="13" x14ac:dyDescent="0.3">
      <c r="A89" s="22"/>
      <c r="B89" s="28" t="s">
        <v>11</v>
      </c>
      <c r="C89" s="67">
        <v>28.8</v>
      </c>
      <c r="D89" s="162">
        <f>ROUND(C89*$H$329,3)</f>
        <v>28.123999999999999</v>
      </c>
      <c r="E89" s="67">
        <v>22.683</v>
      </c>
      <c r="F89" s="162">
        <f>ROUND(E89*$H$329,3)</f>
        <v>22.15</v>
      </c>
      <c r="H89" s="175">
        <f>H79</f>
        <v>0.94</v>
      </c>
      <c r="I89" s="175">
        <f>I79</f>
        <v>0.96</v>
      </c>
      <c r="L89" s="139"/>
    </row>
    <row r="90" spans="1:29" ht="13" x14ac:dyDescent="0.3">
      <c r="A90" s="22"/>
      <c r="B90" s="28" t="s">
        <v>12</v>
      </c>
      <c r="C90" s="67">
        <v>31.55</v>
      </c>
      <c r="D90" s="162">
        <f>ROUND(C90*$H$329,3)</f>
        <v>30.809000000000001</v>
      </c>
      <c r="E90" s="67">
        <v>24.849</v>
      </c>
      <c r="F90" s="162">
        <f>ROUND(E90*$H$329,3)</f>
        <v>24.265999999999998</v>
      </c>
      <c r="G90" s="70"/>
      <c r="H90" s="175">
        <f>H79</f>
        <v>0.94</v>
      </c>
      <c r="I90" s="175">
        <f>I79</f>
        <v>0.96</v>
      </c>
      <c r="L90" s="139"/>
    </row>
    <row r="91" spans="1:29" ht="13" x14ac:dyDescent="0.3">
      <c r="A91" s="22"/>
      <c r="B91" s="28"/>
      <c r="C91" s="69"/>
      <c r="D91" s="69"/>
      <c r="G91" s="70"/>
      <c r="K91" s="70"/>
      <c r="X91" s="13" t="s">
        <v>210</v>
      </c>
    </row>
    <row r="92" spans="1:29" ht="13" x14ac:dyDescent="0.3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ht="13" x14ac:dyDescent="0.3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ht="13" x14ac:dyDescent="0.3">
      <c r="A94" s="22"/>
      <c r="B94" s="28" t="s">
        <v>23</v>
      </c>
      <c r="C94" s="72"/>
      <c r="D94" s="72"/>
      <c r="E94" s="154">
        <f>'BGS PTY20 Cost Alloc'!E94</f>
        <v>0.105545</v>
      </c>
      <c r="F94" s="154">
        <f>'BGS PTY20 Cost Alloc'!F94</f>
        <v>0.105545</v>
      </c>
      <c r="G94" s="154">
        <f>'BGS PTY20 Cost Alloc'!G94</f>
        <v>0.105545</v>
      </c>
      <c r="H94" s="154">
        <f>'BGS PTY20 Cost Alloc'!H94</f>
        <v>0.105545</v>
      </c>
      <c r="I94" s="154">
        <f>'BGS PTY20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ht="13" x14ac:dyDescent="0.3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ht="13" x14ac:dyDescent="0.3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38" ht="13" x14ac:dyDescent="0.3">
      <c r="A97" s="22"/>
      <c r="B97" s="13" t="s">
        <v>264</v>
      </c>
      <c r="C97" s="73"/>
      <c r="D97" s="73"/>
      <c r="E97" s="237">
        <f>ROUND(1-1/E98,6)</f>
        <v>9.8632999999999998E-2</v>
      </c>
      <c r="F97" s="237">
        <f>ROUND(1-1/F98,6)</f>
        <v>9.8632999999999998E-2</v>
      </c>
      <c r="G97" s="237">
        <f>ROUND(1-1/G98,6)</f>
        <v>9.8632999999999998E-2</v>
      </c>
      <c r="H97" s="237">
        <f>ROUND(1-1/H98,6)</f>
        <v>9.8632999999999998E-2</v>
      </c>
      <c r="I97" s="237">
        <f>ROUND(1-1/I98,6)</f>
        <v>9.8632999999999998E-2</v>
      </c>
      <c r="J97" s="73"/>
      <c r="K97" s="73"/>
      <c r="L97" s="73"/>
      <c r="M97" s="73"/>
    </row>
    <row r="98" spans="1:38" ht="12" customHeight="1" x14ac:dyDescent="0.3">
      <c r="A98" s="22"/>
      <c r="B98" s="13" t="s">
        <v>263</v>
      </c>
      <c r="C98" s="73"/>
      <c r="D98" s="73"/>
      <c r="E98" s="73">
        <v>1.1094255786866214</v>
      </c>
      <c r="F98" s="73">
        <v>1.1094255786866214</v>
      </c>
      <c r="G98" s="73">
        <v>1.1094255786866214</v>
      </c>
      <c r="H98" s="73">
        <v>1.1094255786866214</v>
      </c>
      <c r="I98" s="73">
        <v>1.1094255786866214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</row>
    <row r="99" spans="1:38" ht="13" x14ac:dyDescent="0.3">
      <c r="A99" s="22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</row>
    <row r="100" spans="1:38" ht="13" x14ac:dyDescent="0.3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</row>
    <row r="101" spans="1:38" ht="13" x14ac:dyDescent="0.3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</row>
    <row r="102" spans="1:38" ht="13" x14ac:dyDescent="0.3">
      <c r="A102" s="22"/>
      <c r="B102" s="36" t="str">
        <f>'BGS PTY20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</row>
    <row r="103" spans="1:38" ht="15.5" x14ac:dyDescent="0.35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</row>
    <row r="104" spans="1:38" ht="15.5" x14ac:dyDescent="0.35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</row>
    <row r="105" spans="1:38" ht="13" x14ac:dyDescent="0.3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</row>
    <row r="106" spans="1:38" ht="13" x14ac:dyDescent="0.3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</row>
    <row r="107" spans="1:38" ht="13" x14ac:dyDescent="0.3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</row>
    <row r="108" spans="1:38" ht="13" x14ac:dyDescent="0.3">
      <c r="A108" s="22"/>
      <c r="B108" s="17" t="s">
        <v>171</v>
      </c>
      <c r="M108" s="47"/>
      <c r="N108" s="47"/>
      <c r="O108" s="47"/>
      <c r="P108" s="47"/>
      <c r="Q108" s="47"/>
      <c r="R108" s="47"/>
      <c r="S108" s="601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</row>
    <row r="109" spans="1:38" ht="13" x14ac:dyDescent="0.3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601"/>
      <c r="AD109" s="47"/>
      <c r="AE109" s="47"/>
      <c r="AF109" s="47"/>
      <c r="AG109" s="47"/>
      <c r="AH109" s="47"/>
      <c r="AI109" s="47"/>
      <c r="AJ109" s="47"/>
      <c r="AK109" s="47"/>
      <c r="AL109" s="47"/>
    </row>
    <row r="110" spans="1:38" ht="13" x14ac:dyDescent="0.3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  <c r="AI110" s="47"/>
      <c r="AJ110" s="47"/>
      <c r="AK110" s="47"/>
      <c r="AL110" s="47"/>
    </row>
    <row r="111" spans="1:38" ht="13" x14ac:dyDescent="0.3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</row>
    <row r="112" spans="1:38" ht="13" x14ac:dyDescent="0.3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35.267370454499265</v>
      </c>
      <c r="F112" s="75">
        <f>(SUMPRODUCT(F20:F23,F65:F68,$D84:$D87,$H84:$H87)*F95+SUMPRODUCT(R20:R23,F65:F68,$F84:$F87,$I84:$I87)*F95)/SUM(F65:F68)</f>
        <v>35.392746733785785</v>
      </c>
      <c r="G112" s="75">
        <f>(SUMPRODUCT(G20:G23,G65:G68,$D84:$D87,$H84:$H87)*G95+SUMPRODUCT(S20:S23,G65:G68,$F84:$F87,$I84:$I87)*G95)/SUM(G65:G68)</f>
        <v>36.182825135514342</v>
      </c>
      <c r="H112" s="75">
        <f>(SUMPRODUCT(H20:H23,H65:H68,$D84:$D87,$H84:$H87)*H95+SUMPRODUCT(T20:T23,H65:H68,$F84:$F87,$I84:$I87)*H95)/SUM(H65:H68)</f>
        <v>35.803507557576317</v>
      </c>
      <c r="I112" s="75">
        <f>(SUMPRODUCT(I20:I23,I65:I68,$D84:$D87,$H84:$H87)*I95+SUMPRODUCT(U20:U23,I65:I68,$F84:$F87,$I84:$I87)*I95)/SUM(I65:I68)</f>
        <v>31.888694068175596</v>
      </c>
      <c r="J112" s="76"/>
      <c r="K112" s="74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47"/>
      <c r="AE112" s="47"/>
      <c r="AF112" s="47"/>
      <c r="AG112" s="47"/>
      <c r="AH112" s="47"/>
      <c r="AI112" s="47"/>
      <c r="AJ112" s="47"/>
      <c r="AK112" s="47"/>
      <c r="AL112" s="47"/>
    </row>
    <row r="113" spans="1:38" ht="13" x14ac:dyDescent="0.3">
      <c r="A113" s="22"/>
      <c r="B113" s="77" t="s">
        <v>41</v>
      </c>
      <c r="C113" s="74"/>
      <c r="D113" s="74"/>
      <c r="E113" s="75">
        <f>(SUMPRODUCT(E20:E23,E65:E68,$D84:$D87,$H84:$H87)*E95)/SUMPRODUCT(E20:E23,E65:E68)</f>
        <v>42.582470832730259</v>
      </c>
      <c r="F113" s="75">
        <f>(SUMPRODUCT(F20:F23,F65:F68,$D84:$D87,$H84:$H87)*F95)/SUMPRODUCT(F20:F23,F65:F68)</f>
        <v>42.667044528716971</v>
      </c>
      <c r="G113" s="75">
        <f>(SUMPRODUCT(G20:G23,G65:G68,$D84:$D87,$H84:$H87)*G95)/SUMPRODUCT(G20:G23,G65:G68)</f>
        <v>42.509343423224514</v>
      </c>
      <c r="H113" s="75">
        <f>(SUMPRODUCT(H20:H23,H65:H68,$D84:$D87,$H84:$H87)*H95)/SUMPRODUCT(H20:H23,H65:H68)</f>
        <v>42.457072934841911</v>
      </c>
      <c r="I113" s="75">
        <f>(SUMPRODUCT(I20:I23,I65:I68,$D84:$D87,$H84:$H87)*I95)/SUMPRODUCT(I20:I23,I65:I68)</f>
        <v>42.403034859843522</v>
      </c>
      <c r="J113" s="76"/>
      <c r="K113" s="74"/>
      <c r="L113" s="74"/>
      <c r="M113" s="609"/>
      <c r="N113" s="47"/>
      <c r="O113" s="47"/>
      <c r="P113" s="47"/>
      <c r="Q113" s="47"/>
      <c r="R113" s="47"/>
      <c r="S113" s="621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</row>
    <row r="114" spans="1:38" ht="13" x14ac:dyDescent="0.3">
      <c r="A114" s="22"/>
      <c r="B114" s="77" t="s">
        <v>42</v>
      </c>
      <c r="C114" s="74"/>
      <c r="D114" s="74"/>
      <c r="E114" s="75">
        <f>(SUMPRODUCT(Q20:Q23,E65:E68,$F84:$F87,$I84:$I87)*E95)/SUMPRODUCT(Q20:Q23,E65:E68)</f>
        <v>27.517699492483633</v>
      </c>
      <c r="F114" s="75">
        <f>(SUMPRODUCT(R20:R23,F65:F68,$F84:$F87,$I84:$I87)*F95)/SUMPRODUCT(R20:R23,F65:F68)</f>
        <v>27.587642230809692</v>
      </c>
      <c r="G114" s="75">
        <f>(SUMPRODUCT(S20:S23,G65:G68,$F84:$F87,$I84:$I87)*G95)/SUMPRODUCT(S20:S23,G65:G68)</f>
        <v>27.478571437400287</v>
      </c>
      <c r="H114" s="75">
        <f>(SUMPRODUCT(T20:T23,H65:H68,$F84:$F87,$I84:$I87)*H95)/SUMPRODUCT(T20:T23,H65:H68)</f>
        <v>27.459929218985081</v>
      </c>
      <c r="I114" s="75">
        <f>(SUMPRODUCT(U20:U23,I65:I68,$F84:$F87,$I84:$I87)*I95)/SUMPRODUCT(U20:U23,I65:I68)</f>
        <v>27.426408135724266</v>
      </c>
      <c r="J114" s="76"/>
      <c r="K114" s="74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  <c r="AI114" s="47"/>
      <c r="AJ114" s="47"/>
      <c r="AK114" s="47"/>
      <c r="AL114" s="47"/>
    </row>
    <row r="115" spans="1:38" ht="13" x14ac:dyDescent="0.3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</row>
    <row r="116" spans="1:38" ht="13" x14ac:dyDescent="0.3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30.897026394883277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30.71978897400453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30.853911062634083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30.47674660113336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28.989533514159191</v>
      </c>
      <c r="J116" s="76"/>
      <c r="K116" s="74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47"/>
      <c r="AE116" s="47"/>
      <c r="AF116" s="47"/>
      <c r="AG116" s="47"/>
      <c r="AH116" s="47"/>
      <c r="AI116" s="47"/>
      <c r="AJ116" s="47"/>
      <c r="AK116" s="47"/>
      <c r="AL116" s="47"/>
    </row>
    <row r="117" spans="1:38" ht="13" x14ac:dyDescent="0.3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34.409495135314266</v>
      </c>
      <c r="F117" s="75">
        <f>(SUMPRODUCT(F15:F19,F60:F64,$D79:$D83,$H79:$H83)*F95+SUMPRODUCT(F24:F26,F69:F71,$D88:$D90,$H88:$H90)*F95)/(SUMPRODUCT(F15:F19,F60:F64)+SUMPRODUCT(F24:F26,F69:F71))</f>
        <v>34.031377193448286</v>
      </c>
      <c r="G117" s="75">
        <f>(SUMPRODUCT(G15:G19,G60:G64,$D79:$D83,$H79:$H83)*G95+SUMPRODUCT(G24:G26,G69:G71,$D88:$D90,$H88:$H90)*G95)/(SUMPRODUCT(G15:G19,G60:G64)+SUMPRODUCT(G24:G26,G69:G71))</f>
        <v>33.580249541946344</v>
      </c>
      <c r="H117" s="75">
        <f>(SUMPRODUCT(H15:H19,H60:H64,$D79:$D83,$H79:$H83)*H95+SUMPRODUCT(H24:H26,H69:H71,$D88:$D90,$H88:$H90)*H95)/(SUMPRODUCT(H15:H19,H60:H64)+SUMPRODUCT(H24:H26,H69:H71))</f>
        <v>33.428243076876626</v>
      </c>
      <c r="I117" s="75">
        <f>(SUMPRODUCT(I15:I19,I60:I64,$D79:$D83,$H79:$H83)*I95+SUMPRODUCT(I24:I26,I69:I71,$D88:$D90,$H88:$H90)*I95)/(SUMPRODUCT(I15:I19,I60:I64)+SUMPRODUCT(I24:I26,I69:I71))</f>
        <v>33.467089136691811</v>
      </c>
      <c r="J117" s="76"/>
      <c r="K117" s="74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</row>
    <row r="118" spans="1:38" ht="13" x14ac:dyDescent="0.3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27.661929169709769</v>
      </c>
      <c r="F118" s="75">
        <f>(SUMPRODUCT(R15:R19,F60:F64,$F79:$F83,$I79:$I83)*F95+SUMPRODUCT(R24:R26,F69:F71,$F88:$F90,$I88:$I90)*F95)/(SUMPRODUCT(R15:R19,F60:F64)+SUMPRODUCT(R24:R26,F69:F71))</f>
        <v>27.350597838050383</v>
      </c>
      <c r="G118" s="75">
        <f>(SUMPRODUCT(S15:S19,G60:G64,$F79:$F83,$I79:$I83)*G95+SUMPRODUCT(S24:S26,G69:G71,$F88:$F90,$I88:$I90)*G95)/(SUMPRODUCT(S15:S19,G60:G64)+SUMPRODUCT(S24:S26,G69:G71))</f>
        <v>27.107936493517506</v>
      </c>
      <c r="H118" s="75">
        <f>(SUMPRODUCT(T15:T19,H60:H64,$F79:$F83,$I79:$I83)*H95+SUMPRODUCT(T24:T26,H69:H71,$F88:$F90,$I88:$I90)*H95)/(SUMPRODUCT(T15:T19,H60:H64)+SUMPRODUCT(T24:T26,H69:H71))</f>
        <v>26.907077974841261</v>
      </c>
      <c r="I118" s="75">
        <f>(SUMPRODUCT(U15:U19,I60:I64,$F79:$F83,$I79:$I83)*I95+SUMPRODUCT(U24:U26,I69:I71,$F88:$F90,$I88:$I90)*I95)/(SUMPRODUCT(U15:U19,I60:I64)+SUMPRODUCT(U24:U26,I69:I71))</f>
        <v>26.890663426125091</v>
      </c>
      <c r="J118" s="76"/>
      <c r="K118" s="74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47"/>
      <c r="Y118" s="47"/>
      <c r="Z118" s="47"/>
      <c r="AA118" s="47"/>
      <c r="AB118" s="47"/>
      <c r="AC118" s="602"/>
      <c r="AD118" s="47"/>
      <c r="AE118" s="47"/>
      <c r="AF118" s="47"/>
      <c r="AG118" s="47"/>
      <c r="AH118" s="47"/>
      <c r="AI118" s="47"/>
      <c r="AJ118" s="47"/>
      <c r="AK118" s="47"/>
      <c r="AL118" s="47"/>
    </row>
    <row r="119" spans="1:38" ht="13" x14ac:dyDescent="0.3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44"/>
      <c r="X119" s="606"/>
      <c r="Y119" s="47"/>
      <c r="Z119" s="131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</row>
    <row r="120" spans="1:38" ht="13" x14ac:dyDescent="0.3">
      <c r="A120" s="22"/>
      <c r="B120" s="13" t="s">
        <v>16</v>
      </c>
      <c r="C120" s="74"/>
      <c r="D120" s="78"/>
      <c r="E120" s="79">
        <f>(E112*SUM(E65:E68)+E116*SUM(E60:E64,E69:E71))/E72</f>
        <v>32.335861759693962</v>
      </c>
      <c r="F120" s="79">
        <f>(F112*SUM(F65:F68)+F116*SUM(F60:F64,F69:F71))/F72</f>
        <v>32.662258052842759</v>
      </c>
      <c r="G120" s="79">
        <f>(G112*SUM(G65:G68)+G116*SUM(G60:G64,G69:G71))/G72</f>
        <v>32.785726163825188</v>
      </c>
      <c r="H120" s="79">
        <f>(H112*SUM(H65:H68)+H116*SUM(H60:H64,H69:H71))/H72</f>
        <v>32.292958456499122</v>
      </c>
      <c r="I120" s="79">
        <f>(I112*SUM(I65:I68)+I116*SUM(I60:I64,I69:I71))/I72</f>
        <v>29.955953949749993</v>
      </c>
      <c r="J120" s="76"/>
      <c r="K120" s="78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48"/>
      <c r="AA120" s="47"/>
      <c r="AB120" s="114"/>
      <c r="AC120" s="608"/>
      <c r="AD120" s="47"/>
      <c r="AE120" s="47"/>
      <c r="AF120" s="47"/>
      <c r="AG120" s="47"/>
      <c r="AH120" s="47"/>
      <c r="AI120" s="47"/>
      <c r="AJ120" s="47"/>
      <c r="AK120" s="47"/>
      <c r="AL120" s="47"/>
    </row>
    <row r="121" spans="1:38" ht="13" x14ac:dyDescent="0.3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</row>
    <row r="122" spans="1:38" ht="13" x14ac:dyDescent="0.3">
      <c r="A122" s="22"/>
      <c r="B122" s="13" t="s">
        <v>44</v>
      </c>
      <c r="C122" s="80">
        <f>SUMPRODUCT(C120:I120,C72:I72)/SUM(C72:I72)</f>
        <v>32.67706770321039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</row>
    <row r="123" spans="1:38" ht="13" x14ac:dyDescent="0.3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</row>
    <row r="124" spans="1:38" ht="13" x14ac:dyDescent="0.3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</row>
    <row r="125" spans="1:38" ht="13" x14ac:dyDescent="0.3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7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</row>
    <row r="126" spans="1:38" ht="13" x14ac:dyDescent="0.3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</row>
    <row r="127" spans="1:38" ht="13" x14ac:dyDescent="0.3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</row>
    <row r="128" spans="1:38" ht="13" x14ac:dyDescent="0.3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</row>
    <row r="129" spans="1:38" ht="13" x14ac:dyDescent="0.3">
      <c r="A129" s="22"/>
      <c r="C129" s="81"/>
      <c r="M129" s="607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</row>
    <row r="130" spans="1:38" ht="13" x14ac:dyDescent="0.3">
      <c r="A130" s="22"/>
      <c r="B130" s="28" t="s">
        <v>17</v>
      </c>
      <c r="C130" s="76"/>
      <c r="D130" s="76"/>
      <c r="E130" s="76">
        <f>SUM(E65:E68)*E112/1000</f>
        <v>2336.5338273514853</v>
      </c>
      <c r="F130" s="76">
        <f>SUM(F65:F68)*F112/1000</f>
        <v>133489.44253869721</v>
      </c>
      <c r="G130" s="76">
        <f>SUM(G65:G68)*G112/1000</f>
        <v>71839.190165306951</v>
      </c>
      <c r="H130" s="76">
        <f>SUM(H65:H68)*H112/1000</f>
        <v>2506.6393676134758</v>
      </c>
      <c r="I130" s="76">
        <f>SUM(I65:I68)*I112/1000</f>
        <v>1223.5054140077614</v>
      </c>
      <c r="J130" s="76">
        <f>SUM(E130:I130)</f>
        <v>211395.31131297688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</row>
    <row r="131" spans="1:38" ht="13" x14ac:dyDescent="0.3">
      <c r="A131" s="22"/>
      <c r="B131" s="77" t="s">
        <v>41</v>
      </c>
      <c r="C131" s="76"/>
      <c r="D131" s="76"/>
      <c r="E131" s="76">
        <f>SUMPRODUCT(E65:E68,E20:E23)*E113/1000</f>
        <v>1451.2778607338805</v>
      </c>
      <c r="F131" s="76">
        <f>SUMPRODUCT(F65:F68,F20:F23)*F113/1000</f>
        <v>83295.167649150069</v>
      </c>
      <c r="G131" s="76">
        <f>SUMPRODUCT(G65:G68,G20:G23)*G113/1000</f>
        <v>48875.769247832395</v>
      </c>
      <c r="H131" s="76">
        <f>SUMPRODUCT(H65:H68,H20:H23)*H113/1000</f>
        <v>1653.7129427499883</v>
      </c>
      <c r="I131" s="76">
        <f>SUMPRODUCT(I65:I68,I20:I23)*I113/1000</f>
        <v>484.74070718566276</v>
      </c>
      <c r="J131" s="76">
        <f>SUM(E131:I131)</f>
        <v>135760.668407652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</row>
    <row r="132" spans="1:38" ht="13" x14ac:dyDescent="0.3">
      <c r="A132" s="22"/>
      <c r="B132" s="77" t="s">
        <v>42</v>
      </c>
      <c r="C132" s="76"/>
      <c r="D132" s="76"/>
      <c r="E132" s="76">
        <f>SUMPRODUCT(E65:E68,Q20:Q23)*E114/1000</f>
        <v>885.25596661760494</v>
      </c>
      <c r="F132" s="76">
        <f>SUMPRODUCT(F65:F68,R20:R23)*F114/1000</f>
        <v>50194.274889547152</v>
      </c>
      <c r="G132" s="76">
        <f>SUMPRODUCT(G65:G68,S20:S23)*G114/1000</f>
        <v>22963.42091747457</v>
      </c>
      <c r="H132" s="76">
        <f>SUMPRODUCT(H65:H68,T20:T23)*H114/1000</f>
        <v>852.92642486348666</v>
      </c>
      <c r="I132" s="76">
        <f>SUMPRODUCT(I65:I68,U20:U23)*I114/1000</f>
        <v>738.76470682209845</v>
      </c>
      <c r="J132" s="76">
        <f>SUM(E132:I132)</f>
        <v>75634.642905324916</v>
      </c>
      <c r="K132" s="76"/>
      <c r="L132" s="76"/>
      <c r="M132" s="614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</row>
    <row r="133" spans="1:38" ht="13" x14ac:dyDescent="0.3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</row>
    <row r="134" spans="1:38" ht="13" x14ac:dyDescent="0.3">
      <c r="A134" s="22"/>
      <c r="B134" s="28" t="s">
        <v>18</v>
      </c>
      <c r="C134" s="82"/>
      <c r="D134" s="82"/>
      <c r="E134" s="82">
        <f>SUM(E60:E64,E69:E71)*E116/1000</f>
        <v>4170.5733138605292</v>
      </c>
      <c r="F134" s="82">
        <f>SUM(F60:F64,F69:F71)*F116/1000</f>
        <v>162868.51831377263</v>
      </c>
      <c r="G134" s="82">
        <f>SUM(G60:G64,G69:G71)*G116/1000</f>
        <v>107723.83874665764</v>
      </c>
      <c r="H134" s="82">
        <f>SUM(H60:H64,H69:H71)*H116/1000</f>
        <v>4124.2352570517714</v>
      </c>
      <c r="I134" s="82">
        <f>SUM(I60:I64,I69:I71)*I116/1000</f>
        <v>2224.4248856084632</v>
      </c>
      <c r="J134" s="76">
        <f>SUM(E134:I134)</f>
        <v>281111.59051695105</v>
      </c>
      <c r="K134" s="82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</row>
    <row r="135" spans="1:38" ht="13" x14ac:dyDescent="0.3">
      <c r="A135" s="22"/>
      <c r="B135" s="77" t="s">
        <v>41</v>
      </c>
      <c r="C135" s="76"/>
      <c r="D135" s="76"/>
      <c r="E135" s="76">
        <f>(SUMPRODUCT(E60:E64,E15:E19)+SUMPRODUCT(E69:E71,E24:E26))*E117/1000</f>
        <v>2226.8838972216331</v>
      </c>
      <c r="F135" s="76">
        <f>(SUMPRODUCT(F60:F64,F15:F19)+SUMPRODUCT(F69:F71,F24:F26))*F117/1000</f>
        <v>90990.690927232979</v>
      </c>
      <c r="G135" s="76">
        <f>(SUMPRODUCT(G60:G64,G15:G19)+SUMPRODUCT(G69:G71,G24:G26))*G117/1000</f>
        <v>67856.401823201333</v>
      </c>
      <c r="H135" s="76">
        <f>(SUMPRODUCT(H60:H64,H15:H19)+SUMPRODUCT(H69:H71,H24:H26))*H117/1000</f>
        <v>2476.2305909907259</v>
      </c>
      <c r="I135" s="76">
        <f>(SUMPRODUCT(I60:I64,I15:I19)+SUMPRODUCT(I69:I71,I24:I26))*I117/1000</f>
        <v>819.57763421480797</v>
      </c>
      <c r="J135" s="76">
        <f>SUM(E135:I135)</f>
        <v>164369.78487286146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</row>
    <row r="136" spans="1:38" ht="13" x14ac:dyDescent="0.3">
      <c r="A136" s="22"/>
      <c r="B136" s="77" t="s">
        <v>42</v>
      </c>
      <c r="C136" s="76"/>
      <c r="D136" s="76"/>
      <c r="E136" s="76">
        <f>+(SUMPRODUCT(E60:E64,Q15:Q19)+SUMPRODUCT(E69:E71,Q24:Q26))*E118/1000</f>
        <v>1943.6894166388965</v>
      </c>
      <c r="F136" s="76">
        <f>+(SUMPRODUCT(F60:F64,R15:R19)+SUMPRODUCT(F69:F71,R24:R26))*F118/1000</f>
        <v>71877.827386539648</v>
      </c>
      <c r="G136" s="76">
        <f>+(SUMPRODUCT(G60:G64,S15:S19)+SUMPRODUCT(G69:G71,S24:S26))*G118/1000</f>
        <v>39867.436923456306</v>
      </c>
      <c r="H136" s="76">
        <f>+(SUMPRODUCT(H60:H64,T15:T19)+SUMPRODUCT(H69:H71,T24:T26))*H118/1000</f>
        <v>1648.0046660610449</v>
      </c>
      <c r="I136" s="76">
        <f>+(SUMPRODUCT(I60:I64,U15:U19)+SUMPRODUCT(I69:I71,U24:U26))*I118/1000</f>
        <v>1404.8472513936554</v>
      </c>
      <c r="J136" s="76">
        <f>SUM(E136:I136)</f>
        <v>116741.80564408955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</row>
    <row r="137" spans="1:38" ht="13" x14ac:dyDescent="0.3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</row>
    <row r="138" spans="1:38" ht="13" x14ac:dyDescent="0.3">
      <c r="A138" s="22"/>
      <c r="B138" s="13" t="s">
        <v>16</v>
      </c>
      <c r="C138" s="82"/>
      <c r="D138" s="82"/>
      <c r="E138" s="82">
        <f>+E130+E134</f>
        <v>6507.1071412120145</v>
      </c>
      <c r="F138" s="82">
        <f>+F130+F134</f>
        <v>296357.96085246984</v>
      </c>
      <c r="G138" s="82">
        <f>+G130+G134</f>
        <v>179563.02891196459</v>
      </c>
      <c r="H138" s="82">
        <f>+H130+H134</f>
        <v>6630.8746246652472</v>
      </c>
      <c r="I138" s="82">
        <f>+I130+I134</f>
        <v>3447.9302996162246</v>
      </c>
      <c r="J138" s="76">
        <f>SUM(E138:I138)</f>
        <v>492506.90182992799</v>
      </c>
      <c r="K138" s="82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</row>
    <row r="139" spans="1:38" ht="13" x14ac:dyDescent="0.3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</row>
    <row r="140" spans="1:38" ht="13" x14ac:dyDescent="0.3">
      <c r="A140" s="22"/>
      <c r="B140" s="13" t="s">
        <v>44</v>
      </c>
      <c r="C140" s="76">
        <f>SUM(C138:I138)</f>
        <v>492506.90182992799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</row>
    <row r="141" spans="1:38" ht="13" x14ac:dyDescent="0.3">
      <c r="A141" s="22"/>
      <c r="M141" s="607"/>
      <c r="N141" s="47"/>
      <c r="O141" s="47"/>
      <c r="P141" s="47"/>
      <c r="Q141" s="47"/>
      <c r="R141" s="47"/>
      <c r="S141" s="602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</row>
    <row r="142" spans="1:38" ht="13" x14ac:dyDescent="0.3">
      <c r="A142" s="22"/>
      <c r="M142" s="44"/>
      <c r="N142" s="60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</row>
    <row r="143" spans="1:38" ht="15.5" x14ac:dyDescent="0.35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47"/>
      <c r="N143" s="47"/>
      <c r="O143" s="47"/>
      <c r="P143" s="348"/>
      <c r="Q143" s="47"/>
      <c r="R143" s="114"/>
      <c r="S143" s="608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</row>
    <row r="144" spans="1:38" ht="15.5" x14ac:dyDescent="0.35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ht="13" x14ac:dyDescent="0.3">
      <c r="A145" s="22"/>
    </row>
    <row r="146" spans="1:51" ht="13" x14ac:dyDescent="0.3">
      <c r="A146" s="22"/>
    </row>
    <row r="147" spans="1:51" ht="13" x14ac:dyDescent="0.3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ht="13" x14ac:dyDescent="0.3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ht="13" x14ac:dyDescent="0.3">
      <c r="A149" s="22"/>
      <c r="B149" s="17" t="s">
        <v>21</v>
      </c>
      <c r="C149" s="78"/>
    </row>
    <row r="150" spans="1:51" ht="13" x14ac:dyDescent="0.3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ht="13" x14ac:dyDescent="0.3">
      <c r="A151" s="22"/>
      <c r="C151" s="81"/>
    </row>
    <row r="152" spans="1:51" ht="13" x14ac:dyDescent="0.3">
      <c r="A152" s="22"/>
      <c r="B152" s="28" t="s">
        <v>17</v>
      </c>
      <c r="C152" s="80"/>
      <c r="D152" s="80"/>
      <c r="E152" s="75">
        <f>+E130/SUM(E65:E68)*1000</f>
        <v>35.267370454499265</v>
      </c>
      <c r="F152" s="75">
        <f>+F130/SUM(F65:F68)*1000</f>
        <v>35.392746733785785</v>
      </c>
      <c r="G152" s="75">
        <f>+G130/SUM(G65:G68)*1000</f>
        <v>36.182825135514342</v>
      </c>
      <c r="H152" s="75">
        <f>+H130/SUM(H65:H68)*1000</f>
        <v>35.803507557576324</v>
      </c>
      <c r="I152" s="75">
        <f>+I130/SUM(I65:I68)*1000</f>
        <v>31.888694068175599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ht="13" x14ac:dyDescent="0.3">
      <c r="A153" s="22"/>
      <c r="B153" s="77" t="s">
        <v>72</v>
      </c>
      <c r="C153" s="76"/>
      <c r="D153" s="76"/>
      <c r="E153" s="75">
        <f>+(E131*1000-X165*AVERAGE(E$113,E$114))/R165</f>
        <v>44.489150531539366</v>
      </c>
      <c r="F153" s="75"/>
      <c r="G153" s="75"/>
      <c r="H153" s="75">
        <f>+(H131*1000-W153*AVERAGE(H$113,H$114))/Q153</f>
        <v>44.012412717115446</v>
      </c>
      <c r="I153" s="75"/>
      <c r="J153" s="76"/>
      <c r="K153" s="76"/>
      <c r="L153" s="80"/>
      <c r="M153" s="80"/>
      <c r="P153" s="13" t="s">
        <v>14</v>
      </c>
      <c r="Q153" s="55">
        <f>T65</f>
        <v>32259.11</v>
      </c>
      <c r="R153" s="55"/>
      <c r="T153" s="55">
        <f>T76</f>
        <v>38950.234400000001</v>
      </c>
      <c r="U153" s="55"/>
      <c r="W153" s="55">
        <f>+T153-Q153</f>
        <v>6691.1244000000006</v>
      </c>
      <c r="X153" s="55"/>
      <c r="Z153" s="144">
        <f>+H153*Q153/1000</f>
        <v>1419.801263206826</v>
      </c>
      <c r="AA153" s="144"/>
      <c r="AX153" s="55"/>
    </row>
    <row r="154" spans="1:51" ht="14" x14ac:dyDescent="0.4">
      <c r="A154" s="22"/>
      <c r="B154" s="77" t="s">
        <v>73</v>
      </c>
      <c r="C154" s="76"/>
      <c r="D154" s="76"/>
      <c r="E154" s="75">
        <f>+(E132*1000-X166*AVERAGE(E$113,E$114))/R166</f>
        <v>28.83974310684545</v>
      </c>
      <c r="F154" s="75"/>
      <c r="G154" s="75"/>
      <c r="H154" s="75">
        <f>+(H132*1000-W154*AVERAGE(H$113,H$114))/Q154</f>
        <v>28.788972006610763</v>
      </c>
      <c r="I154" s="75"/>
      <c r="J154" s="76"/>
      <c r="K154" s="76"/>
      <c r="L154" s="80"/>
      <c r="M154" s="80"/>
      <c r="P154" s="13" t="s">
        <v>15</v>
      </c>
      <c r="Q154" s="55">
        <f>T66</f>
        <v>37751.89</v>
      </c>
      <c r="R154" s="55"/>
      <c r="T154" s="55">
        <f>T77</f>
        <v>31060.765599999999</v>
      </c>
      <c r="U154" s="55"/>
      <c r="W154" s="55">
        <f>+T154-Q154</f>
        <v>-6691.1244000000006</v>
      </c>
      <c r="X154" s="55"/>
      <c r="Z154" s="85">
        <f>+H154*Q154/1000</f>
        <v>1086.8381044066489</v>
      </c>
      <c r="AA154" s="85"/>
      <c r="AX154" s="55"/>
    </row>
    <row r="155" spans="1:51" ht="13" x14ac:dyDescent="0.3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2506.6393676134749</v>
      </c>
      <c r="AA155" s="144"/>
      <c r="AC155" s="81">
        <f>+H130</f>
        <v>2506.6393676134758</v>
      </c>
      <c r="AD155" s="81"/>
    </row>
    <row r="156" spans="1:51" ht="13" x14ac:dyDescent="0.3">
      <c r="A156" s="22"/>
      <c r="B156" s="28" t="s">
        <v>18</v>
      </c>
      <c r="C156" s="78"/>
      <c r="D156" s="78"/>
      <c r="E156" s="79">
        <f>+E134/SUM(E60:E64,E69:E71)*1000</f>
        <v>30.897026394883277</v>
      </c>
      <c r="F156" s="79">
        <f>+F134/SUM(F60:F64,F69:F71)*1000</f>
        <v>30.71978897400453</v>
      </c>
      <c r="G156" s="79">
        <f>+G134/SUM(G60:G64,G69:G71)*1000</f>
        <v>30.853911062634083</v>
      </c>
      <c r="H156" s="79">
        <f>+H134/SUM(H60:H64,H69:H71)*1000</f>
        <v>30.476746601133364</v>
      </c>
      <c r="I156" s="79">
        <f>+I134/SUM(I60:I64,I69:I71)*1000</f>
        <v>28.989533514159191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ht="13" x14ac:dyDescent="0.3">
      <c r="A157" s="22"/>
      <c r="B157" s="77" t="s">
        <v>72</v>
      </c>
      <c r="C157" s="76"/>
      <c r="D157" s="76"/>
      <c r="E157" s="75">
        <f>+(E135*1000-X170*AVERAGE(E$113,E$114))/R170</f>
        <v>34.17636752207067</v>
      </c>
      <c r="F157" s="75"/>
      <c r="G157" s="75"/>
      <c r="H157" s="75">
        <f>+(H135*1000-W157*AVERAGE(H$117,H$118))/Q157</f>
        <v>34.270342838621296</v>
      </c>
      <c r="I157" s="75"/>
      <c r="J157" s="76"/>
      <c r="K157" s="76"/>
      <c r="L157" s="80"/>
      <c r="M157" s="80"/>
      <c r="P157" s="13" t="s">
        <v>14</v>
      </c>
      <c r="Q157" s="55">
        <f>T61</f>
        <v>58871.465100000001</v>
      </c>
      <c r="R157" s="55"/>
      <c r="T157" s="55">
        <f>T72</f>
        <v>74076.001699999993</v>
      </c>
      <c r="U157" s="55"/>
      <c r="W157" s="55">
        <f>+T157-Q157</f>
        <v>15204.536599999992</v>
      </c>
      <c r="X157" s="55"/>
      <c r="Z157" s="144">
        <f>+H157*Q157/1000</f>
        <v>2017.5452923889286</v>
      </c>
      <c r="AA157" s="144"/>
      <c r="AC157" s="81"/>
      <c r="AX157" s="55"/>
    </row>
    <row r="158" spans="1:51" ht="14" x14ac:dyDescent="0.4">
      <c r="A158" s="22"/>
      <c r="B158" s="77" t="s">
        <v>73</v>
      </c>
      <c r="C158" s="76"/>
      <c r="D158" s="76"/>
      <c r="E158" s="75">
        <f>+(E136*1000-X171*AVERAGE(E$113,E$114))/R171</f>
        <v>29.103765356368786</v>
      </c>
      <c r="F158" s="75"/>
      <c r="G158" s="75"/>
      <c r="H158" s="75">
        <f>+(H136*1000-W158*AVERAGE(H$117,H$118))/Q158</f>
        <v>27.555527981098276</v>
      </c>
      <c r="I158" s="75"/>
      <c r="J158" s="76"/>
      <c r="K158" s="76"/>
      <c r="L158" s="80"/>
      <c r="M158" s="80"/>
      <c r="P158" s="13" t="s">
        <v>15</v>
      </c>
      <c r="Q158" s="55">
        <f>T62</f>
        <v>76452.534899999999</v>
      </c>
      <c r="R158" s="55"/>
      <c r="T158" s="55">
        <f>T73</f>
        <v>61247.998300000007</v>
      </c>
      <c r="U158" s="55"/>
      <c r="W158" s="55">
        <f>+T158-Q158</f>
        <v>-15204.536599999992</v>
      </c>
      <c r="X158" s="55"/>
      <c r="Z158" s="85">
        <f>+H158*Q158/1000</f>
        <v>2106.6899646628426</v>
      </c>
      <c r="AA158" s="85"/>
      <c r="AC158" s="81"/>
      <c r="AX158" s="55"/>
    </row>
    <row r="159" spans="1:51" ht="13" x14ac:dyDescent="0.3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4124.2352570517714</v>
      </c>
      <c r="AA159" s="144"/>
      <c r="AC159" s="81">
        <f>+H134</f>
        <v>4124.2352570517714</v>
      </c>
      <c r="AD159" s="81"/>
    </row>
    <row r="160" spans="1:51" ht="13" x14ac:dyDescent="0.3">
      <c r="A160" s="22"/>
      <c r="B160" s="13" t="s">
        <v>74</v>
      </c>
      <c r="C160" s="74"/>
      <c r="D160" s="74"/>
      <c r="E160" s="75">
        <f>(E152*SUM(E65:E68)+E156*SUM(E60:E64,E69:E71))/E72</f>
        <v>32.335861759693962</v>
      </c>
      <c r="F160" s="75">
        <f>(F152*SUM(F65:F68)+F156*SUM(F60:F64,F69:F71))/F72</f>
        <v>32.662258052842759</v>
      </c>
      <c r="G160" s="75">
        <f>(G152*SUM(G65:G68)+G156*SUM(G60:G64,G69:G71))/G72</f>
        <v>32.785726163825188</v>
      </c>
      <c r="H160" s="75">
        <f>(H152*SUM(H65:H68)+H156*SUM(H60:H64,H69:H71))/H72</f>
        <v>32.292958456499122</v>
      </c>
      <c r="I160" s="75">
        <f>(I152*SUM(I65:I68)+I156*SUM(I60:I64,I69:I71))/I72</f>
        <v>29.955953949749997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ht="13" x14ac:dyDescent="0.3">
      <c r="A161" s="22"/>
      <c r="B161" s="13" t="s">
        <v>75</v>
      </c>
      <c r="C161" s="80">
        <f>+C140/SUM(C72:I72)*1000</f>
        <v>32.677067703210398</v>
      </c>
    </row>
    <row r="162" spans="1:51" ht="13" x14ac:dyDescent="0.3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ht="13" x14ac:dyDescent="0.3">
      <c r="A163" s="22"/>
    </row>
    <row r="164" spans="1:51" ht="13" x14ac:dyDescent="0.3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ht="13" x14ac:dyDescent="0.3">
      <c r="A165" s="22"/>
      <c r="B165" s="17" t="str">
        <f>'BGS PTY20 Cost Alloc'!$B$161</f>
        <v>obligations - annual average forecasted for 2021; costs are market estimates</v>
      </c>
      <c r="J165" s="26" t="s">
        <v>302</v>
      </c>
      <c r="P165" s="13" t="s">
        <v>14</v>
      </c>
      <c r="Q165" s="55">
        <f>SUMPRODUCT(E38:E41,M65:M68)</f>
        <v>26208.334600000002</v>
      </c>
      <c r="R165" s="55">
        <f>SUMPRODUCT(E38:E41,E65:E68)</f>
        <v>27209.748199999998</v>
      </c>
      <c r="T165" s="55">
        <f>Q76</f>
        <v>34081.579400000002</v>
      </c>
      <c r="U165" s="55">
        <f>T165-($Q$167*$Q165/($Q$165+$Q$166))</f>
        <v>33076.770896857568</v>
      </c>
      <c r="W165" s="55">
        <f>+T165-Q165</f>
        <v>7873.2448000000004</v>
      </c>
      <c r="X165" s="55">
        <f>-Q165+U165</f>
        <v>6868.436296857566</v>
      </c>
      <c r="Z165" s="144">
        <f>+E153*Q165/1000</f>
        <v>1165.9865432003514</v>
      </c>
      <c r="AA165" s="144"/>
      <c r="AU165" s="82"/>
      <c r="AV165" s="82"/>
      <c r="AW165" s="82"/>
      <c r="AX165" s="82"/>
      <c r="AY165" s="82"/>
    </row>
    <row r="166" spans="1:51" ht="14" x14ac:dyDescent="0.4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37596.665399999998</v>
      </c>
      <c r="R166" s="55">
        <f>SUMPRODUCT(Q38:Q41,E65:E68)</f>
        <v>39042.251799999998</v>
      </c>
      <c r="T166" s="55">
        <f>Q77</f>
        <v>32170.420599999998</v>
      </c>
      <c r="U166" s="55">
        <f>T166-($Q$167*$Q166/($Q$165+$Q$166))</f>
        <v>30728.991769809432</v>
      </c>
      <c r="W166" s="55">
        <f>+T166-Q166</f>
        <v>-5426.2448000000004</v>
      </c>
      <c r="X166" s="55">
        <f>-Q166+U166</f>
        <v>-6867.6736301905657</v>
      </c>
      <c r="Z166" s="144">
        <f>+E154*Q166/1000</f>
        <v>1084.2781718100248</v>
      </c>
      <c r="AA166" s="85"/>
      <c r="AU166" s="82"/>
      <c r="AV166" s="82"/>
      <c r="AW166" s="82"/>
      <c r="AX166" s="82"/>
      <c r="AY166" s="82"/>
    </row>
    <row r="167" spans="1:51" ht="14" x14ac:dyDescent="0.4">
      <c r="A167" s="22"/>
      <c r="P167" s="13" t="s">
        <v>191</v>
      </c>
      <c r="Q167" s="55">
        <f>SUM(W65:W68)/1000</f>
        <v>2446.2373333329997</v>
      </c>
      <c r="R167" s="55"/>
      <c r="T167" s="55">
        <v>0</v>
      </c>
      <c r="U167" s="55">
        <v>0</v>
      </c>
      <c r="W167" s="55">
        <f>+T167-Q167</f>
        <v>-2446.2373333329997</v>
      </c>
      <c r="X167" s="55"/>
      <c r="Z167" s="85">
        <f>+E152*Q167/1000</f>
        <v>86.272358254281315</v>
      </c>
      <c r="AU167" s="82"/>
      <c r="AV167" s="82"/>
      <c r="AW167" s="82"/>
      <c r="AX167" s="82"/>
      <c r="AY167" s="82"/>
    </row>
    <row r="168" spans="1:51" ht="13" x14ac:dyDescent="0.3">
      <c r="A168" s="22"/>
      <c r="B168" s="13" t="s">
        <v>78</v>
      </c>
      <c r="C168" s="87"/>
      <c r="D168" s="87"/>
      <c r="E168" s="87">
        <f>'BGS PTY20 Cost Alloc'!E164</f>
        <v>49.817557000000001</v>
      </c>
      <c r="F168" s="87">
        <f>'BGS PTY20 Cost Alloc'!F164</f>
        <v>3258.746169</v>
      </c>
      <c r="G168" s="87">
        <f>'BGS PTY20 Cost Alloc'!G164</f>
        <v>1418.494514</v>
      </c>
      <c r="H168" s="87">
        <f>'BGS PTY20 Cost Alloc'!H164</f>
        <v>31.569097999999997</v>
      </c>
      <c r="I168" s="87">
        <f>'BGS PTY20 Cost Alloc'!I164</f>
        <v>1.0075180000000001</v>
      </c>
      <c r="J168" s="87">
        <f>SUM(E168:I168)</f>
        <v>4759.6348560000006</v>
      </c>
      <c r="K168" s="87"/>
      <c r="L168" s="87"/>
      <c r="M168" s="87"/>
      <c r="Z168" s="144">
        <f>SUM(Z165:Z167)</f>
        <v>2336.5370732646575</v>
      </c>
      <c r="AA168" s="144"/>
      <c r="AC168" s="81">
        <f>+E130</f>
        <v>2336.5338273514853</v>
      </c>
      <c r="AU168" s="82"/>
      <c r="AV168" s="82"/>
      <c r="AW168" s="82"/>
      <c r="AX168" s="82"/>
      <c r="AY168" s="82"/>
    </row>
    <row r="169" spans="1:51" ht="13" x14ac:dyDescent="0.3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ht="13" x14ac:dyDescent="0.3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45628.715299999996</v>
      </c>
      <c r="R170" s="55">
        <f>SUMPRODUCT(E33:E37,E60:E64)+SUMPRODUCT(E42:E44,E69:E71)</f>
        <v>47712.356500000002</v>
      </c>
      <c r="T170" s="55">
        <f>Q72</f>
        <v>64717.133700000006</v>
      </c>
      <c r="U170" s="55">
        <f>T170-($Q$172*$Q170/($Q$170+$Q$171))</f>
        <v>62640.05388498243</v>
      </c>
      <c r="W170" s="55">
        <f>+T170-Q170</f>
        <v>19088.41840000001</v>
      </c>
      <c r="X170" s="55">
        <f>-Q170+U170</f>
        <v>17011.338584982434</v>
      </c>
      <c r="Z170" s="144">
        <f>+E157*Q170/1000</f>
        <v>1559.4237436527289</v>
      </c>
      <c r="AA170" s="144"/>
      <c r="AC170" s="81"/>
      <c r="AU170" s="82"/>
      <c r="AV170" s="82"/>
      <c r="AW170" s="82"/>
      <c r="AX170" s="82"/>
      <c r="AY170" s="82"/>
    </row>
    <row r="171" spans="1:51" ht="14" x14ac:dyDescent="0.4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83476.284700000018</v>
      </c>
      <c r="R171" s="55">
        <f>SUMPRODUCT(Q33:Q37,E60:E64)+SUMPRODUCT(Q42:Q44,E69:E71)</f>
        <v>87270.643500000006</v>
      </c>
      <c r="T171" s="55">
        <f>Q73</f>
        <v>70265.866299999994</v>
      </c>
      <c r="U171" s="55">
        <f>T171-($Q$172*$Q171/($Q$170+$Q$171))</f>
        <v>66465.914781684274</v>
      </c>
      <c r="W171" s="55">
        <f>+T171-Q171</f>
        <v>-13210.418400000024</v>
      </c>
      <c r="X171" s="55">
        <f>-Q171+U171</f>
        <v>-17010.369918315744</v>
      </c>
      <c r="Z171" s="144">
        <f>+E158*Q171/1000</f>
        <v>2429.4742027302386</v>
      </c>
      <c r="AA171" s="85"/>
      <c r="AC171" s="81"/>
      <c r="AU171" s="82"/>
      <c r="AV171" s="82"/>
      <c r="AW171" s="82"/>
      <c r="AX171" s="82"/>
      <c r="AY171" s="82"/>
    </row>
    <row r="172" spans="1:51" ht="14" x14ac:dyDescent="0.4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5877.0313333332997</v>
      </c>
      <c r="T172" s="13">
        <v>0</v>
      </c>
      <c r="U172" s="55">
        <v>0</v>
      </c>
      <c r="W172" s="55">
        <f>+T172-Q172</f>
        <v>-5877.0313333332997</v>
      </c>
      <c r="X172" s="55"/>
      <c r="Z172" s="85">
        <f>+E156*Q172/1000</f>
        <v>181.58279222955503</v>
      </c>
      <c r="AU172" s="82"/>
      <c r="AV172" s="82"/>
      <c r="AW172" s="82"/>
      <c r="AX172" s="82"/>
      <c r="AY172" s="82"/>
    </row>
    <row r="173" spans="1:51" ht="13" x14ac:dyDescent="0.3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4170.4807386125221</v>
      </c>
      <c r="AA173" s="144"/>
      <c r="AC173" s="81">
        <f>+E134</f>
        <v>4170.5733138605292</v>
      </c>
      <c r="AU173" s="81"/>
      <c r="AV173" s="81"/>
      <c r="AW173" s="81"/>
      <c r="AX173" s="81"/>
      <c r="AY173" s="81"/>
    </row>
    <row r="174" spans="1:51" ht="14" x14ac:dyDescent="0.4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ht="13" x14ac:dyDescent="0.3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6507.1071412120145</v>
      </c>
    </row>
    <row r="176" spans="1:51" ht="13" x14ac:dyDescent="0.3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ht="13" x14ac:dyDescent="0.3">
      <c r="A177" s="22"/>
      <c r="B177" s="296"/>
      <c r="C177" s="92"/>
      <c r="D177" s="374"/>
      <c r="E177" s="93"/>
      <c r="G177" s="341"/>
      <c r="H177" s="84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ht="13" x14ac:dyDescent="0.3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4" x14ac:dyDescent="0.4">
      <c r="A179" s="22"/>
      <c r="B179" s="21" t="s">
        <v>87</v>
      </c>
      <c r="C179" s="13" t="s">
        <v>25</v>
      </c>
      <c r="D179" s="11">
        <v>175.11</v>
      </c>
      <c r="E179" s="162">
        <f>ROUND(D179*$H$329,3)</f>
        <v>170.999</v>
      </c>
      <c r="F179" s="93" t="s">
        <v>88</v>
      </c>
      <c r="G179" s="89" t="s">
        <v>162</v>
      </c>
      <c r="H179" s="81">
        <f>ROUND(E179*E173*J$168,0)</f>
        <v>99294922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4" x14ac:dyDescent="0.4">
      <c r="A180" s="22"/>
      <c r="B180" s="21"/>
      <c r="C180" s="13" t="s">
        <v>26</v>
      </c>
      <c r="D180" s="11">
        <f>D179</f>
        <v>175.11</v>
      </c>
      <c r="E180" s="162">
        <f>ROUND(D180*$H$329,3)</f>
        <v>170.999</v>
      </c>
      <c r="F180" s="93" t="s">
        <v>88</v>
      </c>
      <c r="G180" s="121" t="s">
        <v>163</v>
      </c>
      <c r="H180" s="122">
        <f>ROUND(E180*E174*J$168,0)</f>
        <v>197775951</v>
      </c>
      <c r="I180" s="89"/>
      <c r="J180" s="89"/>
      <c r="K180" s="142"/>
      <c r="Z180" s="144"/>
      <c r="AA180" s="144"/>
      <c r="AC180" s="81"/>
    </row>
    <row r="181" spans="1:50" ht="13" x14ac:dyDescent="0.3">
      <c r="A181" s="22"/>
      <c r="B181" s="400"/>
      <c r="C181" s="400"/>
      <c r="D181" s="400"/>
      <c r="E181" s="400"/>
      <c r="F181" s="400"/>
      <c r="G181" s="89" t="s">
        <v>164</v>
      </c>
      <c r="H181" s="81">
        <f>SUM(H179:H180)</f>
        <v>297070873</v>
      </c>
      <c r="I181" s="89"/>
      <c r="J181" s="479"/>
      <c r="K181" s="142"/>
    </row>
    <row r="182" spans="1:50" ht="2.5" customHeight="1" x14ac:dyDescent="0.3">
      <c r="A182" s="22"/>
      <c r="B182" s="400"/>
      <c r="C182" s="400"/>
      <c r="D182" s="400"/>
      <c r="E182" s="400"/>
      <c r="F182" s="400"/>
      <c r="G182" s="89"/>
      <c r="H182" s="81"/>
      <c r="I182" s="89"/>
      <c r="J182" s="89"/>
      <c r="K182" s="142"/>
    </row>
    <row r="183" spans="1:50" ht="13" x14ac:dyDescent="0.3">
      <c r="A183" s="22"/>
      <c r="B183" s="13" t="s">
        <v>153</v>
      </c>
      <c r="I183" s="89"/>
      <c r="J183" s="89"/>
      <c r="K183" s="142"/>
    </row>
    <row r="184" spans="1:50" ht="13" x14ac:dyDescent="0.3">
      <c r="A184" s="22"/>
      <c r="B184" s="17" t="s">
        <v>154</v>
      </c>
      <c r="I184" s="89"/>
      <c r="J184" s="89"/>
      <c r="K184" s="142"/>
    </row>
    <row r="185" spans="1:50" ht="13" x14ac:dyDescent="0.3">
      <c r="A185" s="22"/>
      <c r="B185" s="17"/>
      <c r="C185" s="105" t="str">
        <f>" ---------- Rate "&amp;C30&amp;" ----------"</f>
        <v xml:space="preserve"> ---------- Rate  ----------</v>
      </c>
      <c r="D185" s="106"/>
      <c r="E185" s="106"/>
      <c r="I185" s="89"/>
      <c r="J185" s="89"/>
      <c r="K185" s="142"/>
    </row>
    <row r="186" spans="1:50" ht="13" x14ac:dyDescent="0.3">
      <c r="A186" s="22"/>
      <c r="C186" s="38" t="s">
        <v>140</v>
      </c>
      <c r="E186" s="38" t="s">
        <v>141</v>
      </c>
      <c r="I186" s="89"/>
      <c r="J186" s="89"/>
      <c r="K186" s="142"/>
    </row>
    <row r="187" spans="1:50" ht="13" x14ac:dyDescent="0.3">
      <c r="A187" s="22"/>
      <c r="B187" s="89" t="s">
        <v>142</v>
      </c>
      <c r="C187" s="107"/>
      <c r="E187" s="118">
        <f>SUM(R65/(R65+R66))</f>
        <v>0.53058432613271322</v>
      </c>
      <c r="F187" s="112"/>
      <c r="I187" s="89"/>
      <c r="J187" s="89"/>
      <c r="K187" s="142"/>
      <c r="AX187" s="118"/>
    </row>
    <row r="188" spans="1:50" ht="13" x14ac:dyDescent="0.3">
      <c r="A188" s="22"/>
      <c r="B188" s="89" t="s">
        <v>144</v>
      </c>
      <c r="C188" s="108"/>
      <c r="E188" s="109">
        <f>1-E187</f>
        <v>0.46941567386728678</v>
      </c>
      <c r="G188" s="53"/>
      <c r="I188" s="89"/>
      <c r="J188" s="89"/>
      <c r="K188" s="142"/>
    </row>
    <row r="189" spans="1:50" ht="13" x14ac:dyDescent="0.3">
      <c r="A189" s="22"/>
      <c r="B189" s="110" t="s">
        <v>155</v>
      </c>
      <c r="C189" s="111">
        <v>0.86519999999999997</v>
      </c>
      <c r="D189" s="13" t="s">
        <v>143</v>
      </c>
      <c r="J189" s="89"/>
      <c r="K189" s="142"/>
    </row>
    <row r="190" spans="1:50" x14ac:dyDescent="0.25">
      <c r="A190" s="13"/>
      <c r="J190" s="89"/>
      <c r="K190" s="142"/>
    </row>
    <row r="191" spans="1:50" ht="13" x14ac:dyDescent="0.3">
      <c r="A191" s="18" t="s">
        <v>89</v>
      </c>
      <c r="B191" s="16" t="s">
        <v>90</v>
      </c>
      <c r="D191" s="38" t="s">
        <v>222</v>
      </c>
      <c r="E191" s="38" t="s">
        <v>218</v>
      </c>
    </row>
    <row r="192" spans="1:50" ht="13" x14ac:dyDescent="0.3">
      <c r="A192" s="22"/>
      <c r="B192" s="17" t="s">
        <v>310</v>
      </c>
      <c r="D192" s="376">
        <v>2</v>
      </c>
    </row>
    <row r="193" spans="1:13" ht="13" x14ac:dyDescent="0.3">
      <c r="A193" s="22"/>
      <c r="B193" s="17" t="s">
        <v>313</v>
      </c>
      <c r="D193" s="377">
        <v>16.72</v>
      </c>
      <c r="F193" s="93"/>
    </row>
    <row r="194" spans="1:13" ht="13" x14ac:dyDescent="0.3">
      <c r="A194" s="22"/>
      <c r="B194" s="17" t="s">
        <v>91</v>
      </c>
      <c r="D194" s="375">
        <f>D192+D193</f>
        <v>18.72</v>
      </c>
      <c r="E194" s="162">
        <f>ROUND(D194*$H$329,3)</f>
        <v>18.280999999999999</v>
      </c>
      <c r="F194" s="13" t="s">
        <v>92</v>
      </c>
    </row>
    <row r="195" spans="1:13" ht="13" x14ac:dyDescent="0.3">
      <c r="A195" s="22"/>
      <c r="B195" s="17"/>
      <c r="E195" s="92"/>
      <c r="F195" s="93"/>
    </row>
    <row r="196" spans="1:13" ht="13" x14ac:dyDescent="0.3">
      <c r="A196" s="18" t="s">
        <v>93</v>
      </c>
      <c r="B196" s="16" t="s">
        <v>167</v>
      </c>
    </row>
    <row r="197" spans="1:13" ht="5" customHeight="1" x14ac:dyDescent="0.3">
      <c r="A197" s="18"/>
      <c r="B197" s="16"/>
    </row>
    <row r="198" spans="1:13" ht="13" x14ac:dyDescent="0.3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ht="7.5" customHeight="1" x14ac:dyDescent="0.3">
      <c r="A199" s="18"/>
      <c r="B199" s="16"/>
    </row>
    <row r="200" spans="1:13" ht="13" x14ac:dyDescent="0.3">
      <c r="A200" s="22"/>
      <c r="B200" s="89" t="s">
        <v>94</v>
      </c>
      <c r="C200" s="145"/>
      <c r="D200" s="145"/>
      <c r="E200" s="146">
        <v>8.2140000000000004</v>
      </c>
      <c r="F200" s="146">
        <v>8.2140000000000004</v>
      </c>
      <c r="G200" s="146">
        <v>8.2140000000000004</v>
      </c>
      <c r="H200" s="146">
        <v>8.2140000000000004</v>
      </c>
      <c r="I200" s="146">
        <v>0</v>
      </c>
      <c r="J200" s="145"/>
      <c r="K200" s="145"/>
      <c r="L200" s="145"/>
      <c r="M200" s="298">
        <f>E200*SUM(E257:H257)/1000000</f>
        <v>122855.50840200001</v>
      </c>
    </row>
    <row r="201" spans="1:13" ht="13" x14ac:dyDescent="0.3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298">
        <f>J278-J304</f>
        <v>122855.50840199995</v>
      </c>
    </row>
    <row r="202" spans="1:13" ht="13" x14ac:dyDescent="0.3">
      <c r="A202" s="22"/>
      <c r="B202" s="89" t="s">
        <v>131</v>
      </c>
      <c r="C202" s="145"/>
      <c r="D202" s="145"/>
      <c r="E202" s="146">
        <f>$H$181*(E$168/$J$168)/E$72</f>
        <v>15.451311374174232</v>
      </c>
      <c r="F202" s="146">
        <f>$H$181*(F$168/$J$168)/F$72</f>
        <v>22.416436647803078</v>
      </c>
      <c r="G202" s="146">
        <f>$H$181*(G$168/$J$168)/G$72</f>
        <v>16.165233467135593</v>
      </c>
      <c r="H202" s="146">
        <f>$H$181*(H$168/$J$168)/H$72</f>
        <v>9.5958980874553657</v>
      </c>
      <c r="I202" s="146">
        <f>$H$181*(I$168/$J$168)/I$72</f>
        <v>0.54634116750952744</v>
      </c>
      <c r="J202" s="145"/>
      <c r="K202" s="145"/>
      <c r="L202" s="145"/>
      <c r="M202" s="145"/>
    </row>
    <row r="203" spans="1:13" ht="13" x14ac:dyDescent="0.3">
      <c r="A203" s="22"/>
      <c r="B203" s="89" t="s">
        <v>198</v>
      </c>
      <c r="C203" s="145"/>
      <c r="D203" s="145"/>
      <c r="E203" s="146">
        <f>$H$179*(E$168/$J$168)/SUM(E65:E68)</f>
        <v>15.686889446844233</v>
      </c>
      <c r="F203" s="146">
        <f>$H$179*(F$168/$J$168)/SUM(F65:F68)</f>
        <v>18.024834475474776</v>
      </c>
      <c r="G203" s="146">
        <f>$H$179*(G$168/$J$168)/SUM(G65:G68)</f>
        <v>14.904661203757474</v>
      </c>
      <c r="H203" s="146"/>
      <c r="I203" s="146">
        <f>$H$179*(I$168/$J$168)/SUM(I65:I68)</f>
        <v>0.54781895497122313</v>
      </c>
      <c r="J203" s="145"/>
      <c r="K203" s="145"/>
      <c r="L203" s="145"/>
      <c r="M203" s="145"/>
    </row>
    <row r="204" spans="1:13" ht="13" x14ac:dyDescent="0.3">
      <c r="A204" s="22"/>
      <c r="B204" s="89" t="s">
        <v>199</v>
      </c>
      <c r="C204" s="145"/>
      <c r="D204" s="145"/>
      <c r="E204" s="146">
        <f>$H$179*(E$168/$J$168)/R165</f>
        <v>38.195421434746102</v>
      </c>
      <c r="F204" s="146"/>
      <c r="G204" s="146"/>
      <c r="H204" s="146">
        <f>$H$179*(H$168/$J$168)/Q153</f>
        <v>20.415649194890666</v>
      </c>
      <c r="I204" s="146"/>
      <c r="J204" s="145"/>
      <c r="K204" s="145"/>
      <c r="L204" s="145"/>
      <c r="M204" s="145"/>
    </row>
    <row r="205" spans="1:13" ht="13" x14ac:dyDescent="0.3">
      <c r="A205" s="22"/>
      <c r="B205" s="89" t="s">
        <v>201</v>
      </c>
      <c r="C205" s="145"/>
      <c r="D205" s="145"/>
      <c r="E205" s="146">
        <f>$H$180*(E$168/$J$168)/(E72-SUM(E65:E68))</f>
        <v>15.335685565957396</v>
      </c>
      <c r="F205" s="146">
        <f>$H$180*(F$168/$J$168)/(F72-SUM(F65:F68))</f>
        <v>25.540621518388342</v>
      </c>
      <c r="G205" s="146">
        <f>$H$180*(G$168/$J$168)/(G72-SUM(G65:G68))</f>
        <v>16.882078208731578</v>
      </c>
      <c r="H205" s="146"/>
      <c r="I205" s="146">
        <f>$H$180*(I$168/$J$168)/(I72-SUM(I65:I68))</f>
        <v>0.54560223526052665</v>
      </c>
      <c r="J205" s="145"/>
      <c r="K205" s="145"/>
      <c r="L205" s="145"/>
      <c r="M205" s="145"/>
    </row>
    <row r="206" spans="1:13" ht="13" x14ac:dyDescent="0.3">
      <c r="A206" s="22"/>
      <c r="B206" s="89" t="s">
        <v>200</v>
      </c>
      <c r="C206" s="145"/>
      <c r="D206" s="145"/>
      <c r="E206" s="146">
        <f>$H$180*(E$168/$J$168)/R170</f>
        <v>43.386179107494449</v>
      </c>
      <c r="F206" s="147"/>
      <c r="G206" s="147"/>
      <c r="H206" s="146">
        <f>$H$180*(H$168/$J$168)/Q157</f>
        <v>22.282154154989055</v>
      </c>
      <c r="I206" s="146"/>
      <c r="J206" s="145"/>
      <c r="K206" s="145"/>
      <c r="L206" s="145"/>
      <c r="M206" s="145"/>
    </row>
    <row r="207" spans="1:13" ht="13" x14ac:dyDescent="0.3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5" x14ac:dyDescent="0.35">
      <c r="A208" s="22"/>
      <c r="B208" s="638" t="str">
        <f>$B$1</f>
        <v xml:space="preserve">Jersey Central Power &amp; Light </v>
      </c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145"/>
    </row>
    <row r="209" spans="1:18" ht="15.5" x14ac:dyDescent="0.35">
      <c r="A209" s="22"/>
      <c r="B209" s="638" t="str">
        <f>$B$2</f>
        <v>Attachment 2</v>
      </c>
      <c r="C209" s="638"/>
      <c r="D209" s="638"/>
      <c r="E209" s="638"/>
      <c r="F209" s="638"/>
      <c r="G209" s="638"/>
      <c r="H209" s="638"/>
      <c r="I209" s="638"/>
      <c r="J209" s="638"/>
      <c r="K209" s="638"/>
      <c r="L209" s="638"/>
      <c r="M209" s="145"/>
      <c r="N209" s="145"/>
      <c r="O209" s="145"/>
      <c r="P209" s="145"/>
      <c r="Q209" s="145"/>
      <c r="R209" s="145"/>
    </row>
    <row r="210" spans="1:18" ht="13" x14ac:dyDescent="0.3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ht="13" x14ac:dyDescent="0.3">
      <c r="A211" s="22"/>
      <c r="M211" s="145"/>
      <c r="N211" s="145"/>
      <c r="O211" s="145"/>
      <c r="P211" s="145"/>
      <c r="Q211" s="145"/>
      <c r="R211" s="145"/>
    </row>
    <row r="212" spans="1:18" ht="13" x14ac:dyDescent="0.3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ht="13" x14ac:dyDescent="0.3">
      <c r="A213" s="22"/>
      <c r="B213" s="16"/>
      <c r="M213" s="145"/>
      <c r="N213" s="145"/>
      <c r="O213" s="145"/>
      <c r="P213" s="145"/>
      <c r="Q213" s="145"/>
      <c r="R213" s="145"/>
    </row>
    <row r="214" spans="1:18" ht="13" x14ac:dyDescent="0.3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ht="13" x14ac:dyDescent="0.3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ht="13" x14ac:dyDescent="0.3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ht="13" x14ac:dyDescent="0.3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ht="13" x14ac:dyDescent="0.3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ht="13" x14ac:dyDescent="0.3">
      <c r="A219" s="22"/>
      <c r="B219" s="28" t="s">
        <v>17</v>
      </c>
      <c r="C219" s="74"/>
      <c r="D219" s="74"/>
      <c r="E219" s="74">
        <f>+E152+(E$95*$E$194)+E$200+E203</f>
        <v>79.606403799024207</v>
      </c>
      <c r="F219" s="74">
        <f>+F152+(F$95*$E$194)+F$200+F203</f>
        <v>82.069725106941277</v>
      </c>
      <c r="G219" s="74">
        <f>+G152+(G$95*$E$194)+G$200+G203</f>
        <v>79.739630236952522</v>
      </c>
      <c r="H219" s="74"/>
      <c r="I219" s="74">
        <f>+I152+(I$95*$E$194)+I$200+I203</f>
        <v>52.874656920827533</v>
      </c>
      <c r="J219" s="74"/>
      <c r="K219" s="74"/>
      <c r="M219" s="145"/>
      <c r="N219" s="145"/>
      <c r="O219" s="145"/>
      <c r="P219" s="145"/>
      <c r="Q219" s="145"/>
      <c r="R219" s="145"/>
    </row>
    <row r="220" spans="1:18" ht="13" x14ac:dyDescent="0.3">
      <c r="A220" s="22"/>
      <c r="B220" s="77" t="s">
        <v>72</v>
      </c>
      <c r="C220" s="74"/>
      <c r="D220" s="74"/>
      <c r="E220" s="74">
        <f>+E153+(E$95*$E$194)+E$200+E$204</f>
        <v>111.33671586396616</v>
      </c>
      <c r="F220" s="74"/>
      <c r="G220" s="74"/>
      <c r="H220" s="74">
        <f>+H153+(H$95*$E$194)+H$200+H$204</f>
        <v>93.080205809686817</v>
      </c>
      <c r="I220" s="74"/>
      <c r="J220" s="74"/>
      <c r="M220" s="145"/>
      <c r="N220" s="145"/>
      <c r="O220" s="145"/>
      <c r="P220" s="145"/>
      <c r="Q220" s="145"/>
      <c r="R220" s="145"/>
    </row>
    <row r="221" spans="1:18" ht="13" x14ac:dyDescent="0.3">
      <c r="A221" s="22"/>
      <c r="B221" s="77" t="s">
        <v>73</v>
      </c>
      <c r="C221" s="74"/>
      <c r="D221" s="74"/>
      <c r="E221" s="74">
        <f>+E154+(E$95*$E$194)+E$200</f>
        <v>57.491887004526163</v>
      </c>
      <c r="F221" s="74"/>
      <c r="G221" s="74"/>
      <c r="H221" s="74">
        <f>+H154+(H$95*$E$194)+H$200</f>
        <v>57.441115904291472</v>
      </c>
      <c r="I221" s="74"/>
      <c r="J221" s="74"/>
      <c r="M221" s="145"/>
      <c r="N221" s="145"/>
      <c r="O221" s="145"/>
      <c r="P221" s="145"/>
      <c r="Q221" s="145"/>
      <c r="R221" s="145"/>
    </row>
    <row r="222" spans="1:18" ht="13" x14ac:dyDescent="0.3">
      <c r="A222" s="22"/>
      <c r="B222" s="89" t="s">
        <v>142</v>
      </c>
      <c r="C222" s="74"/>
      <c r="D222" s="74"/>
      <c r="E222" s="74"/>
      <c r="F222" s="74">
        <f>(F219*SUM(F65:F68)-C189*10*E188*SUM(F65:F68))/SUM(F65:F68)</f>
        <v>78.008340696641525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ht="13" x14ac:dyDescent="0.3">
      <c r="A223" s="22"/>
      <c r="B223" s="89" t="s">
        <v>144</v>
      </c>
      <c r="C223" s="74"/>
      <c r="D223" s="74"/>
      <c r="E223" s="74"/>
      <c r="F223" s="74">
        <f>+F222+C189*10</f>
        <v>86.660340696641526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ht="13" x14ac:dyDescent="0.3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ht="13" x14ac:dyDescent="0.3">
      <c r="A225" s="22"/>
      <c r="B225" s="28" t="s">
        <v>18</v>
      </c>
      <c r="C225" s="74"/>
      <c r="D225" s="74"/>
      <c r="E225" s="74">
        <f>+E156+(E$95*$E$194)+E$200+E205</f>
        <v>74.884855858521377</v>
      </c>
      <c r="F225" s="74">
        <f>+F156+(F$95*$E$194)+F$200+F205</f>
        <v>84.912554390073581</v>
      </c>
      <c r="G225" s="74">
        <f>+G156+(G$95*$E$194)+G$200+G205</f>
        <v>76.38813316904637</v>
      </c>
      <c r="H225" s="74"/>
      <c r="I225" s="74">
        <f>+I156+(I$95*$E$194)+I$200+I205</f>
        <v>49.973279647100426</v>
      </c>
      <c r="J225" s="74"/>
      <c r="K225" s="74"/>
      <c r="M225" s="145"/>
      <c r="N225" s="145"/>
      <c r="O225" s="145"/>
      <c r="P225" s="145"/>
      <c r="Q225" s="145"/>
      <c r="R225" s="145"/>
    </row>
    <row r="226" spans="1:18" ht="13" x14ac:dyDescent="0.3">
      <c r="A226" s="22"/>
      <c r="B226" s="77" t="s">
        <v>72</v>
      </c>
      <c r="C226" s="74"/>
      <c r="D226" s="74"/>
      <c r="E226" s="74">
        <f>+E157+(E$95*$E$194)+E$200+E$206</f>
        <v>106.21469052724584</v>
      </c>
      <c r="F226" s="74"/>
      <c r="G226" s="74"/>
      <c r="H226" s="74">
        <f>+H157+(H$95*$E$194)+H$200+H$206</f>
        <v>85.204640891291064</v>
      </c>
      <c r="I226" s="74"/>
      <c r="J226" s="74"/>
      <c r="M226" s="145"/>
      <c r="N226" s="145"/>
      <c r="O226" s="145"/>
      <c r="P226" s="145"/>
      <c r="Q226" s="145"/>
      <c r="R226" s="145"/>
    </row>
    <row r="227" spans="1:18" ht="13" x14ac:dyDescent="0.3">
      <c r="A227" s="22"/>
      <c r="B227" s="77" t="s">
        <v>73</v>
      </c>
      <c r="C227" s="74"/>
      <c r="D227" s="74"/>
      <c r="E227" s="74">
        <f>+E158+(E$95*$E$194)+E$200</f>
        <v>57.755909254049499</v>
      </c>
      <c r="F227" s="74"/>
      <c r="G227" s="74"/>
      <c r="H227" s="74">
        <f>+H158+(H$95*$E$194)+H$200</f>
        <v>56.207671878778982</v>
      </c>
      <c r="I227" s="74"/>
      <c r="J227" s="74"/>
      <c r="M227" s="145"/>
      <c r="N227" s="145"/>
      <c r="O227" s="145"/>
      <c r="P227" s="145"/>
      <c r="Q227" s="145"/>
      <c r="R227" s="145"/>
    </row>
    <row r="228" spans="1:18" ht="13" x14ac:dyDescent="0.3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ht="13" x14ac:dyDescent="0.3">
      <c r="A229" s="22"/>
      <c r="B229" s="13" t="s">
        <v>98</v>
      </c>
      <c r="C229" s="74"/>
      <c r="D229" s="74"/>
      <c r="E229" s="74">
        <f>+E160+(E$95*$E$194)+E$200+E202</f>
        <v>76.43931703154891</v>
      </c>
      <c r="F229" s="74">
        <f>+F160+(F$95*$E$194)+F$200+F202</f>
        <v>83.730838598326542</v>
      </c>
      <c r="G229" s="74">
        <f>+G160+(G$95*$E$194)+G$200+G202</f>
        <v>77.603103528641498</v>
      </c>
      <c r="H229" s="74">
        <f>((H220*SUMPRODUCT(H38:H41,H65:H68)+H221*SUMPRODUCT(T38:T41,H65:H68))+(H226*(SUMPRODUCT(H33:H37,H60:H64)+SUMPRODUCT(H42:H44,H69:H71))+H227*(SUMPRODUCT(T33:T37,H60:H64)+SUMPRODUCT(T42:T44,H69:H71))))/H72</f>
        <v>70.541000441635191</v>
      </c>
      <c r="I229" s="74">
        <f>+I160+(I$95*$E$194)+I$200+I202</f>
        <v>50.940439014940232</v>
      </c>
      <c r="J229" s="74"/>
      <c r="K229" s="74"/>
      <c r="M229" s="145"/>
      <c r="N229" s="145"/>
      <c r="O229" s="145"/>
      <c r="P229" s="145"/>
      <c r="Q229" s="145"/>
      <c r="R229" s="145"/>
    </row>
    <row r="230" spans="1:18" ht="13" x14ac:dyDescent="0.3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ht="13" x14ac:dyDescent="0.3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ht="13" x14ac:dyDescent="0.3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ht="13" x14ac:dyDescent="0.3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ht="13" x14ac:dyDescent="0.3">
      <c r="A234" s="22"/>
      <c r="B234" s="77"/>
      <c r="C234" s="74"/>
      <c r="D234" s="74"/>
      <c r="I234" s="89"/>
      <c r="J234" s="80"/>
      <c r="K234" s="93"/>
    </row>
    <row r="235" spans="1:18" ht="13" x14ac:dyDescent="0.3">
      <c r="A235" s="22"/>
      <c r="C235" s="74"/>
      <c r="D235" s="74"/>
    </row>
    <row r="236" spans="1:18" ht="13" x14ac:dyDescent="0.3">
      <c r="A236" s="22"/>
      <c r="B236" s="37" t="s">
        <v>101</v>
      </c>
      <c r="C236" s="74"/>
      <c r="D236" s="74"/>
      <c r="I236" s="96"/>
      <c r="K236" s="93"/>
    </row>
    <row r="237" spans="1:18" ht="13" x14ac:dyDescent="0.3">
      <c r="A237" s="22"/>
      <c r="B237" s="77"/>
      <c r="C237" s="74"/>
      <c r="D237" s="74"/>
      <c r="I237" s="89"/>
      <c r="J237" s="97"/>
      <c r="K237" s="93"/>
    </row>
    <row r="238" spans="1:18" ht="15.5" x14ac:dyDescent="0.35">
      <c r="A238" s="22"/>
      <c r="B238" s="638" t="str">
        <f>$B$1</f>
        <v xml:space="preserve">Jersey Central Power &amp; Light </v>
      </c>
      <c r="C238" s="638"/>
      <c r="D238" s="638"/>
      <c r="E238" s="638"/>
      <c r="F238" s="638"/>
      <c r="G238" s="638"/>
      <c r="H238" s="638"/>
      <c r="I238" s="638"/>
      <c r="J238" s="638"/>
      <c r="K238" s="638"/>
      <c r="L238" s="638"/>
    </row>
    <row r="239" spans="1:18" ht="15.5" x14ac:dyDescent="0.35">
      <c r="A239" s="22"/>
      <c r="B239" s="638" t="str">
        <f>$B$2</f>
        <v>Attachment 2</v>
      </c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</row>
    <row r="240" spans="1:18" ht="15.5" x14ac:dyDescent="0.35">
      <c r="A240" s="22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</row>
    <row r="241" spans="1:12" ht="15.5" x14ac:dyDescent="0.35">
      <c r="A241" s="18" t="s">
        <v>106</v>
      </c>
      <c r="B241" s="163" t="s">
        <v>239</v>
      </c>
      <c r="C241" s="20"/>
      <c r="E241" s="164"/>
      <c r="F241" s="38"/>
      <c r="K241" s="165"/>
      <c r="L241" s="165"/>
    </row>
    <row r="242" spans="1:12" ht="15.5" x14ac:dyDescent="0.35">
      <c r="B242" s="13" t="s">
        <v>240</v>
      </c>
      <c r="K242" s="165"/>
      <c r="L242" s="165"/>
    </row>
    <row r="243" spans="1:12" ht="15.5" x14ac:dyDescent="0.3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5"/>
      <c r="L243" s="165"/>
    </row>
    <row r="244" spans="1:12" ht="15.5" x14ac:dyDescent="0.35">
      <c r="K244" s="165"/>
      <c r="L244" s="165"/>
    </row>
    <row r="245" spans="1:12" ht="15.5" x14ac:dyDescent="0.35">
      <c r="B245" s="28" t="s">
        <v>17</v>
      </c>
      <c r="E245" s="55">
        <f>'Composite Cost Allocation'!E105</f>
        <v>2446237.3333329996</v>
      </c>
      <c r="G245" s="55">
        <f>'Composite Cost Allocation'!G105</f>
        <v>1985450000</v>
      </c>
      <c r="I245" s="55">
        <f>'Composite Cost Allocation'!I105</f>
        <v>38368000</v>
      </c>
      <c r="K245" s="165"/>
      <c r="L245" s="165"/>
    </row>
    <row r="246" spans="1:12" ht="15.5" x14ac:dyDescent="0.35">
      <c r="B246" s="77" t="s">
        <v>72</v>
      </c>
      <c r="E246" s="55">
        <f>'Composite Cost Allocation'!E106</f>
        <v>26206974</v>
      </c>
      <c r="H246" s="55">
        <f>'Composite Cost Allocation'!H106</f>
        <v>32259110</v>
      </c>
      <c r="K246" s="165"/>
      <c r="L246" s="165"/>
    </row>
    <row r="247" spans="1:12" ht="15.5" x14ac:dyDescent="0.35">
      <c r="B247" s="77" t="s">
        <v>73</v>
      </c>
      <c r="E247" s="55">
        <f>'Composite Cost Allocation'!E107</f>
        <v>37598788.666666999</v>
      </c>
      <c r="H247" s="55">
        <f>'Composite Cost Allocation'!H107</f>
        <v>37751890</v>
      </c>
      <c r="K247" s="165"/>
      <c r="L247" s="165"/>
    </row>
    <row r="248" spans="1:12" ht="15.5" x14ac:dyDescent="0.35">
      <c r="B248" s="89" t="s">
        <v>142</v>
      </c>
      <c r="F248" s="55">
        <f>'Composite Cost Allocation'!F108</f>
        <v>2001184000</v>
      </c>
      <c r="K248" s="165"/>
      <c r="L248" s="165"/>
    </row>
    <row r="249" spans="1:12" ht="15.5" x14ac:dyDescent="0.35">
      <c r="B249" s="89" t="s">
        <v>144</v>
      </c>
      <c r="F249" s="55">
        <f>'Composite Cost Allocation'!F109</f>
        <v>1770477000</v>
      </c>
      <c r="K249" s="165"/>
      <c r="L249" s="165"/>
    </row>
    <row r="250" spans="1:12" ht="15.5" x14ac:dyDescent="0.35">
      <c r="K250" s="165"/>
      <c r="L250" s="165"/>
    </row>
    <row r="251" spans="1:12" ht="15.5" x14ac:dyDescent="0.35">
      <c r="B251" s="28" t="s">
        <v>18</v>
      </c>
      <c r="E251" s="55">
        <f>'Composite Cost Allocation'!E111</f>
        <v>5877031.3333332986</v>
      </c>
      <c r="F251" s="55">
        <f>'Composite Cost Allocation'!F111</f>
        <v>5301746000</v>
      </c>
      <c r="G251" s="55">
        <f>'Composite Cost Allocation'!G111</f>
        <v>3491416000</v>
      </c>
      <c r="I251" s="55">
        <f>'Composite Cost Allocation'!I111</f>
        <v>76732000</v>
      </c>
      <c r="K251" s="165"/>
      <c r="L251" s="165"/>
    </row>
    <row r="252" spans="1:12" ht="15.5" x14ac:dyDescent="0.35">
      <c r="B252" s="77" t="s">
        <v>72</v>
      </c>
      <c r="E252" s="55">
        <f>'Composite Cost Allocation'!E112</f>
        <v>45630733.617000148</v>
      </c>
      <c r="H252" s="55">
        <f>'Composite Cost Allocation'!H112</f>
        <v>58871465.099999994</v>
      </c>
      <c r="K252" s="165"/>
      <c r="L252" s="165"/>
    </row>
    <row r="253" spans="1:12" ht="15.5" x14ac:dyDescent="0.35">
      <c r="B253" s="77" t="s">
        <v>73</v>
      </c>
      <c r="E253" s="55">
        <f>'Composite Cost Allocation'!E113</f>
        <v>83475235.049666554</v>
      </c>
      <c r="H253" s="55">
        <f>'Composite Cost Allocation'!H113</f>
        <v>76452534.900000006</v>
      </c>
      <c r="K253" s="165"/>
      <c r="L253" s="165"/>
    </row>
    <row r="254" spans="1:12" ht="15.5" x14ac:dyDescent="0.35">
      <c r="J254" s="26" t="s">
        <v>13</v>
      </c>
      <c r="K254" s="165"/>
      <c r="L254" s="165"/>
    </row>
    <row r="255" spans="1:12" ht="15.5" x14ac:dyDescent="0.35">
      <c r="B255" s="89" t="s">
        <v>162</v>
      </c>
      <c r="E255" s="55">
        <f>SUM(E245:E249)</f>
        <v>66252000</v>
      </c>
      <c r="F255" s="55">
        <f>SUM(F245:F249)</f>
        <v>3771661000</v>
      </c>
      <c r="G255" s="55">
        <f>SUM(G245:G249)</f>
        <v>1985450000</v>
      </c>
      <c r="H255" s="55">
        <f>SUM(H245:H249)</f>
        <v>70011000</v>
      </c>
      <c r="I255" s="55">
        <f>SUM(I245:I249)</f>
        <v>38368000</v>
      </c>
      <c r="J255" s="55">
        <f>SUM(E255:I255)</f>
        <v>5931742000</v>
      </c>
      <c r="K255" s="165"/>
      <c r="L255" s="165"/>
    </row>
    <row r="256" spans="1:12" ht="15.5" x14ac:dyDescent="0.35">
      <c r="B256" s="89" t="s">
        <v>163</v>
      </c>
      <c r="E256" s="138">
        <f>SUM(E251:E253)</f>
        <v>134983000</v>
      </c>
      <c r="F256" s="138">
        <f>SUM(F251:F253)</f>
        <v>5301746000</v>
      </c>
      <c r="G256" s="133">
        <f>SUM(G251:G253)</f>
        <v>3491416000</v>
      </c>
      <c r="H256" s="133">
        <f>SUM(H251:H253)</f>
        <v>135324000</v>
      </c>
      <c r="I256" s="133">
        <f>SUM(I251:I253)</f>
        <v>76732000</v>
      </c>
      <c r="J256" s="138">
        <f>SUM(E256:I256)</f>
        <v>9140201000</v>
      </c>
      <c r="K256" s="165"/>
      <c r="L256" s="165"/>
    </row>
    <row r="257" spans="1:15" ht="15.5" x14ac:dyDescent="0.35">
      <c r="B257" s="89" t="s">
        <v>164</v>
      </c>
      <c r="E257" s="55">
        <f>SUM(E255:E256)</f>
        <v>201235000</v>
      </c>
      <c r="F257" s="55">
        <f>SUM(F255:F256)</f>
        <v>9073407000</v>
      </c>
      <c r="G257" s="55">
        <f>SUM(G255:G256)</f>
        <v>5476866000</v>
      </c>
      <c r="H257" s="55">
        <f>SUM(H255:H256)</f>
        <v>205335000</v>
      </c>
      <c r="I257" s="55">
        <f>SUM(I255:I256)</f>
        <v>115100000</v>
      </c>
      <c r="J257" s="55">
        <f>SUM(E257:I257)</f>
        <v>15071943000</v>
      </c>
      <c r="K257" s="165"/>
      <c r="L257" s="165"/>
    </row>
    <row r="258" spans="1:15" ht="15.5" x14ac:dyDescent="0.35">
      <c r="A258" s="22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</row>
    <row r="259" spans="1:15" ht="15.5" x14ac:dyDescent="0.35">
      <c r="A259" s="22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</row>
    <row r="261" spans="1:15" ht="13" x14ac:dyDescent="0.3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ht="13" x14ac:dyDescent="0.3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ht="13" x14ac:dyDescent="0.3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ht="13" x14ac:dyDescent="0.3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ht="13" x14ac:dyDescent="0.3">
      <c r="A265" s="7"/>
      <c r="B265" s="28" t="s">
        <v>17</v>
      </c>
      <c r="C265" s="149"/>
      <c r="D265" s="149"/>
      <c r="E265" s="149">
        <f>+E219*E245/1000000</f>
        <v>194.73615694555494</v>
      </c>
      <c r="F265" s="149"/>
      <c r="G265" s="149">
        <f>+G219*G245/1000000</f>
        <v>158319.04885395739</v>
      </c>
      <c r="H265" s="144"/>
      <c r="I265" s="149">
        <f>+I219*I245/1000000</f>
        <v>2028.6948367383109</v>
      </c>
      <c r="J265" s="149"/>
      <c r="K265" s="149"/>
      <c r="L265" s="149"/>
    </row>
    <row r="266" spans="1:15" ht="13" x14ac:dyDescent="0.3">
      <c r="A266" s="7"/>
      <c r="B266" s="77" t="s">
        <v>72</v>
      </c>
      <c r="C266" s="149"/>
      <c r="D266" s="149"/>
      <c r="E266" s="149">
        <f>+E220*E246/1000000</f>
        <v>2917.7984178923489</v>
      </c>
      <c r="F266" s="149"/>
      <c r="G266" s="149"/>
      <c r="H266" s="149">
        <f>+H220*H246/1000000</f>
        <v>3002.6845980373259</v>
      </c>
      <c r="I266" s="149"/>
      <c r="J266" s="149"/>
      <c r="K266" s="149"/>
      <c r="L266" s="149"/>
    </row>
    <row r="267" spans="1:15" ht="13" x14ac:dyDescent="0.3">
      <c r="A267" s="7"/>
      <c r="B267" s="77" t="s">
        <v>73</v>
      </c>
      <c r="C267" s="149"/>
      <c r="D267" s="149"/>
      <c r="E267" s="149">
        <f>+E221*E247/1000000</f>
        <v>2161.6253095310781</v>
      </c>
      <c r="F267" s="149"/>
      <c r="G267" s="149"/>
      <c r="H267" s="149">
        <f>+H221*H247/1000000</f>
        <v>2168.5106890960624</v>
      </c>
      <c r="I267" s="149"/>
      <c r="J267" s="149"/>
      <c r="K267" s="81"/>
      <c r="L267" s="81"/>
      <c r="M267" s="81"/>
      <c r="N267" s="81"/>
      <c r="O267" s="81"/>
    </row>
    <row r="268" spans="1:15" ht="13" x14ac:dyDescent="0.3">
      <c r="A268" s="7"/>
      <c r="B268" s="89" t="s">
        <v>142</v>
      </c>
      <c r="C268" s="149"/>
      <c r="D268" s="149"/>
      <c r="E268" s="149"/>
      <c r="F268" s="149">
        <f>+F222*F248/1000000</f>
        <v>156109.04326866788</v>
      </c>
      <c r="G268" s="149"/>
      <c r="H268" s="144"/>
      <c r="I268" s="149"/>
      <c r="J268" s="149"/>
      <c r="K268" s="149"/>
      <c r="L268" s="149"/>
    </row>
    <row r="269" spans="1:15" ht="13" x14ac:dyDescent="0.3">
      <c r="A269" s="7"/>
      <c r="B269" s="89" t="s">
        <v>144</v>
      </c>
      <c r="C269" s="149"/>
      <c r="D269" s="149"/>
      <c r="E269" s="149"/>
      <c r="F269" s="149">
        <f>+F223*F249/1000000</f>
        <v>153430.1400155678</v>
      </c>
      <c r="G269" s="149"/>
      <c r="H269" s="144"/>
      <c r="I269" s="149"/>
      <c r="J269" s="149"/>
      <c r="K269" s="149"/>
      <c r="L269" s="149"/>
    </row>
    <row r="270" spans="1:15" ht="13" x14ac:dyDescent="0.3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ht="13" x14ac:dyDescent="0.3">
      <c r="A271" s="7"/>
      <c r="B271" s="28" t="s">
        <v>18</v>
      </c>
      <c r="C271" s="149"/>
      <c r="D271" s="149"/>
      <c r="E271" s="149">
        <f>+E225*E251/1000000</f>
        <v>440.10064427267775</v>
      </c>
      <c r="F271" s="149">
        <f>+F225*F251/1000000</f>
        <v>450184.79558735504</v>
      </c>
      <c r="G271" s="149">
        <f>+G225*G251/1000000</f>
        <v>266702.75035653921</v>
      </c>
      <c r="I271" s="149">
        <f>+I225*I251/1000000</f>
        <v>3834.5496938813098</v>
      </c>
      <c r="J271" s="149"/>
      <c r="K271" s="149"/>
      <c r="L271" s="149"/>
    </row>
    <row r="272" spans="1:15" ht="13" x14ac:dyDescent="0.3">
      <c r="A272" s="7"/>
      <c r="B272" s="77" t="s">
        <v>72</v>
      </c>
      <c r="C272" s="149"/>
      <c r="D272" s="149"/>
      <c r="E272" s="149">
        <f>+E226*E252/1000000</f>
        <v>4846.6542496608636</v>
      </c>
      <c r="F272" s="3"/>
      <c r="G272" s="3"/>
      <c r="H272" s="149">
        <f>+H226*H252/1000000</f>
        <v>5016.1220425896736</v>
      </c>
      <c r="I272" s="3"/>
      <c r="J272" s="149"/>
      <c r="K272" s="149"/>
      <c r="L272" s="149"/>
    </row>
    <row r="273" spans="1:12" ht="13" x14ac:dyDescent="0.3">
      <c r="A273" s="7"/>
      <c r="B273" s="77" t="s">
        <v>73</v>
      </c>
      <c r="C273" s="3"/>
      <c r="D273" s="3"/>
      <c r="E273" s="149">
        <f>+E227*E253/1000000</f>
        <v>4821.1881004889938</v>
      </c>
      <c r="H273" s="149">
        <f>+H227*H253/1000000</f>
        <v>4297.2189959600992</v>
      </c>
      <c r="J273" s="149"/>
      <c r="K273" s="149"/>
      <c r="L273" s="149"/>
    </row>
    <row r="274" spans="1:12" ht="13" x14ac:dyDescent="0.3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ht="13" x14ac:dyDescent="0.3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ht="13" x14ac:dyDescent="0.3">
      <c r="A276" s="7"/>
      <c r="B276" s="5" t="s">
        <v>25</v>
      </c>
      <c r="D276"/>
      <c r="E276" s="3">
        <f>SUM(E265:E269)</f>
        <v>5274.1598843689817</v>
      </c>
      <c r="F276" s="3">
        <f>SUM(F265:F269)</f>
        <v>309539.18328423565</v>
      </c>
      <c r="G276" s="3">
        <f>SUM(G265:G269)</f>
        <v>158319.04885395739</v>
      </c>
      <c r="H276" s="3">
        <f>SUM(H265:H269)</f>
        <v>5171.1952871333888</v>
      </c>
      <c r="I276" s="3">
        <f>SUM(I265:I269)</f>
        <v>2028.6948367383109</v>
      </c>
      <c r="J276" s="151">
        <f>SUM(E276:I276)</f>
        <v>480332.28214643372</v>
      </c>
      <c r="K276"/>
      <c r="L276"/>
    </row>
    <row r="277" spans="1:12" ht="13" x14ac:dyDescent="0.3">
      <c r="A277" s="7"/>
      <c r="B277" s="5" t="s">
        <v>26</v>
      </c>
      <c r="D277"/>
      <c r="E277" s="3">
        <f>SUM(E271:E273)</f>
        <v>10107.942994422534</v>
      </c>
      <c r="F277" s="3">
        <f>SUM(F271:F273)</f>
        <v>450184.79558735504</v>
      </c>
      <c r="G277" s="3">
        <f>SUM(G271:G273)</f>
        <v>266702.75035653921</v>
      </c>
      <c r="H277" s="3">
        <f>SUM(H271:H273)</f>
        <v>9313.3410385497737</v>
      </c>
      <c r="I277" s="3">
        <f>SUM(I271:I273)</f>
        <v>3834.5496938813098</v>
      </c>
      <c r="J277" s="151">
        <f>SUM(E277:I277)</f>
        <v>740143.37967074779</v>
      </c>
      <c r="K277"/>
      <c r="L277"/>
    </row>
    <row r="278" spans="1:12" ht="13" x14ac:dyDescent="0.3">
      <c r="A278" s="7"/>
      <c r="B278" s="5" t="s">
        <v>13</v>
      </c>
      <c r="D278"/>
      <c r="E278" s="3">
        <f>SUM(E276:E277)</f>
        <v>15382.102878791517</v>
      </c>
      <c r="F278" s="3">
        <f>SUM(F276:F277)</f>
        <v>759723.97887159069</v>
      </c>
      <c r="G278" s="3">
        <f>SUM(G276:G277)</f>
        <v>425021.7992104966</v>
      </c>
      <c r="H278" s="3">
        <f>SUM(H276:H277)</f>
        <v>14484.536325683162</v>
      </c>
      <c r="I278" s="3">
        <f>SUM(I276:I277)</f>
        <v>5863.2445306196205</v>
      </c>
      <c r="J278" s="3">
        <f>SUM(E278:I278)</f>
        <v>1220475.6618171816</v>
      </c>
      <c r="L278"/>
    </row>
    <row r="279" spans="1:12" ht="13" x14ac:dyDescent="0.3">
      <c r="A279" s="7"/>
      <c r="B279"/>
      <c r="C279"/>
      <c r="D279"/>
      <c r="E279"/>
      <c r="F279"/>
      <c r="G279"/>
      <c r="H279"/>
      <c r="J279"/>
      <c r="L279"/>
    </row>
    <row r="280" spans="1:12" ht="13" x14ac:dyDescent="0.3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ht="13" x14ac:dyDescent="0.3">
      <c r="A281" s="7"/>
      <c r="B281" s="5" t="s">
        <v>25</v>
      </c>
      <c r="C281"/>
      <c r="D281"/>
      <c r="E281" s="150">
        <f t="shared" ref="E281:J281" si="16">+E276/E278</f>
        <v>0.34287638861399566</v>
      </c>
      <c r="F281" s="150">
        <f t="shared" si="16"/>
        <v>0.40743637412102046</v>
      </c>
      <c r="G281" s="150">
        <f t="shared" si="16"/>
        <v>0.37249630289092106</v>
      </c>
      <c r="H281" s="150">
        <f t="shared" si="16"/>
        <v>0.3570148999498256</v>
      </c>
      <c r="I281" s="150">
        <f t="shared" si="16"/>
        <v>0.34600208572981361</v>
      </c>
      <c r="J281" s="150">
        <f t="shared" si="16"/>
        <v>0.39356154094155466</v>
      </c>
      <c r="L281"/>
    </row>
    <row r="282" spans="1:12" ht="13" x14ac:dyDescent="0.3">
      <c r="A282" s="7"/>
      <c r="B282" s="5" t="s">
        <v>26</v>
      </c>
      <c r="C282"/>
      <c r="D282"/>
      <c r="E282" s="150">
        <f t="shared" ref="E282:J282" si="17">+E277/E278</f>
        <v>0.65712361138600428</v>
      </c>
      <c r="F282" s="150">
        <f t="shared" si="17"/>
        <v>0.59256362587897959</v>
      </c>
      <c r="G282" s="150">
        <f t="shared" si="17"/>
        <v>0.62750369710907894</v>
      </c>
      <c r="H282" s="150">
        <f t="shared" si="17"/>
        <v>0.6429851000501744</v>
      </c>
      <c r="I282" s="150">
        <f t="shared" si="17"/>
        <v>0.65399791427018639</v>
      </c>
      <c r="J282" s="150">
        <f t="shared" si="17"/>
        <v>0.60643845905844529</v>
      </c>
      <c r="L282"/>
    </row>
    <row r="283" spans="1:12" ht="13" x14ac:dyDescent="0.3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ht="13" x14ac:dyDescent="0.3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5" x14ac:dyDescent="0.35">
      <c r="A285" s="22"/>
      <c r="B285" s="638" t="str">
        <f>$B$1</f>
        <v xml:space="preserve">Jersey Central Power &amp; Light </v>
      </c>
      <c r="C285" s="638"/>
      <c r="D285" s="638"/>
      <c r="E285" s="638"/>
      <c r="F285" s="638"/>
      <c r="G285" s="638"/>
      <c r="H285" s="638"/>
      <c r="I285" s="638"/>
      <c r="J285" s="638"/>
      <c r="K285" s="638"/>
      <c r="L285" s="638"/>
    </row>
    <row r="286" spans="1:12" ht="15.5" x14ac:dyDescent="0.35">
      <c r="A286" s="22"/>
      <c r="B286" s="638" t="str">
        <f>$B$2</f>
        <v>Attachment 2</v>
      </c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</row>
    <row r="287" spans="1:12" ht="13" x14ac:dyDescent="0.3">
      <c r="A287" s="18" t="s">
        <v>350</v>
      </c>
      <c r="B287" s="16" t="s">
        <v>351</v>
      </c>
      <c r="E287" s="631"/>
      <c r="F287" s="631"/>
      <c r="G287" s="631"/>
      <c r="H287" s="631"/>
      <c r="I287" s="631"/>
      <c r="J287" s="631"/>
      <c r="L287"/>
    </row>
    <row r="288" spans="1:12" ht="13" x14ac:dyDescent="0.3">
      <c r="A288" s="22"/>
      <c r="B288" s="16"/>
      <c r="E288" s="631"/>
      <c r="F288" s="631"/>
      <c r="G288" s="631"/>
      <c r="H288" s="631"/>
      <c r="I288" s="631"/>
      <c r="J288" s="631"/>
      <c r="L288"/>
    </row>
    <row r="289" spans="1:12" ht="13" x14ac:dyDescent="0.3">
      <c r="A289" s="22"/>
      <c r="E289" s="26" t="str">
        <f>+E$13</f>
        <v>RT{1}</v>
      </c>
      <c r="F289" s="26" t="str">
        <f>+F$13</f>
        <v>RS{2}</v>
      </c>
      <c r="G289" s="26" t="str">
        <f>+G$13</f>
        <v>GS{3}</v>
      </c>
      <c r="H289" s="155" t="str">
        <f>+H$58</f>
        <v>GST {4}</v>
      </c>
      <c r="I289" s="26" t="str">
        <f>+I$13</f>
        <v>OL/SL</v>
      </c>
      <c r="J289" s="26" t="s">
        <v>13</v>
      </c>
      <c r="L289"/>
    </row>
    <row r="290" spans="1:12" ht="13" x14ac:dyDescent="0.3">
      <c r="A290" s="22"/>
      <c r="B290" s="13" t="s">
        <v>134</v>
      </c>
      <c r="E290" s="631"/>
      <c r="F290" s="631"/>
      <c r="G290" s="631"/>
      <c r="H290" s="631"/>
      <c r="I290" s="631"/>
      <c r="J290" s="631"/>
      <c r="L290"/>
    </row>
    <row r="291" spans="1:12" ht="13" x14ac:dyDescent="0.3">
      <c r="A291" s="22"/>
      <c r="B291" s="28" t="s">
        <v>17</v>
      </c>
      <c r="E291" s="144">
        <f>E265-E245*E$200/1000000</f>
        <v>174.64276348955769</v>
      </c>
      <c r="F291" s="631"/>
      <c r="G291" s="144">
        <f>G265-G245*G$200/1000000</f>
        <v>142010.5625539574</v>
      </c>
      <c r="H291" s="144"/>
      <c r="I291" s="144">
        <f>I265-I245*I$200/1000000</f>
        <v>2028.6948367383109</v>
      </c>
      <c r="J291" s="631"/>
      <c r="L291"/>
    </row>
    <row r="292" spans="1:12" ht="13" x14ac:dyDescent="0.3">
      <c r="A292" s="22"/>
      <c r="B292" s="77" t="s">
        <v>72</v>
      </c>
      <c r="E292" s="144">
        <f>E266-E246*E$200/1000000</f>
        <v>2702.534333456349</v>
      </c>
      <c r="F292" s="631"/>
      <c r="G292" s="631"/>
      <c r="H292" s="144">
        <f>H266-H246*H$200/1000000</f>
        <v>2737.7082684973261</v>
      </c>
      <c r="I292" s="631"/>
      <c r="J292" s="631"/>
      <c r="L292"/>
    </row>
    <row r="293" spans="1:12" ht="13" x14ac:dyDescent="0.3">
      <c r="A293" s="22"/>
      <c r="B293" s="77" t="s">
        <v>73</v>
      </c>
      <c r="E293" s="144">
        <f>E267-E247*E$200/1000000</f>
        <v>1852.7888594230753</v>
      </c>
      <c r="F293" s="631"/>
      <c r="G293" s="631"/>
      <c r="H293" s="144">
        <f>H267-H247*H$200/1000000</f>
        <v>1858.4166646360623</v>
      </c>
      <c r="I293" s="631"/>
      <c r="J293" s="631"/>
      <c r="L293"/>
    </row>
    <row r="294" spans="1:12" ht="13" x14ac:dyDescent="0.3">
      <c r="A294" s="22"/>
      <c r="B294" s="89" t="s">
        <v>142</v>
      </c>
      <c r="E294" s="631"/>
      <c r="F294" s="144">
        <f>F268-F248*F$200/1000000</f>
        <v>139671.3178926679</v>
      </c>
      <c r="G294" s="631"/>
      <c r="H294" s="631"/>
      <c r="I294" s="631"/>
      <c r="J294" s="631"/>
      <c r="L294"/>
    </row>
    <row r="295" spans="1:12" ht="13" x14ac:dyDescent="0.3">
      <c r="A295" s="22"/>
      <c r="B295" s="89" t="s">
        <v>144</v>
      </c>
      <c r="E295" s="631"/>
      <c r="F295" s="144">
        <f>F269-F249*F$200/1000000</f>
        <v>138887.44193756781</v>
      </c>
      <c r="G295" s="631"/>
      <c r="H295" s="631"/>
      <c r="I295" s="631"/>
      <c r="J295" s="631"/>
      <c r="L295"/>
    </row>
    <row r="296" spans="1:12" ht="13" x14ac:dyDescent="0.3">
      <c r="A296" s="22"/>
      <c r="E296" s="631"/>
      <c r="F296" s="631"/>
      <c r="G296" s="631"/>
      <c r="H296" s="631"/>
      <c r="I296" s="631"/>
      <c r="J296" s="631"/>
      <c r="L296"/>
    </row>
    <row r="297" spans="1:12" ht="13" x14ac:dyDescent="0.3">
      <c r="A297" s="22"/>
      <c r="B297" s="28" t="s">
        <v>18</v>
      </c>
      <c r="E297" s="144">
        <f>E271-E251*E$200/1000000</f>
        <v>391.82670890067806</v>
      </c>
      <c r="F297" s="144">
        <f>F271-F251*F$200/1000000</f>
        <v>406636.25394335506</v>
      </c>
      <c r="G297" s="144">
        <f>G271-G251*G$200/1000000</f>
        <v>238024.25933253922</v>
      </c>
      <c r="H297" s="631"/>
      <c r="I297" s="144">
        <f>I271-I251*I$200/1000000</f>
        <v>3834.5496938813098</v>
      </c>
      <c r="J297" s="631"/>
      <c r="L297"/>
    </row>
    <row r="298" spans="1:12" ht="13" x14ac:dyDescent="0.3">
      <c r="A298" s="22"/>
      <c r="B298" s="77" t="s">
        <v>72</v>
      </c>
      <c r="E298" s="144">
        <f>E272-E252*E$200/1000000</f>
        <v>4471.8434037308243</v>
      </c>
      <c r="F298" s="631"/>
      <c r="G298" s="631"/>
      <c r="H298" s="144">
        <f>H272-H252*H$200/1000000</f>
        <v>4532.5518282582734</v>
      </c>
      <c r="I298" s="631"/>
      <c r="J298" s="631"/>
      <c r="L298"/>
    </row>
    <row r="299" spans="1:12" ht="13" x14ac:dyDescent="0.3">
      <c r="A299" s="22"/>
      <c r="B299" s="77" t="s">
        <v>73</v>
      </c>
      <c r="E299" s="144">
        <f>E273-E253*E$200/1000000</f>
        <v>4135.5225197910331</v>
      </c>
      <c r="F299" s="631"/>
      <c r="G299" s="631"/>
      <c r="H299" s="144">
        <f>H273-H253*H$200/1000000</f>
        <v>3669.2378742914989</v>
      </c>
      <c r="I299" s="631"/>
      <c r="J299" s="631"/>
      <c r="L299"/>
    </row>
    <row r="300" spans="1:12" ht="13" x14ac:dyDescent="0.3">
      <c r="A300" s="22"/>
      <c r="B300" s="71"/>
      <c r="E300" s="631"/>
      <c r="F300" s="631"/>
      <c r="G300" s="631"/>
      <c r="H300" s="631"/>
      <c r="I300" s="631"/>
      <c r="J300" s="631"/>
      <c r="L300"/>
    </row>
    <row r="301" spans="1:12" ht="13" x14ac:dyDescent="0.3">
      <c r="A301" s="22"/>
      <c r="B301" s="13" t="s">
        <v>135</v>
      </c>
      <c r="E301" s="631"/>
      <c r="F301" s="631"/>
      <c r="G301" s="631"/>
      <c r="H301" s="631"/>
      <c r="I301" s="631"/>
      <c r="J301" s="631"/>
      <c r="L301"/>
    </row>
    <row r="302" spans="1:12" ht="13" x14ac:dyDescent="0.3">
      <c r="A302" s="22"/>
      <c r="B302" s="71" t="s">
        <v>25</v>
      </c>
      <c r="E302" s="81">
        <f>SUM(E291:E295)</f>
        <v>4729.965956368982</v>
      </c>
      <c r="F302" s="81">
        <f>SUM(F291:F295)</f>
        <v>278558.75983023574</v>
      </c>
      <c r="G302" s="81">
        <f>SUM(G291:G295)</f>
        <v>142010.5625539574</v>
      </c>
      <c r="H302" s="81">
        <f>SUM(H291:H295)</f>
        <v>4596.1249331333884</v>
      </c>
      <c r="I302" s="81">
        <f>SUM(I291:I295)</f>
        <v>2028.6948367383109</v>
      </c>
      <c r="J302" s="632">
        <f>SUM(E302:I302)</f>
        <v>431924.10811043379</v>
      </c>
      <c r="L302"/>
    </row>
    <row r="303" spans="1:12" ht="13" x14ac:dyDescent="0.3">
      <c r="A303" s="22"/>
      <c r="B303" s="71" t="s">
        <v>26</v>
      </c>
      <c r="E303" s="81">
        <f>SUM(E297:E299)</f>
        <v>8999.1926324225351</v>
      </c>
      <c r="F303" s="81">
        <f>SUM(F297:F299)</f>
        <v>406636.25394335506</v>
      </c>
      <c r="G303" s="81">
        <f>SUM(G297:G299)</f>
        <v>238024.25933253922</v>
      </c>
      <c r="H303" s="81">
        <f>SUM(H297:H299)</f>
        <v>8201.7897025497732</v>
      </c>
      <c r="I303" s="81">
        <f>SUM(I297:I299)</f>
        <v>3834.5496938813098</v>
      </c>
      <c r="J303" s="632">
        <f>SUM(E303:I303)</f>
        <v>665696.045304748</v>
      </c>
      <c r="L303"/>
    </row>
    <row r="304" spans="1:12" ht="13" x14ac:dyDescent="0.3">
      <c r="A304" s="22"/>
      <c r="B304" s="71" t="s">
        <v>13</v>
      </c>
      <c r="E304" s="81">
        <f>SUM(E302:E303)</f>
        <v>13729.158588791517</v>
      </c>
      <c r="F304" s="81">
        <f>SUM(F302:F303)</f>
        <v>685195.01377359079</v>
      </c>
      <c r="G304" s="81">
        <f>SUM(G302:G303)</f>
        <v>380034.82188649662</v>
      </c>
      <c r="H304" s="81">
        <f>SUM(H302:H303)</f>
        <v>12797.914635683162</v>
      </c>
      <c r="I304" s="81">
        <f>SUM(I302:I303)</f>
        <v>5863.2445306196205</v>
      </c>
      <c r="J304" s="81">
        <f>SUM(E304:I304)</f>
        <v>1097620.1534151817</v>
      </c>
      <c r="L304"/>
    </row>
    <row r="305" spans="1:12" ht="13" x14ac:dyDescent="0.3">
      <c r="A305" s="22"/>
      <c r="E305" s="631"/>
      <c r="F305" s="631"/>
      <c r="G305" s="631"/>
      <c r="H305" s="631"/>
      <c r="I305" s="631"/>
      <c r="J305" s="631"/>
      <c r="L305"/>
    </row>
    <row r="306" spans="1:12" ht="13" x14ac:dyDescent="0.3">
      <c r="A306" s="22"/>
      <c r="B306" s="13" t="s">
        <v>136</v>
      </c>
      <c r="E306" s="631"/>
      <c r="F306" s="631"/>
      <c r="G306" s="631"/>
      <c r="H306" s="631"/>
      <c r="I306" s="631"/>
      <c r="J306" s="631"/>
      <c r="L306"/>
    </row>
    <row r="307" spans="1:12" ht="13" x14ac:dyDescent="0.3">
      <c r="A307" s="22"/>
      <c r="B307" s="71" t="s">
        <v>25</v>
      </c>
      <c r="E307" s="631">
        <f t="shared" ref="E307:J307" si="18">+E302/E304</f>
        <v>0.34451972608361631</v>
      </c>
      <c r="F307" s="631">
        <f t="shared" si="18"/>
        <v>0.40653938547527141</v>
      </c>
      <c r="G307" s="631">
        <f t="shared" si="18"/>
        <v>0.37367776418228088</v>
      </c>
      <c r="H307" s="631">
        <f t="shared" si="18"/>
        <v>0.35913076965824314</v>
      </c>
      <c r="I307" s="631">
        <f t="shared" si="18"/>
        <v>0.34600208572981361</v>
      </c>
      <c r="J307" s="631">
        <f t="shared" si="18"/>
        <v>0.3935096369782633</v>
      </c>
      <c r="L307"/>
    </row>
    <row r="308" spans="1:12" ht="13" x14ac:dyDescent="0.3">
      <c r="A308" s="22"/>
      <c r="B308" s="71" t="s">
        <v>26</v>
      </c>
      <c r="E308" s="631">
        <f t="shared" ref="E308:J308" si="19">+E303/E304</f>
        <v>0.65548027391638364</v>
      </c>
      <c r="F308" s="631">
        <f t="shared" si="19"/>
        <v>0.59346061452472854</v>
      </c>
      <c r="G308" s="631">
        <f t="shared" si="19"/>
        <v>0.62632223581771918</v>
      </c>
      <c r="H308" s="631">
        <f t="shared" si="19"/>
        <v>0.6408692303417568</v>
      </c>
      <c r="I308" s="631">
        <f t="shared" si="19"/>
        <v>0.65399791427018639</v>
      </c>
      <c r="J308" s="631">
        <f t="shared" si="19"/>
        <v>0.60649036302173687</v>
      </c>
      <c r="L308"/>
    </row>
    <row r="309" spans="1:12" ht="13" x14ac:dyDescent="0.3">
      <c r="A309" s="7"/>
      <c r="B309" s="5"/>
      <c r="C309"/>
      <c r="D309"/>
      <c r="E309" s="150"/>
      <c r="F309" s="150"/>
      <c r="G309" s="150"/>
      <c r="H309" s="150"/>
      <c r="I309" s="150"/>
      <c r="J309" s="150"/>
      <c r="L309"/>
    </row>
    <row r="310" spans="1:12" ht="13" x14ac:dyDescent="0.3">
      <c r="A310" s="6" t="s">
        <v>138</v>
      </c>
      <c r="B310" s="1" t="s">
        <v>246</v>
      </c>
      <c r="C310"/>
      <c r="D310"/>
      <c r="E310"/>
      <c r="G310" s="81"/>
      <c r="J310"/>
      <c r="L310"/>
    </row>
    <row r="311" spans="1:12" ht="13" x14ac:dyDescent="0.3">
      <c r="A311" s="7"/>
      <c r="C311" s="74"/>
      <c r="D311" s="74"/>
      <c r="J311"/>
      <c r="L311"/>
    </row>
    <row r="312" spans="1:12" ht="13" x14ac:dyDescent="0.3">
      <c r="A312" s="7"/>
      <c r="B312" s="16" t="s">
        <v>232</v>
      </c>
      <c r="C312" s="74"/>
      <c r="D312" s="74"/>
      <c r="J312"/>
      <c r="L312"/>
    </row>
    <row r="313" spans="1:12" ht="13" x14ac:dyDescent="0.3">
      <c r="A313" s="7"/>
      <c r="B313" s="89" t="s">
        <v>103</v>
      </c>
      <c r="C313" s="144">
        <f>J278</f>
        <v>1220475.6618171816</v>
      </c>
      <c r="J313"/>
      <c r="L313"/>
    </row>
    <row r="314" spans="1:12" ht="7.5" customHeight="1" x14ac:dyDescent="0.3">
      <c r="A314" s="7"/>
      <c r="B314" s="16"/>
      <c r="C314" s="144"/>
      <c r="J314"/>
      <c r="L314"/>
    </row>
    <row r="315" spans="1:12" ht="13" x14ac:dyDescent="0.3">
      <c r="A315" s="7"/>
      <c r="B315" s="16" t="s">
        <v>230</v>
      </c>
      <c r="C315" s="144"/>
      <c r="E315" s="26" t="str">
        <f>+E$13</f>
        <v>RT{1}</v>
      </c>
      <c r="F315" s="26" t="str">
        <f>+F$13</f>
        <v>RS{2}</v>
      </c>
      <c r="G315" s="26" t="str">
        <f>+G$13</f>
        <v>GS{3}</v>
      </c>
      <c r="H315" s="155" t="str">
        <f>+H$58</f>
        <v>GST {4}</v>
      </c>
      <c r="I315" s="26" t="str">
        <f>+I$13</f>
        <v>OL/SL</v>
      </c>
      <c r="J315" s="2" t="s">
        <v>13</v>
      </c>
      <c r="L315"/>
    </row>
    <row r="316" spans="1:12" ht="13" x14ac:dyDescent="0.3">
      <c r="A316" s="7"/>
      <c r="B316" s="21" t="s">
        <v>25</v>
      </c>
      <c r="C316" s="144"/>
      <c r="E316" s="161">
        <f>ROUND(SUM(E65:E68)*E95,0)</f>
        <v>74070</v>
      </c>
      <c r="F316" s="161">
        <f>ROUND(SUM(F65:F68)*F95,0)</f>
        <v>4216714</v>
      </c>
      <c r="G316" s="161">
        <f>ROUND(SUM(G65:G68)*G95,0)</f>
        <v>2219732</v>
      </c>
      <c r="H316" s="161">
        <f>ROUND(SUM(H65:H68)*H95,0)</f>
        <v>78272</v>
      </c>
      <c r="I316" s="161">
        <f>ROUND(SUM(I65:I68)*I95,0)</f>
        <v>42895</v>
      </c>
      <c r="J316" s="161">
        <f>SUM(E316:I316)</f>
        <v>6631683</v>
      </c>
      <c r="L316"/>
    </row>
    <row r="317" spans="1:12" ht="13" x14ac:dyDescent="0.3">
      <c r="A317" s="7"/>
      <c r="B317" s="12" t="s">
        <v>26</v>
      </c>
      <c r="C317" s="144"/>
      <c r="E317" s="161">
        <f>ROUND((E72-SUM(E65:E68))*E95,0)</f>
        <v>150911</v>
      </c>
      <c r="F317" s="161">
        <f>ROUND((F72-SUM(F65:F68))*F95,0)</f>
        <v>5927348</v>
      </c>
      <c r="G317" s="161">
        <f>ROUND((G72-SUM(G65:G68))*G95,0)</f>
        <v>3903400</v>
      </c>
      <c r="H317" s="161">
        <f>ROUND((H72-SUM(H65:H68))*H95,0)</f>
        <v>151292</v>
      </c>
      <c r="I317" s="161">
        <f>ROUND((I72-SUM(I65:I68))*I95,0)</f>
        <v>85786</v>
      </c>
      <c r="J317" s="161">
        <f>SUM(E317:I317)</f>
        <v>10218737</v>
      </c>
      <c r="L317"/>
    </row>
    <row r="318" spans="1:12" ht="13" x14ac:dyDescent="0.3">
      <c r="A318" s="7"/>
      <c r="C318" s="89"/>
      <c r="D318" s="145"/>
      <c r="J318" s="4"/>
      <c r="L318"/>
    </row>
    <row r="319" spans="1:12" ht="13" x14ac:dyDescent="0.3">
      <c r="A319" s="7"/>
      <c r="B319" s="16" t="s">
        <v>233</v>
      </c>
      <c r="C319" s="89"/>
      <c r="D319" s="160" t="s">
        <v>221</v>
      </c>
      <c r="E319" s="133" t="s">
        <v>227</v>
      </c>
      <c r="J319"/>
      <c r="L319"/>
    </row>
    <row r="320" spans="1:12" ht="13" x14ac:dyDescent="0.3">
      <c r="A320" s="7"/>
      <c r="B320" s="253" t="s">
        <v>347</v>
      </c>
      <c r="D320" s="38" t="s">
        <v>224</v>
      </c>
      <c r="E320" s="126">
        <v>72.430000000000007</v>
      </c>
      <c r="F320" s="38" t="s">
        <v>229</v>
      </c>
      <c r="G320" s="38" t="s">
        <v>231</v>
      </c>
      <c r="J320"/>
      <c r="L320"/>
    </row>
    <row r="321" spans="1:15" ht="13" x14ac:dyDescent="0.3">
      <c r="A321" s="7"/>
      <c r="B321" s="13" t="s">
        <v>226</v>
      </c>
      <c r="C321" s="89"/>
      <c r="D321" s="166">
        <v>1</v>
      </c>
      <c r="E321" s="275">
        <f>ROUND($E$320*D321,3)</f>
        <v>72.430000000000007</v>
      </c>
      <c r="F321" s="55">
        <f>J316</f>
        <v>6631683</v>
      </c>
      <c r="G321" s="144">
        <f>ROUND(F321*E321/1000,0)</f>
        <v>480333</v>
      </c>
      <c r="J321"/>
      <c r="L321"/>
    </row>
    <row r="322" spans="1:15" ht="14" x14ac:dyDescent="0.4">
      <c r="A322" s="7"/>
      <c r="B322" s="13" t="s">
        <v>228</v>
      </c>
      <c r="C322" s="89"/>
      <c r="D322" s="166">
        <v>1</v>
      </c>
      <c r="E322" s="275">
        <f>ROUND($E$320*D322,3)</f>
        <v>72.430000000000007</v>
      </c>
      <c r="F322" s="55">
        <f>J317</f>
        <v>10218737</v>
      </c>
      <c r="G322" s="85">
        <f>ROUND(F322*E322/1000,0)</f>
        <v>740143</v>
      </c>
      <c r="J322"/>
      <c r="L322"/>
    </row>
    <row r="323" spans="1:15" ht="13" x14ac:dyDescent="0.3">
      <c r="A323" s="7"/>
      <c r="B323" s="13" t="s">
        <v>234</v>
      </c>
      <c r="C323" s="89"/>
      <c r="D323" s="145"/>
      <c r="G323" s="81">
        <f>SUM(G321:G322)</f>
        <v>1220476</v>
      </c>
      <c r="J323"/>
      <c r="L323"/>
    </row>
    <row r="324" spans="1:15" ht="5" customHeight="1" x14ac:dyDescent="0.3">
      <c r="A324" s="7"/>
      <c r="C324" s="89"/>
      <c r="D324" s="145"/>
      <c r="J324"/>
      <c r="L324"/>
    </row>
    <row r="325" spans="1:15" ht="13" x14ac:dyDescent="0.3">
      <c r="A325" s="6" t="s">
        <v>241</v>
      </c>
      <c r="B325" s="1" t="s">
        <v>235</v>
      </c>
      <c r="C325" s="89"/>
      <c r="D325" s="145"/>
      <c r="F325" s="5" t="s">
        <v>221</v>
      </c>
      <c r="G325" s="5" t="s">
        <v>223</v>
      </c>
      <c r="H325" s="71"/>
      <c r="I325"/>
    </row>
    <row r="326" spans="1:15" ht="13" x14ac:dyDescent="0.3">
      <c r="A326" s="7"/>
      <c r="B326"/>
      <c r="C326"/>
      <c r="D326"/>
      <c r="E326"/>
      <c r="F326" s="5" t="s">
        <v>237</v>
      </c>
      <c r="G326" s="5" t="s">
        <v>224</v>
      </c>
      <c r="H326" s="5" t="s">
        <v>223</v>
      </c>
      <c r="I326"/>
    </row>
    <row r="327" spans="1:15" ht="13" x14ac:dyDescent="0.3">
      <c r="A327" s="7"/>
      <c r="B327" t="s">
        <v>236</v>
      </c>
      <c r="C327"/>
      <c r="D327"/>
      <c r="E327"/>
      <c r="F327" s="8" t="s">
        <v>231</v>
      </c>
      <c r="G327" s="8" t="s">
        <v>225</v>
      </c>
      <c r="H327" s="8" t="s">
        <v>224</v>
      </c>
      <c r="I327" s="10"/>
    </row>
    <row r="328" spans="1:15" ht="13" x14ac:dyDescent="0.3">
      <c r="A328" s="7"/>
      <c r="B328" s="5" t="s">
        <v>25</v>
      </c>
      <c r="C328" s="276">
        <f>J276*1000/J316</f>
        <v>72.429921958940696</v>
      </c>
      <c r="D328" t="s">
        <v>137</v>
      </c>
      <c r="E328"/>
      <c r="F328" s="248">
        <f>E321</f>
        <v>72.430000000000007</v>
      </c>
      <c r="G328" s="159">
        <f>E321/C328</f>
        <v>1.0000010774698798</v>
      </c>
      <c r="H328" s="271">
        <v>1.3332599999999999</v>
      </c>
    </row>
    <row r="329" spans="1:15" ht="13" x14ac:dyDescent="0.3">
      <c r="A329" s="7"/>
      <c r="B329" s="5" t="s">
        <v>26</v>
      </c>
      <c r="C329" s="276">
        <f>J277*1000/J317</f>
        <v>72.430025322184903</v>
      </c>
      <c r="D329" t="s">
        <v>137</v>
      </c>
      <c r="E329"/>
      <c r="F329" s="248">
        <f>E322</f>
        <v>72.430000000000007</v>
      </c>
      <c r="G329" s="159">
        <f>E322/C329</f>
        <v>0.99999965039105287</v>
      </c>
      <c r="H329" s="271">
        <v>0.97652399999999995</v>
      </c>
    </row>
    <row r="330" spans="1:15" ht="5.5" customHeight="1" x14ac:dyDescent="0.3">
      <c r="A330" s="7"/>
      <c r="B330" s="5"/>
      <c r="C330" s="152"/>
      <c r="D330"/>
      <c r="E330"/>
      <c r="F330"/>
      <c r="G330"/>
      <c r="H330" s="2"/>
      <c r="I330" s="104"/>
      <c r="M330" s="16"/>
      <c r="N330" s="104"/>
      <c r="O330" s="104"/>
    </row>
    <row r="331" spans="1:15" ht="13" x14ac:dyDescent="0.3">
      <c r="A331" s="16" t="s">
        <v>108</v>
      </c>
      <c r="E331" s="98"/>
      <c r="F331" s="101"/>
      <c r="I331"/>
      <c r="J331"/>
      <c r="K331"/>
      <c r="L331"/>
    </row>
    <row r="332" spans="1:15" ht="13" x14ac:dyDescent="0.3">
      <c r="A332" s="22"/>
      <c r="B332" s="89" t="s">
        <v>132</v>
      </c>
      <c r="C332" s="102">
        <f>E179</f>
        <v>170.999</v>
      </c>
      <c r="D332" s="93" t="s">
        <v>160</v>
      </c>
      <c r="E332" s="98"/>
      <c r="F332" s="101"/>
      <c r="I332"/>
      <c r="J332"/>
      <c r="K332"/>
      <c r="L332"/>
    </row>
    <row r="333" spans="1:15" ht="13" x14ac:dyDescent="0.3">
      <c r="A333" s="22"/>
      <c r="B333" s="89"/>
      <c r="C333" s="102">
        <f>E180</f>
        <v>170.999</v>
      </c>
      <c r="D333" s="93" t="s">
        <v>161</v>
      </c>
      <c r="E333" s="98"/>
      <c r="F333" s="101"/>
      <c r="I333"/>
      <c r="J333"/>
      <c r="K333"/>
      <c r="L333"/>
    </row>
    <row r="334" spans="1:15" ht="13" x14ac:dyDescent="0.3">
      <c r="A334" s="22"/>
      <c r="B334" s="89" t="s">
        <v>159</v>
      </c>
      <c r="C334" s="81" t="s">
        <v>381</v>
      </c>
      <c r="D334" s="93"/>
      <c r="E334" s="98"/>
      <c r="F334" s="101"/>
      <c r="I334"/>
      <c r="J334"/>
      <c r="K334"/>
      <c r="L334"/>
    </row>
    <row r="335" spans="1:15" ht="13" x14ac:dyDescent="0.3">
      <c r="A335" s="22"/>
      <c r="B335" s="89" t="s">
        <v>109</v>
      </c>
      <c r="C335" s="148">
        <f>+H173</f>
        <v>4</v>
      </c>
      <c r="D335" s="13" t="s">
        <v>110</v>
      </c>
      <c r="E335" s="98"/>
      <c r="F335" s="101"/>
      <c r="I335"/>
      <c r="J335"/>
      <c r="K335"/>
      <c r="L335"/>
    </row>
    <row r="336" spans="1:15" ht="13" x14ac:dyDescent="0.3">
      <c r="A336" s="22"/>
      <c r="B336" s="89"/>
      <c r="C336" s="148">
        <f>+H174</f>
        <v>8</v>
      </c>
      <c r="D336" s="13" t="s">
        <v>111</v>
      </c>
      <c r="E336" s="98"/>
      <c r="F336" s="101"/>
      <c r="I336"/>
      <c r="J336"/>
      <c r="K336"/>
      <c r="L336"/>
    </row>
    <row r="337" spans="1:12" ht="13" x14ac:dyDescent="0.3">
      <c r="A337" s="22"/>
      <c r="B337" s="89" t="s">
        <v>112</v>
      </c>
      <c r="C337" s="102">
        <f>+E194</f>
        <v>18.280999999999999</v>
      </c>
      <c r="D337" s="13" t="s">
        <v>113</v>
      </c>
      <c r="E337" s="98"/>
      <c r="F337" s="101"/>
      <c r="I337"/>
      <c r="J337"/>
      <c r="K337"/>
      <c r="L337"/>
    </row>
    <row r="338" spans="1:12" ht="13" x14ac:dyDescent="0.3">
      <c r="A338" s="22"/>
      <c r="B338" s="89" t="s">
        <v>114</v>
      </c>
      <c r="C338" s="21" t="s">
        <v>247</v>
      </c>
      <c r="E338" s="98"/>
      <c r="F338" s="101"/>
      <c r="I338"/>
      <c r="J338"/>
      <c r="K338"/>
      <c r="L338"/>
    </row>
    <row r="339" spans="1:12" ht="13" x14ac:dyDescent="0.3">
      <c r="A339" s="22"/>
      <c r="B339" s="89"/>
      <c r="C339" s="296" t="s">
        <v>348</v>
      </c>
      <c r="E339" s="98"/>
      <c r="F339" s="101"/>
      <c r="I339"/>
      <c r="J339"/>
      <c r="K339"/>
      <c r="L339"/>
    </row>
    <row r="340" spans="1:12" ht="13" x14ac:dyDescent="0.3">
      <c r="A340" s="22"/>
      <c r="B340" s="89" t="s">
        <v>115</v>
      </c>
      <c r="C340" s="12" t="str">
        <f>'BGS PTY20 Cost Alloc'!C$308</f>
        <v xml:space="preserve"> forecasted 2021 energy use by class based upon PJM on/off % from 2018 through 2020 class load profiles</v>
      </c>
      <c r="E340" s="98"/>
      <c r="F340" s="101"/>
      <c r="I340"/>
      <c r="J340"/>
      <c r="K340"/>
      <c r="L340"/>
    </row>
    <row r="341" spans="1:12" ht="13" x14ac:dyDescent="0.3">
      <c r="A341" s="22"/>
      <c r="B341" s="89"/>
      <c r="C341" s="12" t="str">
        <f>'BGS PTY20 Cost Alloc'!C$309</f>
        <v xml:space="preserve">   JCP&amp;L billing on/off % from 2021 forecasted billing determinants</v>
      </c>
      <c r="E341" s="98"/>
      <c r="F341" s="101"/>
      <c r="I341"/>
      <c r="J341"/>
      <c r="K341"/>
      <c r="L341"/>
    </row>
    <row r="342" spans="1:12" ht="13" x14ac:dyDescent="0.3">
      <c r="A342" s="22"/>
      <c r="B342" s="89" t="s">
        <v>116</v>
      </c>
      <c r="C342" s="12" t="str">
        <f>'BGS PTY20 Cost Alloc'!C$310</f>
        <v xml:space="preserve"> class totals for 2021 excluding accounts required to take service under BGS-CIEP as of June 1, 2022</v>
      </c>
      <c r="E342" s="98"/>
      <c r="F342" s="101"/>
      <c r="I342"/>
      <c r="J342"/>
      <c r="K342"/>
      <c r="L342"/>
    </row>
    <row r="343" spans="1:12" ht="13" x14ac:dyDescent="0.3">
      <c r="A343" s="22"/>
      <c r="B343" s="89" t="s">
        <v>117</v>
      </c>
      <c r="C343" s="13" t="s">
        <v>166</v>
      </c>
      <c r="E343" s="98"/>
      <c r="F343" s="101"/>
      <c r="I343"/>
      <c r="J343"/>
      <c r="K343"/>
      <c r="L343"/>
    </row>
    <row r="344" spans="1:12" ht="13" x14ac:dyDescent="0.3">
      <c r="A344" s="22"/>
      <c r="B344" s="89" t="s">
        <v>118</v>
      </c>
      <c r="C344" s="13" t="s">
        <v>214</v>
      </c>
      <c r="E344" s="100"/>
      <c r="F344" s="101"/>
      <c r="I344"/>
      <c r="J344"/>
      <c r="K344"/>
      <c r="L344"/>
    </row>
    <row r="345" spans="1:12" ht="13" x14ac:dyDescent="0.3">
      <c r="C345" s="13" t="s">
        <v>119</v>
      </c>
      <c r="E345" s="98"/>
      <c r="F345" s="101"/>
      <c r="I345"/>
      <c r="J345"/>
      <c r="K345"/>
      <c r="L345"/>
    </row>
    <row r="346" spans="1:12" ht="13" x14ac:dyDescent="0.3">
      <c r="B346" s="89" t="s">
        <v>120</v>
      </c>
      <c r="C346" s="103" t="s">
        <v>189</v>
      </c>
      <c r="E346" s="98"/>
      <c r="F346" s="101"/>
      <c r="I346"/>
      <c r="J346"/>
      <c r="K346"/>
      <c r="L346"/>
    </row>
    <row r="347" spans="1:12" ht="13" x14ac:dyDescent="0.3">
      <c r="A347" s="22"/>
      <c r="C347" s="103" t="s">
        <v>121</v>
      </c>
      <c r="E347" s="99"/>
      <c r="I347"/>
      <c r="J347"/>
      <c r="K347"/>
      <c r="L347"/>
    </row>
    <row r="348" spans="1:12" x14ac:dyDescent="0.25">
      <c r="C348" s="103" t="s">
        <v>188</v>
      </c>
      <c r="I348"/>
      <c r="J348"/>
      <c r="K348"/>
      <c r="L348"/>
    </row>
    <row r="349" spans="1:12" ht="13" x14ac:dyDescent="0.3">
      <c r="A349" s="7"/>
      <c r="B349" s="404" t="s">
        <v>314</v>
      </c>
      <c r="C349" s="405" t="s">
        <v>315</v>
      </c>
      <c r="D349"/>
      <c r="E349" s="137"/>
      <c r="F349" s="4"/>
      <c r="G349"/>
      <c r="H349"/>
      <c r="I349"/>
      <c r="J349"/>
      <c r="K349"/>
      <c r="L349"/>
    </row>
    <row r="350" spans="1:12" ht="13" x14ac:dyDescent="0.3">
      <c r="A350" s="7"/>
      <c r="B350" t="str">
        <f>'BGS PTY20 Cost Alloc'!B319</f>
        <v xml:space="preserve"> </v>
      </c>
      <c r="C350" s="9"/>
      <c r="D350"/>
      <c r="E350" s="137"/>
      <c r="F350" s="137"/>
      <c r="G350"/>
      <c r="H350"/>
      <c r="I350"/>
      <c r="J350"/>
      <c r="K350"/>
      <c r="L350"/>
    </row>
    <row r="355" spans="12:12" x14ac:dyDescent="0.25">
      <c r="L355" s="144"/>
    </row>
    <row r="364" spans="12:12" x14ac:dyDescent="0.25">
      <c r="L364" s="144"/>
    </row>
    <row r="365" spans="12:12" x14ac:dyDescent="0.25">
      <c r="L365" s="144"/>
    </row>
    <row r="366" spans="12:12" x14ac:dyDescent="0.25">
      <c r="L366" s="144"/>
    </row>
    <row r="367" spans="12:12" x14ac:dyDescent="0.25">
      <c r="L367" s="139"/>
    </row>
    <row r="368" spans="12:12" x14ac:dyDescent="0.25">
      <c r="L368" s="139"/>
    </row>
    <row r="369" spans="12:12" x14ac:dyDescent="0.25">
      <c r="L369" s="139"/>
    </row>
  </sheetData>
  <mergeCells count="16"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  <mergeCell ref="B144:L144"/>
    <mergeCell ref="B285:L285"/>
    <mergeCell ref="B286:L286"/>
    <mergeCell ref="B238:L238"/>
    <mergeCell ref="B239:L239"/>
    <mergeCell ref="B208:L208"/>
    <mergeCell ref="B209:L209"/>
  </mergeCells>
  <phoneticPr fontId="33" type="noConversion"/>
  <pageMargins left="0.97" right="0.79" top="0.69" bottom="0.67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47"/>
  <sheetViews>
    <sheetView view="pageBreakPreview" zoomScale="82" zoomScaleNormal="60" zoomScaleSheetLayoutView="82" workbookViewId="0">
      <selection activeCell="E166" sqref="E166"/>
    </sheetView>
  </sheetViews>
  <sheetFormatPr defaultColWidth="9.08984375" defaultRowHeight="12.5" x14ac:dyDescent="0.25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6.54296875" style="13" customWidth="1"/>
    <col min="6" max="6" width="16" style="13" customWidth="1"/>
    <col min="7" max="7" width="16.54296875" style="13" customWidth="1"/>
    <col min="8" max="8" width="15.453125" style="13" customWidth="1"/>
    <col min="9" max="9" width="14.08984375" style="13" customWidth="1"/>
    <col min="10" max="10" width="16.453125" style="13" customWidth="1"/>
    <col min="11" max="11" width="12.54296875" style="13" customWidth="1"/>
    <col min="12" max="12" width="16.54296875" style="13" customWidth="1"/>
    <col min="13" max="13" width="21.81640625" style="13" hidden="1" customWidth="1"/>
    <col min="14" max="14" width="15.08984375" style="13" hidden="1" customWidth="1"/>
    <col min="15" max="16" width="12.453125" style="13" hidden="1" customWidth="1"/>
    <col min="17" max="17" width="13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0.54296875" style="13" hidden="1" customWidth="1"/>
    <col min="26" max="26" width="11.54296875" style="13" hidden="1" customWidth="1"/>
    <col min="27" max="27" width="12.54296875" style="13" hidden="1" customWidth="1"/>
    <col min="28" max="28" width="13.453125" style="13" hidden="1" customWidth="1"/>
    <col min="29" max="29" width="11" style="13" hidden="1" customWidth="1"/>
    <col min="30" max="30" width="14.08984375" style="13" hidden="1" customWidth="1"/>
    <col min="31" max="31" width="9.90625" style="13" hidden="1" customWidth="1"/>
    <col min="32" max="32" width="9.08984375" style="13" hidden="1" customWidth="1"/>
    <col min="33" max="33" width="12" style="13" hidden="1" customWidth="1"/>
    <col min="34" max="34" width="9.08984375" style="13" hidden="1" customWidth="1"/>
    <col min="35" max="37" width="9.08984375" style="13" customWidth="1"/>
    <col min="38" max="38" width="9.453125" style="13" customWidth="1"/>
    <col min="39" max="46" width="9.08984375" style="13" customWidth="1"/>
    <col min="47" max="48" width="10.90625" style="13" customWidth="1"/>
    <col min="49" max="49" width="12.453125" style="13" customWidth="1"/>
    <col min="50" max="50" width="10.90625" style="13" customWidth="1"/>
    <col min="51" max="51" width="11.453125" style="13" customWidth="1"/>
    <col min="52" max="16384" width="9.08984375" style="13"/>
  </cols>
  <sheetData>
    <row r="1" spans="1:26" ht="15.5" x14ac:dyDescent="0.35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5" x14ac:dyDescent="0.35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5" x14ac:dyDescent="0.35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</row>
    <row r="4" spans="1:26" ht="15.5" x14ac:dyDescent="0.3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5" x14ac:dyDescent="0.35">
      <c r="B5" s="639" t="s">
        <v>349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x14ac:dyDescent="0.25">
      <c r="L6" s="120" t="s">
        <v>252</v>
      </c>
    </row>
    <row r="8" spans="1:26" ht="15.5" x14ac:dyDescent="0.35">
      <c r="B8" s="14" t="s">
        <v>50</v>
      </c>
    </row>
    <row r="9" spans="1:26" ht="13" x14ac:dyDescent="0.3">
      <c r="A9" s="15"/>
      <c r="B9" s="16" t="s">
        <v>45</v>
      </c>
    </row>
    <row r="10" spans="1:26" ht="13" x14ac:dyDescent="0.3">
      <c r="E10" s="17" t="str">
        <f>'BGS PTY20 Cost Alloc'!$E$10</f>
        <v>Based on an average of 2018 through 2020 Load Profile Information</v>
      </c>
    </row>
    <row r="11" spans="1:26" ht="13" x14ac:dyDescent="0.3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3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K12" s="23"/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ht="13" x14ac:dyDescent="0.3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ht="13" x14ac:dyDescent="0.3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" x14ac:dyDescent="0.3">
      <c r="A15" s="22"/>
      <c r="B15" s="28" t="s">
        <v>1</v>
      </c>
      <c r="C15" s="29"/>
      <c r="D15" s="29"/>
      <c r="E15" s="153">
        <f>'BGS PTY20 Cost Alloc'!E15</f>
        <v>0.49259999999999998</v>
      </c>
      <c r="F15" s="153">
        <f>'BGS PTY20 Cost Alloc'!F15</f>
        <v>0.5171</v>
      </c>
      <c r="G15" s="153">
        <f>'BGS PTY20 Cost Alloc'!G15</f>
        <v>0.57699999999999996</v>
      </c>
      <c r="H15" s="153">
        <f>'BGS PTY20 Cost Alloc'!H15</f>
        <v>0.55369999999999997</v>
      </c>
      <c r="I15" s="153">
        <f>'BGS PTY20 Cost Alloc'!I15</f>
        <v>0.33700000000000002</v>
      </c>
      <c r="J15" s="29"/>
      <c r="K15" s="30"/>
      <c r="L15" s="30"/>
      <c r="M15" s="30"/>
      <c r="N15" s="31"/>
      <c r="O15" s="32"/>
      <c r="P15" s="32"/>
      <c r="Q15" s="32">
        <f t="shared" ref="Q15:U26" si="0">1-E15</f>
        <v>0.50740000000000007</v>
      </c>
      <c r="R15" s="32">
        <f t="shared" si="0"/>
        <v>0.4829</v>
      </c>
      <c r="S15" s="32">
        <f t="shared" si="0"/>
        <v>0.42300000000000004</v>
      </c>
      <c r="T15" s="32">
        <f t="shared" si="0"/>
        <v>0.44630000000000003</v>
      </c>
      <c r="U15" s="32">
        <f t="shared" si="0"/>
        <v>0.66300000000000003</v>
      </c>
      <c r="V15" s="32"/>
      <c r="W15" s="32"/>
      <c r="X15" s="32"/>
      <c r="Y15" s="32"/>
      <c r="Z15" s="32"/>
    </row>
    <row r="16" spans="1:26" ht="13" x14ac:dyDescent="0.3">
      <c r="A16" s="22"/>
      <c r="B16" s="28" t="s">
        <v>2</v>
      </c>
      <c r="C16" s="29"/>
      <c r="D16" s="29"/>
      <c r="E16" s="153">
        <f>'BGS PTY20 Cost Alloc'!E16</f>
        <v>0.47</v>
      </c>
      <c r="F16" s="153">
        <f>'BGS PTY20 Cost Alloc'!F16</f>
        <v>0.49769999999999998</v>
      </c>
      <c r="G16" s="153">
        <f>'BGS PTY20 Cost Alloc'!G16</f>
        <v>0.56659999999999999</v>
      </c>
      <c r="H16" s="153">
        <f>'BGS PTY20 Cost Alloc'!H16</f>
        <v>0.54600000000000004</v>
      </c>
      <c r="I16" s="153">
        <f>'BGS PTY20 Cost Alloc'!I16</f>
        <v>0.30819999999999997</v>
      </c>
      <c r="J16" s="29"/>
      <c r="K16" s="30"/>
      <c r="L16" s="30"/>
      <c r="M16" s="30"/>
      <c r="N16" s="31"/>
      <c r="O16" s="32"/>
      <c r="P16" s="32"/>
      <c r="Q16" s="32">
        <f t="shared" si="0"/>
        <v>0.53</v>
      </c>
      <c r="R16" s="32">
        <f t="shared" si="0"/>
        <v>0.50229999999999997</v>
      </c>
      <c r="S16" s="32">
        <f t="shared" si="0"/>
        <v>0.43340000000000001</v>
      </c>
      <c r="T16" s="32">
        <f t="shared" si="0"/>
        <v>0.45399999999999996</v>
      </c>
      <c r="U16" s="32">
        <f t="shared" si="0"/>
        <v>0.69179999999999997</v>
      </c>
      <c r="V16" s="32"/>
      <c r="W16" s="32"/>
      <c r="X16" s="32"/>
      <c r="Y16" s="32"/>
      <c r="Z16" s="32"/>
    </row>
    <row r="17" spans="1:26" ht="13" x14ac:dyDescent="0.3">
      <c r="A17" s="22"/>
      <c r="B17" s="28" t="s">
        <v>3</v>
      </c>
      <c r="C17" s="29"/>
      <c r="D17" s="29"/>
      <c r="E17" s="153">
        <f>'BGS PTY20 Cost Alloc'!E17</f>
        <v>0.47660000000000002</v>
      </c>
      <c r="F17" s="153">
        <f>'BGS PTY20 Cost Alloc'!F17</f>
        <v>0.50309999999999999</v>
      </c>
      <c r="G17" s="153">
        <f>'BGS PTY20 Cost Alloc'!G17</f>
        <v>0.58230000000000004</v>
      </c>
      <c r="H17" s="153">
        <f>'BGS PTY20 Cost Alloc'!H17</f>
        <v>0.53749999999999998</v>
      </c>
      <c r="I17" s="153">
        <f>'BGS PTY20 Cost Alloc'!I17</f>
        <v>0.30209999999999998</v>
      </c>
      <c r="J17" s="29"/>
      <c r="K17" s="30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0"/>
        <v>0.49690000000000001</v>
      </c>
      <c r="S17" s="32">
        <f t="shared" si="0"/>
        <v>0.41769999999999996</v>
      </c>
      <c r="T17" s="32">
        <f t="shared" si="0"/>
        <v>0.46250000000000002</v>
      </c>
      <c r="U17" s="32">
        <f t="shared" si="0"/>
        <v>0.69789999999999996</v>
      </c>
      <c r="V17" s="32"/>
      <c r="W17" s="32"/>
      <c r="X17" s="32"/>
      <c r="Y17" s="32"/>
      <c r="Z17" s="32"/>
    </row>
    <row r="18" spans="1:26" ht="13" x14ac:dyDescent="0.3">
      <c r="A18" s="22"/>
      <c r="B18" s="28" t="s">
        <v>4</v>
      </c>
      <c r="C18" s="29"/>
      <c r="D18" s="29"/>
      <c r="E18" s="153">
        <f>'BGS PTY20 Cost Alloc'!E18</f>
        <v>0.50070000000000003</v>
      </c>
      <c r="F18" s="153">
        <f>'BGS PTY20 Cost Alloc'!F18</f>
        <v>0.52190000000000003</v>
      </c>
      <c r="G18" s="153">
        <f>'BGS PTY20 Cost Alloc'!G18</f>
        <v>0.59840000000000004</v>
      </c>
      <c r="H18" s="153">
        <f>'BGS PTY20 Cost Alloc'!H18</f>
        <v>0.55600000000000005</v>
      </c>
      <c r="I18" s="153">
        <f>'BGS PTY20 Cost Alloc'!I18</f>
        <v>0.3145</v>
      </c>
      <c r="J18" s="29"/>
      <c r="K18" s="30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0"/>
        <v>0.47809999999999997</v>
      </c>
      <c r="S18" s="32">
        <f t="shared" si="0"/>
        <v>0.40159999999999996</v>
      </c>
      <c r="T18" s="32">
        <f t="shared" si="0"/>
        <v>0.44399999999999995</v>
      </c>
      <c r="U18" s="32">
        <f t="shared" si="0"/>
        <v>0.6855</v>
      </c>
      <c r="V18" s="32"/>
      <c r="W18" s="32"/>
      <c r="X18" s="32"/>
      <c r="Y18" s="32"/>
      <c r="Z18" s="32"/>
    </row>
    <row r="19" spans="1:26" ht="13" x14ac:dyDescent="0.3">
      <c r="A19" s="22"/>
      <c r="B19" s="28" t="s">
        <v>5</v>
      </c>
      <c r="C19" s="29"/>
      <c r="D19" s="29"/>
      <c r="E19" s="153">
        <f>'BGS PTY20 Cost Alloc'!E19</f>
        <v>0.47789999999999999</v>
      </c>
      <c r="F19" s="153">
        <f>'BGS PTY20 Cost Alloc'!F19</f>
        <v>0.49490000000000001</v>
      </c>
      <c r="G19" s="153">
        <f>'BGS PTY20 Cost Alloc'!G19</f>
        <v>0.58460000000000001</v>
      </c>
      <c r="H19" s="153">
        <f>'BGS PTY20 Cost Alloc'!H19</f>
        <v>0.55469999999999997</v>
      </c>
      <c r="I19" s="153">
        <f>'BGS PTY20 Cost Alloc'!I19</f>
        <v>0.29649999999999999</v>
      </c>
      <c r="J19" s="29"/>
      <c r="K19" s="30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0"/>
        <v>0.50509999999999999</v>
      </c>
      <c r="S19" s="32">
        <f t="shared" si="0"/>
        <v>0.41539999999999999</v>
      </c>
      <c r="T19" s="32">
        <f t="shared" si="0"/>
        <v>0.44530000000000003</v>
      </c>
      <c r="U19" s="32">
        <f t="shared" si="0"/>
        <v>0.70350000000000001</v>
      </c>
      <c r="V19" s="32"/>
      <c r="W19" s="32"/>
      <c r="X19" s="32"/>
      <c r="Y19" s="32"/>
      <c r="Z19" s="32"/>
    </row>
    <row r="20" spans="1:26" ht="13" x14ac:dyDescent="0.3">
      <c r="A20" s="22"/>
      <c r="B20" s="178" t="s">
        <v>6</v>
      </c>
      <c r="C20" s="199"/>
      <c r="D20" s="199"/>
      <c r="E20" s="203">
        <f>'BGS PTY20 Cost Alloc'!E20</f>
        <v>0.52170000000000005</v>
      </c>
      <c r="F20" s="203">
        <f>'BGS PTY20 Cost Alloc'!F20</f>
        <v>0.52869999999999995</v>
      </c>
      <c r="G20" s="203">
        <f>'BGS PTY20 Cost Alloc'!G20</f>
        <v>0.57709999999999995</v>
      </c>
      <c r="H20" s="203">
        <f>'BGS PTY20 Cost Alloc'!H20</f>
        <v>0.5605</v>
      </c>
      <c r="I20" s="220">
        <f>'BGS PTY20 Cost Alloc'!I20</f>
        <v>0.29330000000000001</v>
      </c>
      <c r="J20" s="29"/>
      <c r="K20" s="30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0"/>
        <v>0.47130000000000005</v>
      </c>
      <c r="S20" s="32">
        <f t="shared" si="0"/>
        <v>0.42290000000000005</v>
      </c>
      <c r="T20" s="32">
        <f t="shared" si="0"/>
        <v>0.4395</v>
      </c>
      <c r="U20" s="32">
        <f t="shared" si="0"/>
        <v>0.70669999999999999</v>
      </c>
      <c r="V20" s="32"/>
      <c r="W20" s="32"/>
      <c r="X20" s="32"/>
      <c r="Y20" s="32"/>
      <c r="Z20" s="32"/>
    </row>
    <row r="21" spans="1:26" ht="13" x14ac:dyDescent="0.3">
      <c r="A21" s="22"/>
      <c r="B21" s="182" t="s">
        <v>7</v>
      </c>
      <c r="C21" s="176"/>
      <c r="D21" s="176"/>
      <c r="E21" s="198">
        <f>'BGS PTY20 Cost Alloc'!E21</f>
        <v>0.52810000000000001</v>
      </c>
      <c r="F21" s="198">
        <f>'BGS PTY20 Cost Alloc'!F21</f>
        <v>0.52680000000000005</v>
      </c>
      <c r="G21" s="198">
        <f>'BGS PTY20 Cost Alloc'!G21</f>
        <v>0.58420000000000005</v>
      </c>
      <c r="H21" s="198">
        <f>'BGS PTY20 Cost Alloc'!H21</f>
        <v>0.56000000000000005</v>
      </c>
      <c r="I21" s="221">
        <f>'BGS PTY20 Cost Alloc'!I21</f>
        <v>0.29370000000000002</v>
      </c>
      <c r="J21" s="29"/>
      <c r="K21" s="30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0"/>
        <v>0.47319999999999995</v>
      </c>
      <c r="S21" s="32">
        <f t="shared" si="0"/>
        <v>0.41579999999999995</v>
      </c>
      <c r="T21" s="32">
        <f t="shared" si="0"/>
        <v>0.43999999999999995</v>
      </c>
      <c r="U21" s="32">
        <f t="shared" si="0"/>
        <v>0.70629999999999993</v>
      </c>
      <c r="V21" s="32"/>
      <c r="W21" s="32"/>
      <c r="X21" s="32"/>
      <c r="Y21" s="32"/>
      <c r="Z21" s="32"/>
    </row>
    <row r="22" spans="1:26" ht="13" x14ac:dyDescent="0.3">
      <c r="A22" s="22"/>
      <c r="B22" s="182" t="s">
        <v>8</v>
      </c>
      <c r="C22" s="176"/>
      <c r="D22" s="176"/>
      <c r="E22" s="198">
        <f>'BGS PTY20 Cost Alloc'!E22</f>
        <v>0.53610000000000002</v>
      </c>
      <c r="F22" s="198">
        <f>'BGS PTY20 Cost Alloc'!F22</f>
        <v>0.53549999999999998</v>
      </c>
      <c r="G22" s="198">
        <f>'BGS PTY20 Cost Alloc'!G22</f>
        <v>0.5867</v>
      </c>
      <c r="H22" s="198">
        <f>'BGS PTY20 Cost Alloc'!H22</f>
        <v>0.56420000000000003</v>
      </c>
      <c r="I22" s="221">
        <f>'BGS PTY20 Cost Alloc'!I22</f>
        <v>0.3019</v>
      </c>
      <c r="J22" s="29"/>
      <c r="K22" s="30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0"/>
        <v>0.46450000000000002</v>
      </c>
      <c r="S22" s="32">
        <f t="shared" si="0"/>
        <v>0.4133</v>
      </c>
      <c r="T22" s="32">
        <f t="shared" si="0"/>
        <v>0.43579999999999997</v>
      </c>
      <c r="U22" s="32">
        <f t="shared" si="0"/>
        <v>0.69809999999999994</v>
      </c>
      <c r="V22" s="32"/>
      <c r="W22" s="32"/>
      <c r="X22" s="32"/>
      <c r="Y22" s="32"/>
      <c r="Z22" s="32"/>
    </row>
    <row r="23" spans="1:26" ht="13" x14ac:dyDescent="0.3">
      <c r="A23" s="22"/>
      <c r="B23" s="185" t="s">
        <v>9</v>
      </c>
      <c r="C23" s="200"/>
      <c r="D23" s="200"/>
      <c r="E23" s="208">
        <f>'BGS PTY20 Cost Alloc'!E23</f>
        <v>0.46660000000000001</v>
      </c>
      <c r="F23" s="208">
        <f>'BGS PTY20 Cost Alloc'!F23</f>
        <v>0.47660000000000002</v>
      </c>
      <c r="G23" s="208">
        <f>'BGS PTY20 Cost Alloc'!G23</f>
        <v>0.56779999999999997</v>
      </c>
      <c r="H23" s="208">
        <f>'BGS PTY20 Cost Alloc'!H23</f>
        <v>0.5403</v>
      </c>
      <c r="I23" s="222">
        <f>'BGS PTY20 Cost Alloc'!I23</f>
        <v>0.3029</v>
      </c>
      <c r="J23" s="29"/>
      <c r="K23" s="30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0"/>
        <v>0.52339999999999998</v>
      </c>
      <c r="S23" s="32">
        <f t="shared" si="0"/>
        <v>0.43220000000000003</v>
      </c>
      <c r="T23" s="32">
        <f t="shared" si="0"/>
        <v>0.4597</v>
      </c>
      <c r="U23" s="32">
        <f t="shared" si="0"/>
        <v>0.69710000000000005</v>
      </c>
      <c r="V23" s="32"/>
      <c r="W23" s="32"/>
      <c r="X23" s="32"/>
      <c r="Y23" s="32"/>
      <c r="Z23" s="32"/>
    </row>
    <row r="24" spans="1:26" ht="13" x14ac:dyDescent="0.3">
      <c r="A24" s="22"/>
      <c r="B24" s="28" t="s">
        <v>10</v>
      </c>
      <c r="C24" s="29"/>
      <c r="D24" s="29"/>
      <c r="E24" s="153">
        <f>'BGS PTY20 Cost Alloc'!E24</f>
        <v>0.49909999999999999</v>
      </c>
      <c r="F24" s="153">
        <f>'BGS PTY20 Cost Alloc'!F24</f>
        <v>0.52910000000000001</v>
      </c>
      <c r="G24" s="153">
        <f>'BGS PTY20 Cost Alloc'!G24</f>
        <v>0.60489999999999999</v>
      </c>
      <c r="H24" s="153">
        <f>'BGS PTY20 Cost Alloc'!H24</f>
        <v>0.57609999999999995</v>
      </c>
      <c r="I24" s="153">
        <f>'BGS PTY20 Cost Alloc'!I24</f>
        <v>0.34639999999999999</v>
      </c>
      <c r="J24" s="29"/>
      <c r="K24" s="30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0"/>
        <v>0.47089999999999999</v>
      </c>
      <c r="S24" s="32">
        <f t="shared" si="0"/>
        <v>0.39510000000000001</v>
      </c>
      <c r="T24" s="32">
        <f t="shared" si="0"/>
        <v>0.42390000000000005</v>
      </c>
      <c r="U24" s="32">
        <f t="shared" si="0"/>
        <v>0.65359999999999996</v>
      </c>
      <c r="V24" s="32"/>
      <c r="W24" s="32"/>
      <c r="X24" s="32"/>
      <c r="Y24" s="32"/>
      <c r="Z24" s="32"/>
    </row>
    <row r="25" spans="1:26" ht="13" x14ac:dyDescent="0.3">
      <c r="A25" s="22"/>
      <c r="B25" s="28" t="s">
        <v>11</v>
      </c>
      <c r="C25" s="29"/>
      <c r="D25" s="29"/>
      <c r="E25" s="153">
        <f>'BGS PTY20 Cost Alloc'!E25</f>
        <v>0.45639999999999997</v>
      </c>
      <c r="F25" s="153">
        <f>'BGS PTY20 Cost Alloc'!F25</f>
        <v>0.48420000000000002</v>
      </c>
      <c r="G25" s="153">
        <f>'BGS PTY20 Cost Alloc'!G25</f>
        <v>0.56459999999999999</v>
      </c>
      <c r="H25" s="153">
        <f>'BGS PTY20 Cost Alloc'!H25</f>
        <v>0.53259999999999996</v>
      </c>
      <c r="I25" s="153">
        <f>'BGS PTY20 Cost Alloc'!I25</f>
        <v>0.32219999999999999</v>
      </c>
      <c r="J25" s="29"/>
      <c r="K25" s="30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0"/>
        <v>0.51580000000000004</v>
      </c>
      <c r="S25" s="32">
        <f t="shared" si="0"/>
        <v>0.43540000000000001</v>
      </c>
      <c r="T25" s="32">
        <f t="shared" si="0"/>
        <v>0.46740000000000004</v>
      </c>
      <c r="U25" s="32">
        <f t="shared" si="0"/>
        <v>0.67779999999999996</v>
      </c>
      <c r="V25" s="32"/>
      <c r="W25" s="32"/>
      <c r="X25" s="32"/>
      <c r="Y25" s="32"/>
      <c r="Z25" s="32"/>
    </row>
    <row r="26" spans="1:26" ht="13" x14ac:dyDescent="0.3">
      <c r="A26" s="22"/>
      <c r="B26" s="28" t="s">
        <v>12</v>
      </c>
      <c r="C26" s="29"/>
      <c r="D26" s="29"/>
      <c r="E26" s="153">
        <f>'BGS PTY20 Cost Alloc'!E26</f>
        <v>0.46160000000000001</v>
      </c>
      <c r="F26" s="153">
        <f>'BGS PTY20 Cost Alloc'!F26</f>
        <v>0.4829</v>
      </c>
      <c r="G26" s="153">
        <f>'BGS PTY20 Cost Alloc'!G26</f>
        <v>0.55369999999999997</v>
      </c>
      <c r="H26" s="153">
        <f>'BGS PTY20 Cost Alloc'!H26</f>
        <v>0.52359999999999995</v>
      </c>
      <c r="I26" s="153">
        <f>'BGS PTY20 Cost Alloc'!I26</f>
        <v>0.32629999999999998</v>
      </c>
      <c r="J26" s="29"/>
      <c r="K26" s="30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0"/>
        <v>0.5171</v>
      </c>
      <c r="S26" s="32">
        <f t="shared" si="0"/>
        <v>0.44630000000000003</v>
      </c>
      <c r="T26" s="32">
        <f t="shared" si="0"/>
        <v>0.47640000000000005</v>
      </c>
      <c r="U26" s="32">
        <f t="shared" si="0"/>
        <v>0.67369999999999997</v>
      </c>
      <c r="V26" s="32"/>
      <c r="W26" s="32"/>
      <c r="X26" s="32"/>
      <c r="Y26" s="32"/>
      <c r="Z26" s="32"/>
    </row>
    <row r="27" spans="1:26" ht="13" x14ac:dyDescent="0.3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1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3" x14ac:dyDescent="0.3">
      <c r="A28" s="22"/>
      <c r="B28" s="28"/>
      <c r="C28" s="31"/>
      <c r="D28" s="31"/>
      <c r="E28" s="31"/>
      <c r="F28" s="31"/>
      <c r="G28" s="31"/>
      <c r="H28" s="31"/>
      <c r="I28" s="33"/>
      <c r="J28" s="33"/>
      <c r="K28" s="31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3" x14ac:dyDescent="0.3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1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3">
      <c r="A30" s="22"/>
      <c r="C30" s="23"/>
      <c r="D30" s="23"/>
      <c r="E30" s="23" t="str">
        <f>'BGS PTY20 Cost Alloc'!$E$30</f>
        <v>2021 Forecasted Calendar Month Sales</v>
      </c>
      <c r="F30" s="23" t="s">
        <v>39</v>
      </c>
      <c r="G30" s="23" t="s">
        <v>39</v>
      </c>
      <c r="H30" s="23" t="str">
        <f>'BGS PTY20 Cost Alloc'!$E$30</f>
        <v>2021 Forecasted Calendar Month Sales</v>
      </c>
      <c r="I30" s="23" t="s">
        <v>39</v>
      </c>
      <c r="J30" s="23"/>
      <c r="K30" s="23"/>
      <c r="L30" s="23"/>
      <c r="M30" s="23"/>
      <c r="N30" s="17"/>
      <c r="O30" s="23"/>
      <c r="P30" s="23"/>
      <c r="Q30" s="23" t="str">
        <f>'BGS PTY20 Cost Alloc'!Q30</f>
        <v>2021 Forecasted Calendar Month Sales</v>
      </c>
      <c r="R30" s="23" t="s">
        <v>39</v>
      </c>
      <c r="S30" s="23" t="s">
        <v>39</v>
      </c>
      <c r="T30" s="23" t="str">
        <f>'BGS PTY20 Cost Alloc'!T30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ht="13" x14ac:dyDescent="0.3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ht="13" x14ac:dyDescent="0.3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" x14ac:dyDescent="0.3">
      <c r="A33" s="22"/>
      <c r="B33" s="28" t="s">
        <v>1</v>
      </c>
      <c r="C33" s="35"/>
      <c r="D33" s="135"/>
      <c r="E33" s="153">
        <f>'BGS PTY20 Cost Alloc'!E33</f>
        <v>0.3523</v>
      </c>
      <c r="F33" s="156" t="s">
        <v>40</v>
      </c>
      <c r="G33" s="156" t="s">
        <v>40</v>
      </c>
      <c r="H33" s="153">
        <f>'BGS PTY20 Cost Alloc'!H33</f>
        <v>0.41959999999999997</v>
      </c>
      <c r="I33" s="156" t="s">
        <v>40</v>
      </c>
      <c r="J33" s="35"/>
      <c r="K33" s="35"/>
      <c r="L33" s="31"/>
      <c r="M33" s="30"/>
      <c r="N33" s="31"/>
      <c r="O33" s="32"/>
      <c r="P33" s="32"/>
      <c r="Q33" s="32">
        <f t="shared" ref="Q33:Q44" si="1">1-E33</f>
        <v>0.64769999999999994</v>
      </c>
      <c r="R33" s="32"/>
      <c r="S33" s="32"/>
      <c r="T33" s="32">
        <f t="shared" ref="T33:T44" si="2">1-H33</f>
        <v>0.58040000000000003</v>
      </c>
      <c r="U33" s="32"/>
      <c r="V33" s="32"/>
      <c r="W33" s="32"/>
      <c r="X33" s="32"/>
      <c r="Y33" s="32"/>
      <c r="Z33" s="32"/>
    </row>
    <row r="34" spans="1:26" ht="13" x14ac:dyDescent="0.3">
      <c r="A34" s="22"/>
      <c r="B34" s="28" t="s">
        <v>2</v>
      </c>
      <c r="C34" s="35"/>
      <c r="D34" s="135"/>
      <c r="E34" s="153">
        <f>'BGS PTY20 Cost Alloc'!E34</f>
        <v>0.34749999999999998</v>
      </c>
      <c r="F34" s="156" t="s">
        <v>40</v>
      </c>
      <c r="G34" s="156" t="s">
        <v>40</v>
      </c>
      <c r="H34" s="153">
        <f>'BGS PTY20 Cost Alloc'!H34</f>
        <v>0.42799999999999999</v>
      </c>
      <c r="I34" s="156" t="s">
        <v>40</v>
      </c>
      <c r="J34" s="35"/>
      <c r="K34" s="35"/>
      <c r="L34" s="31"/>
      <c r="M34" s="30"/>
      <c r="N34" s="31"/>
      <c r="O34" s="32"/>
      <c r="P34" s="32"/>
      <c r="Q34" s="32">
        <f t="shared" si="1"/>
        <v>0.65250000000000008</v>
      </c>
      <c r="R34" s="32"/>
      <c r="S34" s="32"/>
      <c r="T34" s="32">
        <f t="shared" si="2"/>
        <v>0.57200000000000006</v>
      </c>
      <c r="U34" s="32"/>
      <c r="V34" s="32"/>
      <c r="W34" s="32"/>
      <c r="X34" s="32"/>
      <c r="Y34" s="32"/>
      <c r="Z34" s="32"/>
    </row>
    <row r="35" spans="1:26" ht="13" x14ac:dyDescent="0.3">
      <c r="A35" s="22"/>
      <c r="B35" s="28" t="s">
        <v>3</v>
      </c>
      <c r="C35" s="35"/>
      <c r="D35" s="135"/>
      <c r="E35" s="153">
        <f>'BGS PTY20 Cost Alloc'!E35</f>
        <v>0.3448</v>
      </c>
      <c r="F35" s="156" t="s">
        <v>40</v>
      </c>
      <c r="G35" s="156" t="s">
        <v>40</v>
      </c>
      <c r="H35" s="153">
        <f>'BGS PTY20 Cost Alloc'!H35</f>
        <v>0.4274</v>
      </c>
      <c r="I35" s="156" t="s">
        <v>40</v>
      </c>
      <c r="J35" s="35"/>
      <c r="K35" s="35"/>
      <c r="L35" s="31"/>
      <c r="M35" s="30"/>
      <c r="N35" s="31"/>
      <c r="O35" s="32"/>
      <c r="P35" s="32"/>
      <c r="Q35" s="32">
        <f t="shared" si="1"/>
        <v>0.6552</v>
      </c>
      <c r="R35" s="32"/>
      <c r="S35" s="32"/>
      <c r="T35" s="32">
        <f t="shared" si="2"/>
        <v>0.5726</v>
      </c>
      <c r="U35" s="32"/>
      <c r="V35" s="32"/>
      <c r="W35" s="32"/>
      <c r="X35" s="32"/>
      <c r="Y35" s="32"/>
      <c r="Z35" s="32"/>
    </row>
    <row r="36" spans="1:26" ht="13" x14ac:dyDescent="0.3">
      <c r="A36" s="22"/>
      <c r="B36" s="28" t="s">
        <v>4</v>
      </c>
      <c r="C36" s="35"/>
      <c r="D36" s="135"/>
      <c r="E36" s="153">
        <f>'BGS PTY20 Cost Alloc'!E36</f>
        <v>0.35089999999999999</v>
      </c>
      <c r="F36" s="156" t="s">
        <v>40</v>
      </c>
      <c r="G36" s="156" t="s">
        <v>40</v>
      </c>
      <c r="H36" s="153">
        <f>'BGS PTY20 Cost Alloc'!H36</f>
        <v>0.43519999999999998</v>
      </c>
      <c r="I36" s="156" t="s">
        <v>40</v>
      </c>
      <c r="J36" s="35"/>
      <c r="K36" s="35"/>
      <c r="L36" s="31"/>
      <c r="M36" s="30"/>
      <c r="N36" s="31"/>
      <c r="O36" s="32"/>
      <c r="P36" s="32"/>
      <c r="Q36" s="32">
        <f t="shared" si="1"/>
        <v>0.64910000000000001</v>
      </c>
      <c r="R36" s="32"/>
      <c r="S36" s="32"/>
      <c r="T36" s="32">
        <f t="shared" si="2"/>
        <v>0.56479999999999997</v>
      </c>
      <c r="U36" s="32"/>
      <c r="V36" s="32"/>
      <c r="W36" s="32"/>
      <c r="X36" s="32"/>
      <c r="Y36" s="32"/>
      <c r="Z36" s="32"/>
    </row>
    <row r="37" spans="1:26" ht="13" x14ac:dyDescent="0.3">
      <c r="A37" s="22"/>
      <c r="B37" s="28" t="s">
        <v>5</v>
      </c>
      <c r="C37" s="35"/>
      <c r="D37" s="135"/>
      <c r="E37" s="153">
        <f>'BGS PTY20 Cost Alloc'!E37</f>
        <v>0.3695</v>
      </c>
      <c r="F37" s="156" t="s">
        <v>40</v>
      </c>
      <c r="G37" s="156" t="s">
        <v>40</v>
      </c>
      <c r="H37" s="153">
        <f>'BGS PTY20 Cost Alloc'!H37</f>
        <v>0.44419999999999998</v>
      </c>
      <c r="I37" s="156" t="s">
        <v>40</v>
      </c>
      <c r="J37" s="35"/>
      <c r="K37" s="35"/>
      <c r="L37" s="31"/>
      <c r="M37" s="30"/>
      <c r="N37" s="31"/>
      <c r="O37" s="32"/>
      <c r="P37" s="32"/>
      <c r="Q37" s="32">
        <f t="shared" si="1"/>
        <v>0.63050000000000006</v>
      </c>
      <c r="R37" s="32"/>
      <c r="S37" s="32"/>
      <c r="T37" s="32">
        <f t="shared" si="2"/>
        <v>0.55580000000000007</v>
      </c>
      <c r="U37" s="32"/>
      <c r="V37" s="32"/>
      <c r="W37" s="32"/>
      <c r="X37" s="32"/>
      <c r="Y37" s="32"/>
      <c r="Z37" s="32"/>
    </row>
    <row r="38" spans="1:26" ht="13" x14ac:dyDescent="0.3">
      <c r="A38" s="22"/>
      <c r="B38" s="28" t="s">
        <v>6</v>
      </c>
      <c r="C38" s="35"/>
      <c r="D38" s="135"/>
      <c r="E38" s="153">
        <f>'BGS PTY20 Cost Alloc'!E38</f>
        <v>0.39810000000000001</v>
      </c>
      <c r="F38" s="156" t="s">
        <v>40</v>
      </c>
      <c r="G38" s="156" t="s">
        <v>40</v>
      </c>
      <c r="H38" s="153">
        <f>'BGS PTY20 Cost Alloc'!H38</f>
        <v>0.46050000000000002</v>
      </c>
      <c r="I38" s="156" t="s">
        <v>40</v>
      </c>
      <c r="J38" s="35"/>
      <c r="K38" s="35"/>
      <c r="L38" s="31"/>
      <c r="M38" s="30"/>
      <c r="N38" s="31"/>
      <c r="O38" s="32"/>
      <c r="P38" s="32"/>
      <c r="Q38" s="32">
        <f t="shared" si="1"/>
        <v>0.60189999999999999</v>
      </c>
      <c r="R38" s="32"/>
      <c r="S38" s="32"/>
      <c r="T38" s="32">
        <f t="shared" si="2"/>
        <v>0.53949999999999998</v>
      </c>
      <c r="U38" s="32"/>
      <c r="V38" s="32"/>
      <c r="W38" s="32"/>
      <c r="X38" s="32"/>
      <c r="Y38" s="32"/>
      <c r="Z38" s="32"/>
    </row>
    <row r="39" spans="1:26" ht="13" x14ac:dyDescent="0.3">
      <c r="A39" s="22"/>
      <c r="B39" s="28" t="s">
        <v>7</v>
      </c>
      <c r="C39" s="35"/>
      <c r="D39" s="135"/>
      <c r="E39" s="153">
        <f>'BGS PTY20 Cost Alloc'!E39</f>
        <v>0.41460000000000002</v>
      </c>
      <c r="F39" s="156" t="s">
        <v>40</v>
      </c>
      <c r="G39" s="156" t="s">
        <v>40</v>
      </c>
      <c r="H39" s="153">
        <f>'BGS PTY20 Cost Alloc'!H39</f>
        <v>0.4592</v>
      </c>
      <c r="I39" s="156" t="s">
        <v>40</v>
      </c>
      <c r="J39" s="35"/>
      <c r="K39" s="35"/>
      <c r="L39" s="31"/>
      <c r="M39" s="30"/>
      <c r="N39" s="31"/>
      <c r="O39" s="32"/>
      <c r="P39" s="32"/>
      <c r="Q39" s="32">
        <f t="shared" si="1"/>
        <v>0.58539999999999992</v>
      </c>
      <c r="R39" s="32"/>
      <c r="S39" s="32"/>
      <c r="T39" s="32">
        <f t="shared" si="2"/>
        <v>0.54079999999999995</v>
      </c>
      <c r="U39" s="32"/>
      <c r="V39" s="32"/>
      <c r="W39" s="32"/>
      <c r="X39" s="32"/>
      <c r="Y39" s="32"/>
      <c r="Z39" s="32"/>
    </row>
    <row r="40" spans="1:26" ht="13" x14ac:dyDescent="0.3">
      <c r="A40" s="22"/>
      <c r="B40" s="28" t="s">
        <v>8</v>
      </c>
      <c r="C40" s="35"/>
      <c r="D40" s="135"/>
      <c r="E40" s="153">
        <f>'BGS PTY20 Cost Alloc'!E40</f>
        <v>0.41870000000000002</v>
      </c>
      <c r="F40" s="156" t="s">
        <v>40</v>
      </c>
      <c r="G40" s="156" t="s">
        <v>40</v>
      </c>
      <c r="H40" s="153">
        <f>'BGS PTY20 Cost Alloc'!H40</f>
        <v>0.46</v>
      </c>
      <c r="I40" s="156" t="s">
        <v>40</v>
      </c>
      <c r="J40" s="35"/>
      <c r="K40" s="35"/>
      <c r="L40" s="31"/>
      <c r="M40" s="30"/>
      <c r="N40" s="31"/>
      <c r="O40" s="32"/>
      <c r="P40" s="32"/>
      <c r="Q40" s="32">
        <f t="shared" si="1"/>
        <v>0.58129999999999993</v>
      </c>
      <c r="R40" s="32"/>
      <c r="S40" s="32"/>
      <c r="T40" s="32">
        <f t="shared" si="2"/>
        <v>0.54</v>
      </c>
      <c r="U40" s="32"/>
      <c r="V40" s="32"/>
      <c r="W40" s="32"/>
      <c r="X40" s="32"/>
      <c r="Y40" s="32"/>
      <c r="Z40" s="32"/>
    </row>
    <row r="41" spans="1:26" ht="13" x14ac:dyDescent="0.3">
      <c r="A41" s="22"/>
      <c r="B41" s="28" t="s">
        <v>9</v>
      </c>
      <c r="C41" s="35"/>
      <c r="D41" s="135"/>
      <c r="E41" s="153">
        <f>'BGS PTY20 Cost Alloc'!E41</f>
        <v>0.4083</v>
      </c>
      <c r="F41" s="156" t="s">
        <v>40</v>
      </c>
      <c r="G41" s="156" t="s">
        <v>40</v>
      </c>
      <c r="H41" s="153">
        <f>'BGS PTY20 Cost Alloc'!H41</f>
        <v>0.46350000000000002</v>
      </c>
      <c r="I41" s="156" t="s">
        <v>40</v>
      </c>
      <c r="J41" s="35"/>
      <c r="K41" s="35"/>
      <c r="L41" s="31"/>
      <c r="M41" s="30"/>
      <c r="N41" s="31"/>
      <c r="O41" s="32"/>
      <c r="P41" s="32"/>
      <c r="Q41" s="32">
        <f t="shared" si="1"/>
        <v>0.5917</v>
      </c>
      <c r="R41" s="32"/>
      <c r="S41" s="32"/>
      <c r="T41" s="32">
        <f t="shared" si="2"/>
        <v>0.53649999999999998</v>
      </c>
      <c r="U41" s="32"/>
      <c r="V41" s="32"/>
      <c r="W41" s="32"/>
      <c r="X41" s="32"/>
      <c r="Y41" s="32"/>
      <c r="Z41" s="32"/>
    </row>
    <row r="42" spans="1:26" ht="13" x14ac:dyDescent="0.3">
      <c r="A42" s="22"/>
      <c r="B42" s="28" t="s">
        <v>10</v>
      </c>
      <c r="C42" s="35"/>
      <c r="D42" s="135"/>
      <c r="E42" s="153">
        <f>'BGS PTY20 Cost Alloc'!E42</f>
        <v>0.37069999999999997</v>
      </c>
      <c r="F42" s="156" t="s">
        <v>40</v>
      </c>
      <c r="G42" s="156" t="s">
        <v>40</v>
      </c>
      <c r="H42" s="153">
        <f>'BGS PTY20 Cost Alloc'!H42</f>
        <v>0.4592</v>
      </c>
      <c r="I42" s="156" t="s">
        <v>40</v>
      </c>
      <c r="J42" s="35"/>
      <c r="K42" s="35"/>
      <c r="L42" s="31"/>
      <c r="M42" s="30"/>
      <c r="N42" s="31"/>
      <c r="O42" s="32"/>
      <c r="P42" s="32"/>
      <c r="Q42" s="32">
        <f t="shared" si="1"/>
        <v>0.62929999999999997</v>
      </c>
      <c r="R42" s="32"/>
      <c r="S42" s="32"/>
      <c r="T42" s="32">
        <f t="shared" si="2"/>
        <v>0.54079999999999995</v>
      </c>
      <c r="U42" s="32"/>
      <c r="V42" s="32"/>
      <c r="W42" s="32"/>
      <c r="X42" s="32"/>
      <c r="Y42" s="32"/>
      <c r="Z42" s="32"/>
    </row>
    <row r="43" spans="1:26" ht="13" x14ac:dyDescent="0.3">
      <c r="A43" s="22"/>
      <c r="B43" s="28" t="s">
        <v>11</v>
      </c>
      <c r="C43" s="35"/>
      <c r="D43" s="135"/>
      <c r="E43" s="153">
        <f>'BGS PTY20 Cost Alloc'!E43</f>
        <v>0.35199999999999998</v>
      </c>
      <c r="F43" s="156" t="s">
        <v>40</v>
      </c>
      <c r="G43" s="156" t="s">
        <v>40</v>
      </c>
      <c r="H43" s="153">
        <f>'BGS PTY20 Cost Alloc'!H43</f>
        <v>0.44429999999999997</v>
      </c>
      <c r="I43" s="156" t="s">
        <v>40</v>
      </c>
      <c r="J43" s="35"/>
      <c r="K43" s="35"/>
      <c r="L43" s="31"/>
      <c r="M43" s="30"/>
      <c r="N43" s="31"/>
      <c r="O43" s="32"/>
      <c r="P43" s="32"/>
      <c r="Q43" s="32">
        <f t="shared" si="1"/>
        <v>0.64800000000000002</v>
      </c>
      <c r="R43" s="32"/>
      <c r="S43" s="32"/>
      <c r="T43" s="32">
        <f t="shared" si="2"/>
        <v>0.55570000000000008</v>
      </c>
      <c r="U43" s="32"/>
      <c r="V43" s="32"/>
      <c r="W43" s="32"/>
      <c r="X43" s="32"/>
      <c r="Y43" s="32"/>
      <c r="Z43" s="32"/>
    </row>
    <row r="44" spans="1:26" ht="13" x14ac:dyDescent="0.3">
      <c r="A44" s="22"/>
      <c r="B44" s="28" t="s">
        <v>12</v>
      </c>
      <c r="C44" s="35"/>
      <c r="D44" s="135"/>
      <c r="E44" s="153">
        <f>'BGS PTY20 Cost Alloc'!E44</f>
        <v>0.35210000000000002</v>
      </c>
      <c r="F44" s="156" t="s">
        <v>40</v>
      </c>
      <c r="G44" s="156" t="s">
        <v>40</v>
      </c>
      <c r="H44" s="153">
        <f>'BGS PTY20 Cost Alloc'!H44</f>
        <v>0.4244</v>
      </c>
      <c r="I44" s="156" t="s">
        <v>40</v>
      </c>
      <c r="J44" s="35"/>
      <c r="K44" s="35"/>
      <c r="L44" s="31"/>
      <c r="M44" s="30"/>
      <c r="N44" s="31"/>
      <c r="O44" s="32"/>
      <c r="P44" s="32"/>
      <c r="Q44" s="32">
        <f t="shared" si="1"/>
        <v>0.64789999999999992</v>
      </c>
      <c r="R44" s="32"/>
      <c r="S44" s="32"/>
      <c r="T44" s="32">
        <f t="shared" si="2"/>
        <v>0.5756</v>
      </c>
      <c r="U44" s="32"/>
      <c r="V44" s="32"/>
      <c r="W44" s="32"/>
      <c r="X44" s="32"/>
      <c r="Y44" s="32"/>
      <c r="Z44" s="32"/>
    </row>
    <row r="45" spans="1:26" ht="13" x14ac:dyDescent="0.3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1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" x14ac:dyDescent="0.3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1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" x14ac:dyDescent="0.3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1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" x14ac:dyDescent="0.3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1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3" ht="13" x14ac:dyDescent="0.3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1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3" ht="13" x14ac:dyDescent="0.3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1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3" ht="13" x14ac:dyDescent="0.3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1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3" ht="15.5" x14ac:dyDescent="0.35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31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3" ht="15.5" x14ac:dyDescent="0.35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33" ht="13" x14ac:dyDescent="0.3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1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33" ht="13" x14ac:dyDescent="0.3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1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W55" s="169" t="str">
        <f>'BGS PTY20 Cost Alloc'!Y55</f>
        <v>Forecast 2021Delivery MWh</v>
      </c>
      <c r="X55" s="170"/>
      <c r="Y55" s="170"/>
      <c r="Z55" s="31"/>
    </row>
    <row r="56" spans="1:33" ht="13" x14ac:dyDescent="0.3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O56" s="16"/>
      <c r="W56" s="16"/>
      <c r="X56" s="16"/>
      <c r="Z56" s="167" t="s">
        <v>248</v>
      </c>
    </row>
    <row r="57" spans="1:33" ht="13" x14ac:dyDescent="0.3">
      <c r="A57" s="22"/>
      <c r="B57" s="39" t="str">
        <f>'BGS PTY20 Cost Alloc'!$B$57</f>
        <v>calendar month sales forecasted for 2021</v>
      </c>
      <c r="N57" s="40"/>
      <c r="O57" s="41"/>
      <c r="P57" s="41"/>
      <c r="Q57" s="41" t="s">
        <v>129</v>
      </c>
      <c r="R57" s="41"/>
      <c r="S57" s="41"/>
      <c r="T57" s="41"/>
      <c r="U57" s="42"/>
      <c r="W57" s="26" t="s">
        <v>13</v>
      </c>
    </row>
    <row r="58" spans="1:33" ht="13" x14ac:dyDescent="0.3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6" t="s">
        <v>60</v>
      </c>
      <c r="AA58" s="26" t="s">
        <v>52</v>
      </c>
      <c r="AB58" s="26" t="s">
        <v>0</v>
      </c>
      <c r="AC58" s="26" t="s">
        <v>53</v>
      </c>
      <c r="AD58" s="26" t="s">
        <v>53</v>
      </c>
      <c r="AG58" s="26" t="s">
        <v>54</v>
      </c>
    </row>
    <row r="59" spans="1:33" ht="13" x14ac:dyDescent="0.3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</row>
    <row r="60" spans="1:33" ht="13" x14ac:dyDescent="0.3">
      <c r="A60" s="22"/>
      <c r="B60" s="28" t="s">
        <v>1</v>
      </c>
      <c r="C60" s="49"/>
      <c r="D60" s="49"/>
      <c r="E60" s="50">
        <f>'BGS PTY20 Cost Alloc'!E60</f>
        <v>22142</v>
      </c>
      <c r="F60" s="50">
        <f>'BGS PTY20 Cost Alloc'!F60</f>
        <v>816952</v>
      </c>
      <c r="G60" s="50">
        <f>'BGS PTY20 Cost Alloc'!G60</f>
        <v>461911</v>
      </c>
      <c r="H60" s="50">
        <f>'BGS PTY20 Cost Alloc'!H60</f>
        <v>16347</v>
      </c>
      <c r="I60" s="50">
        <f>'BGS PTY20 Cost Alloc'!I60</f>
        <v>9591</v>
      </c>
      <c r="J60" s="50">
        <f t="shared" ref="J60:J72" si="3">SUM(E60:I60)</f>
        <v>1326943</v>
      </c>
      <c r="K60" s="49"/>
      <c r="L60" s="49"/>
      <c r="M60" s="50">
        <f t="shared" ref="M60:M71" si="4">E60-ROUND(SUM($W60/1000),0)</f>
        <v>21307</v>
      </c>
      <c r="N60" s="51" t="s">
        <v>28</v>
      </c>
      <c r="O60" s="52"/>
      <c r="P60" s="53"/>
      <c r="Q60" s="53">
        <f>SUM(E60:E64,E69:E71)</f>
        <v>134983</v>
      </c>
      <c r="R60" s="53">
        <f>SUM(F60:F64,F69:F71)</f>
        <v>5301746</v>
      </c>
      <c r="S60" s="53">
        <f>SUM(G60:G64,G69:G71)</f>
        <v>3491416</v>
      </c>
      <c r="T60" s="53">
        <f>SUM(H60:H64,H69:H71)</f>
        <v>135324</v>
      </c>
      <c r="U60" s="54">
        <f>SUM(I60:I64,I69:I71)</f>
        <v>76732</v>
      </c>
      <c r="V60" s="168">
        <f>'BGS PTY20 Cost Alloc'!V60</f>
        <v>44197</v>
      </c>
      <c r="W60" s="50">
        <f>'BGS PTY20 Cost Alloc'!W60</f>
        <v>835305.33333340008</v>
      </c>
      <c r="X60" s="50">
        <f>'BGS PTY20 Cost Alloc'!X60</f>
        <v>17031.333333400002</v>
      </c>
      <c r="Y60" s="55">
        <f t="shared" ref="Y60:Y71" si="5">W60-X60</f>
        <v>818274.00000000012</v>
      </c>
      <c r="Z60" s="50">
        <f>'BGS PTY20 Cost Alloc'!Z60</f>
        <v>1765042.4267481999</v>
      </c>
      <c r="AA60" s="50">
        <f>'BGS PTY20 Cost Alloc'!AA60</f>
        <v>21307.337336645403</v>
      </c>
      <c r="AB60" s="50">
        <f>'BGS PTY20 Cost Alloc'!AB60</f>
        <v>815187.26223660598</v>
      </c>
      <c r="AC60" s="50">
        <f>'BGS PTY20 Cost Alloc'!AC60</f>
        <v>461928.34518643201</v>
      </c>
      <c r="AD60" s="50">
        <f>'BGS PTY20 Cost Alloc'!AD60</f>
        <v>0</v>
      </c>
      <c r="AG60" s="50">
        <f>'BGS PTY20 Cost Alloc'!AG60</f>
        <v>16346.95763927</v>
      </c>
    </row>
    <row r="61" spans="1:33" ht="13" x14ac:dyDescent="0.3">
      <c r="A61" s="22"/>
      <c r="B61" s="28" t="s">
        <v>2</v>
      </c>
      <c r="C61" s="49"/>
      <c r="D61" s="49"/>
      <c r="E61" s="50">
        <f>'BGS PTY20 Cost Alloc'!E61</f>
        <v>20768</v>
      </c>
      <c r="F61" s="50">
        <f>'BGS PTY20 Cost Alloc'!F61</f>
        <v>733590</v>
      </c>
      <c r="G61" s="50">
        <f>'BGS PTY20 Cost Alloc'!G61</f>
        <v>457070</v>
      </c>
      <c r="H61" s="50">
        <f>'BGS PTY20 Cost Alloc'!H61</f>
        <v>17353</v>
      </c>
      <c r="I61" s="50">
        <f>'BGS PTY20 Cost Alloc'!I61</f>
        <v>9591</v>
      </c>
      <c r="J61" s="50">
        <f t="shared" si="3"/>
        <v>1238372</v>
      </c>
      <c r="K61" s="49"/>
      <c r="L61" s="49"/>
      <c r="M61" s="50">
        <f t="shared" si="4"/>
        <v>19994</v>
      </c>
      <c r="N61" s="51"/>
      <c r="O61" s="52"/>
      <c r="P61" s="114" t="s">
        <v>193</v>
      </c>
      <c r="Q61" s="53">
        <f>SUMPRODUCT(E33:E37,M60:M64)+SUMPRODUCT(E42:E44,M69:M71)</f>
        <v>45628.715299999996</v>
      </c>
      <c r="R61" s="47"/>
      <c r="S61" s="131" t="s">
        <v>177</v>
      </c>
      <c r="T61" s="53">
        <f>SUMPRODUCT(H33:H37,H60:H64)+SUMPRODUCT(H42:H44,H69:H71)</f>
        <v>58871.465100000001</v>
      </c>
      <c r="U61" s="48">
        <f>T61/T60</f>
        <v>0.43504082867783989</v>
      </c>
      <c r="V61" s="168">
        <f>'BGS PTY20 Cost Alloc'!V61</f>
        <v>44228</v>
      </c>
      <c r="W61" s="50">
        <f>'BGS PTY20 Cost Alloc'!W61</f>
        <v>773514.33333319996</v>
      </c>
      <c r="X61" s="50">
        <f>'BGS PTY20 Cost Alloc'!X61</f>
        <v>16190.666666599998</v>
      </c>
      <c r="Y61" s="55">
        <f t="shared" si="5"/>
        <v>757323.66666659992</v>
      </c>
      <c r="Z61" s="50">
        <f>'BGS PTY20 Cost Alloc'!Z61</f>
        <v>1695865.6894336999</v>
      </c>
      <c r="AA61" s="50">
        <f>'BGS PTY20 Cost Alloc'!AA61</f>
        <v>19994.198345899702</v>
      </c>
      <c r="AB61" s="50">
        <f>'BGS PTY20 Cost Alloc'!AB61</f>
        <v>731893.73229800106</v>
      </c>
      <c r="AC61" s="50">
        <f>'BGS PTY20 Cost Alloc'!AC61</f>
        <v>457085.50981368299</v>
      </c>
      <c r="AD61" s="50">
        <f>'BGS PTY20 Cost Alloc'!AD61</f>
        <v>0</v>
      </c>
      <c r="AG61" s="50">
        <f>'BGS PTY20 Cost Alloc'!AG61</f>
        <v>17353.1172310275</v>
      </c>
    </row>
    <row r="62" spans="1:33" ht="13" x14ac:dyDescent="0.3">
      <c r="A62" s="22"/>
      <c r="B62" s="28" t="s">
        <v>3</v>
      </c>
      <c r="C62" s="49"/>
      <c r="D62" s="49"/>
      <c r="E62" s="50">
        <f>'BGS PTY20 Cost Alloc'!E62</f>
        <v>19458</v>
      </c>
      <c r="F62" s="50">
        <f>'BGS PTY20 Cost Alloc'!F62</f>
        <v>694392</v>
      </c>
      <c r="G62" s="50">
        <f>'BGS PTY20 Cost Alloc'!G62</f>
        <v>446967</v>
      </c>
      <c r="H62" s="50">
        <f>'BGS PTY20 Cost Alloc'!H62</f>
        <v>16155</v>
      </c>
      <c r="I62" s="50">
        <f>'BGS PTY20 Cost Alloc'!I62</f>
        <v>9591</v>
      </c>
      <c r="J62" s="50">
        <f t="shared" si="3"/>
        <v>1186563</v>
      </c>
      <c r="K62" s="49"/>
      <c r="L62" s="49"/>
      <c r="M62" s="50">
        <f t="shared" si="4"/>
        <v>18695</v>
      </c>
      <c r="N62" s="51"/>
      <c r="O62" s="52"/>
      <c r="P62" s="114" t="s">
        <v>194</v>
      </c>
      <c r="Q62" s="53">
        <f>SUMPRODUCT(Q33:Q37,M60:M64)+SUMPRODUCT(Q42:Q44,M69:M71)</f>
        <v>83476.284700000018</v>
      </c>
      <c r="R62" s="47"/>
      <c r="S62" s="131" t="s">
        <v>178</v>
      </c>
      <c r="T62" s="53">
        <f>+T60-T61</f>
        <v>76452.534899999999</v>
      </c>
      <c r="U62" s="48"/>
      <c r="V62" s="168">
        <f>'BGS PTY20 Cost Alloc'!V62</f>
        <v>44256</v>
      </c>
      <c r="W62" s="50">
        <f>'BGS PTY20 Cost Alloc'!W62</f>
        <v>762524</v>
      </c>
      <c r="X62" s="50">
        <f>'BGS PTY20 Cost Alloc'!X62</f>
        <v>16807.333333299997</v>
      </c>
      <c r="Y62" s="55">
        <f t="shared" si="5"/>
        <v>745716.66666670004</v>
      </c>
      <c r="Z62" s="50">
        <f>'BGS PTY20 Cost Alloc'!Z62</f>
        <v>1518576.2878121</v>
      </c>
      <c r="AA62" s="50">
        <f>'BGS PTY20 Cost Alloc'!AA62</f>
        <v>18695.207039934798</v>
      </c>
      <c r="AB62" s="50">
        <f>'BGS PTY20 Cost Alloc'!AB62</f>
        <v>692873.01100558601</v>
      </c>
      <c r="AC62" s="50">
        <f>'BGS PTY20 Cost Alloc'!AC62</f>
        <v>446984.38002500997</v>
      </c>
      <c r="AD62" s="50">
        <f>'BGS PTY20 Cost Alloc'!AD62</f>
        <v>0</v>
      </c>
      <c r="AG62" s="50">
        <f>'BGS PTY20 Cost Alloc'!AG62</f>
        <v>16155.437702774301</v>
      </c>
    </row>
    <row r="63" spans="1:33" ht="13" x14ac:dyDescent="0.3">
      <c r="A63" s="22"/>
      <c r="B63" s="28" t="s">
        <v>4</v>
      </c>
      <c r="C63" s="49"/>
      <c r="D63" s="49"/>
      <c r="E63" s="50">
        <f>'BGS PTY20 Cost Alloc'!E63</f>
        <v>17588</v>
      </c>
      <c r="F63" s="50">
        <f>'BGS PTY20 Cost Alloc'!F63</f>
        <v>622304</v>
      </c>
      <c r="G63" s="50">
        <f>'BGS PTY20 Cost Alloc'!G63</f>
        <v>424176</v>
      </c>
      <c r="H63" s="50">
        <f>'BGS PTY20 Cost Alloc'!H63</f>
        <v>18178</v>
      </c>
      <c r="I63" s="50">
        <f>'BGS PTY20 Cost Alloc'!I63</f>
        <v>9591</v>
      </c>
      <c r="J63" s="50">
        <f t="shared" si="3"/>
        <v>1091837</v>
      </c>
      <c r="K63" s="49"/>
      <c r="L63" s="49"/>
      <c r="M63" s="50">
        <f t="shared" si="4"/>
        <v>16806</v>
      </c>
      <c r="N63" s="46"/>
      <c r="O63" s="47"/>
      <c r="P63" s="114" t="s">
        <v>195</v>
      </c>
      <c r="Q63" s="53">
        <f>SUM(W60:W64,W69:W71)/1000</f>
        <v>5877.0313333332997</v>
      </c>
      <c r="R63" s="47"/>
      <c r="S63" s="47"/>
      <c r="T63" s="47"/>
      <c r="U63" s="48"/>
      <c r="V63" s="168">
        <f>'BGS PTY20 Cost Alloc'!V63</f>
        <v>44287</v>
      </c>
      <c r="W63" s="50">
        <f>'BGS PTY20 Cost Alloc'!W63</f>
        <v>782029.66666670004</v>
      </c>
      <c r="X63" s="50">
        <f>'BGS PTY20 Cost Alloc'!X63</f>
        <v>15679.666666699999</v>
      </c>
      <c r="Y63" s="55">
        <f t="shared" si="5"/>
        <v>766350</v>
      </c>
      <c r="Z63" s="50">
        <f>'BGS PTY20 Cost Alloc'!Z63</f>
        <v>1254456.2899922</v>
      </c>
      <c r="AA63" s="50">
        <f>'BGS PTY20 Cost Alloc'!AA63</f>
        <v>16805.6496854457</v>
      </c>
      <c r="AB63" s="50">
        <f>'BGS PTY20 Cost Alloc'!AB63</f>
        <v>621050.23602456297</v>
      </c>
      <c r="AC63" s="50">
        <f>'BGS PTY20 Cost Alloc'!AC63</f>
        <v>424192.23496152501</v>
      </c>
      <c r="AD63" s="50">
        <f>'BGS PTY20 Cost Alloc'!AD63</f>
        <v>0</v>
      </c>
      <c r="AG63" s="50">
        <f>'BGS PTY20 Cost Alloc'!AG63</f>
        <v>18177.598447401298</v>
      </c>
    </row>
    <row r="64" spans="1:33" ht="13" x14ac:dyDescent="0.3">
      <c r="A64" s="22"/>
      <c r="B64" s="28" t="s">
        <v>5</v>
      </c>
      <c r="C64" s="49"/>
      <c r="D64" s="49"/>
      <c r="E64" s="50">
        <f>'BGS PTY20 Cost Alloc'!E64</f>
        <v>13518</v>
      </c>
      <c r="F64" s="50">
        <f>'BGS PTY20 Cost Alloc'!F64</f>
        <v>575300</v>
      </c>
      <c r="G64" s="50">
        <f>'BGS PTY20 Cost Alloc'!G64</f>
        <v>403525</v>
      </c>
      <c r="H64" s="50">
        <f>'BGS PTY20 Cost Alloc'!H64</f>
        <v>17667</v>
      </c>
      <c r="I64" s="50">
        <f>'BGS PTY20 Cost Alloc'!I64</f>
        <v>9591</v>
      </c>
      <c r="J64" s="50">
        <f t="shared" si="3"/>
        <v>1019601</v>
      </c>
      <c r="K64" s="49"/>
      <c r="L64" s="49"/>
      <c r="M64" s="50">
        <f t="shared" si="4"/>
        <v>12764</v>
      </c>
      <c r="N64" s="51" t="s">
        <v>29</v>
      </c>
      <c r="O64" s="52"/>
      <c r="P64" s="53"/>
      <c r="Q64" s="53">
        <f>+SUM(E65:E68)</f>
        <v>66252</v>
      </c>
      <c r="R64" s="53">
        <f>+SUM(F65:F68)</f>
        <v>3771661</v>
      </c>
      <c r="S64" s="53">
        <f>+SUM(G65:G68)</f>
        <v>1985450</v>
      </c>
      <c r="T64" s="53">
        <f>+SUM(H65:H68)</f>
        <v>70011</v>
      </c>
      <c r="U64" s="54">
        <f>+SUM(I65:I68)</f>
        <v>38368</v>
      </c>
      <c r="V64" s="168">
        <f>'BGS PTY20 Cost Alloc'!V64</f>
        <v>44317</v>
      </c>
      <c r="W64" s="50">
        <f>'BGS PTY20 Cost Alloc'!W64</f>
        <v>753569.66666659992</v>
      </c>
      <c r="X64" s="50">
        <f>'BGS PTY20 Cost Alloc'!X64</f>
        <v>17137.333333299997</v>
      </c>
      <c r="Y64" s="55">
        <f t="shared" si="5"/>
        <v>736432.33333329996</v>
      </c>
      <c r="Z64" s="50">
        <f>'BGS PTY20 Cost Alloc'!Z64</f>
        <v>942306.53541420004</v>
      </c>
      <c r="AA64" s="50">
        <f>'BGS PTY20 Cost Alloc'!AA64</f>
        <v>12764.137949146099</v>
      </c>
      <c r="AB64" s="50">
        <f>'BGS PTY20 Cost Alloc'!AB64</f>
        <v>574358.45418210607</v>
      </c>
      <c r="AC64" s="50">
        <f>'BGS PTY20 Cost Alloc'!AC64</f>
        <v>403542.358227205</v>
      </c>
      <c r="AD64" s="50">
        <f>'BGS PTY20 Cost Alloc'!AD64</f>
        <v>0</v>
      </c>
      <c r="AG64" s="50">
        <f>'BGS PTY20 Cost Alloc'!AG64</f>
        <v>17666.677462861106</v>
      </c>
    </row>
    <row r="65" spans="1:34" ht="13" x14ac:dyDescent="0.3">
      <c r="A65" s="22"/>
      <c r="B65" s="28" t="s">
        <v>6</v>
      </c>
      <c r="C65" s="49"/>
      <c r="D65" s="49"/>
      <c r="E65" s="50">
        <f>'BGS PTY20 Cost Alloc'!E65</f>
        <v>14337</v>
      </c>
      <c r="F65" s="50">
        <f>'BGS PTY20 Cost Alloc'!F65</f>
        <v>723824</v>
      </c>
      <c r="G65" s="50">
        <f>'BGS PTY20 Cost Alloc'!G65</f>
        <v>451534</v>
      </c>
      <c r="H65" s="50">
        <f>'BGS PTY20 Cost Alloc'!H65</f>
        <v>17075</v>
      </c>
      <c r="I65" s="50">
        <f>'BGS PTY20 Cost Alloc'!I65</f>
        <v>9592</v>
      </c>
      <c r="J65" s="50">
        <f t="shared" si="3"/>
        <v>1216362</v>
      </c>
      <c r="K65" s="49"/>
      <c r="L65" s="50"/>
      <c r="M65" s="50">
        <f t="shared" si="4"/>
        <v>13623</v>
      </c>
      <c r="N65" s="51"/>
      <c r="O65" s="52"/>
      <c r="P65" s="157" t="s">
        <v>151</v>
      </c>
      <c r="Q65" s="158">
        <f>SUMPRODUCT(E38:E41,M65:M68)</f>
        <v>26208.334600000002</v>
      </c>
      <c r="R65" s="158">
        <f>'BGS PTY20 Cost Alloc'!R65</f>
        <v>2001184.2100860353</v>
      </c>
      <c r="S65" s="131" t="s">
        <v>177</v>
      </c>
      <c r="T65" s="53">
        <f>+SUMPRODUCT(H38:H41,H65:H68)</f>
        <v>32259.11</v>
      </c>
      <c r="U65" s="56">
        <f>T65/T64</f>
        <v>0.46077202153947239</v>
      </c>
      <c r="V65" s="168">
        <f>'BGS PTY20 Cost Alloc'!V65</f>
        <v>44348</v>
      </c>
      <c r="W65" s="50">
        <f>'BGS PTY20 Cost Alloc'!W65</f>
        <v>714211.33333319984</v>
      </c>
      <c r="X65" s="50">
        <f>'BGS PTY20 Cost Alloc'!X65</f>
        <v>14597.666666599998</v>
      </c>
      <c r="Y65" s="55">
        <f t="shared" si="5"/>
        <v>699613.66666659981</v>
      </c>
      <c r="Z65" s="50">
        <f>'BGS PTY20 Cost Alloc'!Z65</f>
        <v>958170.39933430008</v>
      </c>
      <c r="AA65" s="50">
        <f>'BGS PTY20 Cost Alloc'!AA65</f>
        <v>12665.0697668962</v>
      </c>
      <c r="AB65" s="50">
        <f>'BGS PTY20 Cost Alloc'!AB65</f>
        <v>723823.84716710309</v>
      </c>
      <c r="AC65" s="50">
        <f>'BGS PTY20 Cost Alloc'!AC65</f>
        <v>451548.88985111599</v>
      </c>
      <c r="AD65" s="50">
        <f>'BGS PTY20 Cost Alloc'!AD65</f>
        <v>0</v>
      </c>
      <c r="AG65" s="50">
        <f>'BGS PTY20 Cost Alloc'!AG65</f>
        <v>17074.971081431897</v>
      </c>
    </row>
    <row r="66" spans="1:34" ht="13" x14ac:dyDescent="0.3">
      <c r="A66" s="22"/>
      <c r="B66" s="28" t="s">
        <v>7</v>
      </c>
      <c r="C66" s="49"/>
      <c r="D66" s="49"/>
      <c r="E66" s="50">
        <f>'BGS PTY20 Cost Alloc'!E66</f>
        <v>17436</v>
      </c>
      <c r="F66" s="50">
        <f>'BGS PTY20 Cost Alloc'!F66</f>
        <v>1009661</v>
      </c>
      <c r="G66" s="50">
        <f>'BGS PTY20 Cost Alloc'!G66</f>
        <v>508986</v>
      </c>
      <c r="H66" s="50">
        <f>'BGS PTY20 Cost Alloc'!H66</f>
        <v>18215</v>
      </c>
      <c r="I66" s="50">
        <f>'BGS PTY20 Cost Alloc'!I66</f>
        <v>9592</v>
      </c>
      <c r="J66" s="50">
        <f t="shared" si="3"/>
        <v>1563890</v>
      </c>
      <c r="K66" s="49"/>
      <c r="L66" s="50"/>
      <c r="M66" s="50">
        <f t="shared" si="4"/>
        <v>16819</v>
      </c>
      <c r="N66" s="51"/>
      <c r="O66" s="52"/>
      <c r="P66" s="157" t="s">
        <v>152</v>
      </c>
      <c r="Q66" s="158">
        <f>SUMPRODUCT(Q38:Q41,M65:M68)</f>
        <v>37596.665399999998</v>
      </c>
      <c r="R66" s="158">
        <f>'BGS PTY20 Cost Alloc'!R66</f>
        <v>1770476.7899139645</v>
      </c>
      <c r="S66" s="131" t="s">
        <v>178</v>
      </c>
      <c r="T66" s="53">
        <f>+T64-T65</f>
        <v>37751.89</v>
      </c>
      <c r="U66" s="48"/>
      <c r="V66" s="168">
        <f>'BGS PTY20 Cost Alloc'!V66</f>
        <v>44378</v>
      </c>
      <c r="W66" s="50">
        <f>'BGS PTY20 Cost Alloc'!W66</f>
        <v>616807.99999989988</v>
      </c>
      <c r="X66" s="50">
        <f>'BGS PTY20 Cost Alloc'!X66</f>
        <v>13290</v>
      </c>
      <c r="Y66" s="55">
        <f t="shared" si="5"/>
        <v>603517.99999989988</v>
      </c>
      <c r="Z66" s="50">
        <f>'BGS PTY20 Cost Alloc'!Z66</f>
        <v>1130406.3633818</v>
      </c>
      <c r="AA66" s="50">
        <f>'BGS PTY20 Cost Alloc'!AA66</f>
        <v>15689.100177203498</v>
      </c>
      <c r="AB66" s="50">
        <f>'BGS PTY20 Cost Alloc'!AB66</f>
        <v>1009660.73545941</v>
      </c>
      <c r="AC66" s="50">
        <f>'BGS PTY20 Cost Alloc'!AC66</f>
        <v>508998.82814385497</v>
      </c>
      <c r="AD66" s="50">
        <f>'BGS PTY20 Cost Alloc'!AD66</f>
        <v>0</v>
      </c>
      <c r="AG66" s="50">
        <f>'BGS PTY20 Cost Alloc'!AG66</f>
        <v>18215.475614256502</v>
      </c>
    </row>
    <row r="67" spans="1:34" ht="13" x14ac:dyDescent="0.3">
      <c r="A67" s="22"/>
      <c r="B67" s="28" t="s">
        <v>8</v>
      </c>
      <c r="C67" s="49"/>
      <c r="D67" s="49"/>
      <c r="E67" s="50">
        <f>'BGS PTY20 Cost Alloc'!E67</f>
        <v>18793</v>
      </c>
      <c r="F67" s="50">
        <f>'BGS PTY20 Cost Alloc'!F67</f>
        <v>1124675</v>
      </c>
      <c r="G67" s="50">
        <f>'BGS PTY20 Cost Alloc'!G67</f>
        <v>522761</v>
      </c>
      <c r="H67" s="50">
        <f>'BGS PTY20 Cost Alloc'!H67</f>
        <v>17554</v>
      </c>
      <c r="I67" s="50">
        <f>'BGS PTY20 Cost Alloc'!I67</f>
        <v>9592</v>
      </c>
      <c r="J67" s="50">
        <f t="shared" si="3"/>
        <v>1693375</v>
      </c>
      <c r="K67" s="49"/>
      <c r="L67" s="49"/>
      <c r="M67" s="50">
        <f t="shared" si="4"/>
        <v>18245</v>
      </c>
      <c r="N67" s="57"/>
      <c r="O67" s="58"/>
      <c r="P67" s="114" t="s">
        <v>195</v>
      </c>
      <c r="Q67" s="53">
        <f>SUM(W65:W68)/1000</f>
        <v>2446.2373333329997</v>
      </c>
      <c r="R67" s="66"/>
      <c r="S67" s="58"/>
      <c r="T67" s="58"/>
      <c r="U67" s="59"/>
      <c r="V67" s="168">
        <f>'BGS PTY20 Cost Alloc'!V67</f>
        <v>44409</v>
      </c>
      <c r="W67" s="50">
        <f>'BGS PTY20 Cost Alloc'!W67</f>
        <v>547708.33333329996</v>
      </c>
      <c r="X67" s="50">
        <f>'BGS PTY20 Cost Alloc'!X67</f>
        <v>10810</v>
      </c>
      <c r="Y67" s="55">
        <f t="shared" si="5"/>
        <v>536898.33333329996</v>
      </c>
      <c r="Z67" s="50">
        <f>'BGS PTY20 Cost Alloc'!Z67</f>
        <v>1189656.5865750001</v>
      </c>
      <c r="AA67" s="50">
        <f>'BGS PTY20 Cost Alloc'!AA67</f>
        <v>17056.286055908298</v>
      </c>
      <c r="AB67" s="50">
        <f>'BGS PTY20 Cost Alloc'!AB67</f>
        <v>1124674.67502419</v>
      </c>
      <c r="AC67" s="50">
        <f>'BGS PTY20 Cost Alloc'!AC67</f>
        <v>522771.83015931502</v>
      </c>
      <c r="AD67" s="50">
        <f>'BGS PTY20 Cost Alloc'!AD67</f>
        <v>0</v>
      </c>
      <c r="AG67" s="50">
        <f>'BGS PTY20 Cost Alloc'!AG67</f>
        <v>17553.704291102902</v>
      </c>
    </row>
    <row r="68" spans="1:34" ht="13" x14ac:dyDescent="0.3">
      <c r="A68" s="22"/>
      <c r="B68" s="28" t="s">
        <v>9</v>
      </c>
      <c r="C68" s="49"/>
      <c r="D68" s="49"/>
      <c r="E68" s="50">
        <f>'BGS PTY20 Cost Alloc'!E68</f>
        <v>15686</v>
      </c>
      <c r="F68" s="50">
        <f>'BGS PTY20 Cost Alloc'!F68</f>
        <v>913501</v>
      </c>
      <c r="G68" s="50">
        <f>'BGS PTY20 Cost Alloc'!G68</f>
        <v>502169</v>
      </c>
      <c r="H68" s="50">
        <f>'BGS PTY20 Cost Alloc'!H68</f>
        <v>17167</v>
      </c>
      <c r="I68" s="50">
        <f>'BGS PTY20 Cost Alloc'!I68</f>
        <v>9592</v>
      </c>
      <c r="J68" s="50">
        <f t="shared" si="3"/>
        <v>1458115</v>
      </c>
      <c r="K68" s="49"/>
      <c r="L68" s="49"/>
      <c r="M68" s="50">
        <f t="shared" si="4"/>
        <v>15118</v>
      </c>
      <c r="N68" s="40"/>
      <c r="O68" s="41"/>
      <c r="P68" s="41"/>
      <c r="Q68" s="41" t="s">
        <v>130</v>
      </c>
      <c r="R68" s="41"/>
      <c r="S68" s="41"/>
      <c r="T68" s="41"/>
      <c r="U68" s="42"/>
      <c r="V68" s="168">
        <f>'BGS PTY20 Cost Alloc'!V68</f>
        <v>44440</v>
      </c>
      <c r="W68" s="50">
        <f>'BGS PTY20 Cost Alloc'!W68</f>
        <v>567509.66666659992</v>
      </c>
      <c r="X68" s="50">
        <f>'BGS PTY20 Cost Alloc'!X68</f>
        <v>10542.333333300001</v>
      </c>
      <c r="Y68" s="55">
        <f t="shared" si="5"/>
        <v>556967.33333329996</v>
      </c>
      <c r="Z68" s="50">
        <f>'BGS PTY20 Cost Alloc'!Z68</f>
        <v>978953.98121590004</v>
      </c>
      <c r="AA68" s="50">
        <f>'BGS PTY20 Cost Alloc'!AA68</f>
        <v>14140.466268611901</v>
      </c>
      <c r="AB68" s="50">
        <f>'BGS PTY20 Cost Alloc'!AB68</f>
        <v>913501.49541683996</v>
      </c>
      <c r="AC68" s="50">
        <f>'BGS PTY20 Cost Alloc'!AC68</f>
        <v>502179.55454450502</v>
      </c>
      <c r="AD68" s="50">
        <f>'BGS PTY20 Cost Alloc'!AD68</f>
        <v>0</v>
      </c>
      <c r="AG68" s="50">
        <f>'BGS PTY20 Cost Alloc'!AG68</f>
        <v>17166.546802519799</v>
      </c>
    </row>
    <row r="69" spans="1:34" ht="13" x14ac:dyDescent="0.3">
      <c r="A69" s="22"/>
      <c r="B69" s="28" t="s">
        <v>10</v>
      </c>
      <c r="C69" s="49"/>
      <c r="D69" s="49"/>
      <c r="E69" s="50">
        <f>'BGS PTY20 Cost Alloc'!E69</f>
        <v>11029</v>
      </c>
      <c r="F69" s="50">
        <f>'BGS PTY20 Cost Alloc'!F69</f>
        <v>623412</v>
      </c>
      <c r="G69" s="50">
        <f>'BGS PTY20 Cost Alloc'!G69</f>
        <v>433635</v>
      </c>
      <c r="H69" s="50">
        <f>'BGS PTY20 Cost Alloc'!H69</f>
        <v>15970</v>
      </c>
      <c r="I69" s="50">
        <f>'BGS PTY20 Cost Alloc'!I69</f>
        <v>9592</v>
      </c>
      <c r="J69" s="50">
        <f t="shared" si="3"/>
        <v>1093638</v>
      </c>
      <c r="K69" s="49"/>
      <c r="L69" s="49"/>
      <c r="M69" s="50">
        <f t="shared" si="4"/>
        <v>10446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168">
        <f>'BGS PTY20 Cost Alloc'!V69</f>
        <v>44470</v>
      </c>
      <c r="W69" s="50">
        <f>'BGS PTY20 Cost Alloc'!W69</f>
        <v>583154.33333339996</v>
      </c>
      <c r="X69" s="50">
        <f>'BGS PTY20 Cost Alloc'!X69</f>
        <v>14313.333333400002</v>
      </c>
      <c r="Y69" s="55">
        <f t="shared" si="5"/>
        <v>568841</v>
      </c>
      <c r="Z69" s="50">
        <f>'BGS PTY20 Cost Alloc'!Z69</f>
        <v>794832.41336419992</v>
      </c>
      <c r="AA69" s="50">
        <f>'BGS PTY20 Cost Alloc'!AA69</f>
        <v>10445.763041697901</v>
      </c>
      <c r="AB69" s="50">
        <f>'BGS PTY20 Cost Alloc'!AB69</f>
        <v>622617.13954493799</v>
      </c>
      <c r="AC69" s="50">
        <f>'BGS PTY20 Cost Alloc'!AC69</f>
        <v>433648.67972447904</v>
      </c>
      <c r="AD69" s="50">
        <f>'BGS PTY20 Cost Alloc'!AD69</f>
        <v>0</v>
      </c>
      <c r="AG69" s="50">
        <f>'BGS PTY20 Cost Alloc'!AG69</f>
        <v>15969.761700734198</v>
      </c>
    </row>
    <row r="70" spans="1:34" ht="13" x14ac:dyDescent="0.3">
      <c r="A70" s="22"/>
      <c r="B70" s="28" t="s">
        <v>11</v>
      </c>
      <c r="C70" s="49"/>
      <c r="D70" s="49"/>
      <c r="E70" s="50">
        <f>'BGS PTY20 Cost Alloc'!E70</f>
        <v>12570</v>
      </c>
      <c r="F70" s="50">
        <f>'BGS PTY20 Cost Alloc'!F70</f>
        <v>551904</v>
      </c>
      <c r="G70" s="50">
        <f>'BGS PTY20 Cost Alloc'!G70</f>
        <v>408518</v>
      </c>
      <c r="H70" s="50">
        <f>'BGS PTY20 Cost Alloc'!H70</f>
        <v>15357</v>
      </c>
      <c r="I70" s="50">
        <f>'BGS PTY20 Cost Alloc'!I70</f>
        <v>9592</v>
      </c>
      <c r="J70" s="50">
        <f t="shared" si="3"/>
        <v>997941</v>
      </c>
      <c r="K70" s="49"/>
      <c r="L70" s="49"/>
      <c r="M70" s="50">
        <f t="shared" si="4"/>
        <v>11927</v>
      </c>
      <c r="N70" s="46"/>
      <c r="O70" s="47"/>
      <c r="P70" s="47"/>
      <c r="Q70" s="47"/>
      <c r="R70" s="47"/>
      <c r="S70" s="47"/>
      <c r="T70" s="47"/>
      <c r="U70" s="48"/>
      <c r="V70" s="168">
        <f>'BGS PTY20 Cost Alloc'!V70</f>
        <v>44501</v>
      </c>
      <c r="W70" s="50">
        <f>'BGS PTY20 Cost Alloc'!W70</f>
        <v>642712.66666670004</v>
      </c>
      <c r="X70" s="50">
        <f>'BGS PTY20 Cost Alloc'!X70</f>
        <v>14152.666666700001</v>
      </c>
      <c r="Y70" s="55">
        <f t="shared" si="5"/>
        <v>628560</v>
      </c>
      <c r="Z70" s="50">
        <f>'BGS PTY20 Cost Alloc'!Z70</f>
        <v>1012227.7764767</v>
      </c>
      <c r="AA70" s="50">
        <f>'BGS PTY20 Cost Alloc'!AA70</f>
        <v>11927.184929167301</v>
      </c>
      <c r="AB70" s="50">
        <f>'BGS PTY20 Cost Alloc'!AB70</f>
        <v>550891.622294356</v>
      </c>
      <c r="AC70" s="50">
        <f>'BGS PTY20 Cost Alloc'!AC70</f>
        <v>408531.73555070499</v>
      </c>
      <c r="AD70" s="50">
        <f>'BGS PTY20 Cost Alloc'!AD70</f>
        <v>0</v>
      </c>
      <c r="AE70" s="13">
        <f>'BGS PTY20 Cost Alloc'!AE70</f>
        <v>0</v>
      </c>
      <c r="AG70" s="50">
        <f>'BGS PTY20 Cost Alloc'!AG70</f>
        <v>15356.794896446898</v>
      </c>
      <c r="AH70" s="13">
        <f>'BGS PTY20 Cost Alloc'!AH70</f>
        <v>0</v>
      </c>
    </row>
    <row r="71" spans="1:34" ht="13" x14ac:dyDescent="0.3">
      <c r="A71" s="22"/>
      <c r="B71" s="28" t="s">
        <v>12</v>
      </c>
      <c r="C71" s="49"/>
      <c r="D71" s="49"/>
      <c r="E71" s="50">
        <f>'BGS PTY20 Cost Alloc'!E71</f>
        <v>17910</v>
      </c>
      <c r="F71" s="50">
        <f>'BGS PTY20 Cost Alloc'!F71</f>
        <v>683892</v>
      </c>
      <c r="G71" s="50">
        <f>'BGS PTY20 Cost Alloc'!G71</f>
        <v>455614</v>
      </c>
      <c r="H71" s="50">
        <f>'BGS PTY20 Cost Alloc'!H71</f>
        <v>18297</v>
      </c>
      <c r="I71" s="50">
        <f>'BGS PTY20 Cost Alloc'!I71</f>
        <v>9593</v>
      </c>
      <c r="J71" s="50">
        <f t="shared" si="3"/>
        <v>1185306</v>
      </c>
      <c r="K71" s="49"/>
      <c r="L71" s="49"/>
      <c r="M71" s="50">
        <f t="shared" si="4"/>
        <v>17166</v>
      </c>
      <c r="N71" s="51"/>
      <c r="O71" s="52"/>
      <c r="P71" s="115" t="s">
        <v>148</v>
      </c>
      <c r="Q71" s="53">
        <f>SUM(E60:E64,E69:E71)</f>
        <v>134983</v>
      </c>
      <c r="R71" s="53"/>
      <c r="S71" s="115" t="s">
        <v>148</v>
      </c>
      <c r="T71" s="53">
        <f>SUM(H60:H64,H69:H71)</f>
        <v>135324</v>
      </c>
      <c r="U71" s="54"/>
      <c r="V71" s="168">
        <f>'BGS PTY20 Cost Alloc'!V71</f>
        <v>44531</v>
      </c>
      <c r="W71" s="50">
        <f>'BGS PTY20 Cost Alloc'!W71</f>
        <v>744221.33333329984</v>
      </c>
      <c r="X71" s="50">
        <f>'BGS PTY20 Cost Alloc'!X71</f>
        <v>15457.666666599998</v>
      </c>
      <c r="Y71" s="55">
        <f t="shared" si="5"/>
        <v>728763.66666669981</v>
      </c>
      <c r="Z71" s="50">
        <f>'BGS PTY20 Cost Alloc'!Z71</f>
        <v>1464538.6911909999</v>
      </c>
      <c r="AA71" s="50">
        <f>'BGS PTY20 Cost Alloc'!AA71</f>
        <v>17165.9125120233</v>
      </c>
      <c r="AB71" s="50">
        <f>'BGS PTY20 Cost Alloc'!AB71</f>
        <v>682427.43413011893</v>
      </c>
      <c r="AC71" s="50">
        <f>'BGS PTY20 Cost Alloc'!AC71</f>
        <v>455628.87038743001</v>
      </c>
      <c r="AD71" s="50">
        <f>'BGS PTY20 Cost Alloc'!AD71</f>
        <v>0</v>
      </c>
      <c r="AE71" s="13">
        <f>'BGS PTY20 Cost Alloc'!AE71</f>
        <v>0</v>
      </c>
      <c r="AG71" s="50">
        <f>'BGS PTY20 Cost Alloc'!AG71</f>
        <v>18296.695571419106</v>
      </c>
      <c r="AH71" s="13">
        <f>'BGS PTY20 Cost Alloc'!AH71</f>
        <v>0</v>
      </c>
    </row>
    <row r="72" spans="1:34" ht="13" x14ac:dyDescent="0.3">
      <c r="A72" s="22"/>
      <c r="B72" s="60" t="s">
        <v>13</v>
      </c>
      <c r="C72" s="55"/>
      <c r="D72" s="55"/>
      <c r="E72" s="55">
        <f>SUM(E60:E71)</f>
        <v>201235</v>
      </c>
      <c r="F72" s="55">
        <f>SUM(F60:F71)</f>
        <v>9073407</v>
      </c>
      <c r="G72" s="55">
        <f>SUM(G60:G71)</f>
        <v>5476866</v>
      </c>
      <c r="H72" s="55">
        <f>SUM(H60:H71)</f>
        <v>205335</v>
      </c>
      <c r="I72" s="55">
        <f>SUM(I60:I71)</f>
        <v>115100</v>
      </c>
      <c r="J72" s="55">
        <f t="shared" si="3"/>
        <v>15071943</v>
      </c>
      <c r="K72" s="55"/>
      <c r="L72" s="55"/>
      <c r="M72" s="55">
        <f>SUM(M60:M71)</f>
        <v>192910</v>
      </c>
      <c r="N72" s="51"/>
      <c r="O72" s="52"/>
      <c r="P72" s="114" t="s">
        <v>146</v>
      </c>
      <c r="Q72" s="53">
        <f>SUMPRODUCT(E15:E19,E60:E64)+SUMPRODUCT(E24:E26,E69:E71)</f>
        <v>64717.133700000006</v>
      </c>
      <c r="R72" s="47">
        <f>Q72/Q71</f>
        <v>0.47944655030633493</v>
      </c>
      <c r="S72" s="114" t="s">
        <v>177</v>
      </c>
      <c r="T72" s="53">
        <f>SUMPRODUCT(H15:H19,H60:H64)+SUMPRODUCT(H24:H26,H69:H71)</f>
        <v>74076.001699999993</v>
      </c>
      <c r="U72" s="48">
        <f>T72/T71</f>
        <v>0.54739737001566602</v>
      </c>
      <c r="W72" s="55">
        <f t="shared" ref="W72:AD72" si="6">SUM(W60:W71)</f>
        <v>8323268.6666662982</v>
      </c>
      <c r="X72" s="55">
        <f t="shared" si="6"/>
        <v>176009.9999999</v>
      </c>
      <c r="Y72" s="55">
        <f t="shared" si="6"/>
        <v>8147258.6666663997</v>
      </c>
      <c r="Z72" s="55">
        <f t="shared" si="6"/>
        <v>14705033.4409393</v>
      </c>
      <c r="AA72" s="55">
        <f t="shared" si="6"/>
        <v>188656.31310858007</v>
      </c>
      <c r="AB72" s="55">
        <f t="shared" si="6"/>
        <v>9062959.6447838172</v>
      </c>
      <c r="AC72" s="55">
        <f t="shared" si="6"/>
        <v>5477041.2165752612</v>
      </c>
      <c r="AD72" s="55">
        <f t="shared" si="6"/>
        <v>0</v>
      </c>
      <c r="AE72" s="13">
        <f>'BGS PTY20 Cost Alloc'!AE72</f>
        <v>0</v>
      </c>
      <c r="AG72" s="55">
        <f>SUM(AG60:AG71)</f>
        <v>205333.73844124551</v>
      </c>
      <c r="AH72" s="13">
        <f>'BGS PTY20 Cost Alloc'!AH72</f>
        <v>0</v>
      </c>
    </row>
    <row r="73" spans="1:34" ht="13" x14ac:dyDescent="0.3">
      <c r="A73" s="22"/>
      <c r="B73" s="28"/>
      <c r="J73" s="61"/>
      <c r="N73" s="51"/>
      <c r="O73" s="52"/>
      <c r="P73" s="114" t="s">
        <v>145</v>
      </c>
      <c r="Q73" s="53">
        <f>+Q71-Q72</f>
        <v>70265.866299999994</v>
      </c>
      <c r="R73" s="47"/>
      <c r="S73" s="114" t="s">
        <v>178</v>
      </c>
      <c r="T73" s="53">
        <f>+T71-T72</f>
        <v>61247.998300000007</v>
      </c>
      <c r="U73" s="48"/>
    </row>
    <row r="74" spans="1:34" ht="15.5" x14ac:dyDescent="0.3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13" t="s">
        <v>186</v>
      </c>
      <c r="AC74" s="13" t="s">
        <v>211</v>
      </c>
      <c r="AE74" s="14"/>
    </row>
    <row r="75" spans="1:34" ht="13" x14ac:dyDescent="0.3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66252</v>
      </c>
      <c r="R75" s="44"/>
      <c r="S75" s="116" t="s">
        <v>149</v>
      </c>
      <c r="T75" s="53">
        <f>+SUM(H65:H68)</f>
        <v>70011</v>
      </c>
      <c r="U75" s="45"/>
      <c r="V75" s="55">
        <f t="shared" ref="V75:V86" si="7">W60-W75</f>
        <v>320756.33333330014</v>
      </c>
      <c r="W75" s="55">
        <f t="shared" ref="W75:W86" si="8">SUM(X75:Z75)</f>
        <v>514549.00000009994</v>
      </c>
      <c r="X75" s="50">
        <f>'BGS PTY20 Cost Alloc'!X75</f>
        <v>14248.666666700001</v>
      </c>
      <c r="Y75" s="50">
        <f>'BGS PTY20 Cost Alloc'!Y75</f>
        <v>495277.66666669998</v>
      </c>
      <c r="Z75" s="50">
        <f>'BGS PTY20 Cost Alloc'!Z75</f>
        <v>5022.6666667</v>
      </c>
      <c r="AA75" s="55"/>
      <c r="AB75" s="13">
        <f t="shared" ref="AB75:AB86" si="9">(V75*$AA$94+W75*$AA$95)/1000</f>
        <v>184.55137954062275</v>
      </c>
      <c r="AC75" s="13">
        <f t="shared" ref="AC75:AC86" si="10">(W60/1000)-AB75</f>
        <v>650.75395379277734</v>
      </c>
    </row>
    <row r="76" spans="1:34" s="63" customFormat="1" ht="13" x14ac:dyDescent="0.3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34081.579400000002</v>
      </c>
      <c r="R76" s="47">
        <f>Q76/Q75</f>
        <v>0.51442340457646563</v>
      </c>
      <c r="S76" s="131" t="s">
        <v>177</v>
      </c>
      <c r="T76" s="53">
        <f>+SUMPRODUCT(H20:H23,H65:H68)</f>
        <v>38950.234400000001</v>
      </c>
      <c r="U76" s="48">
        <f>T76/T75</f>
        <v>0.55634449443658851</v>
      </c>
      <c r="V76" s="55">
        <f t="shared" si="7"/>
        <v>297719.66666659992</v>
      </c>
      <c r="W76" s="55">
        <f t="shared" si="8"/>
        <v>475794.66666660004</v>
      </c>
      <c r="X76" s="50">
        <f>'BGS PTY20 Cost Alloc'!X76</f>
        <v>12657.333333299999</v>
      </c>
      <c r="Y76" s="50">
        <f>'BGS PTY20 Cost Alloc'!Y76</f>
        <v>458632.33333330002</v>
      </c>
      <c r="Z76" s="50">
        <f>'BGS PTY20 Cost Alloc'!Z76</f>
        <v>4505</v>
      </c>
      <c r="AA76" s="55"/>
      <c r="AB76" s="13">
        <f t="shared" si="9"/>
        <v>170.78505036627348</v>
      </c>
      <c r="AC76" s="13">
        <f t="shared" si="10"/>
        <v>602.72928296692646</v>
      </c>
      <c r="AD76" s="13"/>
    </row>
    <row r="77" spans="1:34" ht="13" x14ac:dyDescent="0.3">
      <c r="A77" s="22"/>
      <c r="C77" s="26" t="s">
        <v>222</v>
      </c>
      <c r="D77" s="26" t="s">
        <v>218</v>
      </c>
      <c r="E77" s="26" t="s">
        <v>222</v>
      </c>
      <c r="F77" s="26" t="s">
        <v>218</v>
      </c>
      <c r="G77" s="26"/>
      <c r="N77" s="64"/>
      <c r="O77" s="65"/>
      <c r="P77" s="117" t="s">
        <v>145</v>
      </c>
      <c r="Q77" s="66">
        <f>Q75-Q76</f>
        <v>32170.420599999998</v>
      </c>
      <c r="R77" s="58"/>
      <c r="S77" s="132" t="s">
        <v>178</v>
      </c>
      <c r="T77" s="66">
        <f>T75-T76</f>
        <v>31060.765599999999</v>
      </c>
      <c r="U77" s="59"/>
      <c r="V77" s="55">
        <f t="shared" si="7"/>
        <v>292376.33333330002</v>
      </c>
      <c r="W77" s="55">
        <f t="shared" si="8"/>
        <v>470147.66666669998</v>
      </c>
      <c r="X77" s="50">
        <f>'BGS PTY20 Cost Alloc'!X77</f>
        <v>13409.333333299999</v>
      </c>
      <c r="Y77" s="50">
        <f>'BGS PTY20 Cost Alloc'!Y77</f>
        <v>451983.66666669998</v>
      </c>
      <c r="Z77" s="50">
        <f>'BGS PTY20 Cost Alloc'!Z77</f>
        <v>4754.6666667</v>
      </c>
      <c r="AA77" s="55"/>
      <c r="AB77" s="13">
        <f t="shared" si="9"/>
        <v>168.54262114622043</v>
      </c>
      <c r="AC77" s="13">
        <f t="shared" si="10"/>
        <v>593.98137885377957</v>
      </c>
      <c r="AD77" s="55">
        <f>SUM(AB65:AB68)</f>
        <v>3771660.7530675433</v>
      </c>
    </row>
    <row r="78" spans="1:34" ht="13" x14ac:dyDescent="0.3">
      <c r="A78" s="22"/>
      <c r="C78" s="26" t="s">
        <v>14</v>
      </c>
      <c r="D78" s="26" t="s">
        <v>14</v>
      </c>
      <c r="E78" s="26" t="s">
        <v>15</v>
      </c>
      <c r="F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7"/>
        <v>305576.00000000006</v>
      </c>
      <c r="W78" s="55">
        <f t="shared" si="8"/>
        <v>476453.66666669998</v>
      </c>
      <c r="X78" s="50">
        <f>'BGS PTY20 Cost Alloc'!X78</f>
        <v>12400</v>
      </c>
      <c r="Y78" s="50">
        <f>'BGS PTY20 Cost Alloc'!Y78</f>
        <v>459671.66666669998</v>
      </c>
      <c r="Z78" s="50">
        <f>'BGS PTY20 Cost Alloc'!Z78</f>
        <v>4382</v>
      </c>
      <c r="AA78" s="55"/>
      <c r="AB78" s="13">
        <f t="shared" si="9"/>
        <v>171.90778407357479</v>
      </c>
      <c r="AC78" s="13">
        <f t="shared" si="10"/>
        <v>610.12188259312518</v>
      </c>
    </row>
    <row r="79" spans="1:34" ht="13" x14ac:dyDescent="0.3">
      <c r="A79" s="22"/>
      <c r="B79" s="28" t="s">
        <v>1</v>
      </c>
      <c r="C79" s="69">
        <v>44.35</v>
      </c>
      <c r="D79" s="162">
        <f>ROUND(C79*$H$307,3)</f>
        <v>43.942</v>
      </c>
      <c r="E79" s="67">
        <v>35.018999999999998</v>
      </c>
      <c r="F79" s="162">
        <f>ROUND(E79*$H$307,3)</f>
        <v>34.697000000000003</v>
      </c>
      <c r="H79" s="33">
        <v>0.92</v>
      </c>
      <c r="I79" s="33">
        <v>0.97</v>
      </c>
      <c r="L79" s="50"/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7"/>
        <v>297743.3333332999</v>
      </c>
      <c r="W79" s="55">
        <f t="shared" si="8"/>
        <v>455826.33333330002</v>
      </c>
      <c r="X79" s="50">
        <f>'BGS PTY20 Cost Alloc'!X79</f>
        <v>13980.333333299999</v>
      </c>
      <c r="Y79" s="50">
        <f>'BGS PTY20 Cost Alloc'!Y79</f>
        <v>437747</v>
      </c>
      <c r="Z79" s="50">
        <f>'BGS PTY20 Cost Alloc'!Z79</f>
        <v>4099</v>
      </c>
      <c r="AA79" s="55"/>
      <c r="AB79" s="13">
        <f t="shared" si="9"/>
        <v>165.10777300822832</v>
      </c>
      <c r="AC79" s="13">
        <f t="shared" si="10"/>
        <v>588.46189365837154</v>
      </c>
    </row>
    <row r="80" spans="1:34" ht="13" x14ac:dyDescent="0.3">
      <c r="A80" s="22"/>
      <c r="B80" s="28" t="s">
        <v>2</v>
      </c>
      <c r="C80" s="69">
        <v>41.8</v>
      </c>
      <c r="D80" s="162">
        <f>ROUND(C80*$H$307,3)</f>
        <v>41.414999999999999</v>
      </c>
      <c r="E80" s="67">
        <v>33.005000000000003</v>
      </c>
      <c r="F80" s="162">
        <f>ROUND(E80*$H$307,3)</f>
        <v>32.701000000000001</v>
      </c>
      <c r="H80" s="175">
        <f>H79</f>
        <v>0.92</v>
      </c>
      <c r="I80" s="175">
        <f>I79</f>
        <v>0.97</v>
      </c>
      <c r="L80" s="139"/>
      <c r="N80" s="46"/>
      <c r="O80" s="47"/>
      <c r="P80" s="47"/>
      <c r="Q80" s="47"/>
      <c r="R80" s="47"/>
      <c r="S80" s="47"/>
      <c r="T80" s="47"/>
      <c r="U80" s="48"/>
      <c r="V80" s="55">
        <f t="shared" si="7"/>
        <v>289509.66666659981</v>
      </c>
      <c r="W80" s="55">
        <f t="shared" si="8"/>
        <v>424701.66666660004</v>
      </c>
      <c r="X80" s="50">
        <f>'BGS PTY20 Cost Alloc'!X80</f>
        <v>11440.333333299999</v>
      </c>
      <c r="Y80" s="50">
        <f>'BGS PTY20 Cost Alloc'!Y80</f>
        <v>409653</v>
      </c>
      <c r="Z80" s="50">
        <f>'BGS PTY20 Cost Alloc'!Z80</f>
        <v>3608.3333333</v>
      </c>
      <c r="AA80" s="55"/>
      <c r="AB80" s="13">
        <f t="shared" si="9"/>
        <v>155.27400354850786</v>
      </c>
      <c r="AC80" s="13">
        <f t="shared" si="10"/>
        <v>558.937329784692</v>
      </c>
    </row>
    <row r="81" spans="1:29" ht="13" x14ac:dyDescent="0.3">
      <c r="A81" s="22"/>
      <c r="B81" s="28" t="s">
        <v>3</v>
      </c>
      <c r="C81" s="69">
        <v>33.9</v>
      </c>
      <c r="D81" s="162">
        <f>ROUND(C81*$H$307,3)</f>
        <v>33.588000000000001</v>
      </c>
      <c r="E81" s="67">
        <v>26.766999999999999</v>
      </c>
      <c r="F81" s="162">
        <f>ROUND(E81*$H$307,3)</f>
        <v>26.521000000000001</v>
      </c>
      <c r="H81" s="175">
        <f>H79</f>
        <v>0.92</v>
      </c>
      <c r="I81" s="175">
        <f>I79</f>
        <v>0.97</v>
      </c>
      <c r="L81" s="139"/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7"/>
        <v>253672.33333329984</v>
      </c>
      <c r="W81" s="55">
        <f t="shared" si="8"/>
        <v>363135.66666660004</v>
      </c>
      <c r="X81" s="50">
        <f>'BGS PTY20 Cost Alloc'!X81</f>
        <v>10803.333333299999</v>
      </c>
      <c r="Y81" s="50">
        <f>'BGS PTY20 Cost Alloc'!Y81</f>
        <v>349101</v>
      </c>
      <c r="Z81" s="50">
        <f>'BGS PTY20 Cost Alloc'!Z81</f>
        <v>3231.3333333</v>
      </c>
      <c r="AA81" s="55"/>
      <c r="AB81" s="13">
        <f t="shared" si="9"/>
        <v>133.49488991908572</v>
      </c>
      <c r="AC81" s="13">
        <f t="shared" si="10"/>
        <v>483.31311008081411</v>
      </c>
    </row>
    <row r="82" spans="1:29" ht="13" x14ac:dyDescent="0.3">
      <c r="A82" s="22"/>
      <c r="B82" s="28" t="s">
        <v>4</v>
      </c>
      <c r="C82" s="69">
        <v>29.75</v>
      </c>
      <c r="D82" s="162">
        <f>ROUND(C82*$H$307,3)</f>
        <v>29.475999999999999</v>
      </c>
      <c r="E82" s="67">
        <v>23.491</v>
      </c>
      <c r="F82" s="162">
        <f>ROUND(E82*$H$307,3)</f>
        <v>23.274999999999999</v>
      </c>
      <c r="H82" s="175">
        <f>H79</f>
        <v>0.92</v>
      </c>
      <c r="I82" s="175">
        <f>I79</f>
        <v>0.97</v>
      </c>
      <c r="L82" s="139"/>
      <c r="N82" s="51"/>
      <c r="O82" s="52"/>
      <c r="P82" s="114" t="s">
        <v>147</v>
      </c>
      <c r="Q82" s="53">
        <f>Q72-Q61</f>
        <v>19088.41840000001</v>
      </c>
      <c r="R82" s="47"/>
      <c r="S82" s="114" t="s">
        <v>147</v>
      </c>
      <c r="T82" s="53">
        <f>T72-T61</f>
        <v>15204.536599999992</v>
      </c>
      <c r="U82" s="48"/>
      <c r="V82" s="55">
        <f t="shared" si="7"/>
        <v>224627.99999999994</v>
      </c>
      <c r="W82" s="55">
        <f t="shared" si="8"/>
        <v>323080.33333330002</v>
      </c>
      <c r="X82" s="50">
        <f>'BGS PTY20 Cost Alloc'!X82</f>
        <v>8673.3333332999991</v>
      </c>
      <c r="Y82" s="50">
        <f>'BGS PTY20 Cost Alloc'!Y82</f>
        <v>311620</v>
      </c>
      <c r="Z82" s="50">
        <f>'BGS PTY20 Cost Alloc'!Z82</f>
        <v>2787</v>
      </c>
      <c r="AA82" s="55"/>
      <c r="AB82" s="13">
        <f t="shared" si="9"/>
        <v>118.64328621030796</v>
      </c>
      <c r="AC82" s="13">
        <f t="shared" si="10"/>
        <v>429.06504712299198</v>
      </c>
    </row>
    <row r="83" spans="1:29" ht="13" x14ac:dyDescent="0.3">
      <c r="A83" s="22"/>
      <c r="B83" s="28" t="s">
        <v>5</v>
      </c>
      <c r="C83" s="69">
        <v>30.25</v>
      </c>
      <c r="D83" s="162">
        <f>ROUND(C83*$H$307,3)</f>
        <v>29.972000000000001</v>
      </c>
      <c r="E83" s="67">
        <v>23.885000000000002</v>
      </c>
      <c r="F83" s="162">
        <f>ROUND(E83*$H$307,3)</f>
        <v>23.664999999999999</v>
      </c>
      <c r="H83" s="175">
        <f>H79</f>
        <v>0.92</v>
      </c>
      <c r="I83" s="175">
        <f>I79</f>
        <v>0.97</v>
      </c>
      <c r="L83" s="139"/>
      <c r="N83" s="51"/>
      <c r="O83" s="52"/>
      <c r="P83" s="114" t="s">
        <v>150</v>
      </c>
      <c r="Q83" s="140">
        <f>Q82*(E117-E118)</f>
        <v>114754.44590703455</v>
      </c>
      <c r="R83" s="47"/>
      <c r="S83" s="114" t="s">
        <v>150</v>
      </c>
      <c r="T83" s="140">
        <f>T82*(H117-H118)</f>
        <v>88319.19627226569</v>
      </c>
      <c r="U83" s="48"/>
      <c r="V83" s="55">
        <f t="shared" si="7"/>
        <v>237751.99999999988</v>
      </c>
      <c r="W83" s="55">
        <f t="shared" si="8"/>
        <v>329757.66666660004</v>
      </c>
      <c r="X83" s="50">
        <f>'BGS PTY20 Cost Alloc'!X83</f>
        <v>8150.3333333</v>
      </c>
      <c r="Y83" s="50">
        <f>'BGS PTY20 Cost Alloc'!Y83</f>
        <v>318782.33333330002</v>
      </c>
      <c r="Z83" s="50">
        <f>'BGS PTY20 Cost Alloc'!Z83</f>
        <v>2825</v>
      </c>
      <c r="AA83" s="55"/>
      <c r="AB83" s="13">
        <f t="shared" si="9"/>
        <v>122.10506887208116</v>
      </c>
      <c r="AC83" s="13">
        <f t="shared" si="10"/>
        <v>445.40459779451879</v>
      </c>
    </row>
    <row r="84" spans="1:29" ht="13" x14ac:dyDescent="0.3">
      <c r="A84" s="22"/>
      <c r="B84" s="178" t="s">
        <v>6</v>
      </c>
      <c r="C84" s="407">
        <v>30.4</v>
      </c>
      <c r="D84" s="212">
        <f>ROUND(C84*$H$306,3)</f>
        <v>40.343000000000004</v>
      </c>
      <c r="E84" s="211">
        <v>20.359000000000002</v>
      </c>
      <c r="F84" s="213">
        <f>ROUND(E84*$H$306,3)</f>
        <v>27.018000000000001</v>
      </c>
      <c r="H84" s="128">
        <v>0.89</v>
      </c>
      <c r="I84" s="129">
        <v>0.89</v>
      </c>
      <c r="L84" s="139"/>
      <c r="N84" s="46"/>
      <c r="O84" s="47"/>
      <c r="P84" s="47"/>
      <c r="Q84" s="68"/>
      <c r="R84" s="47"/>
      <c r="S84" s="47"/>
      <c r="T84" s="68"/>
      <c r="U84" s="48"/>
      <c r="V84" s="55">
        <f t="shared" si="7"/>
        <v>241361.66666669998</v>
      </c>
      <c r="W84" s="55">
        <f t="shared" si="8"/>
        <v>341792.66666669998</v>
      </c>
      <c r="X84" s="50">
        <f>'BGS PTY20 Cost Alloc'!X84</f>
        <v>11773.666666700001</v>
      </c>
      <c r="Y84" s="50">
        <f>'BGS PTY20 Cost Alloc'!Y84</f>
        <v>326971.66666669998</v>
      </c>
      <c r="Z84" s="50">
        <f>'BGS PTY20 Cost Alloc'!Z84</f>
        <v>3047.3333333</v>
      </c>
      <c r="AA84" s="55"/>
      <c r="AB84" s="13">
        <f t="shared" si="9"/>
        <v>125.95820856228451</v>
      </c>
      <c r="AC84" s="13">
        <f t="shared" si="10"/>
        <v>457.19612477111548</v>
      </c>
    </row>
    <row r="85" spans="1:29" ht="13" x14ac:dyDescent="0.3">
      <c r="A85" s="22"/>
      <c r="B85" s="182" t="s">
        <v>7</v>
      </c>
      <c r="C85" s="408">
        <v>36.549999999999997</v>
      </c>
      <c r="D85" s="215">
        <f>ROUND(C85*$H$306,3)</f>
        <v>48.503999999999998</v>
      </c>
      <c r="E85" s="214">
        <v>24.478000000000002</v>
      </c>
      <c r="F85" s="216">
        <f>ROUND(E85*$H$306,3)</f>
        <v>32.484000000000002</v>
      </c>
      <c r="H85" s="173">
        <f>H84</f>
        <v>0.89</v>
      </c>
      <c r="I85" s="241">
        <f>I84</f>
        <v>0.89</v>
      </c>
      <c r="L85" s="139"/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7"/>
        <v>260765.33333330008</v>
      </c>
      <c r="W85" s="55">
        <f t="shared" si="8"/>
        <v>381947.33333339996</v>
      </c>
      <c r="X85" s="50">
        <f>'BGS PTY20 Cost Alloc'!X85</f>
        <v>11407.666666700001</v>
      </c>
      <c r="Y85" s="50">
        <f>'BGS PTY20 Cost Alloc'!Y85</f>
        <v>367055</v>
      </c>
      <c r="Z85" s="50">
        <f>'BGS PTY20 Cost Alloc'!Z85</f>
        <v>3484.6666667</v>
      </c>
      <c r="AA85" s="55"/>
      <c r="AB85" s="13">
        <f t="shared" si="9"/>
        <v>139.69036973444722</v>
      </c>
      <c r="AC85" s="13">
        <f t="shared" si="10"/>
        <v>503.02229693225274</v>
      </c>
    </row>
    <row r="86" spans="1:29" ht="13" x14ac:dyDescent="0.3">
      <c r="A86" s="22"/>
      <c r="B86" s="182" t="s">
        <v>8</v>
      </c>
      <c r="C86" s="408">
        <v>33.450000000000003</v>
      </c>
      <c r="D86" s="215">
        <f>ROUND(C86*$H$306,3)</f>
        <v>44.39</v>
      </c>
      <c r="E86" s="214">
        <v>22.401</v>
      </c>
      <c r="F86" s="216">
        <f>ROUND(E86*$H$306,3)</f>
        <v>29.727</v>
      </c>
      <c r="H86" s="173">
        <f>H84</f>
        <v>0.89</v>
      </c>
      <c r="I86" s="241">
        <f>I84</f>
        <v>0.89</v>
      </c>
      <c r="L86" s="139"/>
      <c r="N86" s="51"/>
      <c r="O86" s="52"/>
      <c r="P86" s="114" t="s">
        <v>147</v>
      </c>
      <c r="Q86" s="53">
        <f>Q76-Q65</f>
        <v>7873.2448000000004</v>
      </c>
      <c r="R86" s="47"/>
      <c r="S86" s="114" t="s">
        <v>147</v>
      </c>
      <c r="T86" s="53">
        <f>T76-T65</f>
        <v>6691.1244000000006</v>
      </c>
      <c r="U86" s="48"/>
      <c r="V86" s="55">
        <f t="shared" si="7"/>
        <v>292150.99999999983</v>
      </c>
      <c r="W86" s="55">
        <f t="shared" si="8"/>
        <v>452070.33333330002</v>
      </c>
      <c r="X86" s="50">
        <f>'BGS PTY20 Cost Alloc'!X86</f>
        <v>12416.333333299999</v>
      </c>
      <c r="Y86" s="50">
        <f>'BGS PTY20 Cost Alloc'!Y86</f>
        <v>435429.66666669998</v>
      </c>
      <c r="Z86" s="50">
        <f>'BGS PTY20 Cost Alloc'!Z86</f>
        <v>4224.3333333</v>
      </c>
      <c r="AA86" s="55"/>
      <c r="AB86" s="13">
        <f t="shared" si="9"/>
        <v>163.37360557843982</v>
      </c>
      <c r="AC86" s="13">
        <f t="shared" si="10"/>
        <v>580.84772775485999</v>
      </c>
    </row>
    <row r="87" spans="1:29" ht="13" x14ac:dyDescent="0.3">
      <c r="A87" s="22"/>
      <c r="B87" s="185" t="s">
        <v>9</v>
      </c>
      <c r="C87" s="409">
        <v>31.7</v>
      </c>
      <c r="D87" s="218">
        <f>ROUND(C87*$H$306,3)</f>
        <v>42.067999999999998</v>
      </c>
      <c r="E87" s="217">
        <v>21.228999999999999</v>
      </c>
      <c r="F87" s="219">
        <f>ROUND(E87*$H$306,3)</f>
        <v>28.172000000000001</v>
      </c>
      <c r="H87" s="174">
        <f>H84</f>
        <v>0.89</v>
      </c>
      <c r="I87" s="242">
        <f>I84</f>
        <v>0.89</v>
      </c>
      <c r="L87" s="139"/>
      <c r="N87" s="64"/>
      <c r="O87" s="65"/>
      <c r="P87" s="117" t="s">
        <v>150</v>
      </c>
      <c r="Q87" s="141">
        <f>Q86*(E113-E114)</f>
        <v>114881.41343814539</v>
      </c>
      <c r="R87" s="58"/>
      <c r="S87" s="117" t="s">
        <v>150</v>
      </c>
      <c r="T87" s="141">
        <f>T86*(H113-H114)</f>
        <v>96746.126024265744</v>
      </c>
      <c r="U87" s="59"/>
      <c r="AA87" s="55"/>
    </row>
    <row r="88" spans="1:29" ht="13" x14ac:dyDescent="0.3">
      <c r="A88" s="22"/>
      <c r="B88" s="28" t="s">
        <v>10</v>
      </c>
      <c r="C88" s="69">
        <v>30.15</v>
      </c>
      <c r="D88" s="162">
        <f>ROUND(C88*$H$307,3)</f>
        <v>29.873000000000001</v>
      </c>
      <c r="E88" s="67">
        <v>23.806000000000001</v>
      </c>
      <c r="F88" s="162">
        <f>ROUND(E88*$H$307,3)</f>
        <v>23.587</v>
      </c>
      <c r="H88" s="175">
        <f>H79</f>
        <v>0.92</v>
      </c>
      <c r="I88" s="175">
        <f>I79</f>
        <v>0.97</v>
      </c>
      <c r="L88" s="139"/>
    </row>
    <row r="89" spans="1:29" ht="13" x14ac:dyDescent="0.3">
      <c r="A89" s="22"/>
      <c r="B89" s="28" t="s">
        <v>11</v>
      </c>
      <c r="C89" s="69">
        <v>30.45</v>
      </c>
      <c r="D89" s="162">
        <f>ROUND(C89*$H$307,3)</f>
        <v>30.17</v>
      </c>
      <c r="E89" s="67">
        <v>24.042999999999999</v>
      </c>
      <c r="F89" s="162">
        <f>ROUND(E89*$H$307,3)</f>
        <v>23.821999999999999</v>
      </c>
      <c r="H89" s="175">
        <f>H79</f>
        <v>0.92</v>
      </c>
      <c r="I89" s="175">
        <f>I79</f>
        <v>0.97</v>
      </c>
      <c r="L89" s="139"/>
    </row>
    <row r="90" spans="1:29" ht="13" x14ac:dyDescent="0.3">
      <c r="A90" s="22"/>
      <c r="B90" s="28" t="s">
        <v>12</v>
      </c>
      <c r="C90" s="69">
        <v>32.549999999999997</v>
      </c>
      <c r="D90" s="162">
        <f>ROUND(C90*$H$307,3)</f>
        <v>32.250999999999998</v>
      </c>
      <c r="E90" s="67">
        <v>25.701000000000001</v>
      </c>
      <c r="F90" s="162">
        <f>ROUND(E90*$H$307,3)</f>
        <v>25.465</v>
      </c>
      <c r="G90" s="70"/>
      <c r="H90" s="175">
        <f>H79</f>
        <v>0.92</v>
      </c>
      <c r="I90" s="175">
        <f>I79</f>
        <v>0.97</v>
      </c>
      <c r="L90" s="139"/>
    </row>
    <row r="91" spans="1:29" ht="13" x14ac:dyDescent="0.3">
      <c r="A91" s="22"/>
      <c r="B91" s="28"/>
      <c r="C91" s="69"/>
      <c r="D91" s="69"/>
      <c r="G91" s="70"/>
      <c r="K91" s="70"/>
      <c r="X91" s="13" t="s">
        <v>210</v>
      </c>
    </row>
    <row r="92" spans="1:29" ht="13" x14ac:dyDescent="0.3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29" ht="13" x14ac:dyDescent="0.3">
      <c r="A93" s="22"/>
      <c r="C93" s="71"/>
      <c r="D93" s="71"/>
      <c r="E93" s="71"/>
      <c r="F93" s="71"/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29" ht="13" x14ac:dyDescent="0.3">
      <c r="A94" s="22"/>
      <c r="B94" s="28" t="s">
        <v>23</v>
      </c>
      <c r="C94" s="72"/>
      <c r="D94" s="72"/>
      <c r="E94" s="154">
        <f>'BGS PTY20 Cost Alloc'!E94</f>
        <v>0.105545</v>
      </c>
      <c r="F94" s="154">
        <f>'BGS PTY20 Cost Alloc'!F94</f>
        <v>0.105545</v>
      </c>
      <c r="G94" s="154">
        <f>'BGS PTY20 Cost Alloc'!G94</f>
        <v>0.105545</v>
      </c>
      <c r="H94" s="154">
        <f>'BGS PTY20 Cost Alloc'!H94</f>
        <v>0.105545</v>
      </c>
      <c r="I94" s="154">
        <f>'BGS PTY20 Cost Alloc'!I94</f>
        <v>0.105545</v>
      </c>
      <c r="J94" s="72"/>
      <c r="K94" s="72"/>
      <c r="L94" s="72"/>
      <c r="M94" s="72"/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29" ht="13" x14ac:dyDescent="0.3">
      <c r="A95" s="22"/>
      <c r="B95" s="13" t="s">
        <v>20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W95" s="13" t="s">
        <v>204</v>
      </c>
      <c r="X95" s="13">
        <f>(9*23+10*29)/52</f>
        <v>9.5576923076923084</v>
      </c>
      <c r="Y95" s="13">
        <f>X95*365*5/7</f>
        <v>2491.8269230769229</v>
      </c>
      <c r="Z95" s="13">
        <f>365*24</f>
        <v>8760</v>
      </c>
      <c r="AA95" s="13">
        <f>Y95/Z95</f>
        <v>0.28445512820512819</v>
      </c>
    </row>
    <row r="96" spans="1:29" ht="13" x14ac:dyDescent="0.3">
      <c r="A96" s="2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</row>
    <row r="97" spans="1:43" ht="13" x14ac:dyDescent="0.3">
      <c r="A97" s="22"/>
      <c r="B97" s="13" t="s">
        <v>264</v>
      </c>
      <c r="C97" s="73"/>
      <c r="D97" s="73"/>
      <c r="E97" s="237">
        <f>ROUND(1-1/E98,6)</f>
        <v>9.8422999999999997E-2</v>
      </c>
      <c r="F97" s="237">
        <f t="shared" ref="F97:I97" si="11">ROUND(1-1/F98,6)</f>
        <v>9.8422999999999997E-2</v>
      </c>
      <c r="G97" s="237">
        <f t="shared" si="11"/>
        <v>9.8422999999999997E-2</v>
      </c>
      <c r="H97" s="237">
        <f t="shared" si="11"/>
        <v>9.8422999999999997E-2</v>
      </c>
      <c r="I97" s="237">
        <f t="shared" si="11"/>
        <v>9.8422999999999997E-2</v>
      </c>
      <c r="J97" s="73"/>
      <c r="K97" s="73"/>
      <c r="L97" s="73"/>
      <c r="M97" s="73"/>
    </row>
    <row r="98" spans="1:43" ht="13" x14ac:dyDescent="0.3">
      <c r="A98" s="22"/>
      <c r="B98" s="13" t="s">
        <v>263</v>
      </c>
      <c r="C98" s="73"/>
      <c r="D98" s="73"/>
      <c r="E98" s="73">
        <v>1.1091672347228327</v>
      </c>
      <c r="F98" s="73">
        <v>1.1091672347228327</v>
      </c>
      <c r="G98" s="73">
        <v>1.1091672347228327</v>
      </c>
      <c r="H98" s="73">
        <v>1.1091672347228327</v>
      </c>
      <c r="I98" s="73">
        <v>1.1091672347228327</v>
      </c>
      <c r="J98" s="73"/>
      <c r="K98" s="73"/>
      <c r="L98" s="73"/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</row>
    <row r="99" spans="1:43" ht="13" x14ac:dyDescent="0.3">
      <c r="A99" s="22"/>
      <c r="C99" s="73"/>
      <c r="D99" s="73"/>
      <c r="E99" s="73" t="s">
        <v>252</v>
      </c>
      <c r="F99" s="73"/>
      <c r="G99" s="73"/>
      <c r="H99" s="73"/>
      <c r="I99" s="73"/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</row>
    <row r="100" spans="1:43" ht="13" x14ac:dyDescent="0.3">
      <c r="A100" s="2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</row>
    <row r="101" spans="1:43" ht="13" x14ac:dyDescent="0.3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</row>
    <row r="102" spans="1:43" ht="13" x14ac:dyDescent="0.3">
      <c r="A102" s="22"/>
      <c r="B102" s="36" t="str">
        <f>'BGS PTY20 Cost Alloc'!$B$102</f>
        <v xml:space="preserve"> 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</row>
    <row r="103" spans="1:43" ht="15.5" x14ac:dyDescent="0.35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</row>
    <row r="104" spans="1:43" ht="15.5" x14ac:dyDescent="0.35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</row>
    <row r="105" spans="1:43" ht="13" x14ac:dyDescent="0.3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</row>
    <row r="106" spans="1:43" ht="13" x14ac:dyDescent="0.3">
      <c r="A106" s="22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</row>
    <row r="107" spans="1:43" ht="13" x14ac:dyDescent="0.3">
      <c r="A107" s="18" t="s">
        <v>34</v>
      </c>
      <c r="B107" s="16" t="s">
        <v>51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</row>
    <row r="108" spans="1:43" ht="13" x14ac:dyDescent="0.3">
      <c r="A108" s="22"/>
      <c r="B108" s="17" t="s">
        <v>171</v>
      </c>
      <c r="M108" s="47"/>
      <c r="N108" s="47"/>
      <c r="O108" s="47"/>
      <c r="P108" s="47"/>
      <c r="Q108" s="47"/>
      <c r="R108" s="47"/>
      <c r="S108" s="601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</row>
    <row r="109" spans="1:43" ht="13" x14ac:dyDescent="0.3">
      <c r="A109" s="22"/>
      <c r="B109" s="17" t="s">
        <v>21</v>
      </c>
      <c r="M109" s="47"/>
      <c r="N109" s="47"/>
      <c r="O109" s="47"/>
      <c r="P109" s="47"/>
      <c r="Q109" s="47"/>
      <c r="R109" s="47"/>
      <c r="S109" s="391"/>
      <c r="T109" s="47"/>
      <c r="U109" s="47"/>
      <c r="V109" s="47"/>
      <c r="W109" s="47"/>
      <c r="X109" s="47"/>
      <c r="Y109" s="47"/>
      <c r="Z109" s="47"/>
      <c r="AA109" s="47"/>
      <c r="AB109" s="47"/>
      <c r="AC109" s="604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</row>
    <row r="110" spans="1:43" ht="13" x14ac:dyDescent="0.3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</row>
    <row r="111" spans="1:43" ht="13" x14ac:dyDescent="0.3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</row>
    <row r="112" spans="1:43" ht="13" x14ac:dyDescent="0.3">
      <c r="A112" s="22"/>
      <c r="B112" s="28" t="s">
        <v>17</v>
      </c>
      <c r="C112" s="74"/>
      <c r="D112" s="74"/>
      <c r="E112" s="75">
        <f>(SUMPRODUCT(E20:E23,E65:E68,$D84:$D87,$H84:$H87)*E95+SUMPRODUCT(Q20:Q23,E65:E68,$F84:$F87,$I84:$I87)*E95)/SUM(E65:E68)</f>
        <v>36.809729940375362</v>
      </c>
      <c r="F112" s="75">
        <f>(SUMPRODUCT(F20:F23,F65:F68,$D84:$D87,$H84:$H87)*F95+SUMPRODUCT(R20:R23,F65:F68,$F84:$F87,$I84:$I87)*F95)/SUM(F65:F68)</f>
        <v>36.940267269437072</v>
      </c>
      <c r="G112" s="75">
        <f>(SUMPRODUCT(G20:G23,G65:G68,$D84:$D87,$H84:$H87)*G95+SUMPRODUCT(S20:S23,G65:G68,$F84:$F87,$I84:$I87)*G95)/SUM(G65:G68)</f>
        <v>37.644715257710693</v>
      </c>
      <c r="H112" s="75">
        <f>(SUMPRODUCT(H20:H23,H65:H68,$D84:$D87,$H84:$H87)*H95+SUMPRODUCT(T20:T23,H65:H68,$F84:$F87,$I84:$I87)*H95)/SUM(H65:H68)</f>
        <v>37.286534417333627</v>
      </c>
      <c r="I112" s="75">
        <f>(SUMPRODUCT(I20:I23,I65:I68,$D84:$D87,$H84:$H87)*I95+SUMPRODUCT(U20:U23,I65:I68,$F84:$F87,$I84:$I87)*I95)/SUM(I65:I68)</f>
        <v>33.494876096058491</v>
      </c>
      <c r="J112" s="76"/>
      <c r="K112" s="74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</row>
    <row r="113" spans="1:43" ht="13" x14ac:dyDescent="0.3">
      <c r="A113" s="22"/>
      <c r="B113" s="77" t="s">
        <v>41</v>
      </c>
      <c r="C113" s="74"/>
      <c r="D113" s="74"/>
      <c r="E113" s="75">
        <f>(SUMPRODUCT(E20:E23,E65:E68,$D84:$D87,$H84:$H87)*E95)/SUMPRODUCT(E20:E23,E65:E68)</f>
        <v>43.894956810844086</v>
      </c>
      <c r="F113" s="75">
        <f>(SUMPRODUCT(F20:F23,F65:F68,$D84:$D87,$H84:$H87)*F95)/SUMPRODUCT(F20:F23,F65:F68)</f>
        <v>43.979570557347373</v>
      </c>
      <c r="G113" s="75">
        <f>(SUMPRODUCT(G20:G23,G65:G68,$D84:$D87,$H84:$H87)*G95)/SUMPRODUCT(G20:G23,G65:G68)</f>
        <v>43.741959081890535</v>
      </c>
      <c r="H113" s="75">
        <f>(SUMPRODUCT(H20:H23,H65:H68,$D84:$D87,$H84:$H87)*H95)/SUMPRODUCT(H20:H23,H65:H68)</f>
        <v>43.701293564928783</v>
      </c>
      <c r="I113" s="75">
        <f>(SUMPRODUCT(I20:I23,I65:I68,$D84:$D87,$H84:$H87)*I95)/SUMPRODUCT(I20:I23,I65:I68)</f>
        <v>43.599482850404492</v>
      </c>
      <c r="J113" s="76"/>
      <c r="K113" s="74"/>
      <c r="L113" s="74"/>
      <c r="M113" s="609"/>
      <c r="N113" s="47"/>
      <c r="O113" s="47"/>
      <c r="P113" s="47"/>
      <c r="Q113" s="47"/>
      <c r="R113" s="47"/>
      <c r="S113" s="602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</row>
    <row r="114" spans="1:43" ht="13" x14ac:dyDescent="0.3">
      <c r="A114" s="22"/>
      <c r="B114" s="77" t="s">
        <v>42</v>
      </c>
      <c r="C114" s="74"/>
      <c r="D114" s="74"/>
      <c r="E114" s="75">
        <f>(SUMPRODUCT(Q20:Q23,E65:E68,$F84:$F87,$I84:$I87)*E95)/SUMPRODUCT(Q20:Q23,E65:E68)</f>
        <v>29.303588657507181</v>
      </c>
      <c r="F114" s="75">
        <f>(SUMPRODUCT(R20:R23,F65:F68,$F84:$F87,$I84:$I87)*F95)/SUMPRODUCT(R20:R23,F65:F68)</f>
        <v>29.387304861358643</v>
      </c>
      <c r="G114" s="75">
        <f>(SUMPRODUCT(S20:S23,G65:G68,$F84:$F87,$I84:$I87)*G95)/SUMPRODUCT(S20:S23,G65:G68)</f>
        <v>29.25590569589885</v>
      </c>
      <c r="H114" s="75">
        <f>(SUMPRODUCT(T20:T23,H65:H68,$F84:$F87,$I84:$I87)*H95)/SUMPRODUCT(T20:T23,H65:H68)</f>
        <v>29.24241935474884</v>
      </c>
      <c r="I114" s="75">
        <f>(SUMPRODUCT(U20:U23,I65:I68,$F84:$F87,$I84:$I87)*I95)/SUMPRODUCT(U20:U23,I65:I68)</f>
        <v>29.206481277374085</v>
      </c>
      <c r="J114" s="76"/>
      <c r="K114" s="74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</row>
    <row r="115" spans="1:43" ht="13" x14ac:dyDescent="0.3">
      <c r="A115" s="22"/>
      <c r="C115" s="142"/>
      <c r="D115" s="142"/>
      <c r="E115" s="143"/>
      <c r="F115" s="143"/>
      <c r="G115" s="143"/>
      <c r="H115" s="143"/>
      <c r="I115" s="143"/>
      <c r="J115" s="76"/>
      <c r="K115" s="142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</row>
    <row r="116" spans="1:43" ht="13" x14ac:dyDescent="0.3">
      <c r="A116" s="22"/>
      <c r="B116" s="28" t="s">
        <v>18</v>
      </c>
      <c r="C116" s="74"/>
      <c r="D116" s="74"/>
      <c r="E116" s="75">
        <f>(SUMPRODUCT(E15:E19,E60:E64,$D79:$D83,$H79:$H83)*E95+SUMPRODUCT(Q15:Q19,E60:E64,$F79:$F83,$I79:$I83)*E95+SUMPRODUCT(E24:E26,E69:E71,$D88:$D90,$H88:$H90)*E95+SUMPRODUCT(Q24:Q26,E69:E71,$F88:$F90,$I88:$I90)*E95)/SUM(E60:E64,E69:E71)</f>
        <v>32.667788619637335</v>
      </c>
      <c r="F116" s="75">
        <f>(SUMPRODUCT(F15:F19,F60:F64,$D79:$D83,$H79:$H83)*F95+SUMPRODUCT(R15:R19,F60:F64,$F79:$F83,$I79:$I83)*F95+SUMPRODUCT(F24:F26,F69:F71,$D88:$D90,$H88:$H90)*F95+SUMPRODUCT(R24:R26,F69:F71,$F88:$F90,$I88:$I90)*F95)/SUM(F60:F64,F69:F71)</f>
        <v>32.471138495788644</v>
      </c>
      <c r="G116" s="75">
        <f>(SUMPRODUCT(G15:G19,G60:G64,$D79:$D83,$H79:$H83)*G95+SUMPRODUCT(S15:S19,G60:G64,$F79:$F83,$I79:$I83)*G95+SUMPRODUCT(G24:G26,G69:G71,$D88:$D90,$H88:$H90)*G95+SUMPRODUCT(S24:S26,G69:G71,$F88:$F90,$I88:$I90)*G95)/SUM(G60:G64,G69:G71)</f>
        <v>32.526576301658757</v>
      </c>
      <c r="H116" s="75">
        <f>(SUMPRODUCT(H15:H19,H60:H64,$D79:$D83,$H79:$H83)*H95+SUMPRODUCT(T15:T19,H60:H64,$F79:$F83,$I79:$I83)*H95+SUMPRODUCT(H24:H26,H69:H71,$D88:$D90,$H88:$H90)*H95+SUMPRODUCT(T24:T26,H69:H71,$F88:$F90,$I88:$I90)*H95)/SUM(H60:H64,H69:H71)</f>
        <v>32.139468812091529</v>
      </c>
      <c r="I116" s="75">
        <f>(SUMPRODUCT(I15:I19,I60:I64,$D79:$D83,$H79:$H83)*I95+SUMPRODUCT(U15:U19,I60:I64,$F79:$F83,$I79:$I83)*I95+SUMPRODUCT(I24:I26,I69:I71,$D88:$D90,$H88:$H90)*I95+SUMPRODUCT(U24:U26,I69:I71,$F88:$F90,$I88:$I90)*I95)/SUM(I60:I64,I69:I71)</f>
        <v>30.835025817429067</v>
      </c>
      <c r="J116" s="76"/>
      <c r="K116" s="74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</row>
    <row r="117" spans="1:43" ht="13" x14ac:dyDescent="0.3">
      <c r="A117" s="22"/>
      <c r="B117" s="77" t="s">
        <v>41</v>
      </c>
      <c r="C117" s="74"/>
      <c r="D117" s="74"/>
      <c r="E117" s="75">
        <f>(SUMPRODUCT(E15:E19,E60:E64,$D79:$D83,$H79:$H83)*E95+SUMPRODUCT(E24:E26,E69:E71,$D88:$D90,$H88:$H90)*E95)/(SUMPRODUCT(E15:E19,E60:E64)+SUMPRODUCT(E24:E26,E69:E71))</f>
        <v>35.797216183137927</v>
      </c>
      <c r="F117" s="75">
        <f>(SUMPRODUCT(F15:F19,F60:F64,$D79:$D83,$H79:$H83)*F95+SUMPRODUCT(F24:F26,F69:F71,$D88:$D90,$H88:$H90)*F95)/(SUMPRODUCT(F15:F19,F60:F64)+SUMPRODUCT(F24:F26,F69:F71))</f>
        <v>35.426785591993372</v>
      </c>
      <c r="G117" s="75">
        <f>(SUMPRODUCT(G15:G19,G60:G64,$D79:$D83,$H79:$H83)*G95+SUMPRODUCT(G24:G26,G69:G71,$D88:$D90,$H88:$H90)*G95)/(SUMPRODUCT(G15:G19,G60:G64)+SUMPRODUCT(G24:G26,G69:G71))</f>
        <v>34.949216832147847</v>
      </c>
      <c r="H117" s="75">
        <f>(SUMPRODUCT(H15:H19,H60:H64,$D79:$D83,$H79:$H83)*H95+SUMPRODUCT(H24:H26,H69:H71,$D88:$D90,$H88:$H90)*H95)/(SUMPRODUCT(H15:H19,H60:H64)+SUMPRODUCT(H24:H26,H69:H71))</f>
        <v>34.768519704108201</v>
      </c>
      <c r="I117" s="75">
        <f>(SUMPRODUCT(I15:I19,I60:I64,$D79:$D83,$H79:$H83)*I95+SUMPRODUCT(I24:I26,I69:I71,$D88:$D90,$H88:$H90)*I95)/(SUMPRODUCT(I15:I19,I60:I64)+SUMPRODUCT(I24:I26,I69:I71))</f>
        <v>34.833843454761485</v>
      </c>
      <c r="J117" s="76"/>
      <c r="K117" s="74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</row>
    <row r="118" spans="1:43" ht="13" x14ac:dyDescent="0.3">
      <c r="A118" s="22"/>
      <c r="B118" s="77" t="s">
        <v>42</v>
      </c>
      <c r="C118" s="74"/>
      <c r="D118" s="74"/>
      <c r="E118" s="75">
        <f>(SUMPRODUCT(Q15:Q19,E60:E64,$F79:$F83,$I79:$I83)*E95+SUMPRODUCT(Q24:Q26,E69:E71,$F88:$F90,$I88:$I90)*E95)/(SUMPRODUCT(Q15:Q19,E60:E64)+SUMPRODUCT(Q24:Q26,E69:E71))</f>
        <v>29.785484697462064</v>
      </c>
      <c r="F118" s="75">
        <f>(SUMPRODUCT(R15:R19,F60:F64,$F79:$F83,$I79:$I83)*F95+SUMPRODUCT(R24:R26,F69:F71,$F88:$F90,$I88:$I90)*F95)/(SUMPRODUCT(R15:R19,F60:F64)+SUMPRODUCT(R24:R26,F69:F71))</f>
        <v>29.464079846686964</v>
      </c>
      <c r="G118" s="75">
        <f>(SUMPRODUCT(S15:S19,G60:G64,$F79:$F83,$I79:$I83)*G95+SUMPRODUCT(S24:S26,G69:G71,$F88:$F90,$I88:$I90)*G95)/(SUMPRODUCT(S15:S19,G60:G64)+SUMPRODUCT(S24:S26,G69:G71))</f>
        <v>29.197881098848683</v>
      </c>
      <c r="H118" s="75">
        <f>(SUMPRODUCT(T15:T19,H60:H64,$F79:$F83,$I79:$I83)*H95+SUMPRODUCT(T24:T26,H69:H71,$F88:$F90,$I88:$I90)*H95)/(SUMPRODUCT(T15:T19,H60:H64)+SUMPRODUCT(T24:T26,H69:H71))</f>
        <v>28.959779944669183</v>
      </c>
      <c r="I118" s="75">
        <f>(SUMPRODUCT(U15:U19,I60:I64,$F79:$F83,$I79:$I83)*I95+SUMPRODUCT(U24:U26,I69:I71,$F88:$F90,$I88:$I90)*I95)/(SUMPRODUCT(U15:U19,I60:I64)+SUMPRODUCT(U24:U26,I69:I71))</f>
        <v>28.960565858905333</v>
      </c>
      <c r="J118" s="76"/>
      <c r="K118" s="74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288"/>
      <c r="Y118" s="288"/>
      <c r="Z118" s="288"/>
      <c r="AA118" s="288"/>
      <c r="AB118" s="288"/>
      <c r="AC118" s="602"/>
      <c r="AD118" s="288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</row>
    <row r="119" spans="1:43" ht="13" x14ac:dyDescent="0.3">
      <c r="A119" s="22"/>
      <c r="C119" s="142"/>
      <c r="D119" s="142"/>
      <c r="E119" s="143"/>
      <c r="F119" s="143"/>
      <c r="G119" s="143"/>
      <c r="H119" s="143"/>
      <c r="I119" s="143"/>
      <c r="J119" s="76"/>
      <c r="K119" s="142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615"/>
      <c r="X119" s="616"/>
      <c r="Y119" s="288"/>
      <c r="Z119" s="617"/>
      <c r="AA119" s="288"/>
      <c r="AB119" s="288"/>
      <c r="AC119" s="288"/>
      <c r="AD119" s="288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</row>
    <row r="120" spans="1:43" ht="13" x14ac:dyDescent="0.3">
      <c r="A120" s="22"/>
      <c r="B120" s="13" t="s">
        <v>16</v>
      </c>
      <c r="C120" s="74"/>
      <c r="D120" s="78"/>
      <c r="E120" s="79">
        <f>(E112*SUM(E65:E68)+E116*SUM(E60:E64,E69:E71))/E72</f>
        <v>34.031427630651997</v>
      </c>
      <c r="F120" s="79">
        <f>(F112*SUM(F65:F68)+F116*SUM(F60:F64,F69:F71))/F72</f>
        <v>34.328879331127297</v>
      </c>
      <c r="G120" s="79">
        <f>(G112*SUM(G65:G68)+G116*SUM(G60:G64,G69:G71))/G72</f>
        <v>34.381982110435771</v>
      </c>
      <c r="H120" s="79">
        <f>(H112*SUM(H65:H68)+H116*SUM(H60:H64,H69:H71))/H72</f>
        <v>33.894411759414709</v>
      </c>
      <c r="I120" s="79">
        <f>(I112*SUM(I65:I68)+I116*SUM(I60:I64,I69:I71))/I72</f>
        <v>31.721673389022932</v>
      </c>
      <c r="J120" s="76"/>
      <c r="K120" s="78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288"/>
      <c r="X120" s="288"/>
      <c r="Y120" s="288"/>
      <c r="Z120" s="618"/>
      <c r="AA120" s="288"/>
      <c r="AB120" s="619"/>
      <c r="AC120" s="608"/>
      <c r="AD120" s="618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</row>
    <row r="121" spans="1:43" ht="13" x14ac:dyDescent="0.3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288"/>
      <c r="X121" s="288"/>
      <c r="Y121" s="288"/>
      <c r="Z121" s="288"/>
      <c r="AA121" s="288"/>
      <c r="AB121" s="288"/>
      <c r="AC121" s="288"/>
      <c r="AD121" s="288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</row>
    <row r="122" spans="1:43" ht="13" x14ac:dyDescent="0.3">
      <c r="A122" s="22"/>
      <c r="B122" s="13" t="s">
        <v>44</v>
      </c>
      <c r="C122" s="80">
        <f>SUMPRODUCT(C120:I120,C72:I72)/SUM(C72:I72)</f>
        <v>34.31837493304014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607"/>
      <c r="X122" s="288"/>
      <c r="Y122" s="288"/>
      <c r="Z122" s="288"/>
      <c r="AA122" s="288"/>
      <c r="AB122" s="288"/>
      <c r="AC122" s="602"/>
      <c r="AD122" s="288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</row>
    <row r="123" spans="1:43" ht="13" x14ac:dyDescent="0.3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615"/>
      <c r="X123" s="616"/>
      <c r="Y123" s="288"/>
      <c r="Z123" s="617"/>
      <c r="AA123" s="288"/>
      <c r="AB123" s="288"/>
      <c r="AC123" s="288"/>
      <c r="AD123" s="288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</row>
    <row r="124" spans="1:43" ht="13" x14ac:dyDescent="0.3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288"/>
      <c r="X124" s="288"/>
      <c r="Y124" s="288"/>
      <c r="Z124" s="618"/>
      <c r="AA124" s="288"/>
      <c r="AB124" s="619"/>
      <c r="AC124" s="608"/>
      <c r="AD124" s="618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</row>
    <row r="125" spans="1:43" ht="13" x14ac:dyDescent="0.3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9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</row>
    <row r="126" spans="1:43" ht="13" x14ac:dyDescent="0.3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</row>
    <row r="127" spans="1:43" ht="13" x14ac:dyDescent="0.3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</row>
    <row r="128" spans="1:43" ht="13" x14ac:dyDescent="0.3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</row>
    <row r="129" spans="1:43" ht="13" x14ac:dyDescent="0.3">
      <c r="A129" s="22"/>
      <c r="C129" s="81"/>
      <c r="M129" s="607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</row>
    <row r="130" spans="1:43" ht="13" x14ac:dyDescent="0.3">
      <c r="A130" s="22"/>
      <c r="B130" s="28" t="s">
        <v>17</v>
      </c>
      <c r="C130" s="76"/>
      <c r="D130" s="76"/>
      <c r="E130" s="76">
        <f>SUM(E65:E68)*E112/1000</f>
        <v>2438.7182280097486</v>
      </c>
      <c r="F130" s="76">
        <f>SUM(F65:F68)*F112/1000</f>
        <v>139326.16538971232</v>
      </c>
      <c r="G130" s="76">
        <f>SUM(G65:G68)*G112/1000</f>
        <v>74741.699908421695</v>
      </c>
      <c r="H130" s="76">
        <f>SUM(H65:H68)*H112/1000</f>
        <v>2610.4675610919444</v>
      </c>
      <c r="I130" s="76">
        <f>SUM(I65:I68)*I112/1000</f>
        <v>1285.1314060535722</v>
      </c>
      <c r="J130" s="76">
        <f>SUM(E130:I130)</f>
        <v>220402.18249328929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</row>
    <row r="131" spans="1:43" ht="13" x14ac:dyDescent="0.3">
      <c r="A131" s="22"/>
      <c r="B131" s="77" t="s">
        <v>41</v>
      </c>
      <c r="C131" s="76"/>
      <c r="D131" s="76"/>
      <c r="E131" s="76">
        <f>SUMPRODUCT(E65:E68,E20:E23)*E113/1000</f>
        <v>1496.0094558083536</v>
      </c>
      <c r="F131" s="76">
        <f>SUMPRODUCT(F65:F68,F20:F23)*F113/1000</f>
        <v>85857.498291129741</v>
      </c>
      <c r="G131" s="76">
        <f>SUMPRODUCT(G65:G68,G20:G23)*G113/1000</f>
        <v>50292.987996765391</v>
      </c>
      <c r="H131" s="76">
        <f>SUMPRODUCT(H65:H68,H20:H23)*H113/1000</f>
        <v>1702.1756279371878</v>
      </c>
      <c r="I131" s="76">
        <f>SUMPRODUCT(I65:I68,I20:I23)*I113/1000</f>
        <v>498.41819623738695</v>
      </c>
      <c r="J131" s="76">
        <f>SUM(E131:I131)</f>
        <v>139847.08956787805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</row>
    <row r="132" spans="1:43" ht="13" x14ac:dyDescent="0.3">
      <c r="A132" s="22"/>
      <c r="B132" s="77" t="s">
        <v>42</v>
      </c>
      <c r="C132" s="76"/>
      <c r="D132" s="76"/>
      <c r="E132" s="76">
        <f>SUMPRODUCT(E65:E68,Q20:Q23)*E114/1000</f>
        <v>942.70877220139528</v>
      </c>
      <c r="F132" s="76">
        <f>SUMPRODUCT(F65:F68,R20:R23)*F114/1000</f>
        <v>53468.667098582562</v>
      </c>
      <c r="G132" s="76">
        <f>SUMPRODUCT(G65:G68,S20:S23)*G114/1000</f>
        <v>24448.711911656304</v>
      </c>
      <c r="H132" s="76">
        <f>SUMPRODUCT(H65:H68,T20:T23)*H114/1000</f>
        <v>908.29193315475686</v>
      </c>
      <c r="I132" s="76">
        <f>SUMPRODUCT(I65:I68,U20:U23)*I114/1000</f>
        <v>786.71320981618533</v>
      </c>
      <c r="J132" s="76">
        <f>SUM(E132:I132)</f>
        <v>80555.092925411212</v>
      </c>
      <c r="K132" s="76"/>
      <c r="L132" s="76"/>
      <c r="M132" s="620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</row>
    <row r="133" spans="1:43" ht="13" x14ac:dyDescent="0.3">
      <c r="A133" s="22"/>
      <c r="C133" s="82"/>
      <c r="D133" s="82"/>
      <c r="E133" s="82"/>
      <c r="F133" s="82"/>
      <c r="G133" s="82"/>
      <c r="H133" s="82"/>
      <c r="I133" s="82"/>
      <c r="J133" s="76"/>
      <c r="K133" s="82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</row>
    <row r="134" spans="1:43" ht="13" x14ac:dyDescent="0.3">
      <c r="A134" s="22"/>
      <c r="B134" s="28" t="s">
        <v>18</v>
      </c>
      <c r="C134" s="82"/>
      <c r="D134" s="82"/>
      <c r="E134" s="82">
        <f>SUM(E60:E64,E69:E71)*E116/1000</f>
        <v>4409.5961112445066</v>
      </c>
      <c r="F134" s="82">
        <f>SUM(F60:F64,F69:F71)*F116/1000</f>
        <v>172153.72863549346</v>
      </c>
      <c r="G134" s="82">
        <f>SUM(G60:G64,G69:G71)*G116/1000</f>
        <v>113563.80892483221</v>
      </c>
      <c r="H134" s="82">
        <f>SUM(H60:H64,H69:H71)*H116/1000</f>
        <v>4349.2414775274738</v>
      </c>
      <c r="I134" s="82">
        <f>SUM(I60:I64,I69:I71)*I116/1000</f>
        <v>2366.0332010229672</v>
      </c>
      <c r="J134" s="76">
        <f>SUM(E134:I134)</f>
        <v>296842.40835012059</v>
      </c>
      <c r="K134" s="82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</row>
    <row r="135" spans="1:43" ht="13" x14ac:dyDescent="0.3">
      <c r="A135" s="22"/>
      <c r="B135" s="77" t="s">
        <v>41</v>
      </c>
      <c r="C135" s="76"/>
      <c r="D135" s="76"/>
      <c r="E135" s="76">
        <f>(SUMPRODUCT(E60:E64,E15:E19)+SUMPRODUCT(E69:E71,E24:E26))*E117/1000</f>
        <v>2316.6932258119409</v>
      </c>
      <c r="F135" s="76">
        <f>(SUMPRODUCT(F60:F64,F15:F19)+SUMPRODUCT(F69:F71,F24:F26))*F117/1000</f>
        <v>94721.635272727319</v>
      </c>
      <c r="G135" s="76">
        <f>(SUMPRODUCT(G60:G64,G15:G19)+SUMPRODUCT(G69:G71,G24:G26))*G117/1000</f>
        <v>70622.706296629854</v>
      </c>
      <c r="H135" s="76">
        <f>(SUMPRODUCT(H60:H64,H15:H19)+SUMPRODUCT(H69:H71,H24:H26))*H117/1000</f>
        <v>2575.5129247080022</v>
      </c>
      <c r="I135" s="76">
        <f>(SUMPRODUCT(I60:I64,I15:I19)+SUMPRODUCT(I69:I71,I24:I26))*I117/1000</f>
        <v>853.04816599548576</v>
      </c>
      <c r="J135" s="76">
        <f>SUM(E135:I135)</f>
        <v>171089.59588587258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</row>
    <row r="136" spans="1:43" ht="13" x14ac:dyDescent="0.3">
      <c r="A136" s="22"/>
      <c r="B136" s="77" t="s">
        <v>42</v>
      </c>
      <c r="C136" s="76"/>
      <c r="D136" s="76"/>
      <c r="E136" s="76">
        <f>+(SUMPRODUCT(E60:E64,Q15:Q19)+SUMPRODUCT(E69:E71,Q24:Q26))*E118/1000</f>
        <v>2092.9028854325652</v>
      </c>
      <c r="F136" s="76">
        <f>+(SUMPRODUCT(F60:F64,R15:R19)+SUMPRODUCT(F69:F71,R24:R26))*F118/1000</f>
        <v>77432.093362766143</v>
      </c>
      <c r="G136" s="76">
        <f>+(SUMPRODUCT(G60:G64,S15:S19)+SUMPRODUCT(G69:G71,S24:S26))*G118/1000</f>
        <v>42941.102628202352</v>
      </c>
      <c r="H136" s="76">
        <f>+(SUMPRODUCT(H60:H64,T15:T19)+SUMPRODUCT(H69:H71,T24:T26))*H118/1000</f>
        <v>1773.7285528194723</v>
      </c>
      <c r="I136" s="76">
        <f>+(SUMPRODUCT(I60:I64,U15:U19)+SUMPRODUCT(I69:I71,U24:U26))*I118/1000</f>
        <v>1512.9850350274817</v>
      </c>
      <c r="J136" s="76">
        <f>SUM(E136:I136)</f>
        <v>125752.81246424801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</row>
    <row r="137" spans="1:43" ht="13" x14ac:dyDescent="0.3">
      <c r="A137" s="22"/>
      <c r="C137" s="142"/>
      <c r="D137" s="142"/>
      <c r="E137" s="142"/>
      <c r="F137" s="142"/>
      <c r="G137" s="142"/>
      <c r="H137" s="142"/>
      <c r="I137" s="142"/>
      <c r="J137" s="76"/>
      <c r="K137" s="142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</row>
    <row r="138" spans="1:43" ht="13" x14ac:dyDescent="0.3">
      <c r="A138" s="22"/>
      <c r="B138" s="13" t="s">
        <v>16</v>
      </c>
      <c r="C138" s="82"/>
      <c r="D138" s="82"/>
      <c r="E138" s="82">
        <f>+E130+E134</f>
        <v>6848.3143392542552</v>
      </c>
      <c r="F138" s="82">
        <f>+F130+F134</f>
        <v>311479.89402520575</v>
      </c>
      <c r="G138" s="82">
        <f>+G130+G134</f>
        <v>188305.5088332539</v>
      </c>
      <c r="H138" s="82">
        <f>+H130+H134</f>
        <v>6959.7090386194177</v>
      </c>
      <c r="I138" s="82">
        <f>+I130+I134</f>
        <v>3651.1646070765391</v>
      </c>
      <c r="J138" s="76">
        <f>SUM(E138:I138)</f>
        <v>517244.59084340988</v>
      </c>
      <c r="K138" s="82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</row>
    <row r="139" spans="1:43" ht="13" x14ac:dyDescent="0.3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</row>
    <row r="140" spans="1:43" ht="13" x14ac:dyDescent="0.3">
      <c r="A140" s="22"/>
      <c r="B140" s="13" t="s">
        <v>44</v>
      </c>
      <c r="C140" s="76">
        <f>SUM(C138:I138)</f>
        <v>517244.59084340988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</row>
    <row r="141" spans="1:43" ht="13" x14ac:dyDescent="0.3">
      <c r="A141" s="22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</row>
    <row r="142" spans="1:43" ht="13" x14ac:dyDescent="0.3">
      <c r="A142" s="22"/>
    </row>
    <row r="143" spans="1:43" ht="15.5" x14ac:dyDescent="0.35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</row>
    <row r="144" spans="1:43" ht="15.5" x14ac:dyDescent="0.35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ht="13" x14ac:dyDescent="0.3">
      <c r="A145" s="22"/>
    </row>
    <row r="146" spans="1:51" ht="13" x14ac:dyDescent="0.3">
      <c r="A146" s="22"/>
    </row>
    <row r="147" spans="1:51" ht="13" x14ac:dyDescent="0.3">
      <c r="A147" s="18" t="s">
        <v>70</v>
      </c>
      <c r="B147" s="16" t="s">
        <v>71</v>
      </c>
      <c r="C147" s="78"/>
      <c r="Q147" s="13" t="s">
        <v>126</v>
      </c>
      <c r="T147" s="13" t="s">
        <v>122</v>
      </c>
      <c r="W147" s="13" t="s">
        <v>123</v>
      </c>
      <c r="Z147" s="13" t="s">
        <v>124</v>
      </c>
    </row>
    <row r="148" spans="1:51" ht="13" x14ac:dyDescent="0.3">
      <c r="A148" s="22"/>
      <c r="B148" s="17" t="s">
        <v>173</v>
      </c>
      <c r="C148" s="78"/>
      <c r="W148" s="13" t="s">
        <v>127</v>
      </c>
      <c r="Z148" s="13" t="s">
        <v>128</v>
      </c>
      <c r="AC148" s="13" t="s">
        <v>125</v>
      </c>
    </row>
    <row r="149" spans="1:51" ht="13" x14ac:dyDescent="0.3">
      <c r="A149" s="22"/>
      <c r="B149" s="17" t="s">
        <v>21</v>
      </c>
      <c r="C149" s="78"/>
    </row>
    <row r="150" spans="1:51" ht="13" x14ac:dyDescent="0.3">
      <c r="A150" s="22"/>
      <c r="B150" s="16"/>
      <c r="C150" s="26"/>
      <c r="D150" s="26"/>
      <c r="E150" s="26" t="str">
        <f>+E$13</f>
        <v>RT{1}</v>
      </c>
      <c r="F150" s="26" t="str">
        <f>+F$13</f>
        <v>RS{2}</v>
      </c>
      <c r="G150" s="26" t="str">
        <f>+G$13</f>
        <v>GS{3}</v>
      </c>
      <c r="H150" s="26" t="str">
        <f>+H$58</f>
        <v>GST {4}</v>
      </c>
      <c r="I150" s="26" t="str">
        <f>+I$13</f>
        <v>OL/SL</v>
      </c>
      <c r="J150" s="26"/>
      <c r="K150" s="26"/>
      <c r="L150" s="26"/>
      <c r="M150" s="26"/>
      <c r="Q150" s="26" t="str">
        <f>+$H150</f>
        <v>GST {4}</v>
      </c>
      <c r="R150" s="26"/>
      <c r="S150" s="26"/>
      <c r="T150" s="26" t="str">
        <f>+$H150</f>
        <v>GST {4}</v>
      </c>
      <c r="U150" s="26"/>
      <c r="V150" s="26"/>
      <c r="W150" s="26" t="str">
        <f>+$H150</f>
        <v>GST {4}</v>
      </c>
      <c r="X150" s="26"/>
      <c r="Z150" s="26" t="str">
        <f>+$H150</f>
        <v>GST {4}</v>
      </c>
      <c r="AA150" s="26"/>
      <c r="AC150" s="26" t="str">
        <f>+$H150</f>
        <v>GST {4}</v>
      </c>
      <c r="AD150" s="26"/>
      <c r="AU150" s="26"/>
      <c r="AV150" s="26"/>
      <c r="AW150" s="26"/>
      <c r="AX150" s="26"/>
      <c r="AY150" s="26"/>
    </row>
    <row r="151" spans="1:51" ht="13" x14ac:dyDescent="0.3">
      <c r="A151" s="22"/>
      <c r="C151" s="81"/>
    </row>
    <row r="152" spans="1:51" ht="13" x14ac:dyDescent="0.3">
      <c r="A152" s="22"/>
      <c r="B152" s="28" t="s">
        <v>17</v>
      </c>
      <c r="C152" s="80"/>
      <c r="D152" s="80"/>
      <c r="E152" s="75">
        <f>+E130/SUM(E65:E68)*1000</f>
        <v>36.809729940375369</v>
      </c>
      <c r="F152" s="75">
        <f>+F130/SUM(F65:F68)*1000</f>
        <v>36.940267269437072</v>
      </c>
      <c r="G152" s="75">
        <f>+G130/SUM(G65:G68)*1000</f>
        <v>37.644715257710693</v>
      </c>
      <c r="H152" s="75">
        <f>+H130/SUM(H65:H68)*1000</f>
        <v>37.28653441733362</v>
      </c>
      <c r="I152" s="75">
        <f>+I130/SUM(I65:I68)*1000</f>
        <v>33.494876096058491</v>
      </c>
      <c r="J152" s="80"/>
      <c r="K152" s="80"/>
      <c r="L152" s="80"/>
      <c r="M152" s="80"/>
      <c r="P152" s="133" t="s">
        <v>25</v>
      </c>
      <c r="AU152" s="55"/>
      <c r="AV152" s="55"/>
      <c r="AW152" s="55"/>
      <c r="AX152" s="55"/>
      <c r="AY152" s="55"/>
    </row>
    <row r="153" spans="1:51" ht="13" x14ac:dyDescent="0.3">
      <c r="A153" s="22"/>
      <c r="B153" s="77" t="s">
        <v>72</v>
      </c>
      <c r="C153" s="76"/>
      <c r="D153" s="76"/>
      <c r="E153" s="75">
        <f>+(E131*1000-X165*AVERAGE(E$113,E$114))/R165</f>
        <v>45.742050730272922</v>
      </c>
      <c r="F153" s="75"/>
      <c r="G153" s="75"/>
      <c r="H153" s="75">
        <f>+(H131*1000-W153*AVERAGE(H$113,H$114))/Q153</f>
        <v>45.200809918979864</v>
      </c>
      <c r="I153" s="75"/>
      <c r="J153" s="76"/>
      <c r="K153" s="76"/>
      <c r="L153" s="80"/>
      <c r="M153" s="80"/>
      <c r="P153" s="13" t="s">
        <v>14</v>
      </c>
      <c r="Q153" s="55">
        <f>T65</f>
        <v>32259.11</v>
      </c>
      <c r="R153" s="55"/>
      <c r="T153" s="55">
        <f>T76</f>
        <v>38950.234400000001</v>
      </c>
      <c r="U153" s="55"/>
      <c r="W153" s="55">
        <f>+T153-Q153</f>
        <v>6691.1244000000006</v>
      </c>
      <c r="X153" s="55"/>
      <c r="Z153" s="144">
        <f>+H153*Q153/1000</f>
        <v>1458.1378992654625</v>
      </c>
      <c r="AA153" s="144"/>
      <c r="AX153" s="55"/>
    </row>
    <row r="154" spans="1:51" ht="14" x14ac:dyDescent="0.4">
      <c r="A154" s="22"/>
      <c r="B154" s="77" t="s">
        <v>73</v>
      </c>
      <c r="C154" s="76"/>
      <c r="D154" s="76"/>
      <c r="E154" s="75">
        <f>+(E132*1000-X166*AVERAGE(E$113,E$114))/R166</f>
        <v>30.583805425947428</v>
      </c>
      <c r="F154" s="75"/>
      <c r="G154" s="75"/>
      <c r="H154" s="75">
        <f>+(H132*1000-W154*AVERAGE(H$113,H$114))/Q154</f>
        <v>30.523760845522755</v>
      </c>
      <c r="I154" s="75"/>
      <c r="J154" s="76"/>
      <c r="K154" s="76"/>
      <c r="L154" s="80"/>
      <c r="M154" s="80"/>
      <c r="P154" s="13" t="s">
        <v>15</v>
      </c>
      <c r="Q154" s="55">
        <f>T66</f>
        <v>37751.89</v>
      </c>
      <c r="R154" s="55"/>
      <c r="T154" s="55">
        <f>T77</f>
        <v>31060.765599999999</v>
      </c>
      <c r="U154" s="55"/>
      <c r="W154" s="55">
        <f>+T154-Q154</f>
        <v>-6691.1244000000006</v>
      </c>
      <c r="X154" s="55"/>
      <c r="Z154" s="85">
        <f>+H154*Q154/1000</f>
        <v>1152.3296618264822</v>
      </c>
      <c r="AA154" s="85"/>
      <c r="AX154" s="55"/>
    </row>
    <row r="155" spans="1:51" ht="13" x14ac:dyDescent="0.3">
      <c r="A155" s="22"/>
      <c r="C155" s="82"/>
      <c r="D155" s="82"/>
      <c r="E155" s="79"/>
      <c r="F155" s="79"/>
      <c r="G155" s="79"/>
      <c r="H155" s="79"/>
      <c r="I155" s="79"/>
      <c r="J155" s="82"/>
      <c r="K155" s="82"/>
      <c r="L155" s="82"/>
      <c r="M155" s="82"/>
      <c r="Q155" s="55"/>
      <c r="R155" s="55"/>
      <c r="T155" s="55"/>
      <c r="U155" s="55"/>
      <c r="W155" s="55"/>
      <c r="X155" s="55"/>
      <c r="Z155" s="144">
        <f>+Z154+Z153</f>
        <v>2610.4675610919448</v>
      </c>
      <c r="AA155" s="144"/>
      <c r="AC155" s="81">
        <f>+H130</f>
        <v>2610.4675610919444</v>
      </c>
      <c r="AD155" s="81"/>
    </row>
    <row r="156" spans="1:51" ht="13" x14ac:dyDescent="0.3">
      <c r="A156" s="22"/>
      <c r="B156" s="28" t="s">
        <v>18</v>
      </c>
      <c r="C156" s="78"/>
      <c r="D156" s="78"/>
      <c r="E156" s="79">
        <f>+E134/SUM(E60:E64,E69:E71)*1000</f>
        <v>32.667788619637335</v>
      </c>
      <c r="F156" s="79">
        <f>+F134/SUM(F60:F64,F69:F71)*1000</f>
        <v>32.471138495788644</v>
      </c>
      <c r="G156" s="79">
        <f>+G134/SUM(G60:G64,G69:G71)*1000</f>
        <v>32.526576301658757</v>
      </c>
      <c r="H156" s="79">
        <f>+H134/SUM(H60:H64,H69:H71)*1000</f>
        <v>32.139468812091522</v>
      </c>
      <c r="I156" s="79">
        <f>+I134/SUM(I60:I64,I69:I71)*1000</f>
        <v>30.835025817429067</v>
      </c>
      <c r="J156" s="78"/>
      <c r="K156" s="78"/>
      <c r="L156" s="78"/>
      <c r="M156" s="78"/>
      <c r="P156" s="133" t="s">
        <v>26</v>
      </c>
      <c r="Q156" s="55"/>
      <c r="R156" s="55"/>
      <c r="T156" s="55"/>
      <c r="U156" s="55"/>
      <c r="W156" s="55"/>
      <c r="X156" s="55"/>
      <c r="Z156" s="144"/>
      <c r="AA156" s="144"/>
      <c r="AC156" s="81"/>
      <c r="AU156" s="55"/>
      <c r="AV156" s="55"/>
      <c r="AW156" s="55"/>
      <c r="AX156" s="55"/>
      <c r="AY156" s="55"/>
    </row>
    <row r="157" spans="1:51" ht="13" x14ac:dyDescent="0.3">
      <c r="A157" s="22"/>
      <c r="B157" s="77" t="s">
        <v>72</v>
      </c>
      <c r="C157" s="76"/>
      <c r="D157" s="76"/>
      <c r="E157" s="75">
        <f>+(E135*1000-X170*AVERAGE(E$113,E$114))/R170</f>
        <v>35.506328541260871</v>
      </c>
      <c r="F157" s="75"/>
      <c r="G157" s="75"/>
      <c r="H157" s="75">
        <f>+(H135*1000-W157*AVERAGE(H$117,H$118))/Q157</f>
        <v>35.518621609354192</v>
      </c>
      <c r="I157" s="75"/>
      <c r="J157" s="76"/>
      <c r="K157" s="76"/>
      <c r="L157" s="80"/>
      <c r="M157" s="80"/>
      <c r="P157" s="13" t="s">
        <v>14</v>
      </c>
      <c r="Q157" s="55">
        <f>T61</f>
        <v>58871.465100000001</v>
      </c>
      <c r="R157" s="55"/>
      <c r="T157" s="55">
        <f>T72</f>
        <v>74076.001699999993</v>
      </c>
      <c r="U157" s="55"/>
      <c r="W157" s="55">
        <f>+T157-Q157</f>
        <v>15204.536599999992</v>
      </c>
      <c r="X157" s="55"/>
      <c r="Z157" s="144">
        <f>+H157*Q157/1000</f>
        <v>2091.0332924752011</v>
      </c>
      <c r="AA157" s="144"/>
      <c r="AC157" s="81"/>
      <c r="AX157" s="55"/>
    </row>
    <row r="158" spans="1:51" ht="14" x14ac:dyDescent="0.4">
      <c r="A158" s="22"/>
      <c r="B158" s="77" t="s">
        <v>73</v>
      </c>
      <c r="C158" s="76"/>
      <c r="D158" s="76"/>
      <c r="E158" s="75">
        <f>+(E136*1000-X171*AVERAGE(E$113,E$114))/R171</f>
        <v>31.115503959612944</v>
      </c>
      <c r="F158" s="75"/>
      <c r="G158" s="75"/>
      <c r="H158" s="75">
        <f>+(H136*1000-W158*AVERAGE(H$117,H$118))/Q158</f>
        <v>29.537387975506793</v>
      </c>
      <c r="I158" s="75"/>
      <c r="J158" s="76"/>
      <c r="K158" s="76"/>
      <c r="L158" s="80"/>
      <c r="M158" s="80"/>
      <c r="P158" s="13" t="s">
        <v>15</v>
      </c>
      <c r="Q158" s="55">
        <f>T62</f>
        <v>76452.534899999999</v>
      </c>
      <c r="R158" s="55"/>
      <c r="T158" s="55">
        <f>T73</f>
        <v>61247.998300000007</v>
      </c>
      <c r="U158" s="55"/>
      <c r="W158" s="55">
        <f>+T158-Q158</f>
        <v>-15204.536599999992</v>
      </c>
      <c r="X158" s="55"/>
      <c r="Z158" s="85">
        <f>+H158*Q158/1000</f>
        <v>2258.2081850522732</v>
      </c>
      <c r="AA158" s="85"/>
      <c r="AC158" s="81"/>
      <c r="AX158" s="55"/>
    </row>
    <row r="159" spans="1:51" ht="13" x14ac:dyDescent="0.3">
      <c r="A159" s="22"/>
      <c r="C159" s="142"/>
      <c r="D159" s="142"/>
      <c r="E159" s="143"/>
      <c r="F159" s="143"/>
      <c r="G159" s="143"/>
      <c r="H159" s="143"/>
      <c r="I159" s="143"/>
      <c r="J159" s="142"/>
      <c r="K159" s="142"/>
      <c r="L159" s="142"/>
      <c r="M159" s="142"/>
      <c r="Z159" s="144">
        <f>+Z158+Z157</f>
        <v>4349.2414775274738</v>
      </c>
      <c r="AA159" s="144"/>
      <c r="AC159" s="81">
        <f>+H134</f>
        <v>4349.2414775274738</v>
      </c>
      <c r="AD159" s="81"/>
    </row>
    <row r="160" spans="1:51" ht="13" x14ac:dyDescent="0.3">
      <c r="A160" s="22"/>
      <c r="B160" s="13" t="s">
        <v>74</v>
      </c>
      <c r="C160" s="74"/>
      <c r="D160" s="74"/>
      <c r="E160" s="75">
        <f>(E152*SUM(E65:E68)+E156*SUM(E60:E64,E69:E71))/E72</f>
        <v>34.031427630652004</v>
      </c>
      <c r="F160" s="75">
        <f>(F152*SUM(F65:F68)+F156*SUM(F60:F64,F69:F71))/F72</f>
        <v>34.328879331127297</v>
      </c>
      <c r="G160" s="75">
        <f>(G152*SUM(G65:G68)+G156*SUM(G60:G64,G69:G71))/G72</f>
        <v>34.381982110435771</v>
      </c>
      <c r="H160" s="75">
        <f>(H152*SUM(H65:H68)+H156*SUM(H60:H64,H69:H71))/H72</f>
        <v>33.894411759414702</v>
      </c>
      <c r="I160" s="75">
        <f>(I152*SUM(I65:I68)+I156*SUM(I60:I64,I69:I71))/I72</f>
        <v>31.721673389022932</v>
      </c>
      <c r="J160" s="74"/>
      <c r="K160" s="74"/>
      <c r="L160" s="74"/>
      <c r="M160" s="74"/>
      <c r="AU160" s="55"/>
      <c r="AV160" s="55"/>
      <c r="AW160" s="55"/>
      <c r="AX160" s="55"/>
      <c r="AY160" s="55"/>
    </row>
    <row r="161" spans="1:51" ht="13" x14ac:dyDescent="0.3">
      <c r="A161" s="22"/>
      <c r="B161" s="13" t="s">
        <v>75</v>
      </c>
      <c r="C161" s="80">
        <f>+C140/SUM(C72:I72)*1000</f>
        <v>34.318374933040147</v>
      </c>
    </row>
    <row r="162" spans="1:51" ht="13" x14ac:dyDescent="0.3">
      <c r="A162" s="22"/>
      <c r="Q162" s="26" t="str">
        <f>+$E150</f>
        <v>RT{1}</v>
      </c>
      <c r="R162" s="26"/>
      <c r="S162" s="26"/>
      <c r="T162" s="26" t="str">
        <f>+$E150</f>
        <v>RT{1}</v>
      </c>
      <c r="U162" s="26"/>
      <c r="V162" s="26"/>
      <c r="W162" s="26" t="str">
        <f>+$E150</f>
        <v>RT{1}</v>
      </c>
      <c r="X162" s="26"/>
      <c r="Z162" s="26" t="str">
        <f>+$E150</f>
        <v>RT{1}</v>
      </c>
      <c r="AA162" s="26"/>
      <c r="AC162" s="26" t="str">
        <f>+$E150</f>
        <v>RT{1}</v>
      </c>
    </row>
    <row r="163" spans="1:51" ht="13" x14ac:dyDescent="0.3">
      <c r="A163" s="22"/>
    </row>
    <row r="164" spans="1:51" ht="13" x14ac:dyDescent="0.3">
      <c r="A164" s="18" t="s">
        <v>76</v>
      </c>
      <c r="B164" s="16" t="s">
        <v>139</v>
      </c>
      <c r="P164" s="133" t="s">
        <v>25</v>
      </c>
      <c r="Q164" s="38" t="s">
        <v>196</v>
      </c>
      <c r="R164" s="38" t="s">
        <v>192</v>
      </c>
      <c r="T164" s="38" t="s">
        <v>196</v>
      </c>
      <c r="U164" s="38" t="s">
        <v>192</v>
      </c>
      <c r="W164" s="38" t="s">
        <v>196</v>
      </c>
      <c r="X164" s="38" t="s">
        <v>192</v>
      </c>
      <c r="Z164" s="38" t="s">
        <v>197</v>
      </c>
      <c r="AC164" s="38" t="s">
        <v>197</v>
      </c>
    </row>
    <row r="165" spans="1:51" ht="13" x14ac:dyDescent="0.3">
      <c r="A165" s="22"/>
      <c r="B165" s="17" t="str">
        <f>'BGS PTY20 Cost Alloc'!$B$161</f>
        <v>obligations - annual average forecasted for 2021; costs are market estimates</v>
      </c>
      <c r="J165" s="26" t="s">
        <v>302</v>
      </c>
      <c r="P165" s="13" t="s">
        <v>14</v>
      </c>
      <c r="Q165" s="55">
        <f>SUMPRODUCT(E38:E41,M65:M68)</f>
        <v>26208.334600000002</v>
      </c>
      <c r="R165" s="55">
        <f>SUMPRODUCT(E38:E41,E65:E68)</f>
        <v>27209.748199999998</v>
      </c>
      <c r="T165" s="55">
        <f>Q76</f>
        <v>34081.579400000002</v>
      </c>
      <c r="U165" s="55">
        <f>T165-($Q$167*$Q165/($Q$165+$Q$166))</f>
        <v>33076.770896857568</v>
      </c>
      <c r="W165" s="55">
        <f>+T165-Q165</f>
        <v>7873.2448000000004</v>
      </c>
      <c r="X165" s="55">
        <f>-Q165+U165</f>
        <v>6868.436296857566</v>
      </c>
      <c r="Z165" s="144">
        <f>+E153*Q165/1000</f>
        <v>1198.8229708291672</v>
      </c>
      <c r="AA165" s="144"/>
      <c r="AU165" s="82"/>
      <c r="AV165" s="82"/>
      <c r="AW165" s="82"/>
      <c r="AX165" s="82"/>
      <c r="AY165" s="82"/>
    </row>
    <row r="166" spans="1:51" ht="14" x14ac:dyDescent="0.4">
      <c r="A166" s="22"/>
      <c r="B166" s="17" t="s">
        <v>77</v>
      </c>
      <c r="C166" s="26"/>
      <c r="D166" s="26"/>
      <c r="E166" s="26" t="str">
        <f>+E$13</f>
        <v>RT{1}</v>
      </c>
      <c r="F166" s="26" t="str">
        <f>+F$13</f>
        <v>RS{2}</v>
      </c>
      <c r="G166" s="26" t="str">
        <f>+G$13</f>
        <v>GS{3}</v>
      </c>
      <c r="H166" s="26" t="str">
        <f>+H$58</f>
        <v>GST {4}</v>
      </c>
      <c r="I166" s="26" t="str">
        <f>+I$13</f>
        <v>OL/SL</v>
      </c>
      <c r="J166" s="26" t="s">
        <v>165</v>
      </c>
      <c r="K166" s="26"/>
      <c r="L166" s="26"/>
      <c r="M166" s="26"/>
      <c r="P166" s="13" t="s">
        <v>15</v>
      </c>
      <c r="Q166" s="55">
        <f>SUMPRODUCT(Q38:Q41,M65:M68)</f>
        <v>37596.665399999998</v>
      </c>
      <c r="R166" s="55">
        <f>SUMPRODUCT(Q38:Q41,E65:E68)</f>
        <v>39042.251799999998</v>
      </c>
      <c r="T166" s="55">
        <f>Q77</f>
        <v>32170.420599999998</v>
      </c>
      <c r="U166" s="55">
        <f>T166-($Q$167*$Q166/($Q$165+$Q$166))</f>
        <v>30728.991769809432</v>
      </c>
      <c r="W166" s="55">
        <f>+T166-Q166</f>
        <v>-5426.2448000000004</v>
      </c>
      <c r="X166" s="55">
        <f>-Q166+U166</f>
        <v>-6867.6736301905657</v>
      </c>
      <c r="Z166" s="144">
        <f>+E154*Q166/1000</f>
        <v>1149.8490992580498</v>
      </c>
      <c r="AA166" s="85"/>
      <c r="AU166" s="82"/>
      <c r="AV166" s="82"/>
      <c r="AW166" s="82"/>
      <c r="AX166" s="82"/>
      <c r="AY166" s="82"/>
    </row>
    <row r="167" spans="1:51" ht="14" x14ac:dyDescent="0.4">
      <c r="A167" s="22"/>
      <c r="P167" s="13" t="s">
        <v>191</v>
      </c>
      <c r="Q167" s="55">
        <f>SUM(W65:W68)/1000</f>
        <v>2446.2373333329997</v>
      </c>
      <c r="R167" s="55"/>
      <c r="T167" s="55">
        <v>0</v>
      </c>
      <c r="U167" s="55">
        <v>0</v>
      </c>
      <c r="W167" s="55">
        <f>+T167-Q167</f>
        <v>-2446.2373333329997</v>
      </c>
      <c r="X167" s="55"/>
      <c r="Z167" s="85">
        <f>+E152*Q167/1000</f>
        <v>90.045335610051723</v>
      </c>
      <c r="AU167" s="82"/>
      <c r="AV167" s="82"/>
      <c r="AW167" s="82"/>
      <c r="AX167" s="82"/>
      <c r="AY167" s="82"/>
    </row>
    <row r="168" spans="1:51" ht="13" x14ac:dyDescent="0.3">
      <c r="A168" s="22"/>
      <c r="B168" s="13" t="s">
        <v>78</v>
      </c>
      <c r="C168" s="87"/>
      <c r="D168" s="87"/>
      <c r="E168" s="87">
        <f>'BGS PTY20 Cost Alloc'!E164</f>
        <v>49.817557000000001</v>
      </c>
      <c r="F168" s="87">
        <f>'BGS PTY20 Cost Alloc'!F164</f>
        <v>3258.746169</v>
      </c>
      <c r="G168" s="87">
        <f>'BGS PTY20 Cost Alloc'!G164</f>
        <v>1418.494514</v>
      </c>
      <c r="H168" s="87">
        <f>'BGS PTY20 Cost Alloc'!H164</f>
        <v>31.569097999999997</v>
      </c>
      <c r="I168" s="87">
        <f>'BGS PTY20 Cost Alloc'!I164</f>
        <v>1.0075180000000001</v>
      </c>
      <c r="J168" s="87">
        <f>SUM(E168:I168)</f>
        <v>4759.6348560000006</v>
      </c>
      <c r="K168" s="87"/>
      <c r="L168" s="87"/>
      <c r="M168" s="87"/>
      <c r="Z168" s="144">
        <f>SUM(Z165:Z167)</f>
        <v>2438.7174056972685</v>
      </c>
      <c r="AA168" s="144"/>
      <c r="AC168" s="81">
        <f>+E130</f>
        <v>2438.7182280097486</v>
      </c>
      <c r="AU168" s="82"/>
      <c r="AV168" s="82"/>
      <c r="AW168" s="82"/>
      <c r="AX168" s="82"/>
      <c r="AY168" s="82"/>
    </row>
    <row r="169" spans="1:51" ht="13" x14ac:dyDescent="0.3">
      <c r="A169" s="22"/>
      <c r="P169" s="133" t="s">
        <v>26</v>
      </c>
      <c r="Q169" s="55"/>
      <c r="R169" s="55"/>
      <c r="T169" s="55"/>
      <c r="U169" s="55"/>
      <c r="W169" s="55"/>
      <c r="X169" s="55"/>
      <c r="AU169" s="82"/>
      <c r="AV169" s="82"/>
      <c r="AW169" s="82"/>
      <c r="AX169" s="82"/>
      <c r="AY169" s="82"/>
    </row>
    <row r="170" spans="1:51" ht="13" x14ac:dyDescent="0.3">
      <c r="A170" s="22"/>
      <c r="B170" s="13" t="s">
        <v>79</v>
      </c>
      <c r="C170" s="88" t="s">
        <v>80</v>
      </c>
      <c r="D170" s="86"/>
      <c r="E170" s="67"/>
      <c r="F170" s="67"/>
      <c r="G170" s="67"/>
      <c r="H170" s="67"/>
      <c r="I170" s="67"/>
      <c r="J170" s="86"/>
      <c r="K170" s="86"/>
      <c r="L170" s="86"/>
      <c r="M170" s="86"/>
      <c r="P170" s="13" t="s">
        <v>14</v>
      </c>
      <c r="Q170" s="55">
        <f>SUMPRODUCT(E33:E37,M60:M64)+SUMPRODUCT(E42:E44,M69:M71)</f>
        <v>45628.715299999996</v>
      </c>
      <c r="R170" s="55">
        <f>SUMPRODUCT(E33:E37,E60:E64)+SUMPRODUCT(E42:E44,E69:E71)</f>
        <v>47712.356500000002</v>
      </c>
      <c r="T170" s="55">
        <f>Q72</f>
        <v>64717.133700000006</v>
      </c>
      <c r="U170" s="55">
        <f>T170-($Q$172*$Q170/($Q$170+$Q$171))</f>
        <v>62640.05388498243</v>
      </c>
      <c r="W170" s="55">
        <f>+T170-Q170</f>
        <v>19088.41840000001</v>
      </c>
      <c r="X170" s="55">
        <f>-Q170+U170</f>
        <v>17011.338584982434</v>
      </c>
      <c r="Z170" s="144">
        <f>+E157*Q170/1000</f>
        <v>1620.1081563574564</v>
      </c>
      <c r="AA170" s="144"/>
      <c r="AC170" s="81"/>
      <c r="AU170" s="82"/>
      <c r="AV170" s="82"/>
      <c r="AW170" s="82"/>
      <c r="AX170" s="82"/>
      <c r="AY170" s="82"/>
    </row>
    <row r="171" spans="1:51" ht="14" x14ac:dyDescent="0.4">
      <c r="A171" s="22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P171" s="13" t="s">
        <v>15</v>
      </c>
      <c r="Q171" s="55">
        <f>SUMPRODUCT(Q33:Q37,M60:M64)+SUMPRODUCT(Q42:Q44,M69:M71)</f>
        <v>83476.284700000018</v>
      </c>
      <c r="R171" s="55">
        <f>SUMPRODUCT(Q33:Q37,E60:E64)+SUMPRODUCT(Q42:Q44,E69:E71)</f>
        <v>87270.643500000006</v>
      </c>
      <c r="T171" s="55">
        <f>Q73</f>
        <v>70265.866299999994</v>
      </c>
      <c r="U171" s="55">
        <f>T171-($Q$172*$Q171/($Q$170+$Q$171))</f>
        <v>66465.914781684274</v>
      </c>
      <c r="W171" s="55">
        <f>+T171-Q171</f>
        <v>-13210.418400000024</v>
      </c>
      <c r="X171" s="55">
        <f>-Q171+U171</f>
        <v>-17010.369918315744</v>
      </c>
      <c r="Z171" s="144">
        <f>+E158*Q171/1000</f>
        <v>2597.4066671166279</v>
      </c>
      <c r="AA171" s="85"/>
      <c r="AC171" s="81"/>
      <c r="AU171" s="82"/>
      <c r="AV171" s="82"/>
      <c r="AW171" s="82"/>
      <c r="AX171" s="82"/>
      <c r="AY171" s="82"/>
    </row>
    <row r="172" spans="1:51" ht="14" x14ac:dyDescent="0.4">
      <c r="A172" s="22"/>
      <c r="B172" s="13" t="s">
        <v>81</v>
      </c>
      <c r="I172" s="86"/>
      <c r="J172" s="86"/>
      <c r="K172" s="86"/>
      <c r="L172" s="86"/>
      <c r="M172" s="86"/>
      <c r="P172" s="13" t="s">
        <v>191</v>
      </c>
      <c r="Q172" s="55">
        <f>SUM(W60:W64,W69:W71)/1000</f>
        <v>5877.0313333332997</v>
      </c>
      <c r="T172" s="13">
        <v>0</v>
      </c>
      <c r="U172" s="55">
        <v>0</v>
      </c>
      <c r="W172" s="55">
        <f>+T172-Q172</f>
        <v>-5877.0313333332997</v>
      </c>
      <c r="X172" s="55"/>
      <c r="Z172" s="85">
        <f>+E156*Q172/1000</f>
        <v>191.98961730831761</v>
      </c>
      <c r="AU172" s="82"/>
      <c r="AV172" s="82"/>
      <c r="AW172" s="82"/>
      <c r="AX172" s="82"/>
      <c r="AY172" s="82"/>
    </row>
    <row r="173" spans="1:51" ht="13" x14ac:dyDescent="0.3">
      <c r="A173" s="22"/>
      <c r="D173" s="89" t="s">
        <v>82</v>
      </c>
      <c r="E173" s="136">
        <v>122</v>
      </c>
      <c r="G173" s="89" t="s">
        <v>83</v>
      </c>
      <c r="H173" s="90">
        <v>4</v>
      </c>
      <c r="I173" s="86"/>
      <c r="J173" s="86"/>
      <c r="K173" s="86"/>
      <c r="L173" s="86"/>
      <c r="M173" s="86"/>
      <c r="Q173" s="26"/>
      <c r="R173" s="26"/>
      <c r="S173" s="26"/>
      <c r="T173" s="26"/>
      <c r="U173" s="26"/>
      <c r="V173" s="26"/>
      <c r="W173" s="26"/>
      <c r="X173" s="26"/>
      <c r="Z173" s="144">
        <f>SUM(Z170:Z172)</f>
        <v>4409.5044407824025</v>
      </c>
      <c r="AA173" s="144"/>
      <c r="AC173" s="81">
        <f>+E134</f>
        <v>4409.5961112445066</v>
      </c>
      <c r="AU173" s="81"/>
      <c r="AV173" s="81"/>
      <c r="AW173" s="81"/>
      <c r="AX173" s="81"/>
      <c r="AY173" s="81"/>
    </row>
    <row r="174" spans="1:51" ht="14" x14ac:dyDescent="0.4">
      <c r="A174" s="22"/>
      <c r="D174" s="91" t="s">
        <v>84</v>
      </c>
      <c r="E174" s="90">
        <v>243</v>
      </c>
      <c r="G174" s="91" t="s">
        <v>85</v>
      </c>
      <c r="H174" s="90">
        <v>8</v>
      </c>
      <c r="I174" s="86"/>
      <c r="J174" s="86"/>
      <c r="K174" s="86"/>
      <c r="L174" s="86"/>
      <c r="M174" s="86"/>
      <c r="Q174" s="55"/>
      <c r="R174" s="55"/>
      <c r="T174" s="55"/>
      <c r="U174" s="55"/>
      <c r="W174" s="55"/>
      <c r="X174" s="55"/>
      <c r="Z174" s="85"/>
      <c r="AA174" s="85"/>
      <c r="AX174" s="81"/>
    </row>
    <row r="175" spans="1:51" ht="13" x14ac:dyDescent="0.3">
      <c r="A175" s="22"/>
      <c r="G175" s="89" t="s">
        <v>86</v>
      </c>
      <c r="H175" s="13">
        <f>+H173+H174</f>
        <v>12</v>
      </c>
      <c r="I175" s="86"/>
      <c r="J175" s="86"/>
      <c r="K175" s="86"/>
      <c r="L175" s="86"/>
      <c r="M175" s="86"/>
      <c r="Q175" s="55"/>
      <c r="R175" s="55"/>
      <c r="T175" s="55"/>
      <c r="U175" s="55"/>
      <c r="W175" s="55"/>
      <c r="X175" s="55"/>
      <c r="Z175" s="144"/>
      <c r="AA175" s="144"/>
      <c r="AC175" s="81">
        <f>SUM(AC168:AC173)</f>
        <v>6848.3143392542552</v>
      </c>
    </row>
    <row r="176" spans="1:51" ht="13" x14ac:dyDescent="0.3">
      <c r="A176" s="22"/>
      <c r="B176" s="21" t="s">
        <v>158</v>
      </c>
      <c r="C176" s="92"/>
      <c r="D176" s="93"/>
      <c r="K176" s="94"/>
      <c r="Q176" s="55"/>
      <c r="R176" s="55"/>
      <c r="T176" s="55"/>
      <c r="U176" s="55"/>
      <c r="W176" s="55"/>
      <c r="X176" s="55"/>
      <c r="Z176" s="144"/>
      <c r="AA176" s="144"/>
      <c r="AC176" s="81"/>
    </row>
    <row r="177" spans="1:50" ht="13" x14ac:dyDescent="0.3">
      <c r="A177" s="22"/>
      <c r="B177" s="21"/>
      <c r="C177" s="92"/>
      <c r="D177" s="93"/>
      <c r="K177" s="94"/>
      <c r="Q177" s="55"/>
      <c r="R177" s="55"/>
      <c r="T177" s="55"/>
      <c r="U177" s="55"/>
      <c r="W177" s="55"/>
      <c r="X177" s="55"/>
      <c r="Z177" s="144"/>
      <c r="AA177" s="144"/>
      <c r="AC177" s="81"/>
    </row>
    <row r="178" spans="1:50" ht="13" x14ac:dyDescent="0.3">
      <c r="A178" s="22"/>
      <c r="D178" s="38" t="s">
        <v>222</v>
      </c>
      <c r="E178" s="38" t="s">
        <v>218</v>
      </c>
      <c r="Q178" s="55"/>
      <c r="R178" s="55"/>
      <c r="T178" s="55"/>
      <c r="U178" s="55"/>
      <c r="W178" s="55"/>
      <c r="X178" s="55"/>
      <c r="Z178" s="144"/>
      <c r="AA178" s="144"/>
      <c r="AC178" s="81"/>
    </row>
    <row r="179" spans="1:50" ht="14" x14ac:dyDescent="0.4">
      <c r="A179" s="22"/>
      <c r="B179" s="21" t="s">
        <v>87</v>
      </c>
      <c r="C179" s="13" t="s">
        <v>25</v>
      </c>
      <c r="D179" s="11">
        <v>164.89</v>
      </c>
      <c r="E179" s="162">
        <f>ROUND(D179*$H$307,3)</f>
        <v>163.37299999999999</v>
      </c>
      <c r="F179" s="93" t="s">
        <v>88</v>
      </c>
      <c r="G179" s="89" t="s">
        <v>162</v>
      </c>
      <c r="H179" s="81">
        <f>ROUND(E179*E173*J$168,0)</f>
        <v>94866691</v>
      </c>
      <c r="I179" s="89"/>
      <c r="J179" s="89"/>
      <c r="K179" s="142"/>
      <c r="Q179" s="55"/>
      <c r="R179" s="55"/>
      <c r="T179" s="55"/>
      <c r="U179" s="55"/>
      <c r="W179" s="55"/>
      <c r="X179" s="55"/>
      <c r="Z179" s="85"/>
      <c r="AA179" s="85"/>
      <c r="AC179" s="81"/>
    </row>
    <row r="180" spans="1:50" ht="14" x14ac:dyDescent="0.4">
      <c r="A180" s="22"/>
      <c r="B180" s="21"/>
      <c r="C180" s="13" t="s">
        <v>26</v>
      </c>
      <c r="D180" s="11">
        <v>164.89</v>
      </c>
      <c r="E180" s="162">
        <f>ROUND(D180*$H$307,3)</f>
        <v>163.37299999999999</v>
      </c>
      <c r="F180" s="93" t="s">
        <v>88</v>
      </c>
      <c r="G180" s="121" t="s">
        <v>163</v>
      </c>
      <c r="H180" s="122">
        <f>ROUND(E180*E174*J$168,0)</f>
        <v>188955786</v>
      </c>
      <c r="I180" s="89"/>
      <c r="J180" s="89"/>
      <c r="K180" s="142"/>
      <c r="Z180" s="144"/>
      <c r="AA180" s="144"/>
      <c r="AC180" s="81"/>
    </row>
    <row r="181" spans="1:50" ht="13" x14ac:dyDescent="0.3">
      <c r="A181" s="22"/>
      <c r="B181" s="21"/>
      <c r="D181" s="11"/>
      <c r="E181" s="93"/>
      <c r="G181" s="89" t="s">
        <v>164</v>
      </c>
      <c r="H181" s="81">
        <f>SUM(H179:H180)</f>
        <v>283822477</v>
      </c>
      <c r="I181" s="89"/>
      <c r="J181" s="479"/>
      <c r="K181" s="142"/>
    </row>
    <row r="182" spans="1:50" ht="13" x14ac:dyDescent="0.3">
      <c r="A182" s="22"/>
      <c r="B182" s="13" t="s">
        <v>153</v>
      </c>
      <c r="I182" s="89"/>
      <c r="J182" s="89"/>
      <c r="K182" s="142"/>
    </row>
    <row r="183" spans="1:50" ht="13" x14ac:dyDescent="0.3">
      <c r="A183" s="22"/>
      <c r="B183" s="17" t="s">
        <v>154</v>
      </c>
      <c r="I183" s="89"/>
      <c r="J183" s="89"/>
      <c r="K183" s="142"/>
    </row>
    <row r="184" spans="1:50" ht="13" x14ac:dyDescent="0.3">
      <c r="A184" s="22"/>
      <c r="B184" s="17"/>
      <c r="C184" s="105" t="str">
        <f>" ---------- Rate "&amp;C30&amp;" ----------"</f>
        <v xml:space="preserve"> ---------- Rate  ----------</v>
      </c>
      <c r="D184" s="106"/>
      <c r="E184" s="106"/>
      <c r="I184" s="89"/>
      <c r="J184" s="89"/>
      <c r="K184" s="142"/>
    </row>
    <row r="185" spans="1:50" ht="13" x14ac:dyDescent="0.3">
      <c r="A185" s="22"/>
      <c r="C185" s="38" t="s">
        <v>140</v>
      </c>
      <c r="E185" s="38" t="s">
        <v>141</v>
      </c>
      <c r="I185" s="89"/>
      <c r="J185" s="89"/>
      <c r="K185" s="142"/>
    </row>
    <row r="186" spans="1:50" ht="13" x14ac:dyDescent="0.3">
      <c r="A186" s="22"/>
      <c r="B186" s="89" t="s">
        <v>142</v>
      </c>
      <c r="C186" s="107"/>
      <c r="E186" s="118">
        <f>SUM(R65/(R65+R66))</f>
        <v>0.53058432613271322</v>
      </c>
      <c r="F186" s="112"/>
      <c r="I186" s="89"/>
      <c r="J186" s="89"/>
      <c r="K186" s="142"/>
      <c r="AX186" s="118"/>
    </row>
    <row r="187" spans="1:50" ht="13" x14ac:dyDescent="0.3">
      <c r="A187" s="22"/>
      <c r="B187" s="89" t="s">
        <v>144</v>
      </c>
      <c r="C187" s="108"/>
      <c r="E187" s="109">
        <f>1-E186</f>
        <v>0.46941567386728678</v>
      </c>
      <c r="G187" s="53"/>
      <c r="I187" s="89"/>
      <c r="J187" s="89"/>
      <c r="K187" s="142"/>
    </row>
    <row r="188" spans="1:50" ht="13" x14ac:dyDescent="0.3">
      <c r="A188" s="22"/>
      <c r="B188" s="110" t="s">
        <v>155</v>
      </c>
      <c r="C188" s="111">
        <v>0.86519999999999997</v>
      </c>
      <c r="D188" s="13" t="s">
        <v>143</v>
      </c>
      <c r="J188" s="89"/>
      <c r="K188" s="142"/>
    </row>
    <row r="189" spans="1:50" x14ac:dyDescent="0.25">
      <c r="A189" s="13"/>
      <c r="J189" s="89"/>
      <c r="K189" s="142"/>
    </row>
    <row r="190" spans="1:50" ht="13" x14ac:dyDescent="0.3">
      <c r="A190" s="18" t="s">
        <v>89</v>
      </c>
      <c r="B190" s="16" t="s">
        <v>90</v>
      </c>
      <c r="D190" s="38" t="s">
        <v>222</v>
      </c>
      <c r="E190" s="38" t="s">
        <v>218</v>
      </c>
    </row>
    <row r="191" spans="1:50" ht="13" x14ac:dyDescent="0.3">
      <c r="A191" s="18"/>
      <c r="B191" s="17" t="s">
        <v>310</v>
      </c>
      <c r="D191" s="411">
        <v>2</v>
      </c>
      <c r="F191" s="13" t="s">
        <v>92</v>
      </c>
    </row>
    <row r="192" spans="1:50" ht="13" x14ac:dyDescent="0.3">
      <c r="A192" s="18"/>
      <c r="B192" s="17" t="s">
        <v>313</v>
      </c>
      <c r="D192" s="412">
        <v>15.39</v>
      </c>
      <c r="F192" s="13" t="s">
        <v>92</v>
      </c>
    </row>
    <row r="193" spans="1:13" ht="13" x14ac:dyDescent="0.3">
      <c r="A193" s="22"/>
      <c r="B193" s="17" t="s">
        <v>91</v>
      </c>
      <c r="D193" s="413">
        <f>D191+D192</f>
        <v>17.39</v>
      </c>
      <c r="E193" s="410">
        <f>ROUND(D193*$H$307,3)</f>
        <v>17.23</v>
      </c>
      <c r="F193" s="13" t="s">
        <v>92</v>
      </c>
    </row>
    <row r="194" spans="1:13" ht="7" customHeight="1" x14ac:dyDescent="0.3">
      <c r="A194" s="22"/>
      <c r="B194" s="17"/>
      <c r="F194" s="93"/>
    </row>
    <row r="195" spans="1:13" ht="5.5" customHeight="1" x14ac:dyDescent="0.3">
      <c r="A195" s="22"/>
      <c r="B195" s="16"/>
      <c r="E195" s="92"/>
      <c r="F195" s="93"/>
    </row>
    <row r="196" spans="1:13" ht="13" x14ac:dyDescent="0.3">
      <c r="A196" s="18" t="s">
        <v>93</v>
      </c>
      <c r="B196" s="16" t="s">
        <v>167</v>
      </c>
    </row>
    <row r="197" spans="1:13" ht="5.5" customHeight="1" x14ac:dyDescent="0.3">
      <c r="A197" s="18"/>
      <c r="B197" s="16"/>
    </row>
    <row r="198" spans="1:13" ht="13" x14ac:dyDescent="0.3">
      <c r="A198" s="18"/>
      <c r="B198" s="16"/>
      <c r="C198" s="26"/>
      <c r="D198" s="26"/>
      <c r="E198" s="26" t="str">
        <f>+E$13</f>
        <v>RT{1}</v>
      </c>
      <c r="F198" s="26" t="str">
        <f>+F$13</f>
        <v>RS{2}</v>
      </c>
      <c r="G198" s="26" t="str">
        <f>+G$13</f>
        <v>GS{3}</v>
      </c>
      <c r="H198" s="155" t="str">
        <f>+H$58</f>
        <v>GST {4}</v>
      </c>
      <c r="I198" s="26" t="str">
        <f>+I$13</f>
        <v>OL/SL</v>
      </c>
      <c r="J198" s="26"/>
    </row>
    <row r="199" spans="1:13" ht="4.5" customHeight="1" x14ac:dyDescent="0.3">
      <c r="A199" s="18"/>
      <c r="B199" s="16"/>
      <c r="M199" s="296" t="s">
        <v>197</v>
      </c>
    </row>
    <row r="200" spans="1:13" ht="13" x14ac:dyDescent="0.3">
      <c r="A200" s="22"/>
      <c r="B200" s="89" t="s">
        <v>94</v>
      </c>
      <c r="C200" s="145"/>
      <c r="D200" s="145"/>
      <c r="E200" s="146">
        <v>0</v>
      </c>
      <c r="F200" s="146">
        <v>0</v>
      </c>
      <c r="G200" s="146">
        <v>0</v>
      </c>
      <c r="H200" s="146">
        <v>0</v>
      </c>
      <c r="I200" s="146">
        <v>0</v>
      </c>
      <c r="J200" s="145"/>
      <c r="K200" s="145" t="s">
        <v>252</v>
      </c>
      <c r="L200" s="145"/>
      <c r="M200" s="298">
        <f>H200*SUM(E257:H257)/1000000</f>
        <v>0</v>
      </c>
    </row>
    <row r="201" spans="1:13" ht="13" x14ac:dyDescent="0.3">
      <c r="A201" s="22"/>
      <c r="B201" s="89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81" t="e">
        <f>#REF!-J278</f>
        <v>#REF!</v>
      </c>
    </row>
    <row r="202" spans="1:13" ht="13" x14ac:dyDescent="0.3">
      <c r="A202" s="22"/>
      <c r="B202" s="89" t="s">
        <v>131</v>
      </c>
      <c r="C202" s="145"/>
      <c r="D202" s="145"/>
      <c r="E202" s="146">
        <f>$H$181*(E$168/$J$168)/E$72</f>
        <v>14.762233075325442</v>
      </c>
      <c r="F202" s="146">
        <f>$H$181*(F$168/$J$168)/F$72</f>
        <v>21.416736385640359</v>
      </c>
      <c r="G202" s="146">
        <f>$H$181*(G$168/$J$168)/G$72</f>
        <v>15.444316561878894</v>
      </c>
      <c r="H202" s="146">
        <f>$H$181*(H$168/$J$168)/H$72</f>
        <v>9.1679522018341544</v>
      </c>
      <c r="I202" s="146">
        <f>$H$181*(I$168/$J$168)/I$72</f>
        <v>0.5219761260459419</v>
      </c>
      <c r="J202" s="145"/>
      <c r="K202" s="145"/>
      <c r="L202" s="145"/>
      <c r="M202" s="145"/>
    </row>
    <row r="203" spans="1:13" ht="13" x14ac:dyDescent="0.3">
      <c r="A203" s="22"/>
      <c r="B203" s="89" t="s">
        <v>198</v>
      </c>
      <c r="C203" s="145"/>
      <c r="D203" s="145"/>
      <c r="E203" s="146">
        <f>$H$179*(E$168/$J$168)/SUM(E65:E68)</f>
        <v>14.987305130316058</v>
      </c>
      <c r="F203" s="146">
        <f>$H$179*(F$168/$J$168)/SUM(F65:F68)</f>
        <v>17.220985404581036</v>
      </c>
      <c r="G203" s="146">
        <f>$H$179*(G$168/$J$168)/SUM(G65:G68)</f>
        <v>14.239961726104669</v>
      </c>
      <c r="H203" s="146"/>
      <c r="I203" s="146">
        <f>$H$179*(I$168/$J$168)/SUM(I65:I68)</f>
        <v>0.52338800895777871</v>
      </c>
      <c r="J203" s="145"/>
      <c r="K203" s="145"/>
      <c r="L203" s="145"/>
      <c r="M203" s="145"/>
    </row>
    <row r="204" spans="1:13" ht="13" x14ac:dyDescent="0.3">
      <c r="A204" s="22"/>
      <c r="B204" s="89" t="s">
        <v>199</v>
      </c>
      <c r="C204" s="145"/>
      <c r="D204" s="145"/>
      <c r="E204" s="146">
        <f>$H$179*(E$168/$J$168)/R165</f>
        <v>36.492029701829416</v>
      </c>
      <c r="F204" s="146"/>
      <c r="G204" s="146"/>
      <c r="H204" s="146">
        <f>$H$179*(H$168/$J$168)/Q153</f>
        <v>19.505177553149107</v>
      </c>
      <c r="I204" s="146"/>
      <c r="J204" s="145"/>
      <c r="K204" s="145"/>
      <c r="L204" s="145"/>
      <c r="M204" s="145"/>
    </row>
    <row r="205" spans="1:13" ht="13" x14ac:dyDescent="0.3">
      <c r="A205" s="22"/>
      <c r="B205" s="89" t="s">
        <v>201</v>
      </c>
      <c r="C205" s="145"/>
      <c r="D205" s="145"/>
      <c r="E205" s="146">
        <f>$H$180*(E$168/$J$168)/(E72-SUM(E65:E68))</f>
        <v>14.651763802993088</v>
      </c>
      <c r="F205" s="146">
        <f>$H$180*(F$168/$J$168)/(F72-SUM(F65:F68))</f>
        <v>24.401592759554383</v>
      </c>
      <c r="G205" s="146">
        <f>$H$180*(G$168/$J$168)/(G72-SUM(G65:G68))</f>
        <v>16.129192356882395</v>
      </c>
      <c r="H205" s="146"/>
      <c r="I205" s="146">
        <f>$H$180*(I$168/$J$168)/(I72-SUM(I65:I68))</f>
        <v>0.52127014778965575</v>
      </c>
      <c r="J205" s="145"/>
      <c r="K205" s="145"/>
      <c r="L205" s="145"/>
      <c r="M205" s="145"/>
    </row>
    <row r="206" spans="1:13" ht="13" x14ac:dyDescent="0.3">
      <c r="A206" s="22"/>
      <c r="B206" s="89" t="s">
        <v>200</v>
      </c>
      <c r="C206" s="145"/>
      <c r="D206" s="145"/>
      <c r="E206" s="146">
        <f>$H$180*(E$168/$J$168)/R170</f>
        <v>41.451296446014275</v>
      </c>
      <c r="F206" s="147"/>
      <c r="G206" s="147"/>
      <c r="H206" s="146">
        <f>$H$180*(H$168/$J$168)/Q157</f>
        <v>21.288442456429511</v>
      </c>
      <c r="I206" s="146"/>
      <c r="J206" s="145"/>
      <c r="K206" s="145"/>
      <c r="L206" s="145"/>
      <c r="M206" s="145"/>
    </row>
    <row r="207" spans="1:13" ht="13" x14ac:dyDescent="0.3">
      <c r="A207" s="22"/>
      <c r="B207" s="89"/>
      <c r="C207" s="145"/>
      <c r="D207" s="145"/>
      <c r="E207" s="146"/>
      <c r="F207" s="146"/>
      <c r="G207" s="146"/>
      <c r="H207" s="146"/>
      <c r="I207" s="146"/>
      <c r="J207" s="145"/>
      <c r="K207" s="145"/>
      <c r="L207" s="145"/>
      <c r="M207" s="145"/>
    </row>
    <row r="208" spans="1:13" ht="15.5" x14ac:dyDescent="0.35">
      <c r="A208" s="22"/>
      <c r="B208" s="638" t="str">
        <f>$B$1</f>
        <v xml:space="preserve">Jersey Central Power &amp; Light </v>
      </c>
      <c r="C208" s="638"/>
      <c r="D208" s="638"/>
      <c r="E208" s="638"/>
      <c r="F208" s="638"/>
      <c r="G208" s="638"/>
      <c r="H208" s="638"/>
      <c r="I208" s="638"/>
      <c r="J208" s="638"/>
      <c r="K208" s="638"/>
      <c r="L208" s="638"/>
      <c r="M208" s="145"/>
    </row>
    <row r="209" spans="1:18" ht="15.5" x14ac:dyDescent="0.35">
      <c r="A209" s="22"/>
      <c r="B209" s="638" t="str">
        <f>$B$2</f>
        <v>Attachment 2</v>
      </c>
      <c r="C209" s="638"/>
      <c r="D209" s="638"/>
      <c r="E209" s="638"/>
      <c r="F209" s="638"/>
      <c r="G209" s="638"/>
      <c r="H209" s="638"/>
      <c r="I209" s="638"/>
      <c r="J209" s="638"/>
      <c r="K209" s="638"/>
      <c r="L209" s="638"/>
      <c r="M209" s="145"/>
      <c r="N209" s="145"/>
      <c r="O209" s="145"/>
      <c r="P209" s="145"/>
      <c r="Q209" s="145"/>
      <c r="R209" s="145"/>
    </row>
    <row r="210" spans="1:18" ht="13" x14ac:dyDescent="0.3">
      <c r="A210" s="22"/>
      <c r="E210" s="145"/>
      <c r="F210" s="145"/>
      <c r="G210" s="145"/>
      <c r="H210" s="145"/>
      <c r="K210" s="145"/>
      <c r="L210" s="145"/>
      <c r="M210" s="145"/>
      <c r="N210" s="145"/>
      <c r="O210" s="145"/>
      <c r="P210" s="145"/>
      <c r="Q210" s="145"/>
      <c r="R210" s="145"/>
    </row>
    <row r="211" spans="1:18" ht="13" x14ac:dyDescent="0.3">
      <c r="A211" s="22"/>
      <c r="M211" s="145"/>
      <c r="N211" s="145"/>
      <c r="O211" s="145"/>
      <c r="P211" s="145"/>
      <c r="Q211" s="145"/>
      <c r="R211" s="145"/>
    </row>
    <row r="212" spans="1:18" ht="13" x14ac:dyDescent="0.3">
      <c r="A212" s="18" t="s">
        <v>95</v>
      </c>
      <c r="B212" s="16" t="s">
        <v>96</v>
      </c>
      <c r="M212" s="145"/>
      <c r="N212" s="145"/>
      <c r="O212" s="145"/>
      <c r="P212" s="145"/>
      <c r="Q212" s="145"/>
      <c r="R212" s="145"/>
    </row>
    <row r="213" spans="1:18" ht="13" x14ac:dyDescent="0.3">
      <c r="A213" s="22"/>
      <c r="B213" s="16"/>
      <c r="M213" s="145"/>
      <c r="N213" s="145"/>
      <c r="O213" s="145"/>
      <c r="P213" s="145"/>
      <c r="Q213" s="145"/>
      <c r="R213" s="145"/>
    </row>
    <row r="214" spans="1:18" ht="13" x14ac:dyDescent="0.3">
      <c r="A214" s="22"/>
      <c r="B214" s="16" t="s">
        <v>97</v>
      </c>
      <c r="M214" s="145"/>
      <c r="N214" s="145"/>
      <c r="O214" s="145"/>
      <c r="P214" s="145"/>
      <c r="Q214" s="145"/>
      <c r="R214" s="145"/>
    </row>
    <row r="215" spans="1:18" ht="13" x14ac:dyDescent="0.3">
      <c r="A215" s="22"/>
      <c r="B215" s="17" t="s">
        <v>219</v>
      </c>
      <c r="M215" s="145"/>
      <c r="N215" s="145"/>
      <c r="O215" s="145"/>
      <c r="P215" s="145"/>
      <c r="Q215" s="145"/>
      <c r="R215" s="145"/>
    </row>
    <row r="216" spans="1:18" ht="13" x14ac:dyDescent="0.3">
      <c r="A216" s="22"/>
      <c r="B216" s="17" t="s">
        <v>21</v>
      </c>
      <c r="M216" s="145"/>
      <c r="N216" s="145"/>
      <c r="O216" s="145"/>
      <c r="P216" s="145"/>
      <c r="Q216" s="145"/>
      <c r="R216" s="145"/>
    </row>
    <row r="217" spans="1:18" ht="13" x14ac:dyDescent="0.3">
      <c r="A217" s="22"/>
      <c r="C217" s="26"/>
      <c r="D217" s="26"/>
      <c r="E217" s="26" t="str">
        <f>+E$13</f>
        <v>RT{1}</v>
      </c>
      <c r="F217" s="26" t="str">
        <f>+F$13</f>
        <v>RS{2}</v>
      </c>
      <c r="G217" s="26" t="str">
        <f>+G$13</f>
        <v>GS{3}</v>
      </c>
      <c r="H217" s="155" t="str">
        <f>+H$58</f>
        <v>GST {4}</v>
      </c>
      <c r="I217" s="26" t="str">
        <f>+I$13</f>
        <v>OL/SL</v>
      </c>
      <c r="J217" s="26"/>
      <c r="M217" s="145"/>
      <c r="N217" s="145"/>
      <c r="O217" s="145"/>
      <c r="P217" s="145"/>
      <c r="Q217" s="145"/>
      <c r="R217" s="145"/>
    </row>
    <row r="218" spans="1:18" ht="13" x14ac:dyDescent="0.3">
      <c r="A218" s="22"/>
      <c r="C218" s="26"/>
      <c r="D218" s="26"/>
      <c r="E218" s="74"/>
      <c r="F218" s="26"/>
      <c r="G218" s="26"/>
      <c r="M218" s="145"/>
      <c r="N218" s="145"/>
      <c r="O218" s="145"/>
      <c r="P218" s="145"/>
      <c r="Q218" s="145"/>
      <c r="R218" s="145"/>
    </row>
    <row r="219" spans="1:18" ht="13" x14ac:dyDescent="0.3">
      <c r="A219" s="22"/>
      <c r="B219" s="28" t="s">
        <v>17</v>
      </c>
      <c r="C219" s="74"/>
      <c r="D219" s="74"/>
      <c r="E219" s="74">
        <f>+E152+(E$95*$E$193)+E$200+E203</f>
        <v>71.060161779133992</v>
      </c>
      <c r="F219" s="74">
        <f>+F152+(F$95*$E$193)+F$200+F203</f>
        <v>73.424379382460671</v>
      </c>
      <c r="G219" s="74">
        <f>+G152+(G$95*$E$193)+G$200+G203</f>
        <v>71.147803692257938</v>
      </c>
      <c r="H219" s="74"/>
      <c r="I219" s="74">
        <f>+I152+(I$95*$E$193)+I$200+I203</f>
        <v>53.281390813458842</v>
      </c>
      <c r="J219" s="74"/>
      <c r="K219" s="74"/>
      <c r="M219" s="145"/>
      <c r="N219" s="145"/>
      <c r="O219" s="145"/>
      <c r="P219" s="145"/>
      <c r="Q219" s="145"/>
      <c r="R219" s="145"/>
    </row>
    <row r="220" spans="1:18" ht="13" x14ac:dyDescent="0.3">
      <c r="A220" s="22"/>
      <c r="B220" s="77" t="s">
        <v>72</v>
      </c>
      <c r="C220" s="74"/>
      <c r="D220" s="74"/>
      <c r="E220" s="74">
        <f>+E153+(E$95*$E$193)+E$200+E$204</f>
        <v>101.4972071405449</v>
      </c>
      <c r="F220" s="74"/>
      <c r="G220" s="74"/>
      <c r="H220" s="74">
        <f>+H153+(H$95*$E$193)+H$200+H$204</f>
        <v>83.969114180571552</v>
      </c>
      <c r="I220" s="74"/>
      <c r="J220" s="74"/>
      <c r="M220" s="145"/>
      <c r="N220" s="145"/>
      <c r="O220" s="145"/>
      <c r="P220" s="145"/>
      <c r="Q220" s="145"/>
      <c r="R220" s="145"/>
    </row>
    <row r="221" spans="1:18" ht="13" x14ac:dyDescent="0.3">
      <c r="A221" s="22"/>
      <c r="B221" s="77" t="s">
        <v>73</v>
      </c>
      <c r="C221" s="74"/>
      <c r="D221" s="74"/>
      <c r="E221" s="74">
        <f>+E154+(E$95*$E$193)+E$200</f>
        <v>49.846932134390002</v>
      </c>
      <c r="F221" s="74"/>
      <c r="G221" s="74"/>
      <c r="H221" s="74">
        <f>+H154+(H$95*$E$193)+H$200</f>
        <v>49.786887553965329</v>
      </c>
      <c r="I221" s="74"/>
      <c r="J221" s="74"/>
      <c r="M221" s="145"/>
      <c r="N221" s="145"/>
      <c r="O221" s="145"/>
      <c r="P221" s="145"/>
      <c r="Q221" s="145"/>
      <c r="R221" s="145"/>
    </row>
    <row r="222" spans="1:18" ht="13" x14ac:dyDescent="0.3">
      <c r="A222" s="22"/>
      <c r="B222" s="89" t="s">
        <v>142</v>
      </c>
      <c r="C222" s="74"/>
      <c r="D222" s="74"/>
      <c r="E222" s="74"/>
      <c r="F222" s="74">
        <f>(F219*SUM(F65:F68)-C188*10*E187*SUM(F65:F68))/SUM(F65:F68)</f>
        <v>69.362994972160905</v>
      </c>
      <c r="G222" s="74"/>
      <c r="H222" s="74"/>
      <c r="I222" s="74"/>
      <c r="J222" s="74"/>
      <c r="M222" s="145"/>
      <c r="N222" s="145"/>
      <c r="O222" s="145"/>
      <c r="P222" s="145"/>
      <c r="Q222" s="145"/>
      <c r="R222" s="145"/>
    </row>
    <row r="223" spans="1:18" ht="13" x14ac:dyDescent="0.3">
      <c r="A223" s="22"/>
      <c r="B223" s="89" t="s">
        <v>144</v>
      </c>
      <c r="C223" s="74"/>
      <c r="D223" s="74"/>
      <c r="E223" s="74"/>
      <c r="F223" s="74">
        <f>+F222+C188*10</f>
        <v>78.014994972160906</v>
      </c>
      <c r="G223" s="119"/>
      <c r="H223" s="74"/>
      <c r="I223" s="74"/>
      <c r="J223" s="74"/>
      <c r="M223" s="145"/>
      <c r="N223" s="145"/>
      <c r="O223" s="145"/>
      <c r="P223" s="145"/>
      <c r="Q223" s="145"/>
      <c r="R223" s="145"/>
    </row>
    <row r="224" spans="1:18" ht="13" x14ac:dyDescent="0.3">
      <c r="A224" s="22"/>
      <c r="C224" s="74"/>
      <c r="D224" s="74"/>
      <c r="E224" s="74"/>
      <c r="F224" s="74"/>
      <c r="G224" s="74"/>
      <c r="H224" s="74"/>
      <c r="I224" s="74"/>
      <c r="J224" s="74"/>
      <c r="M224" s="145"/>
      <c r="N224" s="145"/>
      <c r="O224" s="145"/>
      <c r="P224" s="145"/>
      <c r="Q224" s="145"/>
      <c r="R224" s="145"/>
    </row>
    <row r="225" spans="1:18" ht="13" x14ac:dyDescent="0.3">
      <c r="A225" s="22"/>
      <c r="B225" s="28" t="s">
        <v>18</v>
      </c>
      <c r="C225" s="74"/>
      <c r="D225" s="74"/>
      <c r="E225" s="74">
        <f>+E156+(E$95*$E$193)+E$200+E205</f>
        <v>66.582679131072993</v>
      </c>
      <c r="F225" s="74">
        <f>+F156+(F$95*$E$193)+F$200+F205</f>
        <v>76.135857963785597</v>
      </c>
      <c r="G225" s="74">
        <f>+G156+(G$95*$E$193)+G$200+G205</f>
        <v>67.918895366983719</v>
      </c>
      <c r="H225" s="74"/>
      <c r="I225" s="74">
        <f>+I156+(I$95*$E$193)+I$200+I205</f>
        <v>50.619422673661298</v>
      </c>
      <c r="J225" s="74"/>
      <c r="K225" s="74"/>
      <c r="M225" s="145"/>
      <c r="N225" s="145"/>
      <c r="O225" s="145"/>
      <c r="P225" s="145"/>
      <c r="Q225" s="145"/>
      <c r="R225" s="145"/>
    </row>
    <row r="226" spans="1:18" ht="13" x14ac:dyDescent="0.3">
      <c r="A226" s="22"/>
      <c r="B226" s="77" t="s">
        <v>72</v>
      </c>
      <c r="C226" s="74"/>
      <c r="D226" s="74"/>
      <c r="E226" s="74">
        <f>+E157+(E$95*$E$193)+E$200+E$206</f>
        <v>96.220751695717723</v>
      </c>
      <c r="F226" s="74"/>
      <c r="G226" s="74"/>
      <c r="H226" s="74">
        <f>+H157+(H$95*$E$193)+H$200+H$206</f>
        <v>76.070190774226276</v>
      </c>
      <c r="I226" s="74"/>
      <c r="J226" s="74"/>
      <c r="M226" s="145"/>
      <c r="N226" s="145"/>
      <c r="O226" s="145"/>
      <c r="P226" s="145"/>
      <c r="Q226" s="145"/>
      <c r="R226" s="145"/>
    </row>
    <row r="227" spans="1:18" ht="13" x14ac:dyDescent="0.3">
      <c r="A227" s="22"/>
      <c r="B227" s="77" t="s">
        <v>73</v>
      </c>
      <c r="C227" s="74"/>
      <c r="D227" s="74"/>
      <c r="E227" s="74">
        <f>+E158+(E$95*$E$193)+E$200</f>
        <v>50.378630668055514</v>
      </c>
      <c r="F227" s="74"/>
      <c r="G227" s="74"/>
      <c r="H227" s="74">
        <f>+H158+(H$95*$E$193)+H$200</f>
        <v>48.800514683949359</v>
      </c>
      <c r="I227" s="74"/>
      <c r="J227" s="74"/>
      <c r="M227" s="145"/>
      <c r="N227" s="145"/>
      <c r="O227" s="145"/>
      <c r="P227" s="145"/>
      <c r="Q227" s="145"/>
      <c r="R227" s="145"/>
    </row>
    <row r="228" spans="1:18" ht="13" x14ac:dyDescent="0.3">
      <c r="A228" s="22"/>
      <c r="C228" s="74"/>
      <c r="D228" s="74"/>
      <c r="E228" s="74"/>
      <c r="F228" s="74"/>
      <c r="G228" s="74"/>
      <c r="H228" s="74"/>
      <c r="I228" s="74"/>
      <c r="J228" s="74"/>
      <c r="M228" s="145"/>
      <c r="N228" s="145"/>
      <c r="O228" s="145"/>
      <c r="P228" s="145"/>
      <c r="Q228" s="145"/>
      <c r="R228" s="145"/>
    </row>
    <row r="229" spans="1:18" ht="13" x14ac:dyDescent="0.3">
      <c r="A229" s="22"/>
      <c r="B229" s="13" t="s">
        <v>98</v>
      </c>
      <c r="C229" s="74"/>
      <c r="D229" s="74"/>
      <c r="E229" s="74">
        <f>+E160+(E$95*$E$193)+E$200+E202</f>
        <v>68.056787414420015</v>
      </c>
      <c r="F229" s="74">
        <f>+F160+(F$95*$E$193)+F$200+F202</f>
        <v>75.008742425210229</v>
      </c>
      <c r="G229" s="74">
        <f>+G160+(G$95*$E$193)+G$200+G202</f>
        <v>69.089425380757234</v>
      </c>
      <c r="H229" s="74">
        <f>((H220*SUMPRODUCT(H38:H41,H65:H68)+H221*SUMPRODUCT(T38:T41,H65:H68))+(H226*(SUMPRODUCT(H33:H37,H60:H64)+SUMPRODUCT(H42:H44,H69:H71))+H227*(SUMPRODUCT(T33:T37,H60:H64)+SUMPRODUCT(T42:T44,H69:H71))))/H72</f>
        <v>62.32549066969144</v>
      </c>
      <c r="I229" s="74">
        <f>+I160+(I$95*$E$193)+I$200+I202</f>
        <v>51.506776223511444</v>
      </c>
      <c r="J229" s="74"/>
      <c r="K229" s="74"/>
      <c r="M229" s="145"/>
      <c r="N229" s="145"/>
      <c r="O229" s="145"/>
      <c r="P229" s="145"/>
      <c r="Q229" s="145"/>
      <c r="R229" s="145"/>
    </row>
    <row r="230" spans="1:18" ht="13" x14ac:dyDescent="0.3">
      <c r="A230" s="22"/>
      <c r="C230" s="74"/>
      <c r="D230" s="74"/>
      <c r="E230" s="74"/>
      <c r="F230" s="74"/>
      <c r="G230" s="74"/>
      <c r="H230" s="74"/>
      <c r="I230" s="74"/>
      <c r="J230" s="74"/>
      <c r="K230" s="74"/>
      <c r="M230" s="145"/>
      <c r="N230" s="145"/>
      <c r="O230" s="145"/>
      <c r="P230" s="145"/>
      <c r="Q230" s="145"/>
      <c r="R230" s="145"/>
    </row>
    <row r="231" spans="1:18" ht="13" x14ac:dyDescent="0.3">
      <c r="A231" s="22"/>
      <c r="B231" s="16" t="s">
        <v>99</v>
      </c>
      <c r="M231" s="145"/>
      <c r="N231" s="145"/>
      <c r="O231" s="145"/>
      <c r="P231" s="145"/>
      <c r="Q231" s="145"/>
      <c r="R231" s="145"/>
    </row>
    <row r="232" spans="1:18" ht="13" x14ac:dyDescent="0.3">
      <c r="A232" s="22"/>
      <c r="B232" s="17" t="s">
        <v>100</v>
      </c>
      <c r="M232" s="145"/>
      <c r="N232" s="145"/>
      <c r="O232" s="145"/>
      <c r="P232" s="145"/>
      <c r="Q232" s="145"/>
      <c r="R232" s="145"/>
    </row>
    <row r="233" spans="1:18" ht="13" x14ac:dyDescent="0.3">
      <c r="A233" s="22"/>
      <c r="B233" s="17" t="s">
        <v>21</v>
      </c>
      <c r="M233" s="145"/>
      <c r="N233" s="145"/>
      <c r="O233" s="145"/>
      <c r="P233" s="145"/>
      <c r="Q233" s="145"/>
      <c r="R233" s="145"/>
    </row>
    <row r="234" spans="1:18" ht="13" x14ac:dyDescent="0.3">
      <c r="A234" s="22"/>
      <c r="B234" s="77"/>
      <c r="C234" s="74"/>
      <c r="D234" s="74"/>
      <c r="I234" s="89"/>
      <c r="J234" s="80"/>
      <c r="K234" s="93"/>
      <c r="M234" s="145"/>
    </row>
    <row r="235" spans="1:18" ht="13" x14ac:dyDescent="0.3">
      <c r="A235" s="22"/>
      <c r="C235" s="74"/>
      <c r="D235" s="74"/>
    </row>
    <row r="236" spans="1:18" ht="13" x14ac:dyDescent="0.3">
      <c r="A236" s="22"/>
      <c r="B236" s="37" t="s">
        <v>101</v>
      </c>
      <c r="C236" s="74"/>
      <c r="D236" s="74"/>
      <c r="I236" s="96"/>
      <c r="K236" s="93"/>
    </row>
    <row r="237" spans="1:18" ht="13" x14ac:dyDescent="0.3">
      <c r="A237" s="22"/>
      <c r="B237" s="77"/>
      <c r="C237" s="74"/>
      <c r="D237" s="74"/>
      <c r="I237" s="89"/>
      <c r="J237" s="97"/>
      <c r="K237" s="93"/>
    </row>
    <row r="238" spans="1:18" ht="15.5" x14ac:dyDescent="0.35">
      <c r="A238" s="22"/>
      <c r="B238" s="638" t="str">
        <f>$B$1</f>
        <v xml:space="preserve">Jersey Central Power &amp; Light </v>
      </c>
      <c r="C238" s="638"/>
      <c r="D238" s="638"/>
      <c r="E238" s="638"/>
      <c r="F238" s="638"/>
      <c r="G238" s="638"/>
      <c r="H238" s="638"/>
      <c r="I238" s="638"/>
      <c r="J238" s="638"/>
      <c r="K238" s="638"/>
      <c r="L238" s="638"/>
    </row>
    <row r="239" spans="1:18" ht="15.5" x14ac:dyDescent="0.35">
      <c r="A239" s="22"/>
      <c r="B239" s="638" t="str">
        <f>$B$2</f>
        <v>Attachment 2</v>
      </c>
      <c r="C239" s="638"/>
      <c r="D239" s="638"/>
      <c r="E239" s="638"/>
      <c r="F239" s="638"/>
      <c r="G239" s="638"/>
      <c r="H239" s="638"/>
      <c r="I239" s="638"/>
      <c r="J239" s="638"/>
      <c r="K239" s="638"/>
      <c r="L239" s="638"/>
    </row>
    <row r="240" spans="1:18" ht="15.5" x14ac:dyDescent="0.35">
      <c r="A240" s="22"/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</row>
    <row r="241" spans="1:12" ht="15.5" x14ac:dyDescent="0.35">
      <c r="A241" s="18" t="s">
        <v>106</v>
      </c>
      <c r="B241" s="163" t="s">
        <v>239</v>
      </c>
      <c r="C241" s="20"/>
      <c r="E241" s="164"/>
      <c r="F241" s="38"/>
      <c r="K241" s="165"/>
      <c r="L241" s="165"/>
    </row>
    <row r="242" spans="1:12" ht="15.5" x14ac:dyDescent="0.35">
      <c r="B242" s="13" t="s">
        <v>240</v>
      </c>
      <c r="K242" s="165"/>
      <c r="L242" s="165"/>
    </row>
    <row r="243" spans="1:12" ht="15.5" x14ac:dyDescent="0.35">
      <c r="E243" s="26" t="s">
        <v>61</v>
      </c>
      <c r="F243" s="26" t="s">
        <v>62</v>
      </c>
      <c r="G243" s="26" t="s">
        <v>65</v>
      </c>
      <c r="H243" s="26" t="s">
        <v>203</v>
      </c>
      <c r="I243" s="26" t="s">
        <v>55</v>
      </c>
      <c r="K243" s="165"/>
      <c r="L243" s="165"/>
    </row>
    <row r="244" spans="1:12" ht="15.5" x14ac:dyDescent="0.35">
      <c r="K244" s="165"/>
      <c r="L244" s="165"/>
    </row>
    <row r="245" spans="1:12" ht="15.5" x14ac:dyDescent="0.35">
      <c r="B245" s="28" t="s">
        <v>17</v>
      </c>
      <c r="E245" s="55">
        <f>'Composite Cost Allocation'!E105</f>
        <v>2446237.3333329996</v>
      </c>
      <c r="G245" s="55">
        <f>'Composite Cost Allocation'!G105</f>
        <v>1985450000</v>
      </c>
      <c r="I245" s="55">
        <f>'Composite Cost Allocation'!I105</f>
        <v>38368000</v>
      </c>
      <c r="K245" s="165"/>
      <c r="L245" s="165"/>
    </row>
    <row r="246" spans="1:12" ht="15.5" x14ac:dyDescent="0.35">
      <c r="B246" s="77" t="s">
        <v>72</v>
      </c>
      <c r="E246" s="55">
        <f>'Composite Cost Allocation'!E106</f>
        <v>26206974</v>
      </c>
      <c r="H246" s="55">
        <f>'Composite Cost Allocation'!H106</f>
        <v>32259110</v>
      </c>
      <c r="K246" s="165"/>
      <c r="L246" s="165"/>
    </row>
    <row r="247" spans="1:12" ht="15.5" x14ac:dyDescent="0.35">
      <c r="B247" s="77" t="s">
        <v>73</v>
      </c>
      <c r="E247" s="55">
        <f>'Composite Cost Allocation'!E107</f>
        <v>37598788.666666999</v>
      </c>
      <c r="H247" s="55">
        <f>'Composite Cost Allocation'!H107</f>
        <v>37751890</v>
      </c>
      <c r="K247" s="165"/>
      <c r="L247" s="165"/>
    </row>
    <row r="248" spans="1:12" ht="15.5" x14ac:dyDescent="0.35">
      <c r="B248" s="89" t="s">
        <v>142</v>
      </c>
      <c r="F248" s="55">
        <f>'Composite Cost Allocation'!F108</f>
        <v>2001184000</v>
      </c>
      <c r="K248" s="165"/>
      <c r="L248" s="165"/>
    </row>
    <row r="249" spans="1:12" ht="15.5" x14ac:dyDescent="0.35">
      <c r="B249" s="89" t="s">
        <v>144</v>
      </c>
      <c r="F249" s="55">
        <f>'Composite Cost Allocation'!F109</f>
        <v>1770477000</v>
      </c>
      <c r="K249" s="165"/>
      <c r="L249" s="165"/>
    </row>
    <row r="250" spans="1:12" ht="15.5" x14ac:dyDescent="0.35">
      <c r="K250" s="165"/>
      <c r="L250" s="165"/>
    </row>
    <row r="251" spans="1:12" ht="15.5" x14ac:dyDescent="0.35">
      <c r="B251" s="28" t="s">
        <v>18</v>
      </c>
      <c r="E251" s="55">
        <f>'Composite Cost Allocation'!E111</f>
        <v>5877031.3333332986</v>
      </c>
      <c r="F251" s="55">
        <f>'Composite Cost Allocation'!F111</f>
        <v>5301746000</v>
      </c>
      <c r="G251" s="55">
        <f>'Composite Cost Allocation'!G111</f>
        <v>3491416000</v>
      </c>
      <c r="I251" s="55">
        <f>'Composite Cost Allocation'!I111</f>
        <v>76732000</v>
      </c>
      <c r="K251" s="165"/>
      <c r="L251" s="165"/>
    </row>
    <row r="252" spans="1:12" ht="15.5" x14ac:dyDescent="0.35">
      <c r="B252" s="77" t="s">
        <v>72</v>
      </c>
      <c r="E252" s="55">
        <f>'Composite Cost Allocation'!E112</f>
        <v>45630733.617000148</v>
      </c>
      <c r="H252" s="55">
        <f>'Composite Cost Allocation'!H112</f>
        <v>58871465.099999994</v>
      </c>
      <c r="K252" s="165"/>
      <c r="L252" s="165"/>
    </row>
    <row r="253" spans="1:12" ht="15.5" x14ac:dyDescent="0.35">
      <c r="B253" s="77" t="s">
        <v>73</v>
      </c>
      <c r="E253" s="55">
        <f>'Composite Cost Allocation'!E113</f>
        <v>83475235.049666554</v>
      </c>
      <c r="H253" s="55">
        <f>'Composite Cost Allocation'!H113</f>
        <v>76452534.900000006</v>
      </c>
      <c r="K253" s="165"/>
      <c r="L253" s="165"/>
    </row>
    <row r="254" spans="1:12" ht="15.5" x14ac:dyDescent="0.35">
      <c r="J254" s="26" t="s">
        <v>13</v>
      </c>
      <c r="K254" s="165"/>
      <c r="L254" s="165"/>
    </row>
    <row r="255" spans="1:12" ht="15.5" x14ac:dyDescent="0.35">
      <c r="B255" s="89" t="s">
        <v>162</v>
      </c>
      <c r="E255" s="55">
        <f>SUM(E245:E249)</f>
        <v>66252000</v>
      </c>
      <c r="F255" s="55">
        <f>SUM(F245:F249)</f>
        <v>3771661000</v>
      </c>
      <c r="G255" s="55">
        <f>SUM(G245:G249)</f>
        <v>1985450000</v>
      </c>
      <c r="H255" s="55">
        <f>SUM(H245:H249)</f>
        <v>70011000</v>
      </c>
      <c r="I255" s="55">
        <f>SUM(I245:I249)</f>
        <v>38368000</v>
      </c>
      <c r="J255" s="55">
        <f>SUM(E255:I255)</f>
        <v>5931742000</v>
      </c>
      <c r="K255" s="165"/>
      <c r="L255" s="165"/>
    </row>
    <row r="256" spans="1:12" ht="15.5" x14ac:dyDescent="0.35">
      <c r="B256" s="89" t="s">
        <v>163</v>
      </c>
      <c r="E256" s="138">
        <f>SUM(E251:E253)</f>
        <v>134983000</v>
      </c>
      <c r="F256" s="138">
        <f>SUM(F251:F253)</f>
        <v>5301746000</v>
      </c>
      <c r="G256" s="254">
        <f>SUM(G251:G253)</f>
        <v>3491416000</v>
      </c>
      <c r="H256" s="133">
        <f>SUM(H251:H253)</f>
        <v>135324000</v>
      </c>
      <c r="I256" s="133">
        <f>SUM(I251:I253)</f>
        <v>76732000</v>
      </c>
      <c r="J256" s="138">
        <f>SUM(E256:I256)</f>
        <v>9140201000</v>
      </c>
      <c r="K256" s="165"/>
      <c r="L256" s="165"/>
    </row>
    <row r="257" spans="1:15" ht="15.5" x14ac:dyDescent="0.35">
      <c r="B257" s="89" t="s">
        <v>164</v>
      </c>
      <c r="E257" s="55">
        <f>SUM(E255:E256)</f>
        <v>201235000</v>
      </c>
      <c r="F257" s="55">
        <f>SUM(F255:F256)</f>
        <v>9073407000</v>
      </c>
      <c r="G257" s="55">
        <f>SUM(G255:G256)</f>
        <v>5476866000</v>
      </c>
      <c r="H257" s="55">
        <f>SUM(H255:H256)</f>
        <v>205335000</v>
      </c>
      <c r="I257" s="55">
        <f>SUM(I255:I256)</f>
        <v>115100000</v>
      </c>
      <c r="J257" s="55">
        <f>SUM(E257:I257)</f>
        <v>15071943000</v>
      </c>
      <c r="K257" s="165"/>
      <c r="L257" s="165"/>
    </row>
    <row r="258" spans="1:15" ht="15.5" x14ac:dyDescent="0.35">
      <c r="A258" s="22"/>
      <c r="B258" s="165"/>
      <c r="C258" s="165"/>
      <c r="D258" s="165"/>
      <c r="E258" s="165"/>
      <c r="F258" s="165"/>
      <c r="G258" s="165"/>
      <c r="H258" s="165"/>
      <c r="I258" s="165"/>
      <c r="J258" s="165"/>
      <c r="K258" s="165"/>
      <c r="L258" s="165"/>
    </row>
    <row r="259" spans="1:15" ht="15.5" x14ac:dyDescent="0.35">
      <c r="A259" s="22"/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</row>
    <row r="261" spans="1:15" ht="13" x14ac:dyDescent="0.3">
      <c r="A261" s="6" t="s">
        <v>133</v>
      </c>
      <c r="B261" s="1" t="s">
        <v>168</v>
      </c>
      <c r="C261"/>
      <c r="D261"/>
      <c r="E261"/>
      <c r="F261"/>
      <c r="G261"/>
      <c r="H261"/>
      <c r="I261"/>
      <c r="J261"/>
      <c r="K261"/>
      <c r="L261"/>
    </row>
    <row r="262" spans="1:15" ht="13" x14ac:dyDescent="0.3">
      <c r="A262" s="7"/>
      <c r="B262" s="1"/>
      <c r="C262"/>
      <c r="D262"/>
      <c r="E262"/>
      <c r="F262"/>
      <c r="G262"/>
      <c r="H262"/>
      <c r="I262"/>
      <c r="J262"/>
      <c r="K262"/>
      <c r="L262"/>
    </row>
    <row r="263" spans="1:15" ht="13" x14ac:dyDescent="0.3">
      <c r="A263" s="7"/>
      <c r="B263"/>
      <c r="C263" s="2"/>
      <c r="D263" s="2"/>
      <c r="E263" s="26" t="str">
        <f>+E$13</f>
        <v>RT{1}</v>
      </c>
      <c r="F263" s="26" t="str">
        <f>+F$13</f>
        <v>RS{2}</v>
      </c>
      <c r="G263" s="26" t="str">
        <f>+G$13</f>
        <v>GS{3}</v>
      </c>
      <c r="H263" s="155" t="str">
        <f>+H$58</f>
        <v>GST {4}</v>
      </c>
      <c r="I263" s="26" t="str">
        <f>+I$13</f>
        <v>OL/SL</v>
      </c>
      <c r="J263" s="2" t="s">
        <v>13</v>
      </c>
      <c r="K263" s="2"/>
      <c r="L263" s="2"/>
    </row>
    <row r="264" spans="1:15" ht="13" x14ac:dyDescent="0.3">
      <c r="A264" s="7"/>
      <c r="B264" t="s">
        <v>134</v>
      </c>
      <c r="C264"/>
      <c r="D264"/>
      <c r="E264"/>
      <c r="F264"/>
      <c r="G264"/>
      <c r="H264"/>
      <c r="I264"/>
      <c r="J264"/>
      <c r="K264"/>
      <c r="L264"/>
    </row>
    <row r="265" spans="1:15" ht="13" x14ac:dyDescent="0.3">
      <c r="A265" s="7"/>
      <c r="B265" s="28" t="s">
        <v>17</v>
      </c>
      <c r="C265" s="149"/>
      <c r="D265" s="149"/>
      <c r="E265" s="149">
        <f>+E219*E245/1000000</f>
        <v>173.83002065680026</v>
      </c>
      <c r="F265" s="149"/>
      <c r="G265" s="149">
        <f>+G219*G245/1000000</f>
        <v>141260.40684079353</v>
      </c>
      <c r="H265" s="144"/>
      <c r="I265" s="149">
        <f>+I219*I245/1000000</f>
        <v>2044.3004027307888</v>
      </c>
      <c r="J265" s="149"/>
      <c r="K265" s="149"/>
      <c r="L265" s="149"/>
    </row>
    <row r="266" spans="1:15" ht="13" x14ac:dyDescent="0.3">
      <c r="A266" s="7"/>
      <c r="B266" s="77" t="s">
        <v>72</v>
      </c>
      <c r="C266" s="149"/>
      <c r="D266" s="149"/>
      <c r="E266" s="149">
        <f>+E220*E246/1000000</f>
        <v>2659.9346686048748</v>
      </c>
      <c r="F266" s="149"/>
      <c r="G266" s="149"/>
      <c r="H266" s="149">
        <f>+H220*H246/1000000</f>
        <v>2708.7688909536178</v>
      </c>
      <c r="I266" s="149"/>
      <c r="J266" s="149"/>
      <c r="K266" s="149"/>
      <c r="L266" s="149"/>
    </row>
    <row r="267" spans="1:15" ht="13" x14ac:dyDescent="0.3">
      <c r="A267" s="7"/>
      <c r="B267" s="77" t="s">
        <v>73</v>
      </c>
      <c r="C267" s="149"/>
      <c r="D267" s="149"/>
      <c r="E267" s="149">
        <f>+E221*E247/1000000</f>
        <v>1874.1842670026219</v>
      </c>
      <c r="F267" s="149"/>
      <c r="G267" s="149"/>
      <c r="H267" s="149">
        <f>+H221*H247/1000000</f>
        <v>1879.5491023796683</v>
      </c>
      <c r="I267" s="149"/>
      <c r="J267" s="149"/>
      <c r="K267" s="81"/>
      <c r="L267" s="81"/>
      <c r="N267" s="81"/>
      <c r="O267" s="81"/>
    </row>
    <row r="268" spans="1:15" ht="13" x14ac:dyDescent="0.3">
      <c r="A268" s="7"/>
      <c r="B268" s="89" t="s">
        <v>142</v>
      </c>
      <c r="C268" s="149"/>
      <c r="D268" s="149"/>
      <c r="E268" s="149"/>
      <c r="F268" s="149">
        <f>+F222*F248/1000000</f>
        <v>138808.11573036882</v>
      </c>
      <c r="G268" s="149"/>
      <c r="H268" s="144"/>
      <c r="I268" s="149"/>
      <c r="J268" s="149"/>
      <c r="K268" s="149"/>
      <c r="L268" s="149"/>
      <c r="M268" s="81"/>
    </row>
    <row r="269" spans="1:15" ht="13" x14ac:dyDescent="0.3">
      <c r="A269" s="7"/>
      <c r="B269" s="89" t="s">
        <v>144</v>
      </c>
      <c r="C269" s="149"/>
      <c r="D269" s="149"/>
      <c r="E269" s="149"/>
      <c r="F269" s="149">
        <f>+F223*F249/1000000</f>
        <v>138123.75425332654</v>
      </c>
      <c r="G269" s="149"/>
      <c r="H269" s="144"/>
      <c r="I269" s="149"/>
      <c r="J269" s="149"/>
      <c r="K269" s="149"/>
      <c r="L269" s="149"/>
    </row>
    <row r="270" spans="1:15" ht="13" x14ac:dyDescent="0.3">
      <c r="A270" s="7"/>
      <c r="C270" s="149"/>
      <c r="D270" s="149"/>
      <c r="E270" s="149"/>
      <c r="F270" s="149"/>
      <c r="G270" s="149"/>
      <c r="H270" s="144"/>
      <c r="I270" s="149"/>
      <c r="J270" s="149"/>
      <c r="K270" s="149"/>
      <c r="L270" s="149"/>
    </row>
    <row r="271" spans="1:15" ht="13" x14ac:dyDescent="0.3">
      <c r="A271" s="7"/>
      <c r="B271" s="28" t="s">
        <v>18</v>
      </c>
      <c r="C271" s="149"/>
      <c r="D271" s="149"/>
      <c r="E271" s="149">
        <f>+E225*E251/1000000</f>
        <v>391.30849151059311</v>
      </c>
      <c r="F271" s="149">
        <f>+F225*F251/1000000</f>
        <v>403652.9804160684</v>
      </c>
      <c r="G271" s="149">
        <f>+G225*G251/1000000</f>
        <v>237133.11798661284</v>
      </c>
      <c r="I271" s="149">
        <f>+I225*I251/1000000</f>
        <v>3884.1295405953788</v>
      </c>
      <c r="J271" s="149"/>
      <c r="K271" s="149"/>
      <c r="L271" s="149"/>
    </row>
    <row r="272" spans="1:15" ht="13" x14ac:dyDescent="0.3">
      <c r="A272" s="7"/>
      <c r="B272" s="77" t="s">
        <v>72</v>
      </c>
      <c r="C272" s="149"/>
      <c r="D272" s="149"/>
      <c r="E272" s="149">
        <f>+E226*E252/1000000</f>
        <v>4390.6234890548103</v>
      </c>
      <c r="F272" s="3"/>
      <c r="G272" s="3"/>
      <c r="H272" s="149">
        <f>+H226*H252/1000000</f>
        <v>4478.3635813152041</v>
      </c>
      <c r="I272" s="3"/>
      <c r="J272" s="149"/>
      <c r="K272" s="149"/>
      <c r="L272" s="149"/>
    </row>
    <row r="273" spans="1:12" ht="13" x14ac:dyDescent="0.3">
      <c r="A273" s="7"/>
      <c r="B273" s="77" t="s">
        <v>73</v>
      </c>
      <c r="C273" s="3"/>
      <c r="D273" s="3"/>
      <c r="E273" s="149">
        <f>+E227*E253/1000000</f>
        <v>4205.3680364962738</v>
      </c>
      <c r="H273" s="149">
        <f>+H227*H253/1000000</f>
        <v>3730.9230520126007</v>
      </c>
      <c r="J273" s="149"/>
      <c r="K273" s="149"/>
      <c r="L273" s="149"/>
    </row>
    <row r="274" spans="1:12" ht="13" x14ac:dyDescent="0.3">
      <c r="A274" s="7"/>
      <c r="B274" s="5"/>
      <c r="C274"/>
      <c r="D274"/>
      <c r="E274"/>
      <c r="F274"/>
      <c r="G274"/>
      <c r="H274"/>
      <c r="I274"/>
      <c r="J274"/>
      <c r="K274"/>
      <c r="L274"/>
    </row>
    <row r="275" spans="1:12" ht="13" x14ac:dyDescent="0.3">
      <c r="A275" s="7"/>
      <c r="B275" t="s">
        <v>135</v>
      </c>
      <c r="C275"/>
      <c r="D275"/>
      <c r="E275"/>
      <c r="F275"/>
      <c r="G275"/>
      <c r="H275"/>
      <c r="I275"/>
      <c r="J275"/>
      <c r="K275"/>
      <c r="L275"/>
    </row>
    <row r="276" spans="1:12" ht="13" x14ac:dyDescent="0.3">
      <c r="A276" s="7"/>
      <c r="B276" s="5" t="s">
        <v>25</v>
      </c>
      <c r="D276"/>
      <c r="E276" s="3">
        <f>SUM(E265:E269)</f>
        <v>4707.9489562642966</v>
      </c>
      <c r="F276" s="3">
        <f>SUM(F265:F269)</f>
        <v>276931.86998369533</v>
      </c>
      <c r="G276" s="3">
        <f>SUM(G265:G269)</f>
        <v>141260.40684079353</v>
      </c>
      <c r="H276" s="3">
        <f>SUM(H265:H269)</f>
        <v>4588.3179933332858</v>
      </c>
      <c r="I276" s="3">
        <f>SUM(I265:I269)</f>
        <v>2044.3004027307888</v>
      </c>
      <c r="J276" s="151">
        <f>SUM(E276:I276)</f>
        <v>429532.84417681722</v>
      </c>
      <c r="K276"/>
      <c r="L276"/>
    </row>
    <row r="277" spans="1:12" ht="13" x14ac:dyDescent="0.3">
      <c r="A277" s="7"/>
      <c r="B277" s="5" t="s">
        <v>26</v>
      </c>
      <c r="D277"/>
      <c r="E277" s="3">
        <f>SUM(E271:E273)</f>
        <v>8987.300017061676</v>
      </c>
      <c r="F277" s="3">
        <f>SUM(F271:F273)</f>
        <v>403652.9804160684</v>
      </c>
      <c r="G277" s="3">
        <f>SUM(G271:G273)</f>
        <v>237133.11798661284</v>
      </c>
      <c r="H277" s="3">
        <f>SUM(H271:H273)</f>
        <v>8209.2866333278052</v>
      </c>
      <c r="I277" s="3">
        <f>SUM(I271:I273)</f>
        <v>3884.1295405953788</v>
      </c>
      <c r="J277" s="151">
        <f>SUM(E277:I277)</f>
        <v>661866.81459366612</v>
      </c>
      <c r="K277"/>
      <c r="L277"/>
    </row>
    <row r="278" spans="1:12" ht="13" x14ac:dyDescent="0.3">
      <c r="A278" s="7"/>
      <c r="B278" s="5" t="s">
        <v>13</v>
      </c>
      <c r="D278"/>
      <c r="E278" s="3">
        <f>SUM(E276:E277)</f>
        <v>13695.248973325972</v>
      </c>
      <c r="F278" s="3">
        <f>SUM(F276:F277)</f>
        <v>680584.85039976379</v>
      </c>
      <c r="G278" s="3">
        <f>SUM(G276:G277)</f>
        <v>378393.52482740639</v>
      </c>
      <c r="H278" s="3">
        <f>SUM(H276:H277)</f>
        <v>12797.60462666109</v>
      </c>
      <c r="I278" s="3">
        <f>SUM(I276:I277)</f>
        <v>5928.4299433261676</v>
      </c>
      <c r="J278" s="3">
        <f>SUM(E278:I278)</f>
        <v>1091399.6587704835</v>
      </c>
      <c r="L278"/>
    </row>
    <row r="279" spans="1:12" ht="13" x14ac:dyDescent="0.3">
      <c r="A279" s="7"/>
      <c r="B279"/>
      <c r="C279"/>
      <c r="D279"/>
      <c r="E279"/>
      <c r="F279"/>
      <c r="G279"/>
      <c r="H279"/>
      <c r="J279"/>
      <c r="L279"/>
    </row>
    <row r="280" spans="1:12" ht="13" x14ac:dyDescent="0.3">
      <c r="A280" s="7"/>
      <c r="B280" t="s">
        <v>136</v>
      </c>
      <c r="C280"/>
      <c r="D280"/>
      <c r="E280"/>
      <c r="F280"/>
      <c r="G280"/>
      <c r="H280"/>
      <c r="J280"/>
      <c r="L280"/>
    </row>
    <row r="281" spans="1:12" ht="13" x14ac:dyDescent="0.3">
      <c r="A281" s="7"/>
      <c r="B281" s="5" t="s">
        <v>25</v>
      </c>
      <c r="C281"/>
      <c r="D281"/>
      <c r="E281" s="150">
        <f t="shared" ref="E281:J281" si="12">+E276/E278</f>
        <v>0.34376512361578071</v>
      </c>
      <c r="F281" s="150">
        <f t="shared" si="12"/>
        <v>0.40690278342374259</v>
      </c>
      <c r="G281" s="150">
        <f t="shared" si="12"/>
        <v>0.37331613141431397</v>
      </c>
      <c r="H281" s="150">
        <f t="shared" si="12"/>
        <v>0.35852943790547337</v>
      </c>
      <c r="I281" s="150">
        <f t="shared" si="12"/>
        <v>0.34482998403854404</v>
      </c>
      <c r="J281" s="150">
        <f t="shared" si="12"/>
        <v>0.39356146094154687</v>
      </c>
      <c r="L281"/>
    </row>
    <row r="282" spans="1:12" ht="13" x14ac:dyDescent="0.3">
      <c r="A282" s="7"/>
      <c r="B282" s="5" t="s">
        <v>26</v>
      </c>
      <c r="C282"/>
      <c r="D282"/>
      <c r="E282" s="150">
        <f t="shared" ref="E282:J282" si="13">+E277/E278</f>
        <v>0.6562348763842194</v>
      </c>
      <c r="F282" s="150">
        <f t="shared" si="13"/>
        <v>0.59309721657625736</v>
      </c>
      <c r="G282" s="150">
        <f t="shared" si="13"/>
        <v>0.62668386858568592</v>
      </c>
      <c r="H282" s="150">
        <f t="shared" si="13"/>
        <v>0.64147056209452669</v>
      </c>
      <c r="I282" s="150">
        <f t="shared" si="13"/>
        <v>0.65517001596145596</v>
      </c>
      <c r="J282" s="150">
        <f t="shared" si="13"/>
        <v>0.60643853905845302</v>
      </c>
      <c r="L282"/>
    </row>
    <row r="283" spans="1:12" ht="13" x14ac:dyDescent="0.3">
      <c r="A283" s="7"/>
      <c r="B283" s="5"/>
      <c r="C283"/>
      <c r="D283"/>
      <c r="E283" s="150"/>
      <c r="F283" s="150"/>
      <c r="G283" s="150"/>
      <c r="H283" s="150"/>
      <c r="I283" s="150"/>
      <c r="J283" s="150"/>
      <c r="L283"/>
    </row>
    <row r="284" spans="1:12" ht="13" x14ac:dyDescent="0.3">
      <c r="A284" s="7"/>
      <c r="B284" s="5"/>
      <c r="C284"/>
      <c r="D284"/>
      <c r="E284" s="150"/>
      <c r="F284" s="150"/>
      <c r="G284" s="150"/>
      <c r="H284" s="150"/>
      <c r="I284" s="150"/>
      <c r="J284" s="150"/>
      <c r="L284"/>
    </row>
    <row r="285" spans="1:12" ht="15.5" x14ac:dyDescent="0.35">
      <c r="A285" s="22"/>
      <c r="B285" s="638" t="str">
        <f>$B$1</f>
        <v xml:space="preserve">Jersey Central Power &amp; Light </v>
      </c>
      <c r="C285" s="638"/>
      <c r="D285" s="638"/>
      <c r="E285" s="638"/>
      <c r="F285" s="638"/>
      <c r="G285" s="638"/>
      <c r="H285" s="638"/>
      <c r="I285" s="638"/>
      <c r="J285" s="638"/>
      <c r="K285" s="638"/>
      <c r="L285" s="638"/>
    </row>
    <row r="286" spans="1:12" ht="15.5" x14ac:dyDescent="0.35">
      <c r="A286" s="22"/>
      <c r="B286" s="638" t="str">
        <f>$B$2</f>
        <v>Attachment 2</v>
      </c>
      <c r="C286" s="638"/>
      <c r="D286" s="638"/>
      <c r="E286" s="638"/>
      <c r="F286" s="638"/>
      <c r="G286" s="638"/>
      <c r="H286" s="638"/>
      <c r="I286" s="638"/>
      <c r="J286" s="638"/>
      <c r="K286" s="638"/>
      <c r="L286" s="638"/>
    </row>
    <row r="287" spans="1:12" ht="13" x14ac:dyDescent="0.3">
      <c r="A287" s="7"/>
      <c r="B287" s="5"/>
      <c r="C287"/>
      <c r="D287"/>
      <c r="E287" s="150"/>
      <c r="F287" s="150"/>
      <c r="G287" s="150"/>
      <c r="H287" s="150"/>
      <c r="I287" s="150"/>
      <c r="J287" s="150"/>
      <c r="L287"/>
    </row>
    <row r="288" spans="1:12" ht="13" x14ac:dyDescent="0.3">
      <c r="A288" s="6" t="s">
        <v>138</v>
      </c>
      <c r="B288" s="1" t="s">
        <v>246</v>
      </c>
      <c r="C288"/>
      <c r="D288"/>
      <c r="E288"/>
      <c r="G288" s="81"/>
      <c r="J288"/>
      <c r="L288"/>
    </row>
    <row r="289" spans="1:12" ht="13" x14ac:dyDescent="0.3">
      <c r="A289" s="7"/>
      <c r="C289" s="74"/>
      <c r="D289" s="74"/>
      <c r="J289"/>
      <c r="L289"/>
    </row>
    <row r="290" spans="1:12" ht="13" x14ac:dyDescent="0.3">
      <c r="A290" s="7"/>
      <c r="B290" s="16" t="s">
        <v>232</v>
      </c>
      <c r="C290" s="74"/>
      <c r="D290" s="74"/>
      <c r="J290"/>
      <c r="L290"/>
    </row>
    <row r="291" spans="1:12" ht="13" x14ac:dyDescent="0.3">
      <c r="A291" s="7"/>
      <c r="B291" s="89" t="s">
        <v>103</v>
      </c>
      <c r="C291" s="144">
        <f>J278</f>
        <v>1091399.6587704835</v>
      </c>
      <c r="J291"/>
      <c r="L291"/>
    </row>
    <row r="292" spans="1:12" ht="13" x14ac:dyDescent="0.3">
      <c r="A292" s="7"/>
      <c r="B292" s="16"/>
      <c r="C292" s="144"/>
      <c r="J292"/>
      <c r="L292"/>
    </row>
    <row r="293" spans="1:12" ht="13" x14ac:dyDescent="0.3">
      <c r="A293" s="7"/>
      <c r="B293" s="16" t="s">
        <v>230</v>
      </c>
      <c r="C293" s="144"/>
      <c r="E293" s="26" t="str">
        <f>+E$13</f>
        <v>RT{1}</v>
      </c>
      <c r="F293" s="26" t="str">
        <f>+F$13</f>
        <v>RS{2}</v>
      </c>
      <c r="G293" s="26" t="str">
        <f>+G$13</f>
        <v>GS{3}</v>
      </c>
      <c r="H293" s="155" t="str">
        <f>+H$58</f>
        <v>GST {4}</v>
      </c>
      <c r="I293" s="26" t="str">
        <f>+I$13</f>
        <v>OL/SL</v>
      </c>
      <c r="J293" s="2" t="s">
        <v>13</v>
      </c>
      <c r="L293"/>
    </row>
    <row r="294" spans="1:12" ht="13" x14ac:dyDescent="0.3">
      <c r="A294" s="7"/>
      <c r="B294" s="21" t="s">
        <v>25</v>
      </c>
      <c r="C294" s="144"/>
      <c r="E294" s="161">
        <f>ROUND(SUM(E65:E68)*E95,0)</f>
        <v>74070</v>
      </c>
      <c r="F294" s="161">
        <f>ROUND(SUM(F65:F68)*F95,0)</f>
        <v>4216714</v>
      </c>
      <c r="G294" s="161">
        <f>ROUND(SUM(G65:G68)*G95,0)</f>
        <v>2219732</v>
      </c>
      <c r="H294" s="161">
        <f>ROUND(SUM(H65:H68)*H95,0)</f>
        <v>78272</v>
      </c>
      <c r="I294" s="161">
        <f>ROUND(SUM(I65:I68)*I95,0)</f>
        <v>42895</v>
      </c>
      <c r="J294" s="161">
        <f>SUM(E294:I294)</f>
        <v>6631683</v>
      </c>
      <c r="L294"/>
    </row>
    <row r="295" spans="1:12" ht="13" x14ac:dyDescent="0.3">
      <c r="A295" s="7"/>
      <c r="B295" s="12" t="s">
        <v>26</v>
      </c>
      <c r="C295" s="144"/>
      <c r="E295" s="161">
        <f>ROUND((E72-SUM(E65:E68))*E95,0)</f>
        <v>150911</v>
      </c>
      <c r="F295" s="161">
        <f>ROUND((F72-SUM(F65:F68))*F95,0)</f>
        <v>5927348</v>
      </c>
      <c r="G295" s="161">
        <f>ROUND((G72-SUM(G65:G68))*G95,0)</f>
        <v>3903400</v>
      </c>
      <c r="H295" s="161">
        <f>ROUND((H72-SUM(H65:H68))*H95,0)</f>
        <v>151292</v>
      </c>
      <c r="I295" s="161">
        <f>ROUND((I72-SUM(I65:I68))*I95,0)</f>
        <v>85786</v>
      </c>
      <c r="J295" s="161">
        <f>SUM(E295:I295)</f>
        <v>10218737</v>
      </c>
      <c r="L295"/>
    </row>
    <row r="296" spans="1:12" ht="13" x14ac:dyDescent="0.3">
      <c r="A296" s="7"/>
      <c r="C296" s="89"/>
      <c r="D296" s="145"/>
      <c r="J296" s="4"/>
      <c r="L296"/>
    </row>
    <row r="297" spans="1:12" ht="13" x14ac:dyDescent="0.3">
      <c r="A297" s="7"/>
      <c r="B297" s="16" t="s">
        <v>233</v>
      </c>
      <c r="C297" s="89"/>
      <c r="D297" s="160" t="s">
        <v>221</v>
      </c>
      <c r="E297" s="133" t="s">
        <v>227</v>
      </c>
      <c r="J297"/>
      <c r="L297"/>
    </row>
    <row r="298" spans="1:12" ht="13" x14ac:dyDescent="0.3">
      <c r="A298" s="7"/>
      <c r="B298" s="253" t="s">
        <v>411</v>
      </c>
      <c r="D298" s="38" t="s">
        <v>224</v>
      </c>
      <c r="E298" s="126">
        <v>64.77</v>
      </c>
      <c r="F298" s="38" t="s">
        <v>229</v>
      </c>
      <c r="G298" s="38" t="s">
        <v>231</v>
      </c>
      <c r="J298"/>
      <c r="L298"/>
    </row>
    <row r="299" spans="1:12" ht="13" x14ac:dyDescent="0.3">
      <c r="A299" s="7"/>
      <c r="B299" s="13" t="s">
        <v>226</v>
      </c>
      <c r="C299" s="89"/>
      <c r="D299" s="166">
        <v>1</v>
      </c>
      <c r="E299" s="275">
        <f>ROUND($E$298*D299,3)</f>
        <v>64.77</v>
      </c>
      <c r="F299" s="55">
        <f>J294</f>
        <v>6631683</v>
      </c>
      <c r="G299" s="144">
        <f>ROUND(F299*E299/1000,0)</f>
        <v>429534</v>
      </c>
      <c r="J299"/>
      <c r="L299"/>
    </row>
    <row r="300" spans="1:12" ht="14" x14ac:dyDescent="0.4">
      <c r="A300" s="7"/>
      <c r="B300" s="13" t="s">
        <v>228</v>
      </c>
      <c r="C300" s="89"/>
      <c r="D300" s="166">
        <v>1</v>
      </c>
      <c r="E300" s="275">
        <f>ROUND($E$298*D300,3)</f>
        <v>64.77</v>
      </c>
      <c r="F300" s="55">
        <f>J295</f>
        <v>10218737</v>
      </c>
      <c r="G300" s="85">
        <f>ROUND(F300*E300/1000,0)</f>
        <v>661868</v>
      </c>
      <c r="J300"/>
      <c r="L300"/>
    </row>
    <row r="301" spans="1:12" ht="13" x14ac:dyDescent="0.3">
      <c r="A301" s="7"/>
      <c r="B301" s="13" t="s">
        <v>234</v>
      </c>
      <c r="C301" s="89"/>
      <c r="D301" s="145"/>
      <c r="G301" s="81">
        <f>SUM(G299:G300)</f>
        <v>1091402</v>
      </c>
      <c r="J301"/>
      <c r="L301"/>
    </row>
    <row r="302" spans="1:12" ht="13" x14ac:dyDescent="0.3">
      <c r="A302" s="7"/>
      <c r="C302" s="89"/>
      <c r="D302" s="145"/>
      <c r="J302"/>
      <c r="L302"/>
    </row>
    <row r="303" spans="1:12" ht="13" x14ac:dyDescent="0.3">
      <c r="A303" s="6" t="s">
        <v>241</v>
      </c>
      <c r="B303" s="1" t="s">
        <v>235</v>
      </c>
      <c r="C303" s="89"/>
      <c r="D303" s="145"/>
      <c r="F303" s="5" t="s">
        <v>221</v>
      </c>
      <c r="G303" s="5" t="s">
        <v>223</v>
      </c>
      <c r="H303" s="71"/>
      <c r="I303"/>
    </row>
    <row r="304" spans="1:12" ht="13" x14ac:dyDescent="0.3">
      <c r="A304" s="7"/>
      <c r="B304"/>
      <c r="C304"/>
      <c r="D304"/>
      <c r="E304"/>
      <c r="F304" s="5" t="s">
        <v>237</v>
      </c>
      <c r="G304" s="5" t="s">
        <v>224</v>
      </c>
      <c r="H304" s="5" t="s">
        <v>223</v>
      </c>
      <c r="I304"/>
    </row>
    <row r="305" spans="1:15" ht="13" x14ac:dyDescent="0.3">
      <c r="A305" s="7"/>
      <c r="B305" t="s">
        <v>236</v>
      </c>
      <c r="C305"/>
      <c r="D305"/>
      <c r="E305"/>
      <c r="F305" s="8" t="s">
        <v>231</v>
      </c>
      <c r="G305" s="8" t="s">
        <v>225</v>
      </c>
      <c r="H305" s="8" t="s">
        <v>224</v>
      </c>
      <c r="I305" s="10"/>
    </row>
    <row r="306" spans="1:15" ht="13" x14ac:dyDescent="0.3">
      <c r="A306" s="7"/>
      <c r="B306" s="5" t="s">
        <v>25</v>
      </c>
      <c r="C306" s="276">
        <f>J276*1000/J294</f>
        <v>64.769809440049713</v>
      </c>
      <c r="D306" t="s">
        <v>137</v>
      </c>
      <c r="E306"/>
      <c r="F306" s="248">
        <f>E299</f>
        <v>64.77</v>
      </c>
      <c r="G306" s="159">
        <f>E299/C306</f>
        <v>1.0000029421107137</v>
      </c>
      <c r="H306" s="271">
        <v>1.3270599999999999</v>
      </c>
      <c r="M306" s="172"/>
    </row>
    <row r="307" spans="1:15" ht="13" x14ac:dyDescent="0.3">
      <c r="A307" s="7"/>
      <c r="B307" s="5" t="s">
        <v>26</v>
      </c>
      <c r="C307" s="276">
        <f>J277*1000/J295</f>
        <v>64.76992358191292</v>
      </c>
      <c r="D307" t="s">
        <v>137</v>
      </c>
      <c r="E307"/>
      <c r="F307" s="248">
        <f>E300</f>
        <v>64.77</v>
      </c>
      <c r="G307" s="159">
        <f>E300/C307</f>
        <v>1.0000011798390804</v>
      </c>
      <c r="H307" s="271">
        <v>0.99080000000000001</v>
      </c>
      <c r="M307" s="172"/>
    </row>
    <row r="308" spans="1:15" ht="13" x14ac:dyDescent="0.3">
      <c r="A308" s="7"/>
      <c r="B308" s="5"/>
      <c r="C308" s="152"/>
      <c r="D308"/>
      <c r="E308"/>
      <c r="F308"/>
      <c r="G308"/>
      <c r="H308" s="2"/>
      <c r="I308" s="104"/>
      <c r="M308" s="16"/>
      <c r="N308" s="104"/>
      <c r="O308" s="104"/>
    </row>
    <row r="309" spans="1:15" ht="13" x14ac:dyDescent="0.3">
      <c r="A309" s="16" t="s">
        <v>108</v>
      </c>
      <c r="E309" s="98"/>
      <c r="F309" s="101"/>
      <c r="I309"/>
      <c r="J309"/>
      <c r="K309"/>
      <c r="L309"/>
    </row>
    <row r="310" spans="1:15" ht="13" x14ac:dyDescent="0.3">
      <c r="A310" s="22"/>
      <c r="B310" s="89" t="s">
        <v>132</v>
      </c>
      <c r="C310" s="102">
        <f>E179</f>
        <v>163.37299999999999</v>
      </c>
      <c r="D310" s="93" t="s">
        <v>160</v>
      </c>
      <c r="E310" s="98"/>
      <c r="F310" s="101"/>
      <c r="I310"/>
      <c r="J310"/>
      <c r="K310"/>
      <c r="L310"/>
    </row>
    <row r="311" spans="1:15" ht="13" x14ac:dyDescent="0.3">
      <c r="A311" s="22"/>
      <c r="B311" s="89"/>
      <c r="C311" s="102">
        <f>E180</f>
        <v>163.37299999999999</v>
      </c>
      <c r="D311" s="93" t="s">
        <v>161</v>
      </c>
      <c r="E311" s="98"/>
      <c r="F311" s="101"/>
      <c r="I311"/>
      <c r="J311"/>
      <c r="K311"/>
      <c r="L311"/>
    </row>
    <row r="312" spans="1:15" ht="13" x14ac:dyDescent="0.3">
      <c r="A312" s="22"/>
      <c r="B312" s="89" t="s">
        <v>159</v>
      </c>
      <c r="C312" s="568" t="s">
        <v>378</v>
      </c>
      <c r="D312" s="93"/>
      <c r="E312" s="98"/>
      <c r="F312" s="101"/>
      <c r="I312"/>
      <c r="J312"/>
      <c r="K312"/>
      <c r="L312"/>
    </row>
    <row r="313" spans="1:15" ht="13" x14ac:dyDescent="0.3">
      <c r="A313" s="22"/>
      <c r="B313" s="89" t="s">
        <v>109</v>
      </c>
      <c r="C313" s="148">
        <f>+H173</f>
        <v>4</v>
      </c>
      <c r="D313" s="13" t="s">
        <v>110</v>
      </c>
      <c r="E313" s="98"/>
      <c r="F313" s="101"/>
      <c r="I313"/>
      <c r="J313"/>
      <c r="K313"/>
      <c r="L313"/>
    </row>
    <row r="314" spans="1:15" ht="13" x14ac:dyDescent="0.3">
      <c r="A314" s="22"/>
      <c r="B314" s="89"/>
      <c r="C314" s="148">
        <f>+H174</f>
        <v>8</v>
      </c>
      <c r="D314" s="13" t="s">
        <v>111</v>
      </c>
      <c r="E314" s="98"/>
      <c r="F314" s="101"/>
      <c r="I314"/>
      <c r="J314"/>
      <c r="K314"/>
      <c r="L314"/>
    </row>
    <row r="315" spans="1:15" ht="13" x14ac:dyDescent="0.3">
      <c r="A315" s="22"/>
      <c r="B315" s="89" t="s">
        <v>112</v>
      </c>
      <c r="C315" s="102">
        <f>+E193</f>
        <v>17.23</v>
      </c>
      <c r="D315" s="13" t="s">
        <v>113</v>
      </c>
      <c r="E315" s="98"/>
      <c r="F315" s="101"/>
      <c r="I315"/>
      <c r="J315"/>
      <c r="K315"/>
      <c r="L315"/>
    </row>
    <row r="316" spans="1:15" ht="13" x14ac:dyDescent="0.3">
      <c r="A316" s="22"/>
      <c r="B316" s="89" t="s">
        <v>114</v>
      </c>
      <c r="C316" s="21" t="s">
        <v>247</v>
      </c>
      <c r="E316" s="98"/>
      <c r="F316" s="101"/>
      <c r="I316"/>
      <c r="J316"/>
      <c r="K316"/>
      <c r="L316"/>
    </row>
    <row r="317" spans="1:15" ht="13" x14ac:dyDescent="0.3">
      <c r="A317" s="22"/>
      <c r="B317" s="89"/>
      <c r="C317" s="296" t="s">
        <v>416</v>
      </c>
      <c r="E317" s="98"/>
      <c r="F317" s="101"/>
      <c r="I317"/>
      <c r="J317"/>
      <c r="K317"/>
      <c r="L317"/>
    </row>
    <row r="318" spans="1:15" ht="13" x14ac:dyDescent="0.3">
      <c r="A318" s="22"/>
      <c r="B318" s="89" t="s">
        <v>115</v>
      </c>
      <c r="C318" s="12" t="str">
        <f>'BGS PTY20 Cost Alloc'!C$308</f>
        <v xml:space="preserve"> forecasted 2021 energy use by class based upon PJM on/off % from 2018 through 2020 class load profiles</v>
      </c>
      <c r="E318" s="98"/>
      <c r="F318" s="101"/>
      <c r="I318"/>
      <c r="J318"/>
      <c r="K318"/>
      <c r="L318"/>
    </row>
    <row r="319" spans="1:15" ht="13" x14ac:dyDescent="0.3">
      <c r="A319" s="22"/>
      <c r="B319" s="89"/>
      <c r="C319" s="12" t="str">
        <f>'BGS PTY20 Cost Alloc'!C$309</f>
        <v xml:space="preserve">   JCP&amp;L billing on/off % from 2021 forecasted billing determinants</v>
      </c>
      <c r="E319" s="98"/>
      <c r="F319" s="101"/>
      <c r="I319"/>
      <c r="J319"/>
      <c r="K319"/>
      <c r="L319"/>
    </row>
    <row r="320" spans="1:15" ht="13" x14ac:dyDescent="0.3">
      <c r="A320" s="22"/>
      <c r="B320" s="89" t="s">
        <v>116</v>
      </c>
      <c r="C320" s="12" t="str">
        <f>'BGS PTY20 Cost Alloc'!C$310</f>
        <v xml:space="preserve"> class totals for 2021 excluding accounts required to take service under BGS-CIEP as of June 1, 2022</v>
      </c>
      <c r="E320" s="98"/>
      <c r="F320" s="101"/>
      <c r="I320"/>
      <c r="J320"/>
      <c r="K320"/>
      <c r="L320"/>
    </row>
    <row r="321" spans="1:12" ht="13" x14ac:dyDescent="0.3">
      <c r="A321" s="22"/>
      <c r="B321" s="89" t="s">
        <v>117</v>
      </c>
      <c r="C321" s="13" t="s">
        <v>166</v>
      </c>
      <c r="E321" s="98"/>
      <c r="F321" s="101"/>
      <c r="I321"/>
      <c r="J321"/>
      <c r="K321"/>
      <c r="L321"/>
    </row>
    <row r="322" spans="1:12" ht="13" x14ac:dyDescent="0.3">
      <c r="A322" s="22"/>
      <c r="B322" s="89" t="s">
        <v>118</v>
      </c>
      <c r="C322" s="13" t="s">
        <v>214</v>
      </c>
      <c r="E322" s="100"/>
      <c r="F322" s="101"/>
      <c r="I322"/>
      <c r="J322"/>
      <c r="K322"/>
      <c r="L322"/>
    </row>
    <row r="323" spans="1:12" ht="13" x14ac:dyDescent="0.3">
      <c r="C323" s="13" t="s">
        <v>119</v>
      </c>
      <c r="E323" s="98"/>
      <c r="F323" s="101"/>
      <c r="I323"/>
      <c r="J323"/>
      <c r="K323"/>
      <c r="L323"/>
    </row>
    <row r="324" spans="1:12" ht="13" x14ac:dyDescent="0.3">
      <c r="B324" s="89" t="s">
        <v>120</v>
      </c>
      <c r="C324" s="103" t="s">
        <v>189</v>
      </c>
      <c r="E324" s="98"/>
      <c r="F324" s="101"/>
      <c r="I324"/>
      <c r="J324"/>
      <c r="K324"/>
      <c r="L324"/>
    </row>
    <row r="325" spans="1:12" ht="13" x14ac:dyDescent="0.3">
      <c r="A325" s="22"/>
      <c r="C325" s="103" t="s">
        <v>121</v>
      </c>
      <c r="E325" s="99"/>
      <c r="I325"/>
      <c r="J325"/>
      <c r="K325"/>
      <c r="L325"/>
    </row>
    <row r="326" spans="1:12" x14ac:dyDescent="0.25">
      <c r="C326" s="103" t="s">
        <v>188</v>
      </c>
      <c r="I326"/>
      <c r="J326"/>
      <c r="K326"/>
      <c r="L326"/>
    </row>
    <row r="327" spans="1:12" ht="13" x14ac:dyDescent="0.3">
      <c r="A327" s="7"/>
      <c r="B327" s="404" t="s">
        <v>314</v>
      </c>
      <c r="C327" s="405" t="s">
        <v>315</v>
      </c>
      <c r="D327"/>
      <c r="E327" s="137"/>
      <c r="F327" s="4"/>
      <c r="G327"/>
      <c r="H327"/>
      <c r="I327"/>
      <c r="J327"/>
      <c r="K327"/>
      <c r="L327"/>
    </row>
    <row r="328" spans="1:12" ht="13" x14ac:dyDescent="0.3">
      <c r="A328" s="7"/>
      <c r="B328" t="str">
        <f>'BGS PTY20 Cost Alloc'!B319</f>
        <v xml:space="preserve"> </v>
      </c>
      <c r="C328" s="9"/>
      <c r="D328"/>
      <c r="E328" s="137"/>
      <c r="F328" s="137"/>
      <c r="G328"/>
      <c r="H328"/>
      <c r="I328"/>
      <c r="J328"/>
      <c r="K328"/>
      <c r="L328"/>
    </row>
    <row r="333" spans="1:12" x14ac:dyDescent="0.25">
      <c r="L333" s="144"/>
    </row>
    <row r="342" spans="12:12" x14ac:dyDescent="0.25">
      <c r="L342" s="144"/>
    </row>
    <row r="343" spans="12:12" x14ac:dyDescent="0.25">
      <c r="L343" s="144"/>
    </row>
    <row r="344" spans="12:12" x14ac:dyDescent="0.25">
      <c r="L344" s="144"/>
    </row>
    <row r="345" spans="12:12" x14ac:dyDescent="0.25">
      <c r="L345" s="139"/>
    </row>
    <row r="346" spans="12:12" x14ac:dyDescent="0.25">
      <c r="L346" s="139"/>
    </row>
    <row r="347" spans="12:12" x14ac:dyDescent="0.25">
      <c r="L347" s="139"/>
    </row>
  </sheetData>
  <mergeCells count="16">
    <mergeCell ref="B144:L144"/>
    <mergeCell ref="B285:L285"/>
    <mergeCell ref="B286:L286"/>
    <mergeCell ref="B238:L238"/>
    <mergeCell ref="B239:L239"/>
    <mergeCell ref="B208:L208"/>
    <mergeCell ref="B209:L209"/>
    <mergeCell ref="B103:L103"/>
    <mergeCell ref="B104:L104"/>
    <mergeCell ref="B143:L143"/>
    <mergeCell ref="B1:L1"/>
    <mergeCell ref="B2:L2"/>
    <mergeCell ref="B52:L52"/>
    <mergeCell ref="B53:L53"/>
    <mergeCell ref="B5:L5"/>
    <mergeCell ref="B3:L3"/>
  </mergeCells>
  <phoneticPr fontId="33" type="noConversion"/>
  <pageMargins left="0.97" right="0.79" top="0.69" bottom="0.69" header="0.33" footer="0.5"/>
  <pageSetup scale="6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7" max="9" man="1"/>
    <brk id="237" max="9" man="1"/>
    <brk id="284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Y319"/>
  <sheetViews>
    <sheetView view="pageBreakPreview" topLeftCell="A238" zoomScale="60" zoomScaleNormal="70" workbookViewId="0">
      <selection activeCell="F187" sqref="F187"/>
    </sheetView>
  </sheetViews>
  <sheetFormatPr defaultColWidth="9.08984375" defaultRowHeight="12.5" x14ac:dyDescent="0.25"/>
  <cols>
    <col min="1" max="1" width="16.08984375" style="12" customWidth="1"/>
    <col min="2" max="2" width="27.90625" style="13" customWidth="1"/>
    <col min="3" max="3" width="14.54296875" style="13" customWidth="1"/>
    <col min="4" max="4" width="12.54296875" style="13" customWidth="1"/>
    <col min="5" max="5" width="14.453125" style="13" customWidth="1"/>
    <col min="6" max="7" width="16.08984375" style="13" customWidth="1"/>
    <col min="8" max="8" width="15.08984375" style="13" customWidth="1"/>
    <col min="9" max="9" width="14.54296875" style="13" customWidth="1"/>
    <col min="10" max="10" width="15.453125" style="13" customWidth="1"/>
    <col min="11" max="11" width="4.90625" style="13" hidden="1" customWidth="1"/>
    <col min="12" max="12" width="6.54296875" style="13" hidden="1" customWidth="1"/>
    <col min="13" max="13" width="15.90625" style="13" hidden="1" customWidth="1"/>
    <col min="14" max="14" width="18" style="13" hidden="1" customWidth="1"/>
    <col min="15" max="16" width="12.453125" style="13" hidden="1" customWidth="1"/>
    <col min="17" max="17" width="15.54296875" style="13" hidden="1" customWidth="1"/>
    <col min="18" max="18" width="14.453125" style="13" hidden="1" customWidth="1"/>
    <col min="19" max="19" width="14.90625" style="13" hidden="1" customWidth="1"/>
    <col min="20" max="20" width="15.08984375" style="13" hidden="1" customWidth="1"/>
    <col min="21" max="21" width="14.08984375" style="13" hidden="1" customWidth="1"/>
    <col min="22" max="22" width="12.453125" style="13" hidden="1" customWidth="1"/>
    <col min="23" max="23" width="13.453125" style="13" hidden="1" customWidth="1"/>
    <col min="24" max="24" width="15.453125" style="13" hidden="1" customWidth="1"/>
    <col min="25" max="25" width="12.90625" style="13" hidden="1" customWidth="1"/>
    <col min="26" max="26" width="11.54296875" style="13" hidden="1" customWidth="1"/>
    <col min="27" max="27" width="12.54296875" style="13" hidden="1" customWidth="1"/>
    <col min="28" max="28" width="16.90625" style="13" hidden="1" customWidth="1"/>
    <col min="29" max="29" width="15.6328125" style="13" hidden="1" customWidth="1"/>
    <col min="30" max="30" width="14.08984375" style="13" hidden="1" customWidth="1"/>
    <col min="31" max="31" width="16.453125" style="13" hidden="1" customWidth="1"/>
    <col min="32" max="32" width="12.6328125" style="13" hidden="1" customWidth="1"/>
    <col min="33" max="33" width="12" style="13" hidden="1" customWidth="1"/>
    <col min="34" max="34" width="13.453125" style="13" hidden="1" customWidth="1"/>
    <col min="35" max="35" width="9.08984375" style="13" hidden="1" customWidth="1"/>
    <col min="36" max="36" width="11" style="13" hidden="1" customWidth="1"/>
    <col min="37" max="37" width="14.54296875" style="13" hidden="1" customWidth="1"/>
    <col min="38" max="38" width="12.453125" style="13" hidden="1" customWidth="1"/>
    <col min="39" max="40" width="9.08984375" style="13" hidden="1" customWidth="1"/>
    <col min="41" max="46" width="9.08984375" style="13" customWidth="1"/>
    <col min="47" max="48" width="10.90625" style="13" customWidth="1"/>
    <col min="49" max="49" width="12.453125" style="13" customWidth="1"/>
    <col min="50" max="50" width="10.90625" style="13" customWidth="1"/>
    <col min="51" max="51" width="11.453125" style="13" customWidth="1"/>
    <col min="52" max="16384" width="9.08984375" style="13"/>
  </cols>
  <sheetData>
    <row r="1" spans="1:26" ht="15.5" x14ac:dyDescent="0.35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</row>
    <row r="2" spans="1:26" ht="15.5" x14ac:dyDescent="0.35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</row>
    <row r="3" spans="1:26" ht="15.5" x14ac:dyDescent="0.35">
      <c r="B3" s="639" t="s">
        <v>402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</row>
    <row r="4" spans="1:26" ht="4" customHeight="1" x14ac:dyDescent="0.35"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26" ht="15.5" x14ac:dyDescent="0.35">
      <c r="B5" s="639" t="s">
        <v>403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</row>
    <row r="6" spans="1:26" ht="6.5" customHeight="1" x14ac:dyDescent="0.25"/>
    <row r="7" spans="1:26" ht="6.5" customHeight="1" x14ac:dyDescent="0.25"/>
    <row r="8" spans="1:26" ht="15.5" x14ac:dyDescent="0.35">
      <c r="B8" s="14" t="s">
        <v>50</v>
      </c>
    </row>
    <row r="9" spans="1:26" ht="13" x14ac:dyDescent="0.3">
      <c r="A9" s="15"/>
      <c r="B9" s="16" t="s">
        <v>45</v>
      </c>
    </row>
    <row r="10" spans="1:26" ht="13" x14ac:dyDescent="0.3">
      <c r="E10" s="17" t="s">
        <v>404</v>
      </c>
      <c r="F10" s="90"/>
      <c r="G10" s="90"/>
      <c r="H10" s="90"/>
    </row>
    <row r="11" spans="1:26" ht="13" x14ac:dyDescent="0.3">
      <c r="A11" s="18" t="s">
        <v>30</v>
      </c>
      <c r="B11" s="19" t="s">
        <v>47</v>
      </c>
      <c r="C11" s="20"/>
      <c r="E11" s="17" t="s">
        <v>27</v>
      </c>
      <c r="N11" s="19"/>
      <c r="P11" s="21"/>
      <c r="Q11" s="19" t="s">
        <v>212</v>
      </c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26" x14ac:dyDescent="0.3">
      <c r="A12" s="22"/>
      <c r="C12" s="23"/>
      <c r="D12" s="23"/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56</v>
      </c>
      <c r="L12" s="23"/>
      <c r="M12" s="23"/>
      <c r="N12" s="17"/>
      <c r="O12" s="23"/>
      <c r="P12" s="23"/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56</v>
      </c>
      <c r="W12" s="23"/>
      <c r="X12" s="23"/>
      <c r="Y12" s="23"/>
      <c r="Z12" s="23"/>
    </row>
    <row r="13" spans="1:26" ht="13" x14ac:dyDescent="0.3">
      <c r="A13" s="22"/>
      <c r="B13" s="24" t="s">
        <v>190</v>
      </c>
      <c r="C13" s="25"/>
      <c r="D13" s="25"/>
      <c r="E13" s="26" t="s">
        <v>61</v>
      </c>
      <c r="F13" s="26" t="s">
        <v>62</v>
      </c>
      <c r="G13" s="26" t="s">
        <v>65</v>
      </c>
      <c r="H13" s="26" t="s">
        <v>54</v>
      </c>
      <c r="I13" s="26" t="s">
        <v>55</v>
      </c>
      <c r="J13" s="25"/>
      <c r="K13" s="25"/>
      <c r="L13" s="25"/>
      <c r="M13" s="25"/>
      <c r="N13" s="27"/>
      <c r="O13" s="26"/>
      <c r="P13" s="26"/>
      <c r="Q13" s="26" t="str">
        <f>+E13</f>
        <v>RT{1}</v>
      </c>
      <c r="R13" s="26" t="str">
        <f>+F13</f>
        <v>RS{2}</v>
      </c>
      <c r="S13" s="26" t="str">
        <f>+G13</f>
        <v>GS{3}</v>
      </c>
      <c r="T13" s="26" t="str">
        <f>+H13</f>
        <v>GST</v>
      </c>
      <c r="U13" s="26" t="str">
        <f>+I13</f>
        <v>OL/SL</v>
      </c>
      <c r="V13" s="26"/>
      <c r="W13" s="26"/>
      <c r="X13" s="26"/>
      <c r="Y13" s="26"/>
      <c r="Z13" s="26"/>
    </row>
    <row r="14" spans="1:26" ht="3" customHeight="1" x14ac:dyDescent="0.3">
      <c r="A14" s="22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3" x14ac:dyDescent="0.3">
      <c r="A15" s="22"/>
      <c r="B15" s="28" t="s">
        <v>1</v>
      </c>
      <c r="C15" s="29"/>
      <c r="D15" s="29"/>
      <c r="E15" s="528">
        <v>0.49259999999999998</v>
      </c>
      <c r="F15" s="528">
        <v>0.5171</v>
      </c>
      <c r="G15" s="528">
        <v>0.57699999999999996</v>
      </c>
      <c r="H15" s="528">
        <v>0.55369999999999997</v>
      </c>
      <c r="I15" s="528">
        <v>0.33700000000000002</v>
      </c>
      <c r="J15" s="29"/>
      <c r="K15" s="29"/>
      <c r="L15" s="30"/>
      <c r="M15" s="30"/>
      <c r="N15" s="31"/>
      <c r="O15" s="32"/>
      <c r="P15" s="32"/>
      <c r="Q15" s="32">
        <f t="shared" ref="Q15:Q26" si="0">1-E15</f>
        <v>0.50740000000000007</v>
      </c>
      <c r="R15" s="32">
        <f t="shared" ref="R15:R26" si="1">1-F15</f>
        <v>0.4829</v>
      </c>
      <c r="S15" s="32">
        <f t="shared" ref="S15:S26" si="2">1-G15</f>
        <v>0.42300000000000004</v>
      </c>
      <c r="T15" s="32">
        <f t="shared" ref="T15:T26" si="3">1-H15</f>
        <v>0.44630000000000003</v>
      </c>
      <c r="U15" s="32">
        <f t="shared" ref="U15:U26" si="4">1-I15</f>
        <v>0.66300000000000003</v>
      </c>
      <c r="V15" s="32"/>
      <c r="W15" s="32"/>
      <c r="X15" s="32"/>
      <c r="Y15" s="32"/>
      <c r="Z15" s="32"/>
    </row>
    <row r="16" spans="1:26" ht="13" x14ac:dyDescent="0.3">
      <c r="A16" s="22"/>
      <c r="B16" s="28" t="s">
        <v>2</v>
      </c>
      <c r="C16" s="29"/>
      <c r="D16" s="29"/>
      <c r="E16" s="528">
        <v>0.47</v>
      </c>
      <c r="F16" s="528">
        <v>0.49769999999999998</v>
      </c>
      <c r="G16" s="528">
        <v>0.56659999999999999</v>
      </c>
      <c r="H16" s="528">
        <v>0.54600000000000004</v>
      </c>
      <c r="I16" s="528">
        <v>0.30819999999999997</v>
      </c>
      <c r="J16" s="29"/>
      <c r="K16" s="29"/>
      <c r="L16" s="30"/>
      <c r="M16" s="30"/>
      <c r="N16" s="31"/>
      <c r="O16" s="32"/>
      <c r="P16" s="32"/>
      <c r="Q16" s="32">
        <f t="shared" si="0"/>
        <v>0.53</v>
      </c>
      <c r="R16" s="32">
        <f t="shared" si="1"/>
        <v>0.50229999999999997</v>
      </c>
      <c r="S16" s="32">
        <f t="shared" si="2"/>
        <v>0.43340000000000001</v>
      </c>
      <c r="T16" s="32">
        <f t="shared" si="3"/>
        <v>0.45399999999999996</v>
      </c>
      <c r="U16" s="32">
        <f t="shared" si="4"/>
        <v>0.69179999999999997</v>
      </c>
      <c r="V16" s="32"/>
      <c r="W16" s="32"/>
      <c r="X16" s="32"/>
      <c r="Y16" s="32"/>
      <c r="Z16" s="32"/>
    </row>
    <row r="17" spans="1:26" ht="13" x14ac:dyDescent="0.3">
      <c r="A17" s="22"/>
      <c r="B17" s="28" t="s">
        <v>3</v>
      </c>
      <c r="C17" s="29"/>
      <c r="D17" s="29"/>
      <c r="E17" s="528">
        <v>0.47660000000000002</v>
      </c>
      <c r="F17" s="528">
        <v>0.50309999999999999</v>
      </c>
      <c r="G17" s="528">
        <v>0.58230000000000004</v>
      </c>
      <c r="H17" s="528">
        <v>0.53749999999999998</v>
      </c>
      <c r="I17" s="528">
        <v>0.30209999999999998</v>
      </c>
      <c r="J17" s="29"/>
      <c r="K17" s="29"/>
      <c r="L17" s="30"/>
      <c r="M17" s="30"/>
      <c r="N17" s="31"/>
      <c r="O17" s="32"/>
      <c r="P17" s="32"/>
      <c r="Q17" s="32">
        <f t="shared" si="0"/>
        <v>0.52339999999999998</v>
      </c>
      <c r="R17" s="32">
        <f t="shared" si="1"/>
        <v>0.49690000000000001</v>
      </c>
      <c r="S17" s="32">
        <f t="shared" si="2"/>
        <v>0.41769999999999996</v>
      </c>
      <c r="T17" s="32">
        <f t="shared" si="3"/>
        <v>0.46250000000000002</v>
      </c>
      <c r="U17" s="32">
        <f t="shared" si="4"/>
        <v>0.69789999999999996</v>
      </c>
      <c r="V17" s="32"/>
      <c r="W17" s="32"/>
      <c r="X17" s="32"/>
      <c r="Y17" s="32"/>
      <c r="Z17" s="32"/>
    </row>
    <row r="18" spans="1:26" ht="13" x14ac:dyDescent="0.3">
      <c r="A18" s="22"/>
      <c r="B18" s="28" t="s">
        <v>4</v>
      </c>
      <c r="C18" s="29"/>
      <c r="D18" s="29"/>
      <c r="E18" s="528">
        <v>0.50070000000000003</v>
      </c>
      <c r="F18" s="528">
        <v>0.52190000000000003</v>
      </c>
      <c r="G18" s="528">
        <v>0.59840000000000004</v>
      </c>
      <c r="H18" s="528">
        <v>0.55600000000000005</v>
      </c>
      <c r="I18" s="528">
        <v>0.3145</v>
      </c>
      <c r="J18" s="29"/>
      <c r="K18" s="29"/>
      <c r="L18" s="30"/>
      <c r="M18" s="30"/>
      <c r="N18" s="31"/>
      <c r="O18" s="32"/>
      <c r="P18" s="32"/>
      <c r="Q18" s="32">
        <f t="shared" si="0"/>
        <v>0.49929999999999997</v>
      </c>
      <c r="R18" s="32">
        <f t="shared" si="1"/>
        <v>0.47809999999999997</v>
      </c>
      <c r="S18" s="32">
        <f t="shared" si="2"/>
        <v>0.40159999999999996</v>
      </c>
      <c r="T18" s="32">
        <f t="shared" si="3"/>
        <v>0.44399999999999995</v>
      </c>
      <c r="U18" s="32">
        <f t="shared" si="4"/>
        <v>0.6855</v>
      </c>
      <c r="V18" s="32"/>
      <c r="W18" s="32"/>
      <c r="X18" s="32"/>
      <c r="Y18" s="32"/>
      <c r="Z18" s="32"/>
    </row>
    <row r="19" spans="1:26" ht="13" x14ac:dyDescent="0.3">
      <c r="A19" s="22"/>
      <c r="B19" s="28" t="s">
        <v>5</v>
      </c>
      <c r="C19" s="29"/>
      <c r="D19" s="29"/>
      <c r="E19" s="528">
        <v>0.47789999999999999</v>
      </c>
      <c r="F19" s="528">
        <v>0.49490000000000001</v>
      </c>
      <c r="G19" s="528">
        <v>0.58460000000000001</v>
      </c>
      <c r="H19" s="528">
        <v>0.55469999999999997</v>
      </c>
      <c r="I19" s="528">
        <v>0.29649999999999999</v>
      </c>
      <c r="J19" s="29"/>
      <c r="K19" s="29"/>
      <c r="L19" s="30"/>
      <c r="M19" s="30"/>
      <c r="N19" s="31"/>
      <c r="O19" s="32"/>
      <c r="P19" s="32"/>
      <c r="Q19" s="32">
        <f t="shared" si="0"/>
        <v>0.52210000000000001</v>
      </c>
      <c r="R19" s="32">
        <f t="shared" si="1"/>
        <v>0.50509999999999999</v>
      </c>
      <c r="S19" s="32">
        <f t="shared" si="2"/>
        <v>0.41539999999999999</v>
      </c>
      <c r="T19" s="32">
        <f t="shared" si="3"/>
        <v>0.44530000000000003</v>
      </c>
      <c r="U19" s="32">
        <f t="shared" si="4"/>
        <v>0.70350000000000001</v>
      </c>
      <c r="V19" s="32"/>
      <c r="W19" s="32"/>
      <c r="X19" s="32"/>
      <c r="Y19" s="32"/>
      <c r="Z19" s="32"/>
    </row>
    <row r="20" spans="1:26" ht="13" x14ac:dyDescent="0.3">
      <c r="A20" s="22"/>
      <c r="B20" s="178" t="s">
        <v>6</v>
      </c>
      <c r="C20" s="199"/>
      <c r="D20" s="199"/>
      <c r="E20" s="529">
        <v>0.52170000000000005</v>
      </c>
      <c r="F20" s="529">
        <v>0.52869999999999995</v>
      </c>
      <c r="G20" s="529">
        <v>0.57709999999999995</v>
      </c>
      <c r="H20" s="529">
        <v>0.5605</v>
      </c>
      <c r="I20" s="530">
        <v>0.29330000000000001</v>
      </c>
      <c r="J20" s="29"/>
      <c r="K20" s="29"/>
      <c r="L20" s="30"/>
      <c r="M20" s="30"/>
      <c r="N20" s="31"/>
      <c r="O20" s="32"/>
      <c r="P20" s="32"/>
      <c r="Q20" s="32">
        <f t="shared" si="0"/>
        <v>0.47829999999999995</v>
      </c>
      <c r="R20" s="32">
        <f t="shared" si="1"/>
        <v>0.47130000000000005</v>
      </c>
      <c r="S20" s="32">
        <f t="shared" si="2"/>
        <v>0.42290000000000005</v>
      </c>
      <c r="T20" s="32">
        <f t="shared" si="3"/>
        <v>0.4395</v>
      </c>
      <c r="U20" s="32">
        <f t="shared" si="4"/>
        <v>0.70669999999999999</v>
      </c>
      <c r="V20" s="32"/>
      <c r="W20" s="32"/>
      <c r="X20" s="32"/>
      <c r="Y20" s="32"/>
      <c r="Z20" s="32"/>
    </row>
    <row r="21" spans="1:26" ht="13" x14ac:dyDescent="0.3">
      <c r="A21" s="22"/>
      <c r="B21" s="182" t="s">
        <v>7</v>
      </c>
      <c r="C21" s="176"/>
      <c r="D21" s="176"/>
      <c r="E21" s="531">
        <v>0.52810000000000001</v>
      </c>
      <c r="F21" s="531">
        <v>0.52680000000000005</v>
      </c>
      <c r="G21" s="531">
        <v>0.58420000000000005</v>
      </c>
      <c r="H21" s="531">
        <v>0.56000000000000005</v>
      </c>
      <c r="I21" s="532">
        <v>0.29370000000000002</v>
      </c>
      <c r="J21" s="29"/>
      <c r="K21" s="29"/>
      <c r="L21" s="30"/>
      <c r="M21" s="30"/>
      <c r="N21" s="31"/>
      <c r="O21" s="32"/>
      <c r="P21" s="32"/>
      <c r="Q21" s="32">
        <f t="shared" si="0"/>
        <v>0.47189999999999999</v>
      </c>
      <c r="R21" s="32">
        <f t="shared" si="1"/>
        <v>0.47319999999999995</v>
      </c>
      <c r="S21" s="32">
        <f t="shared" si="2"/>
        <v>0.41579999999999995</v>
      </c>
      <c r="T21" s="32">
        <f t="shared" si="3"/>
        <v>0.43999999999999995</v>
      </c>
      <c r="U21" s="32">
        <f t="shared" si="4"/>
        <v>0.70629999999999993</v>
      </c>
      <c r="V21" s="32"/>
      <c r="W21" s="32"/>
      <c r="X21" s="32"/>
      <c r="Y21" s="32"/>
      <c r="Z21" s="32"/>
    </row>
    <row r="22" spans="1:26" ht="13" x14ac:dyDescent="0.3">
      <c r="A22" s="22"/>
      <c r="B22" s="182" t="s">
        <v>8</v>
      </c>
      <c r="C22" s="176"/>
      <c r="D22" s="176"/>
      <c r="E22" s="531">
        <v>0.53610000000000002</v>
      </c>
      <c r="F22" s="531">
        <v>0.53549999999999998</v>
      </c>
      <c r="G22" s="531">
        <v>0.5867</v>
      </c>
      <c r="H22" s="531">
        <v>0.56420000000000003</v>
      </c>
      <c r="I22" s="532">
        <v>0.3019</v>
      </c>
      <c r="J22" s="29"/>
      <c r="K22" s="29"/>
      <c r="L22" s="30"/>
      <c r="M22" s="30"/>
      <c r="N22" s="31"/>
      <c r="O22" s="32"/>
      <c r="P22" s="32"/>
      <c r="Q22" s="32">
        <f t="shared" si="0"/>
        <v>0.46389999999999998</v>
      </c>
      <c r="R22" s="32">
        <f t="shared" si="1"/>
        <v>0.46450000000000002</v>
      </c>
      <c r="S22" s="32">
        <f t="shared" si="2"/>
        <v>0.4133</v>
      </c>
      <c r="T22" s="32">
        <f t="shared" si="3"/>
        <v>0.43579999999999997</v>
      </c>
      <c r="U22" s="32">
        <f t="shared" si="4"/>
        <v>0.69809999999999994</v>
      </c>
      <c r="V22" s="32"/>
      <c r="W22" s="32"/>
      <c r="X22" s="32"/>
      <c r="Y22" s="32"/>
      <c r="Z22" s="32"/>
    </row>
    <row r="23" spans="1:26" ht="13" x14ac:dyDescent="0.3">
      <c r="A23" s="22"/>
      <c r="B23" s="185" t="s">
        <v>9</v>
      </c>
      <c r="C23" s="200"/>
      <c r="D23" s="200"/>
      <c r="E23" s="533">
        <v>0.46660000000000001</v>
      </c>
      <c r="F23" s="533">
        <v>0.47660000000000002</v>
      </c>
      <c r="G23" s="533">
        <v>0.56779999999999997</v>
      </c>
      <c r="H23" s="533">
        <v>0.5403</v>
      </c>
      <c r="I23" s="534">
        <v>0.3029</v>
      </c>
      <c r="J23" s="29"/>
      <c r="K23" s="29"/>
      <c r="L23" s="30"/>
      <c r="M23" s="30"/>
      <c r="N23" s="31"/>
      <c r="O23" s="32"/>
      <c r="P23" s="32"/>
      <c r="Q23" s="32">
        <f t="shared" si="0"/>
        <v>0.53339999999999999</v>
      </c>
      <c r="R23" s="32">
        <f t="shared" si="1"/>
        <v>0.52339999999999998</v>
      </c>
      <c r="S23" s="32">
        <f t="shared" si="2"/>
        <v>0.43220000000000003</v>
      </c>
      <c r="T23" s="32">
        <f t="shared" si="3"/>
        <v>0.4597</v>
      </c>
      <c r="U23" s="32">
        <f t="shared" si="4"/>
        <v>0.69710000000000005</v>
      </c>
      <c r="V23" s="32"/>
      <c r="W23" s="32"/>
      <c r="X23" s="32"/>
      <c r="Y23" s="32"/>
      <c r="Z23" s="32"/>
    </row>
    <row r="24" spans="1:26" ht="13" x14ac:dyDescent="0.3">
      <c r="A24" s="22"/>
      <c r="B24" s="28" t="s">
        <v>10</v>
      </c>
      <c r="C24" s="29"/>
      <c r="D24" s="29"/>
      <c r="E24" s="528">
        <v>0.49909999999999999</v>
      </c>
      <c r="F24" s="528">
        <v>0.52910000000000001</v>
      </c>
      <c r="G24" s="528">
        <v>0.60489999999999999</v>
      </c>
      <c r="H24" s="528">
        <v>0.57609999999999995</v>
      </c>
      <c r="I24" s="528">
        <v>0.34639999999999999</v>
      </c>
      <c r="J24" s="29"/>
      <c r="K24" s="29"/>
      <c r="L24" s="30"/>
      <c r="M24" s="30"/>
      <c r="N24" s="31"/>
      <c r="O24" s="32"/>
      <c r="P24" s="32"/>
      <c r="Q24" s="32">
        <f t="shared" si="0"/>
        <v>0.50090000000000001</v>
      </c>
      <c r="R24" s="32">
        <f t="shared" si="1"/>
        <v>0.47089999999999999</v>
      </c>
      <c r="S24" s="32">
        <f t="shared" si="2"/>
        <v>0.39510000000000001</v>
      </c>
      <c r="T24" s="32">
        <f t="shared" si="3"/>
        <v>0.42390000000000005</v>
      </c>
      <c r="U24" s="32">
        <f t="shared" si="4"/>
        <v>0.65359999999999996</v>
      </c>
      <c r="V24" s="32"/>
      <c r="W24" s="32"/>
      <c r="X24" s="32"/>
      <c r="Y24" s="32"/>
      <c r="Z24" s="32"/>
    </row>
    <row r="25" spans="1:26" ht="13" x14ac:dyDescent="0.3">
      <c r="A25" s="22"/>
      <c r="B25" s="28" t="s">
        <v>11</v>
      </c>
      <c r="C25" s="29"/>
      <c r="D25" s="29"/>
      <c r="E25" s="528">
        <v>0.45639999999999997</v>
      </c>
      <c r="F25" s="528">
        <v>0.48420000000000002</v>
      </c>
      <c r="G25" s="528">
        <v>0.56459999999999999</v>
      </c>
      <c r="H25" s="528">
        <v>0.53259999999999996</v>
      </c>
      <c r="I25" s="528">
        <v>0.32219999999999999</v>
      </c>
      <c r="J25" s="29"/>
      <c r="K25" s="29"/>
      <c r="L25" s="30"/>
      <c r="M25" s="30"/>
      <c r="N25" s="31"/>
      <c r="O25" s="32"/>
      <c r="P25" s="32"/>
      <c r="Q25" s="32">
        <f t="shared" si="0"/>
        <v>0.54360000000000008</v>
      </c>
      <c r="R25" s="32">
        <f t="shared" si="1"/>
        <v>0.51580000000000004</v>
      </c>
      <c r="S25" s="32">
        <f t="shared" si="2"/>
        <v>0.43540000000000001</v>
      </c>
      <c r="T25" s="32">
        <f t="shared" si="3"/>
        <v>0.46740000000000004</v>
      </c>
      <c r="U25" s="32">
        <f t="shared" si="4"/>
        <v>0.67779999999999996</v>
      </c>
      <c r="V25" s="32"/>
      <c r="W25" s="32"/>
      <c r="X25" s="32"/>
      <c r="Y25" s="32"/>
      <c r="Z25" s="32"/>
    </row>
    <row r="26" spans="1:26" ht="13" x14ac:dyDescent="0.3">
      <c r="A26" s="22"/>
      <c r="B26" s="28" t="s">
        <v>12</v>
      </c>
      <c r="C26" s="29"/>
      <c r="D26" s="29"/>
      <c r="E26" s="528">
        <v>0.46160000000000001</v>
      </c>
      <c r="F26" s="528">
        <v>0.4829</v>
      </c>
      <c r="G26" s="528">
        <v>0.55369999999999997</v>
      </c>
      <c r="H26" s="528">
        <v>0.52359999999999995</v>
      </c>
      <c r="I26" s="528">
        <v>0.32629999999999998</v>
      </c>
      <c r="J26" s="29"/>
      <c r="K26" s="29"/>
      <c r="L26" s="30"/>
      <c r="M26" s="30"/>
      <c r="N26" s="31"/>
      <c r="O26" s="32"/>
      <c r="P26" s="32"/>
      <c r="Q26" s="32">
        <f t="shared" si="0"/>
        <v>0.53839999999999999</v>
      </c>
      <c r="R26" s="32">
        <f t="shared" si="1"/>
        <v>0.5171</v>
      </c>
      <c r="S26" s="32">
        <f t="shared" si="2"/>
        <v>0.44630000000000003</v>
      </c>
      <c r="T26" s="32">
        <f t="shared" si="3"/>
        <v>0.47640000000000005</v>
      </c>
      <c r="U26" s="32">
        <f t="shared" si="4"/>
        <v>0.67369999999999997</v>
      </c>
      <c r="V26" s="32"/>
      <c r="W26" s="32"/>
      <c r="X26" s="32"/>
      <c r="Y26" s="32"/>
      <c r="Z26" s="32"/>
    </row>
    <row r="27" spans="1:26" ht="4" customHeight="1" x14ac:dyDescent="0.3">
      <c r="A27" s="22"/>
      <c r="B27" s="28"/>
      <c r="C27" s="31"/>
      <c r="D27" s="31"/>
      <c r="E27" s="31"/>
      <c r="F27" s="31"/>
      <c r="G27" s="31"/>
      <c r="H27" s="31"/>
      <c r="I27" s="33"/>
      <c r="J27" s="33"/>
      <c r="K27" s="33"/>
      <c r="L27" s="31"/>
      <c r="M27" s="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4" customHeight="1" x14ac:dyDescent="0.3">
      <c r="A28" s="22"/>
      <c r="B28" s="28"/>
      <c r="C28" s="31"/>
      <c r="D28" s="31"/>
      <c r="E28" s="31"/>
      <c r="F28" s="31"/>
      <c r="G28" s="31"/>
      <c r="H28" s="31"/>
      <c r="I28" s="31"/>
      <c r="J28" s="33"/>
      <c r="K28" s="33"/>
      <c r="L28" s="31"/>
      <c r="M28" s="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3" x14ac:dyDescent="0.3">
      <c r="A29" s="18" t="s">
        <v>31</v>
      </c>
      <c r="B29" s="19" t="s">
        <v>57</v>
      </c>
      <c r="C29" s="31"/>
      <c r="D29" s="31"/>
      <c r="E29" s="31"/>
      <c r="F29" s="34" t="s">
        <v>46</v>
      </c>
      <c r="G29" s="31"/>
      <c r="H29" s="31"/>
      <c r="I29" s="33"/>
      <c r="J29" s="33"/>
      <c r="K29" s="33"/>
      <c r="L29" s="31"/>
      <c r="M29" s="31"/>
      <c r="N29" s="31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53.25" customHeight="1" x14ac:dyDescent="0.3">
      <c r="A30" s="22"/>
      <c r="C30" s="23"/>
      <c r="D30" s="23"/>
      <c r="E30" s="177" t="s">
        <v>405</v>
      </c>
      <c r="F30" s="23" t="s">
        <v>39</v>
      </c>
      <c r="G30" s="23" t="s">
        <v>39</v>
      </c>
      <c r="H30" s="177" t="s">
        <v>405</v>
      </c>
      <c r="I30" s="23" t="s">
        <v>39</v>
      </c>
      <c r="J30" s="23"/>
      <c r="K30" s="23"/>
      <c r="L30" s="23"/>
      <c r="M30" s="640"/>
      <c r="N30" s="640"/>
      <c r="O30" s="23"/>
      <c r="P30" s="23"/>
      <c r="Q30" s="177" t="str">
        <f>E30</f>
        <v>2021 Forecasted Calendar Month Sales</v>
      </c>
      <c r="R30" s="23" t="s">
        <v>39</v>
      </c>
      <c r="S30" s="23" t="s">
        <v>39</v>
      </c>
      <c r="T30" s="177" t="str">
        <f>H30</f>
        <v>2021 Forecasted Calendar Month Sales</v>
      </c>
      <c r="U30" s="23" t="s">
        <v>39</v>
      </c>
      <c r="V30" s="23"/>
      <c r="W30" s="23"/>
      <c r="X30" s="23"/>
      <c r="Y30" s="23"/>
      <c r="Z30" s="23"/>
    </row>
    <row r="31" spans="1:26" ht="13" x14ac:dyDescent="0.3">
      <c r="A31" s="22"/>
      <c r="B31" s="24" t="s">
        <v>190</v>
      </c>
      <c r="C31" s="26"/>
      <c r="D31" s="26"/>
      <c r="E31" s="26" t="str">
        <f>+E$13</f>
        <v>RT{1}</v>
      </c>
      <c r="F31" s="26" t="str">
        <f>+F$13</f>
        <v>RS{2}</v>
      </c>
      <c r="G31" s="26" t="str">
        <f>+G$13</f>
        <v>GS{3}</v>
      </c>
      <c r="H31" s="26" t="str">
        <f>+H$13</f>
        <v>GST</v>
      </c>
      <c r="I31" s="26" t="str">
        <f>+I$13</f>
        <v>OL/SL</v>
      </c>
      <c r="J31" s="26"/>
      <c r="K31" s="26"/>
      <c r="L31" s="26"/>
      <c r="M31" s="26"/>
      <c r="N31" s="27"/>
      <c r="O31" s="26"/>
      <c r="P31" s="26"/>
      <c r="Q31" s="26" t="str">
        <f>+Q$13</f>
        <v>RT{1}</v>
      </c>
      <c r="R31" s="26" t="str">
        <f>+R$13</f>
        <v>RS{2}</v>
      </c>
      <c r="S31" s="26" t="str">
        <f>+S$13</f>
        <v>GS{3}</v>
      </c>
      <c r="T31" s="26" t="str">
        <f>+T$13</f>
        <v>GST</v>
      </c>
      <c r="U31" s="26" t="str">
        <f>+U$13</f>
        <v>OL/SL</v>
      </c>
      <c r="V31" s="26"/>
      <c r="W31" s="26"/>
      <c r="X31" s="26"/>
      <c r="Y31" s="26"/>
      <c r="Z31" s="26"/>
    </row>
    <row r="32" spans="1:26" ht="13" x14ac:dyDescent="0.3">
      <c r="A32" s="22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3" x14ac:dyDescent="0.3">
      <c r="A33" s="22"/>
      <c r="B33" s="28" t="s">
        <v>1</v>
      </c>
      <c r="C33" s="35"/>
      <c r="D33" s="135"/>
      <c r="E33" s="513">
        <v>0.3523</v>
      </c>
      <c r="F33" s="156" t="s">
        <v>40</v>
      </c>
      <c r="G33" s="156" t="s">
        <v>40</v>
      </c>
      <c r="H33" s="514">
        <v>0.41959999999999997</v>
      </c>
      <c r="I33" s="156" t="s">
        <v>40</v>
      </c>
      <c r="J33" s="35"/>
      <c r="K33" s="35"/>
      <c r="L33" s="35"/>
      <c r="M33" s="30"/>
      <c r="N33" s="31"/>
      <c r="O33" s="32"/>
      <c r="P33" s="32"/>
      <c r="Q33" s="32">
        <f t="shared" ref="Q33:Q44" si="5">1-E33</f>
        <v>0.64769999999999994</v>
      </c>
      <c r="R33" s="32"/>
      <c r="S33" s="32"/>
      <c r="T33" s="32">
        <f t="shared" ref="T33:T44" si="6">1-H33</f>
        <v>0.58040000000000003</v>
      </c>
      <c r="U33" s="32"/>
      <c r="V33" s="32"/>
      <c r="W33" s="32"/>
      <c r="X33" s="32"/>
      <c r="Y33" s="32"/>
      <c r="Z33" s="32"/>
    </row>
    <row r="34" spans="1:26" ht="13" x14ac:dyDescent="0.3">
      <c r="A34" s="22"/>
      <c r="B34" s="28" t="s">
        <v>2</v>
      </c>
      <c r="C34" s="35"/>
      <c r="D34" s="135"/>
      <c r="E34" s="513">
        <v>0.34749999999999998</v>
      </c>
      <c r="F34" s="156" t="s">
        <v>40</v>
      </c>
      <c r="G34" s="156" t="s">
        <v>40</v>
      </c>
      <c r="H34" s="514">
        <v>0.42799999999999999</v>
      </c>
      <c r="I34" s="156" t="s">
        <v>40</v>
      </c>
      <c r="J34" s="35"/>
      <c r="K34" s="35"/>
      <c r="L34" s="35"/>
      <c r="M34" s="30"/>
      <c r="N34" s="31"/>
      <c r="O34" s="32"/>
      <c r="P34" s="32"/>
      <c r="Q34" s="32">
        <f t="shared" si="5"/>
        <v>0.65250000000000008</v>
      </c>
      <c r="R34" s="32"/>
      <c r="S34" s="32"/>
      <c r="T34" s="32">
        <f t="shared" si="6"/>
        <v>0.57200000000000006</v>
      </c>
      <c r="U34" s="32"/>
      <c r="V34" s="32"/>
      <c r="W34" s="32"/>
      <c r="X34" s="32"/>
      <c r="Y34" s="32"/>
      <c r="Z34" s="32"/>
    </row>
    <row r="35" spans="1:26" ht="13" x14ac:dyDescent="0.3">
      <c r="A35" s="22"/>
      <c r="B35" s="28" t="s">
        <v>3</v>
      </c>
      <c r="C35" s="35"/>
      <c r="D35" s="135"/>
      <c r="E35" s="513">
        <v>0.3448</v>
      </c>
      <c r="F35" s="156" t="s">
        <v>40</v>
      </c>
      <c r="G35" s="156" t="s">
        <v>40</v>
      </c>
      <c r="H35" s="514">
        <v>0.4274</v>
      </c>
      <c r="I35" s="156" t="s">
        <v>40</v>
      </c>
      <c r="J35" s="35"/>
      <c r="K35" s="35"/>
      <c r="L35" s="35"/>
      <c r="M35" s="30"/>
      <c r="N35" s="31"/>
      <c r="O35" s="32"/>
      <c r="P35" s="32"/>
      <c r="Q35" s="32">
        <f t="shared" si="5"/>
        <v>0.6552</v>
      </c>
      <c r="R35" s="32"/>
      <c r="S35" s="32"/>
      <c r="T35" s="32">
        <f t="shared" si="6"/>
        <v>0.5726</v>
      </c>
      <c r="U35" s="32"/>
      <c r="V35" s="32"/>
      <c r="W35" s="32"/>
      <c r="X35" s="32"/>
      <c r="Y35" s="32"/>
      <c r="Z35" s="32"/>
    </row>
    <row r="36" spans="1:26" ht="13" x14ac:dyDescent="0.3">
      <c r="A36" s="22"/>
      <c r="B36" s="28" t="s">
        <v>4</v>
      </c>
      <c r="C36" s="35"/>
      <c r="D36" s="135"/>
      <c r="E36" s="513">
        <v>0.35089999999999999</v>
      </c>
      <c r="F36" s="156" t="s">
        <v>40</v>
      </c>
      <c r="G36" s="156" t="s">
        <v>40</v>
      </c>
      <c r="H36" s="514">
        <v>0.43519999999999998</v>
      </c>
      <c r="I36" s="156" t="s">
        <v>40</v>
      </c>
      <c r="J36" s="35"/>
      <c r="K36" s="35"/>
      <c r="L36" s="35"/>
      <c r="M36" s="30"/>
      <c r="N36" s="31"/>
      <c r="O36" s="32"/>
      <c r="P36" s="32"/>
      <c r="Q36" s="32">
        <f t="shared" si="5"/>
        <v>0.64910000000000001</v>
      </c>
      <c r="R36" s="32"/>
      <c r="S36" s="32"/>
      <c r="T36" s="32">
        <f t="shared" si="6"/>
        <v>0.56479999999999997</v>
      </c>
      <c r="U36" s="32"/>
      <c r="V36" s="32"/>
      <c r="W36" s="32"/>
      <c r="X36" s="32"/>
      <c r="Y36" s="32"/>
      <c r="Z36" s="32"/>
    </row>
    <row r="37" spans="1:26" ht="13" x14ac:dyDescent="0.3">
      <c r="A37" s="22"/>
      <c r="B37" s="28" t="s">
        <v>5</v>
      </c>
      <c r="C37" s="35"/>
      <c r="D37" s="135"/>
      <c r="E37" s="513">
        <v>0.3695</v>
      </c>
      <c r="F37" s="156" t="s">
        <v>40</v>
      </c>
      <c r="G37" s="156" t="s">
        <v>40</v>
      </c>
      <c r="H37" s="514">
        <v>0.44419999999999998</v>
      </c>
      <c r="I37" s="156" t="s">
        <v>40</v>
      </c>
      <c r="J37" s="35"/>
      <c r="K37" s="35"/>
      <c r="L37" s="35"/>
      <c r="M37" s="30"/>
      <c r="N37" s="31"/>
      <c r="O37" s="32"/>
      <c r="P37" s="32"/>
      <c r="Q37" s="32">
        <f t="shared" si="5"/>
        <v>0.63050000000000006</v>
      </c>
      <c r="R37" s="32"/>
      <c r="S37" s="32"/>
      <c r="T37" s="32">
        <f t="shared" si="6"/>
        <v>0.55580000000000007</v>
      </c>
      <c r="U37" s="32"/>
      <c r="V37" s="32"/>
      <c r="W37" s="32"/>
      <c r="X37" s="32"/>
      <c r="Y37" s="32"/>
      <c r="Z37" s="32"/>
    </row>
    <row r="38" spans="1:26" ht="13" x14ac:dyDescent="0.3">
      <c r="A38" s="22"/>
      <c r="B38" s="178" t="s">
        <v>6</v>
      </c>
      <c r="C38" s="201"/>
      <c r="D38" s="202"/>
      <c r="E38" s="515">
        <v>0.39810000000000001</v>
      </c>
      <c r="F38" s="516" t="s">
        <v>40</v>
      </c>
      <c r="G38" s="516" t="s">
        <v>40</v>
      </c>
      <c r="H38" s="517">
        <v>0.46050000000000002</v>
      </c>
      <c r="I38" s="204" t="s">
        <v>40</v>
      </c>
      <c r="J38" s="135"/>
      <c r="K38" s="35"/>
      <c r="L38" s="35"/>
      <c r="M38" s="30"/>
      <c r="N38" s="31"/>
      <c r="O38" s="32"/>
      <c r="P38" s="32"/>
      <c r="Q38" s="32">
        <f t="shared" si="5"/>
        <v>0.60189999999999999</v>
      </c>
      <c r="R38" s="32"/>
      <c r="S38" s="32"/>
      <c r="T38" s="32">
        <f t="shared" si="6"/>
        <v>0.53949999999999998</v>
      </c>
      <c r="U38" s="32"/>
      <c r="V38" s="32"/>
      <c r="W38" s="32"/>
      <c r="X38" s="32"/>
      <c r="Y38" s="32"/>
      <c r="Z38" s="32"/>
    </row>
    <row r="39" spans="1:26" ht="13" x14ac:dyDescent="0.3">
      <c r="A39" s="22"/>
      <c r="B39" s="182" t="s">
        <v>7</v>
      </c>
      <c r="C39" s="196"/>
      <c r="D39" s="197"/>
      <c r="E39" s="518">
        <v>0.41460000000000002</v>
      </c>
      <c r="F39" s="519" t="s">
        <v>40</v>
      </c>
      <c r="G39" s="519" t="s">
        <v>40</v>
      </c>
      <c r="H39" s="520">
        <v>0.4592</v>
      </c>
      <c r="I39" s="205" t="s">
        <v>40</v>
      </c>
      <c r="J39" s="135"/>
      <c r="K39" s="35"/>
      <c r="L39" s="35"/>
      <c r="M39" s="30"/>
      <c r="N39" s="31"/>
      <c r="O39" s="32"/>
      <c r="P39" s="32"/>
      <c r="Q39" s="32">
        <f t="shared" si="5"/>
        <v>0.58539999999999992</v>
      </c>
      <c r="R39" s="32"/>
      <c r="S39" s="32"/>
      <c r="T39" s="32">
        <f t="shared" si="6"/>
        <v>0.54079999999999995</v>
      </c>
      <c r="U39" s="32"/>
      <c r="V39" s="32"/>
      <c r="W39" s="32"/>
      <c r="X39" s="32"/>
      <c r="Y39" s="32"/>
      <c r="Z39" s="32"/>
    </row>
    <row r="40" spans="1:26" ht="13" x14ac:dyDescent="0.3">
      <c r="A40" s="22"/>
      <c r="B40" s="182" t="s">
        <v>8</v>
      </c>
      <c r="C40" s="196"/>
      <c r="D40" s="197"/>
      <c r="E40" s="518">
        <v>0.41870000000000002</v>
      </c>
      <c r="F40" s="519" t="s">
        <v>40</v>
      </c>
      <c r="G40" s="519" t="s">
        <v>40</v>
      </c>
      <c r="H40" s="520">
        <v>0.46</v>
      </c>
      <c r="I40" s="205" t="s">
        <v>40</v>
      </c>
      <c r="J40" s="135"/>
      <c r="K40" s="35"/>
      <c r="L40" s="35"/>
      <c r="M40" s="30"/>
      <c r="N40" s="31"/>
      <c r="O40" s="32"/>
      <c r="P40" s="32"/>
      <c r="Q40" s="32">
        <f t="shared" si="5"/>
        <v>0.58129999999999993</v>
      </c>
      <c r="R40" s="32"/>
      <c r="S40" s="32"/>
      <c r="T40" s="32">
        <f t="shared" si="6"/>
        <v>0.54</v>
      </c>
      <c r="U40" s="32"/>
      <c r="V40" s="32"/>
      <c r="W40" s="32"/>
      <c r="X40" s="32"/>
      <c r="Y40" s="32"/>
      <c r="Z40" s="32"/>
    </row>
    <row r="41" spans="1:26" ht="13" x14ac:dyDescent="0.3">
      <c r="A41" s="22"/>
      <c r="B41" s="185" t="s">
        <v>9</v>
      </c>
      <c r="C41" s="206"/>
      <c r="D41" s="207"/>
      <c r="E41" s="521">
        <v>0.4083</v>
      </c>
      <c r="F41" s="522" t="s">
        <v>40</v>
      </c>
      <c r="G41" s="522" t="s">
        <v>40</v>
      </c>
      <c r="H41" s="523">
        <v>0.46350000000000002</v>
      </c>
      <c r="I41" s="209" t="s">
        <v>40</v>
      </c>
      <c r="J41" s="135"/>
      <c r="K41" s="35"/>
      <c r="L41" s="35"/>
      <c r="M41" s="30"/>
      <c r="N41" s="31"/>
      <c r="O41" s="32"/>
      <c r="P41" s="32"/>
      <c r="Q41" s="32">
        <f t="shared" si="5"/>
        <v>0.5917</v>
      </c>
      <c r="R41" s="32"/>
      <c r="S41" s="32"/>
      <c r="T41" s="32">
        <f t="shared" si="6"/>
        <v>0.53649999999999998</v>
      </c>
      <c r="U41" s="32"/>
      <c r="V41" s="32"/>
      <c r="W41" s="32"/>
      <c r="X41" s="32"/>
      <c r="Y41" s="32"/>
      <c r="Z41" s="32"/>
    </row>
    <row r="42" spans="1:26" ht="13" x14ac:dyDescent="0.3">
      <c r="A42" s="22"/>
      <c r="B42" s="28" t="s">
        <v>10</v>
      </c>
      <c r="C42" s="35"/>
      <c r="D42" s="135"/>
      <c r="E42" s="513">
        <v>0.37069999999999997</v>
      </c>
      <c r="F42" s="156" t="s">
        <v>40</v>
      </c>
      <c r="G42" s="156" t="s">
        <v>40</v>
      </c>
      <c r="H42" s="514">
        <v>0.4592</v>
      </c>
      <c r="I42" s="156" t="s">
        <v>40</v>
      </c>
      <c r="J42" s="35"/>
      <c r="K42" s="35"/>
      <c r="L42" s="35"/>
      <c r="M42" s="30"/>
      <c r="N42" s="31"/>
      <c r="O42" s="32"/>
      <c r="P42" s="32"/>
      <c r="Q42" s="32">
        <f t="shared" si="5"/>
        <v>0.62929999999999997</v>
      </c>
      <c r="R42" s="32"/>
      <c r="S42" s="32"/>
      <c r="T42" s="32">
        <f t="shared" si="6"/>
        <v>0.54079999999999995</v>
      </c>
      <c r="U42" s="32"/>
      <c r="V42" s="32"/>
      <c r="W42" s="32"/>
      <c r="X42" s="32"/>
      <c r="Y42" s="32"/>
      <c r="Z42" s="32"/>
    </row>
    <row r="43" spans="1:26" ht="13" x14ac:dyDescent="0.3">
      <c r="A43" s="22"/>
      <c r="B43" s="28" t="s">
        <v>11</v>
      </c>
      <c r="C43" s="35"/>
      <c r="D43" s="135"/>
      <c r="E43" s="513">
        <v>0.35199999999999998</v>
      </c>
      <c r="F43" s="156" t="s">
        <v>40</v>
      </c>
      <c r="G43" s="156" t="s">
        <v>40</v>
      </c>
      <c r="H43" s="514">
        <v>0.44429999999999997</v>
      </c>
      <c r="I43" s="156" t="s">
        <v>40</v>
      </c>
      <c r="J43" s="35"/>
      <c r="K43" s="35"/>
      <c r="L43" s="35"/>
      <c r="M43" s="30"/>
      <c r="N43" s="31"/>
      <c r="O43" s="32"/>
      <c r="P43" s="32"/>
      <c r="Q43" s="32">
        <f t="shared" si="5"/>
        <v>0.64800000000000002</v>
      </c>
      <c r="R43" s="32"/>
      <c r="S43" s="32"/>
      <c r="T43" s="32">
        <f t="shared" si="6"/>
        <v>0.55570000000000008</v>
      </c>
      <c r="U43" s="32"/>
      <c r="V43" s="32"/>
      <c r="W43" s="32"/>
      <c r="X43" s="32"/>
      <c r="Y43" s="32"/>
      <c r="Z43" s="32"/>
    </row>
    <row r="44" spans="1:26" ht="13" x14ac:dyDescent="0.3">
      <c r="A44" s="22"/>
      <c r="B44" s="28" t="s">
        <v>12</v>
      </c>
      <c r="C44" s="35"/>
      <c r="D44" s="135"/>
      <c r="E44" s="513">
        <v>0.35210000000000002</v>
      </c>
      <c r="F44" s="156" t="s">
        <v>40</v>
      </c>
      <c r="G44" s="156" t="s">
        <v>40</v>
      </c>
      <c r="H44" s="514">
        <v>0.4244</v>
      </c>
      <c r="I44" s="156" t="s">
        <v>40</v>
      </c>
      <c r="J44" s="35"/>
      <c r="K44" s="35"/>
      <c r="L44" s="35"/>
      <c r="M44" s="30"/>
      <c r="N44" s="31"/>
      <c r="O44" s="32"/>
      <c r="P44" s="32"/>
      <c r="Q44" s="32">
        <f t="shared" si="5"/>
        <v>0.64789999999999992</v>
      </c>
      <c r="R44" s="32"/>
      <c r="S44" s="32"/>
      <c r="T44" s="32">
        <f t="shared" si="6"/>
        <v>0.5756</v>
      </c>
      <c r="U44" s="32"/>
      <c r="V44" s="32"/>
      <c r="W44" s="32"/>
      <c r="X44" s="32"/>
      <c r="Y44" s="32"/>
      <c r="Z44" s="32"/>
    </row>
    <row r="45" spans="1:26" ht="13" x14ac:dyDescent="0.3">
      <c r="A45" s="22"/>
      <c r="B45" s="28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0"/>
      <c r="N45" s="31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3" x14ac:dyDescent="0.3">
      <c r="A46" s="22"/>
      <c r="B46" s="36" t="s">
        <v>202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0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3" x14ac:dyDescent="0.3">
      <c r="A47" s="22"/>
      <c r="B47" s="36" t="s">
        <v>213</v>
      </c>
      <c r="C47" s="31"/>
      <c r="D47" s="31"/>
      <c r="E47" s="31"/>
      <c r="F47" s="31"/>
      <c r="G47" s="31"/>
      <c r="H47" s="31"/>
      <c r="I47" s="33"/>
      <c r="J47" s="33"/>
      <c r="K47" s="33"/>
      <c r="L47" s="31"/>
      <c r="M47" s="31"/>
      <c r="N47" s="31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3" x14ac:dyDescent="0.3">
      <c r="A48" s="22"/>
      <c r="B48" s="36" t="s">
        <v>66</v>
      </c>
      <c r="C48" s="31"/>
      <c r="D48" s="31"/>
      <c r="E48" s="31"/>
      <c r="F48" s="31"/>
      <c r="G48" s="31"/>
      <c r="H48" s="31"/>
      <c r="I48" s="33"/>
      <c r="J48" s="33"/>
      <c r="K48" s="33"/>
      <c r="L48" s="31"/>
      <c r="M48" s="31"/>
      <c r="N48" s="31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38" ht="13" x14ac:dyDescent="0.3">
      <c r="A49" s="22"/>
      <c r="B49" s="36" t="s">
        <v>67</v>
      </c>
      <c r="C49" s="31"/>
      <c r="D49" s="31"/>
      <c r="E49" s="31"/>
      <c r="F49" s="31"/>
      <c r="G49" s="31"/>
      <c r="H49" s="31"/>
      <c r="I49" s="33"/>
      <c r="J49" s="33"/>
      <c r="K49" s="33"/>
      <c r="L49" s="31"/>
      <c r="M49" s="31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38" ht="13" x14ac:dyDescent="0.3">
      <c r="A50" s="22"/>
      <c r="B50" s="36" t="s">
        <v>68</v>
      </c>
      <c r="C50" s="31"/>
      <c r="D50" s="31"/>
      <c r="E50" s="31"/>
      <c r="F50" s="31"/>
      <c r="G50" s="31"/>
      <c r="H50" s="31"/>
      <c r="I50" s="33"/>
      <c r="J50" s="33"/>
      <c r="K50" s="33"/>
      <c r="L50" s="31"/>
      <c r="M50" s="31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38" ht="13" x14ac:dyDescent="0.3">
      <c r="A51" s="22"/>
      <c r="B51" s="28"/>
      <c r="C51" s="31"/>
      <c r="D51" s="31"/>
      <c r="E51" s="31"/>
      <c r="F51" s="31"/>
      <c r="G51" s="31"/>
      <c r="H51" s="31"/>
      <c r="I51" s="33"/>
      <c r="J51" s="33"/>
      <c r="K51" s="33"/>
      <c r="L51" s="31"/>
      <c r="M51" s="31"/>
      <c r="N51" s="31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38" ht="15.5" x14ac:dyDescent="0.35">
      <c r="A52" s="22"/>
      <c r="B52" s="638" t="str">
        <f>$B$1</f>
        <v xml:space="preserve">Jersey Central Power &amp; Light 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31"/>
      <c r="N52" s="70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38" ht="15.5" x14ac:dyDescent="0.35">
      <c r="A53" s="22"/>
      <c r="B53" s="638" t="str">
        <f>$B$2</f>
        <v>Attachment 2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70"/>
      <c r="N53" s="31"/>
      <c r="O53" s="32"/>
      <c r="P53" s="32"/>
      <c r="Q53" s="32"/>
      <c r="R53" s="32"/>
      <c r="S53" s="32"/>
      <c r="T53" s="32"/>
      <c r="U53" s="32"/>
      <c r="V53" s="32"/>
      <c r="X53" s="32"/>
      <c r="Y53" s="32"/>
      <c r="Z53" s="32"/>
      <c r="AA53" s="55"/>
    </row>
    <row r="54" spans="1:38" ht="13" x14ac:dyDescent="0.3">
      <c r="A54" s="22"/>
      <c r="B54" s="28"/>
      <c r="C54" s="31"/>
      <c r="D54" s="31"/>
      <c r="E54" s="31"/>
      <c r="F54" s="31"/>
      <c r="G54" s="31"/>
      <c r="H54" s="31"/>
      <c r="I54" s="33"/>
      <c r="J54" s="33"/>
      <c r="K54" s="33"/>
      <c r="L54" s="31"/>
      <c r="M54" s="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264"/>
      <c r="Y54" s="32"/>
      <c r="Z54" s="32"/>
      <c r="AJ54" s="296"/>
    </row>
    <row r="55" spans="1:38" ht="13" x14ac:dyDescent="0.3">
      <c r="A55" s="22"/>
      <c r="B55" s="28"/>
      <c r="C55" s="31"/>
      <c r="D55" s="31"/>
      <c r="E55" s="31"/>
      <c r="F55" s="31"/>
      <c r="G55" s="31"/>
      <c r="H55" s="31"/>
      <c r="I55" s="33"/>
      <c r="J55" s="33"/>
      <c r="K55" s="33"/>
      <c r="L55" s="31"/>
      <c r="M55" s="31"/>
      <c r="N55" s="31"/>
      <c r="O55" s="32"/>
      <c r="P55" s="32"/>
      <c r="Q55" s="32"/>
      <c r="R55" s="32"/>
      <c r="S55" s="32"/>
      <c r="T55" s="32"/>
      <c r="U55" s="32"/>
      <c r="V55" s="32"/>
      <c r="X55" s="31"/>
      <c r="Y55" s="264" t="s">
        <v>398</v>
      </c>
      <c r="Z55" s="32"/>
    </row>
    <row r="56" spans="1:38" ht="13" x14ac:dyDescent="0.3">
      <c r="A56" s="18" t="s">
        <v>36</v>
      </c>
      <c r="B56" s="37" t="s">
        <v>48</v>
      </c>
      <c r="E56" s="31"/>
      <c r="F56" s="31"/>
      <c r="G56" s="31"/>
      <c r="H56" s="31"/>
      <c r="I56" s="33"/>
      <c r="J56" s="33"/>
      <c r="K56" s="33"/>
      <c r="O56" s="16"/>
      <c r="Y56" s="259" t="s">
        <v>249</v>
      </c>
      <c r="Z56" s="134"/>
      <c r="AJ56" s="90"/>
      <c r="AK56" s="90"/>
      <c r="AL56" s="90"/>
    </row>
    <row r="57" spans="1:38" ht="13" x14ac:dyDescent="0.3">
      <c r="A57" s="22"/>
      <c r="B57" s="39" t="s">
        <v>399</v>
      </c>
      <c r="N57" s="40"/>
      <c r="O57" s="41"/>
      <c r="P57" s="41"/>
      <c r="Q57" s="41" t="s">
        <v>262</v>
      </c>
      <c r="R57" s="41"/>
      <c r="S57" s="41"/>
      <c r="T57" s="41"/>
      <c r="U57" s="42"/>
      <c r="W57" s="26" t="s">
        <v>13</v>
      </c>
      <c r="AB57" s="26" t="s">
        <v>281</v>
      </c>
      <c r="AJ57" s="90"/>
      <c r="AK57" s="406"/>
      <c r="AL57" s="90"/>
    </row>
    <row r="58" spans="1:38" ht="13" x14ac:dyDescent="0.3">
      <c r="A58" s="22"/>
      <c r="B58" s="17" t="s">
        <v>38</v>
      </c>
      <c r="C58" s="26"/>
      <c r="D58" s="26"/>
      <c r="E58" s="26" t="str">
        <f>+E$13</f>
        <v>RT{1}</v>
      </c>
      <c r="F58" s="26" t="str">
        <f>+F$13</f>
        <v>RS{2}</v>
      </c>
      <c r="G58" s="26" t="str">
        <f>+G$13</f>
        <v>GS{3}</v>
      </c>
      <c r="H58" s="26" t="s">
        <v>203</v>
      </c>
      <c r="I58" s="26" t="str">
        <f>+I$13</f>
        <v>OL/SL</v>
      </c>
      <c r="J58" s="26" t="s">
        <v>13</v>
      </c>
      <c r="K58" s="26"/>
      <c r="L58" s="26"/>
      <c r="M58" s="26" t="s">
        <v>179</v>
      </c>
      <c r="N58" s="43"/>
      <c r="O58" s="44"/>
      <c r="P58" s="44"/>
      <c r="Q58" s="26" t="str">
        <f>+Q$13</f>
        <v>RT{1}</v>
      </c>
      <c r="R58" s="26" t="str">
        <f>+R$13</f>
        <v>RS{2}</v>
      </c>
      <c r="S58" s="26" t="str">
        <f>+S$13</f>
        <v>GS{3}</v>
      </c>
      <c r="T58" s="26" t="str">
        <f>+T$13</f>
        <v>GST</v>
      </c>
      <c r="U58" s="45" t="str">
        <f>+U$13</f>
        <v>OL/SL</v>
      </c>
      <c r="V58" s="26"/>
      <c r="W58" s="26" t="s">
        <v>59</v>
      </c>
      <c r="X58" s="26" t="s">
        <v>64</v>
      </c>
      <c r="Y58" s="26" t="s">
        <v>63</v>
      </c>
      <c r="Z58" s="272" t="s">
        <v>60</v>
      </c>
      <c r="AA58" s="26" t="s">
        <v>316</v>
      </c>
      <c r="AB58" s="26" t="s">
        <v>282</v>
      </c>
      <c r="AC58" s="26" t="s">
        <v>376</v>
      </c>
      <c r="AD58" s="265"/>
      <c r="AF58" s="26" t="s">
        <v>55</v>
      </c>
      <c r="AG58" s="26" t="s">
        <v>377</v>
      </c>
      <c r="AH58" s="26"/>
      <c r="AJ58" s="90"/>
      <c r="AK58" s="90"/>
      <c r="AL58" s="90"/>
    </row>
    <row r="59" spans="1:38" ht="13" x14ac:dyDescent="0.3">
      <c r="A59" s="22"/>
      <c r="M59" s="16" t="s">
        <v>180</v>
      </c>
      <c r="N59" s="46"/>
      <c r="O59" s="47"/>
      <c r="P59" s="47"/>
      <c r="Q59" s="47"/>
      <c r="R59" s="47"/>
      <c r="S59" s="47"/>
      <c r="T59" s="47"/>
      <c r="U59" s="48"/>
      <c r="W59" s="341" t="s">
        <v>248</v>
      </c>
      <c r="X59" s="341" t="s">
        <v>248</v>
      </c>
      <c r="Y59" s="341" t="s">
        <v>248</v>
      </c>
      <c r="Z59" s="341" t="s">
        <v>248</v>
      </c>
      <c r="AA59" s="341" t="s">
        <v>317</v>
      </c>
      <c r="AB59" s="341" t="s">
        <v>317</v>
      </c>
      <c r="AC59" s="341" t="s">
        <v>317</v>
      </c>
      <c r="AD59" s="341"/>
      <c r="AF59" s="341" t="s">
        <v>317</v>
      </c>
      <c r="AG59" s="341" t="s">
        <v>317</v>
      </c>
      <c r="AH59" s="296"/>
      <c r="AJ59" s="90"/>
      <c r="AK59" s="90"/>
      <c r="AL59" s="90"/>
    </row>
    <row r="60" spans="1:38" ht="13" x14ac:dyDescent="0.3">
      <c r="A60" s="22"/>
      <c r="B60" s="28" t="s">
        <v>1</v>
      </c>
      <c r="C60" s="49"/>
      <c r="D60" s="49"/>
      <c r="E60" s="50">
        <f>ROUND(AA60,0)+ROUND($W60/1000,0)</f>
        <v>22142</v>
      </c>
      <c r="F60" s="50">
        <f>ROUND(AB60,0)+ROUND($Z60/1000,0)</f>
        <v>816952</v>
      </c>
      <c r="G60" s="50">
        <f t="shared" ref="G60:G71" si="7">ROUND(AC60,0)-ROUND(SUM($X60/1000),0)</f>
        <v>461911</v>
      </c>
      <c r="H60" s="50">
        <f>ROUND(AG60,0)</f>
        <v>16347</v>
      </c>
      <c r="I60" s="50">
        <f>ROUND(AF60,0)</f>
        <v>9591</v>
      </c>
      <c r="J60" s="50">
        <f t="shared" ref="J60:J72" si="8">SUM(E60:I60)</f>
        <v>1326943</v>
      </c>
      <c r="K60" s="50"/>
      <c r="L60" s="49"/>
      <c r="M60" s="50">
        <f t="shared" ref="M60:M71" si="9">E60-ROUND(SUM($W60/1000),0)</f>
        <v>21307</v>
      </c>
      <c r="N60" s="51" t="s">
        <v>28</v>
      </c>
      <c r="O60" s="52"/>
      <c r="P60" s="53"/>
      <c r="Q60" s="53">
        <f>SUM(E60:E64,E69:E71)</f>
        <v>134983</v>
      </c>
      <c r="R60" s="53">
        <f>SUM(F60:F64,F69:F71)</f>
        <v>5301746</v>
      </c>
      <c r="S60" s="53">
        <f>SUM(G60:G64,G69:G71)</f>
        <v>3491416</v>
      </c>
      <c r="T60" s="53">
        <f>SUM(H60:H64,H69:H71)</f>
        <v>135324</v>
      </c>
      <c r="U60" s="54">
        <f>SUM(I60:I64,I69:I71)</f>
        <v>76732</v>
      </c>
      <c r="V60" s="278">
        <v>44197</v>
      </c>
      <c r="W60" s="260">
        <v>835305.33333340008</v>
      </c>
      <c r="X60" s="261">
        <v>17031.333333400002</v>
      </c>
      <c r="Y60" s="55">
        <f t="shared" ref="Y60:Y71" si="10">W60-X60</f>
        <v>818274.00000000012</v>
      </c>
      <c r="Z60" s="261">
        <v>1765042.4267481999</v>
      </c>
      <c r="AA60" s="524">
        <v>21307.337336645403</v>
      </c>
      <c r="AB60" s="263">
        <v>815187.26223660598</v>
      </c>
      <c r="AC60" s="50">
        <v>461928.34518643201</v>
      </c>
      <c r="AD60" s="263"/>
      <c r="AF60" s="263">
        <v>9590.83</v>
      </c>
      <c r="AG60" s="273">
        <v>16346.95763927</v>
      </c>
      <c r="AH60" s="297"/>
      <c r="AI60" s="55"/>
      <c r="AJ60" s="90"/>
      <c r="AK60" s="49"/>
      <c r="AL60" s="49"/>
    </row>
    <row r="61" spans="1:38" ht="13" x14ac:dyDescent="0.3">
      <c r="A61" s="22"/>
      <c r="B61" s="28" t="s">
        <v>2</v>
      </c>
      <c r="C61" s="49"/>
      <c r="D61" s="49"/>
      <c r="E61" s="50">
        <f>ROUND(AA61,0)+ROUND($W61/1000,0)</f>
        <v>20768</v>
      </c>
      <c r="F61" s="50">
        <f>ROUND(AB61,0)+ROUND($Z61/1000,0)</f>
        <v>733590</v>
      </c>
      <c r="G61" s="50">
        <f t="shared" si="7"/>
        <v>457070</v>
      </c>
      <c r="H61" s="50">
        <f t="shared" ref="H61:H71" si="11">ROUND(AG61,0)</f>
        <v>17353</v>
      </c>
      <c r="I61" s="50">
        <f t="shared" ref="I61:I71" si="12">ROUND(AF61,0)</f>
        <v>9591</v>
      </c>
      <c r="J61" s="50">
        <f t="shared" si="8"/>
        <v>1238372</v>
      </c>
      <c r="K61" s="50"/>
      <c r="L61" s="49"/>
      <c r="M61" s="50">
        <f t="shared" si="9"/>
        <v>19994</v>
      </c>
      <c r="N61" s="51"/>
      <c r="O61" s="52"/>
      <c r="P61" s="114" t="s">
        <v>193</v>
      </c>
      <c r="Q61" s="53">
        <f>SUMPRODUCT(E33:E37,M60:M64)+SUMPRODUCT(E42:E44,M69:M71)</f>
        <v>45628.715299999996</v>
      </c>
      <c r="R61" s="47"/>
      <c r="S61" s="131" t="s">
        <v>177</v>
      </c>
      <c r="T61" s="53">
        <f>SUMPRODUCT(H33:H37,H60:H64)+SUMPRODUCT(H42:H44,H69:H71)</f>
        <v>58871.465100000001</v>
      </c>
      <c r="U61" s="48">
        <f>T61/T60</f>
        <v>0.43504082867783989</v>
      </c>
      <c r="V61" s="278">
        <v>44228</v>
      </c>
      <c r="W61" s="260">
        <v>773514.33333319996</v>
      </c>
      <c r="X61" s="261">
        <v>16190.666666599998</v>
      </c>
      <c r="Y61" s="55">
        <f t="shared" si="10"/>
        <v>757323.66666659992</v>
      </c>
      <c r="Z61" s="261">
        <v>1695865.6894336999</v>
      </c>
      <c r="AA61" s="524">
        <v>19994.198345899702</v>
      </c>
      <c r="AB61" s="263">
        <v>731893.73229800106</v>
      </c>
      <c r="AC61" s="50">
        <v>457085.50981368299</v>
      </c>
      <c r="AD61" s="263"/>
      <c r="AF61" s="263">
        <v>9590.9599999999991</v>
      </c>
      <c r="AG61" s="273">
        <v>17353.1172310275</v>
      </c>
      <c r="AH61" s="297"/>
      <c r="AJ61" s="90"/>
      <c r="AK61" s="49"/>
      <c r="AL61" s="49"/>
    </row>
    <row r="62" spans="1:38" ht="13" x14ac:dyDescent="0.3">
      <c r="A62" s="22"/>
      <c r="B62" s="28" t="s">
        <v>3</v>
      </c>
      <c r="C62" s="49"/>
      <c r="D62" s="49"/>
      <c r="E62" s="50">
        <f>ROUND(AA62,0)+ROUND($W62/1000,0)</f>
        <v>19458</v>
      </c>
      <c r="F62" s="50">
        <f>ROUND(AB62,0)+ROUND($Z62/1000,0)</f>
        <v>694392</v>
      </c>
      <c r="G62" s="50">
        <f t="shared" si="7"/>
        <v>446967</v>
      </c>
      <c r="H62" s="50">
        <f t="shared" si="11"/>
        <v>16155</v>
      </c>
      <c r="I62" s="50">
        <f t="shared" si="12"/>
        <v>9591</v>
      </c>
      <c r="J62" s="50">
        <f t="shared" si="8"/>
        <v>1186563</v>
      </c>
      <c r="K62" s="50"/>
      <c r="L62" s="49"/>
      <c r="M62" s="50">
        <f t="shared" si="9"/>
        <v>18695</v>
      </c>
      <c r="N62" s="51"/>
      <c r="O62" s="52"/>
      <c r="P62" s="114" t="s">
        <v>194</v>
      </c>
      <c r="Q62" s="53">
        <f>SUMPRODUCT(Q33:Q37,M60:M64)+SUMPRODUCT(Q42:Q44,M69:M71)</f>
        <v>83476.284700000018</v>
      </c>
      <c r="R62" s="47"/>
      <c r="S62" s="131" t="s">
        <v>178</v>
      </c>
      <c r="T62" s="53">
        <f>+T60-T61</f>
        <v>76452.534899999999</v>
      </c>
      <c r="U62" s="48"/>
      <c r="V62" s="278">
        <v>44256</v>
      </c>
      <c r="W62" s="260">
        <v>762524</v>
      </c>
      <c r="X62" s="261">
        <v>16807.333333299997</v>
      </c>
      <c r="Y62" s="55">
        <f t="shared" si="10"/>
        <v>745716.66666670004</v>
      </c>
      <c r="Z62" s="261">
        <v>1518576.2878121</v>
      </c>
      <c r="AA62" s="524">
        <v>18695.207039934798</v>
      </c>
      <c r="AB62" s="263">
        <v>692873.01100558601</v>
      </c>
      <c r="AC62" s="50">
        <v>446984.38002500997</v>
      </c>
      <c r="AD62" s="263"/>
      <c r="AF62" s="263">
        <v>9591.0959999999995</v>
      </c>
      <c r="AG62" s="273">
        <v>16155.437702774301</v>
      </c>
      <c r="AH62" s="297"/>
      <c r="AJ62" s="90"/>
      <c r="AK62" s="49"/>
      <c r="AL62" s="49"/>
    </row>
    <row r="63" spans="1:38" ht="13" x14ac:dyDescent="0.3">
      <c r="A63" s="22"/>
      <c r="B63" s="28" t="s">
        <v>4</v>
      </c>
      <c r="C63" s="49"/>
      <c r="D63" s="49"/>
      <c r="E63" s="50">
        <f>ROUND(AA63,0)+ROUND($W63/1000,0)</f>
        <v>17588</v>
      </c>
      <c r="F63" s="50">
        <f>ROUND(AB63,0)+ROUND($Z63/1000,0)</f>
        <v>622304</v>
      </c>
      <c r="G63" s="50">
        <f t="shared" si="7"/>
        <v>424176</v>
      </c>
      <c r="H63" s="50">
        <f t="shared" si="11"/>
        <v>18178</v>
      </c>
      <c r="I63" s="50">
        <f t="shared" si="12"/>
        <v>9591</v>
      </c>
      <c r="J63" s="50">
        <f t="shared" si="8"/>
        <v>1091837</v>
      </c>
      <c r="K63" s="50"/>
      <c r="L63" s="49"/>
      <c r="M63" s="50">
        <f t="shared" si="9"/>
        <v>16806</v>
      </c>
      <c r="N63" s="46"/>
      <c r="O63" s="47"/>
      <c r="P63" s="114" t="s">
        <v>260</v>
      </c>
      <c r="Q63" s="53">
        <f>SUM(W60:W64,W69:W71)/1000</f>
        <v>5877.0313333332997</v>
      </c>
      <c r="R63" s="47"/>
      <c r="S63" s="47"/>
      <c r="T63" s="47"/>
      <c r="U63" s="48"/>
      <c r="V63" s="278">
        <v>44287</v>
      </c>
      <c r="W63" s="260">
        <v>782029.66666670004</v>
      </c>
      <c r="X63" s="261">
        <v>15679.666666699999</v>
      </c>
      <c r="Y63" s="55">
        <f t="shared" si="10"/>
        <v>766350</v>
      </c>
      <c r="Z63" s="261">
        <v>1254456.2899922</v>
      </c>
      <c r="AA63" s="524">
        <v>16805.6496854457</v>
      </c>
      <c r="AB63" s="263">
        <v>621050.23602456297</v>
      </c>
      <c r="AC63" s="50">
        <v>424192.23496152501</v>
      </c>
      <c r="AD63" s="263"/>
      <c r="AF63" s="263">
        <v>9591.2379999999994</v>
      </c>
      <c r="AG63" s="273">
        <v>18177.598447401298</v>
      </c>
      <c r="AH63" s="297"/>
      <c r="AJ63" s="90"/>
      <c r="AK63" s="49"/>
      <c r="AL63" s="49"/>
    </row>
    <row r="64" spans="1:38" ht="13" x14ac:dyDescent="0.3">
      <c r="A64" s="22"/>
      <c r="B64" s="28" t="s">
        <v>5</v>
      </c>
      <c r="C64" s="49"/>
      <c r="D64" s="49"/>
      <c r="E64" s="50">
        <f>ROUND(AA64,0)+ROUND($W64/1000,0)</f>
        <v>13518</v>
      </c>
      <c r="F64" s="50">
        <f>ROUND(AB64,0)+ROUND($Z64/1000,0)</f>
        <v>575300</v>
      </c>
      <c r="G64" s="50">
        <f t="shared" si="7"/>
        <v>403525</v>
      </c>
      <c r="H64" s="187">
        <f t="shared" si="11"/>
        <v>17667</v>
      </c>
      <c r="I64" s="50">
        <f t="shared" si="12"/>
        <v>9591</v>
      </c>
      <c r="J64" s="50">
        <f t="shared" si="8"/>
        <v>1019601</v>
      </c>
      <c r="K64" s="50"/>
      <c r="L64" s="49"/>
      <c r="M64" s="50">
        <f t="shared" si="9"/>
        <v>12764</v>
      </c>
      <c r="N64" s="51" t="s">
        <v>29</v>
      </c>
      <c r="O64" s="52"/>
      <c r="P64" s="53"/>
      <c r="Q64" s="53">
        <f>+SUM(E65:E68)</f>
        <v>66252</v>
      </c>
      <c r="R64" s="53">
        <f>+SUM(F65:F68)</f>
        <v>3771661</v>
      </c>
      <c r="S64" s="53">
        <f>+SUM(G65:G68)</f>
        <v>1985450</v>
      </c>
      <c r="T64" s="53">
        <f>+SUM(H65:H68)</f>
        <v>70011</v>
      </c>
      <c r="U64" s="54">
        <f>+SUM(I65:I68)</f>
        <v>38368</v>
      </c>
      <c r="V64" s="278">
        <v>44317</v>
      </c>
      <c r="W64" s="260">
        <v>753569.66666659992</v>
      </c>
      <c r="X64" s="261">
        <v>17137.333333299997</v>
      </c>
      <c r="Y64" s="55">
        <f t="shared" si="10"/>
        <v>736432.33333329996</v>
      </c>
      <c r="Z64" s="261">
        <v>942306.53541420004</v>
      </c>
      <c r="AA64" s="524">
        <v>12764.137949146099</v>
      </c>
      <c r="AB64" s="263">
        <v>574358.45418210607</v>
      </c>
      <c r="AC64" s="50">
        <v>403542.358227205</v>
      </c>
      <c r="AD64" s="263"/>
      <c r="AF64" s="263">
        <v>9591.3860000000004</v>
      </c>
      <c r="AG64" s="273">
        <v>17666.677462861106</v>
      </c>
      <c r="AH64" s="297"/>
      <c r="AJ64" s="90"/>
      <c r="AK64" s="49"/>
      <c r="AL64" s="49"/>
    </row>
    <row r="65" spans="1:38" ht="13" x14ac:dyDescent="0.3">
      <c r="A65" s="22"/>
      <c r="B65" s="178" t="s">
        <v>6</v>
      </c>
      <c r="C65" s="179"/>
      <c r="D65" s="179"/>
      <c r="E65" s="180">
        <f>ROUND(AA65,0)+ROUND(SUM($W65+$Z65)/1000,0)</f>
        <v>14337</v>
      </c>
      <c r="F65" s="180">
        <f>ROUND(AB65,0)</f>
        <v>723824</v>
      </c>
      <c r="G65" s="180">
        <f t="shared" si="7"/>
        <v>451534</v>
      </c>
      <c r="H65" s="50">
        <f t="shared" si="11"/>
        <v>17075</v>
      </c>
      <c r="I65" s="180">
        <f t="shared" si="12"/>
        <v>9592</v>
      </c>
      <c r="J65" s="181">
        <f t="shared" si="8"/>
        <v>1216362</v>
      </c>
      <c r="K65" s="158"/>
      <c r="L65" s="49"/>
      <c r="M65" s="189">
        <f t="shared" si="9"/>
        <v>13623</v>
      </c>
      <c r="N65" s="114"/>
      <c r="O65" s="52"/>
      <c r="P65" s="130" t="s">
        <v>151</v>
      </c>
      <c r="Q65" s="53">
        <f>SUMPRODUCT(E38:E41,M65:M68)</f>
        <v>26208.334600000002</v>
      </c>
      <c r="R65" s="158">
        <f>Q$95/1000*T$95/(S$95/1000)</f>
        <v>2001184.2100860353</v>
      </c>
      <c r="S65" s="131" t="s">
        <v>177</v>
      </c>
      <c r="T65" s="53">
        <f>+SUMPRODUCT(H38:H41,H65:H68)</f>
        <v>32259.11</v>
      </c>
      <c r="U65" s="422">
        <f>T65/T64</f>
        <v>0.46077202153947239</v>
      </c>
      <c r="V65" s="423">
        <v>44348</v>
      </c>
      <c r="W65" s="424">
        <v>714211.33333319984</v>
      </c>
      <c r="X65" s="425">
        <v>14597.666666599998</v>
      </c>
      <c r="Y65" s="426">
        <f t="shared" si="10"/>
        <v>699613.66666659981</v>
      </c>
      <c r="Z65" s="425">
        <v>958170.39933430008</v>
      </c>
      <c r="AA65" s="525">
        <v>12665.0697668962</v>
      </c>
      <c r="AB65" s="427">
        <v>723823.84716710309</v>
      </c>
      <c r="AC65" s="180">
        <v>451548.88985111599</v>
      </c>
      <c r="AD65" s="427"/>
      <c r="AE65" s="428"/>
      <c r="AF65" s="427">
        <v>9591.5409999999993</v>
      </c>
      <c r="AG65" s="429">
        <v>17074.971081431897</v>
      </c>
      <c r="AH65" s="430"/>
      <c r="AI65" s="428"/>
      <c r="AJ65" s="431"/>
      <c r="AK65" s="179"/>
      <c r="AL65" s="432"/>
    </row>
    <row r="66" spans="1:38" ht="13" x14ac:dyDescent="0.3">
      <c r="A66" s="22"/>
      <c r="B66" s="182" t="s">
        <v>7</v>
      </c>
      <c r="C66" s="183"/>
      <c r="D66" s="183"/>
      <c r="E66" s="158">
        <f>ROUND(AA66,0)+ROUND(SUM($W66+$Z66)/1000,0)</f>
        <v>17436</v>
      </c>
      <c r="F66" s="158">
        <f>ROUND(AB66,0)</f>
        <v>1009661</v>
      </c>
      <c r="G66" s="158">
        <f t="shared" si="7"/>
        <v>508986</v>
      </c>
      <c r="H66" s="50">
        <f t="shared" si="11"/>
        <v>18215</v>
      </c>
      <c r="I66" s="158">
        <f t="shared" si="12"/>
        <v>9592</v>
      </c>
      <c r="J66" s="184">
        <f t="shared" si="8"/>
        <v>1563890</v>
      </c>
      <c r="K66" s="158"/>
      <c r="L66" s="49"/>
      <c r="M66" s="190">
        <f t="shared" si="9"/>
        <v>16819</v>
      </c>
      <c r="N66" s="114"/>
      <c r="O66" s="52"/>
      <c r="P66" s="130" t="s">
        <v>152</v>
      </c>
      <c r="Q66" s="53">
        <f>SUMPRODUCT(Q38:Q41,M65:M68)</f>
        <v>37596.665399999998</v>
      </c>
      <c r="R66" s="158">
        <f>R$95/1000*T$95/(S$95/1000)</f>
        <v>1770476.7899139645</v>
      </c>
      <c r="S66" s="131" t="s">
        <v>178</v>
      </c>
      <c r="T66" s="53">
        <f>+T64-T65</f>
        <v>37751.89</v>
      </c>
      <c r="U66" s="47"/>
      <c r="V66" s="433">
        <v>44378</v>
      </c>
      <c r="W66" s="434">
        <v>616807.99999989988</v>
      </c>
      <c r="X66" s="435">
        <v>13290</v>
      </c>
      <c r="Y66" s="53">
        <f t="shared" si="10"/>
        <v>603517.99999989988</v>
      </c>
      <c r="Z66" s="435">
        <v>1130406.3633818</v>
      </c>
      <c r="AA66" s="526">
        <v>15689.100177203498</v>
      </c>
      <c r="AB66" s="436">
        <v>1009660.73545941</v>
      </c>
      <c r="AC66" s="158">
        <v>508998.82814385497</v>
      </c>
      <c r="AD66" s="436"/>
      <c r="AE66" s="47"/>
      <c r="AF66" s="436">
        <v>9591.7019999999993</v>
      </c>
      <c r="AG66" s="437">
        <v>18215.475614256502</v>
      </c>
      <c r="AH66" s="438"/>
      <c r="AI66" s="47"/>
      <c r="AJ66" s="439"/>
      <c r="AK66" s="183"/>
      <c r="AL66" s="440"/>
    </row>
    <row r="67" spans="1:38" ht="13" x14ac:dyDescent="0.3">
      <c r="A67" s="22"/>
      <c r="B67" s="182" t="s">
        <v>8</v>
      </c>
      <c r="C67" s="183"/>
      <c r="D67" s="183"/>
      <c r="E67" s="158">
        <f>ROUND(AA67,0)+ROUND(SUM($W67+$Z67)/1000,0)</f>
        <v>18793</v>
      </c>
      <c r="F67" s="158">
        <f>ROUND(AB67,0)</f>
        <v>1124675</v>
      </c>
      <c r="G67" s="158">
        <f t="shared" si="7"/>
        <v>522761</v>
      </c>
      <c r="H67" s="50">
        <f t="shared" si="11"/>
        <v>17554</v>
      </c>
      <c r="I67" s="158">
        <f t="shared" si="12"/>
        <v>9592</v>
      </c>
      <c r="J67" s="184">
        <f t="shared" si="8"/>
        <v>1693375</v>
      </c>
      <c r="K67" s="158"/>
      <c r="L67" s="49"/>
      <c r="M67" s="190">
        <f t="shared" si="9"/>
        <v>18245</v>
      </c>
      <c r="N67" s="58"/>
      <c r="O67" s="58"/>
      <c r="P67" s="114" t="s">
        <v>261</v>
      </c>
      <c r="Q67" s="53">
        <f>SUM(W65:W68)/1000</f>
        <v>2446.2373333329997</v>
      </c>
      <c r="R67" s="66"/>
      <c r="S67" s="58"/>
      <c r="T67" s="58"/>
      <c r="U67" s="58"/>
      <c r="V67" s="433">
        <v>44409</v>
      </c>
      <c r="W67" s="434">
        <v>547708.33333329996</v>
      </c>
      <c r="X67" s="435">
        <v>10810</v>
      </c>
      <c r="Y67" s="53">
        <f t="shared" si="10"/>
        <v>536898.33333329996</v>
      </c>
      <c r="Z67" s="435">
        <v>1189656.5865750001</v>
      </c>
      <c r="AA67" s="526">
        <v>17056.286055908298</v>
      </c>
      <c r="AB67" s="436">
        <v>1124674.67502419</v>
      </c>
      <c r="AC67" s="158">
        <v>522771.83015931502</v>
      </c>
      <c r="AD67" s="436"/>
      <c r="AE67" s="441"/>
      <c r="AF67" s="436">
        <v>9591.8690000000006</v>
      </c>
      <c r="AG67" s="437">
        <v>17553.704291102902</v>
      </c>
      <c r="AH67" s="438"/>
      <c r="AI67" s="47"/>
      <c r="AJ67" s="439"/>
      <c r="AK67" s="183"/>
      <c r="AL67" s="440"/>
    </row>
    <row r="68" spans="1:38" ht="13" x14ac:dyDescent="0.3">
      <c r="A68" s="22"/>
      <c r="B68" s="185" t="s">
        <v>9</v>
      </c>
      <c r="C68" s="186"/>
      <c r="D68" s="186"/>
      <c r="E68" s="187">
        <f>ROUND(AA68,0)+ROUND(SUM($W68+$Z68)/1000,0)</f>
        <v>15686</v>
      </c>
      <c r="F68" s="187">
        <f>ROUND(AB68,0)</f>
        <v>913501</v>
      </c>
      <c r="G68" s="187">
        <f t="shared" si="7"/>
        <v>502169</v>
      </c>
      <c r="H68" s="187">
        <f t="shared" si="11"/>
        <v>17167</v>
      </c>
      <c r="I68" s="187">
        <f t="shared" si="12"/>
        <v>9592</v>
      </c>
      <c r="J68" s="188">
        <f t="shared" si="8"/>
        <v>1458115</v>
      </c>
      <c r="K68" s="158"/>
      <c r="L68" s="49"/>
      <c r="M68" s="191">
        <f t="shared" si="9"/>
        <v>15118</v>
      </c>
      <c r="N68" s="193" t="s">
        <v>252</v>
      </c>
      <c r="O68" s="41"/>
      <c r="P68" s="41"/>
      <c r="Q68" s="41" t="s">
        <v>130</v>
      </c>
      <c r="R68" s="41"/>
      <c r="S68" s="41"/>
      <c r="T68" s="41"/>
      <c r="U68" s="41"/>
      <c r="V68" s="442">
        <v>44440</v>
      </c>
      <c r="W68" s="443">
        <v>567509.66666659992</v>
      </c>
      <c r="X68" s="444">
        <v>10542.333333300001</v>
      </c>
      <c r="Y68" s="445">
        <f t="shared" si="10"/>
        <v>556967.33333329996</v>
      </c>
      <c r="Z68" s="444">
        <v>978953.98121590004</v>
      </c>
      <c r="AA68" s="527">
        <v>14140.466268611901</v>
      </c>
      <c r="AB68" s="446">
        <v>913501.49541683996</v>
      </c>
      <c r="AC68" s="187">
        <v>502179.55454450502</v>
      </c>
      <c r="AD68" s="446"/>
      <c r="AE68" s="447"/>
      <c r="AF68" s="446">
        <v>9592.0439999999999</v>
      </c>
      <c r="AG68" s="448">
        <v>17166.546802519799</v>
      </c>
      <c r="AH68" s="449"/>
      <c r="AI68" s="450"/>
      <c r="AJ68" s="451"/>
      <c r="AK68" s="186"/>
      <c r="AL68" s="452"/>
    </row>
    <row r="69" spans="1:38" ht="13" x14ac:dyDescent="0.3">
      <c r="A69" s="22"/>
      <c r="B69" s="28" t="s">
        <v>10</v>
      </c>
      <c r="C69" s="49"/>
      <c r="D69" s="49"/>
      <c r="E69" s="50">
        <f>ROUND(AA69,0)+ROUND($W69/1000,0)</f>
        <v>11029</v>
      </c>
      <c r="F69" s="50">
        <f>ROUND(AB69,0)+ROUND($Z69/1000,0)</f>
        <v>623412</v>
      </c>
      <c r="G69" s="50">
        <f t="shared" si="7"/>
        <v>433635</v>
      </c>
      <c r="H69" s="50">
        <f t="shared" si="11"/>
        <v>15970</v>
      </c>
      <c r="I69" s="50">
        <f t="shared" si="12"/>
        <v>9592</v>
      </c>
      <c r="J69" s="50">
        <f t="shared" si="8"/>
        <v>1093638</v>
      </c>
      <c r="K69" s="50"/>
      <c r="L69" s="49"/>
      <c r="M69" s="50">
        <f t="shared" si="9"/>
        <v>10446</v>
      </c>
      <c r="N69" s="43"/>
      <c r="O69" s="44"/>
      <c r="P69" s="44"/>
      <c r="Q69" s="44" t="str">
        <f>+Q$13</f>
        <v>RT{1}</v>
      </c>
      <c r="R69" s="44"/>
      <c r="S69" s="44"/>
      <c r="T69" s="44" t="str">
        <f>+T$13</f>
        <v>GST</v>
      </c>
      <c r="U69" s="45"/>
      <c r="V69" s="278">
        <v>44470</v>
      </c>
      <c r="W69" s="260">
        <v>583154.33333339996</v>
      </c>
      <c r="X69" s="261">
        <v>14313.333333400002</v>
      </c>
      <c r="Y69" s="55">
        <f t="shared" si="10"/>
        <v>568841</v>
      </c>
      <c r="Z69" s="261">
        <v>794832.41336419992</v>
      </c>
      <c r="AA69" s="524">
        <v>10445.763041697901</v>
      </c>
      <c r="AB69" s="263">
        <v>622617.13954493799</v>
      </c>
      <c r="AC69" s="50">
        <v>433648.67972447904</v>
      </c>
      <c r="AD69" s="263"/>
      <c r="AF69" s="263">
        <v>9592.223</v>
      </c>
      <c r="AG69" s="273">
        <v>15969.761700734198</v>
      </c>
      <c r="AH69" s="297"/>
      <c r="AJ69" s="90"/>
      <c r="AK69" s="49"/>
      <c r="AL69" s="49"/>
    </row>
    <row r="70" spans="1:38" ht="13" x14ac:dyDescent="0.3">
      <c r="A70" s="22"/>
      <c r="B70" s="28" t="s">
        <v>11</v>
      </c>
      <c r="C70" s="49"/>
      <c r="D70" s="49"/>
      <c r="E70" s="50">
        <f>ROUND(AA70,0)+ROUND($W70/1000,0)</f>
        <v>12570</v>
      </c>
      <c r="F70" s="50">
        <f>ROUND(AB70,0)+ROUND($Z70/1000,0)</f>
        <v>551904</v>
      </c>
      <c r="G70" s="50">
        <f t="shared" si="7"/>
        <v>408518</v>
      </c>
      <c r="H70" s="50">
        <f t="shared" si="11"/>
        <v>15357</v>
      </c>
      <c r="I70" s="50">
        <f t="shared" si="12"/>
        <v>9592</v>
      </c>
      <c r="J70" s="50">
        <f t="shared" si="8"/>
        <v>997941</v>
      </c>
      <c r="K70" s="50"/>
      <c r="L70" s="49"/>
      <c r="M70" s="50">
        <f t="shared" si="9"/>
        <v>11927</v>
      </c>
      <c r="N70" s="46"/>
      <c r="O70" s="47"/>
      <c r="P70" s="47"/>
      <c r="Q70" s="47"/>
      <c r="R70" s="47"/>
      <c r="S70" s="47"/>
      <c r="T70" s="47"/>
      <c r="U70" s="48"/>
      <c r="V70" s="278">
        <v>44501</v>
      </c>
      <c r="W70" s="260">
        <v>642712.66666670004</v>
      </c>
      <c r="X70" s="261">
        <v>14152.666666700001</v>
      </c>
      <c r="Y70" s="55">
        <f t="shared" si="10"/>
        <v>628560</v>
      </c>
      <c r="Z70" s="261">
        <v>1012227.7764767</v>
      </c>
      <c r="AA70" s="524">
        <v>11927.184929167301</v>
      </c>
      <c r="AB70" s="263">
        <v>550891.622294356</v>
      </c>
      <c r="AC70" s="50">
        <v>408531.73555070499</v>
      </c>
      <c r="AD70" s="263"/>
      <c r="AE70" s="90"/>
      <c r="AF70" s="263">
        <v>9592.41</v>
      </c>
      <c r="AG70" s="273">
        <v>15356.794896446898</v>
      </c>
      <c r="AH70" s="297"/>
      <c r="AJ70" s="90"/>
      <c r="AK70" s="49"/>
      <c r="AL70" s="49"/>
    </row>
    <row r="71" spans="1:38" ht="13" x14ac:dyDescent="0.3">
      <c r="A71" s="22"/>
      <c r="B71" s="28" t="s">
        <v>12</v>
      </c>
      <c r="C71" s="49"/>
      <c r="D71" s="49"/>
      <c r="E71" s="50">
        <f>ROUND(AA71,0)+ROUND($W71/1000,0)</f>
        <v>17910</v>
      </c>
      <c r="F71" s="50">
        <f>ROUND(AB71,0)+ROUND($Z71/1000,0)</f>
        <v>683892</v>
      </c>
      <c r="G71" s="50">
        <f t="shared" si="7"/>
        <v>455614</v>
      </c>
      <c r="H71" s="50">
        <f t="shared" si="11"/>
        <v>18297</v>
      </c>
      <c r="I71" s="50">
        <f t="shared" si="12"/>
        <v>9593</v>
      </c>
      <c r="J71" s="50">
        <f t="shared" si="8"/>
        <v>1185306</v>
      </c>
      <c r="K71" s="50"/>
      <c r="L71" s="49"/>
      <c r="M71" s="192">
        <f t="shared" si="9"/>
        <v>17166</v>
      </c>
      <c r="N71" s="51"/>
      <c r="O71" s="52"/>
      <c r="P71" s="115" t="s">
        <v>148</v>
      </c>
      <c r="Q71" s="53">
        <f>SUM(E60:E64,E69:E71)</f>
        <v>134983</v>
      </c>
      <c r="R71" s="53"/>
      <c r="S71" s="115" t="s">
        <v>148</v>
      </c>
      <c r="T71" s="53">
        <f>SUM(H60:H64,H69:H71)</f>
        <v>135324</v>
      </c>
      <c r="U71" s="54"/>
      <c r="V71" s="278">
        <v>44531</v>
      </c>
      <c r="W71" s="281">
        <v>744221.33333329984</v>
      </c>
      <c r="X71" s="279">
        <v>15457.666666599998</v>
      </c>
      <c r="Y71" s="55">
        <f t="shared" si="10"/>
        <v>728763.66666669981</v>
      </c>
      <c r="Z71" s="279">
        <v>1464538.6911909999</v>
      </c>
      <c r="AA71" s="524">
        <v>17165.9125120233</v>
      </c>
      <c r="AB71" s="277">
        <v>682427.43413011893</v>
      </c>
      <c r="AC71" s="192">
        <v>455628.87038743001</v>
      </c>
      <c r="AD71" s="277"/>
      <c r="AE71" s="38"/>
      <c r="AF71" s="263">
        <v>9592.6010000000006</v>
      </c>
      <c r="AG71" s="273">
        <v>18296.695571419106</v>
      </c>
      <c r="AH71" s="297"/>
      <c r="AJ71" s="90"/>
      <c r="AK71" s="49"/>
      <c r="AL71" s="49"/>
    </row>
    <row r="72" spans="1:38" ht="13" x14ac:dyDescent="0.3">
      <c r="A72" s="22"/>
      <c r="B72" s="60" t="s">
        <v>13</v>
      </c>
      <c r="C72" s="55"/>
      <c r="D72" s="55"/>
      <c r="E72" s="55">
        <f>SUM(E60:E71)</f>
        <v>201235</v>
      </c>
      <c r="F72" s="55">
        <f>SUM(F60:F71)</f>
        <v>9073407</v>
      </c>
      <c r="G72" s="55">
        <f>SUM(G60:G71)</f>
        <v>5476866</v>
      </c>
      <c r="H72" s="55">
        <f>SUM(H60:H71)</f>
        <v>205335</v>
      </c>
      <c r="I72" s="55">
        <f>SUM(I60:I71)</f>
        <v>115100</v>
      </c>
      <c r="J72" s="55">
        <f t="shared" si="8"/>
        <v>15071943</v>
      </c>
      <c r="K72" s="55"/>
      <c r="L72" s="55"/>
      <c r="M72" s="55">
        <f>SUM(M60:M71)</f>
        <v>192910</v>
      </c>
      <c r="N72" s="51"/>
      <c r="O72" s="52"/>
      <c r="P72" s="114" t="s">
        <v>146</v>
      </c>
      <c r="Q72" s="53">
        <f>SUMPRODUCT(E15:E19,E60:E64)+SUMPRODUCT(E24:E26,E69:E71)</f>
        <v>64717.133700000006</v>
      </c>
      <c r="R72" s="47">
        <f>Q72/Q71</f>
        <v>0.47944655030633493</v>
      </c>
      <c r="S72" s="114" t="s">
        <v>177</v>
      </c>
      <c r="T72" s="53">
        <f>SUMPRODUCT(H15:H19,H60:H64)+SUMPRODUCT(H24:H26,H69:H71)</f>
        <v>74076.001699999993</v>
      </c>
      <c r="U72" s="48">
        <f>T72/T71</f>
        <v>0.54739737001566602</v>
      </c>
      <c r="W72" s="55">
        <f t="shared" ref="W72:AF72" si="13">SUM(W60:W71)</f>
        <v>8323268.6666662982</v>
      </c>
      <c r="X72" s="55">
        <f t="shared" si="13"/>
        <v>176009.9999999</v>
      </c>
      <c r="Y72" s="55">
        <f t="shared" si="13"/>
        <v>8147258.6666663997</v>
      </c>
      <c r="Z72" s="55">
        <f t="shared" si="13"/>
        <v>14705033.4409393</v>
      </c>
      <c r="AA72" s="55">
        <f t="shared" si="13"/>
        <v>188656.31310858007</v>
      </c>
      <c r="AB72" s="55">
        <f t="shared" si="13"/>
        <v>9062959.6447838172</v>
      </c>
      <c r="AC72" s="55">
        <f t="shared" si="13"/>
        <v>5477041.2165752612</v>
      </c>
      <c r="AD72" s="55"/>
      <c r="AE72" s="284"/>
      <c r="AF72" s="55">
        <f t="shared" si="13"/>
        <v>115099.9</v>
      </c>
      <c r="AG72" s="55">
        <f>SUM(AG60:AG71)</f>
        <v>205333.73844124551</v>
      </c>
      <c r="AH72" s="283"/>
      <c r="AJ72" s="296"/>
      <c r="AK72" s="297"/>
      <c r="AL72" s="297"/>
    </row>
    <row r="73" spans="1:38" ht="13" x14ac:dyDescent="0.3">
      <c r="A73" s="22"/>
      <c r="B73" s="28"/>
      <c r="G73" s="50" t="s">
        <v>301</v>
      </c>
      <c r="K73" s="61"/>
      <c r="N73" s="51"/>
      <c r="O73" s="52"/>
      <c r="P73" s="114" t="s">
        <v>145</v>
      </c>
      <c r="Q73" s="53">
        <f>+Q71-Q72</f>
        <v>70265.866299999994</v>
      </c>
      <c r="R73" s="47"/>
      <c r="S73" s="114" t="s">
        <v>178</v>
      </c>
      <c r="T73" s="53">
        <f>+T71-T72</f>
        <v>61247.998300000007</v>
      </c>
      <c r="U73" s="48"/>
      <c r="AD73" s="266"/>
      <c r="AE73" s="267"/>
      <c r="AG73" s="266"/>
      <c r="AH73" s="267"/>
      <c r="AK73" s="55" t="s">
        <v>252</v>
      </c>
    </row>
    <row r="74" spans="1:38" ht="15.5" x14ac:dyDescent="0.35">
      <c r="A74" s="22"/>
      <c r="N74" s="46"/>
      <c r="O74" s="47"/>
      <c r="P74" s="47"/>
      <c r="Q74" s="47"/>
      <c r="R74" s="47"/>
      <c r="S74" s="47"/>
      <c r="T74" s="47"/>
      <c r="U74" s="48"/>
      <c r="V74" s="71" t="s">
        <v>181</v>
      </c>
      <c r="W74" s="13" t="s">
        <v>185</v>
      </c>
      <c r="X74" s="13" t="s">
        <v>184</v>
      </c>
      <c r="Y74" s="13" t="s">
        <v>182</v>
      </c>
      <c r="Z74" s="13" t="s">
        <v>183</v>
      </c>
      <c r="AB74" s="21" t="s">
        <v>285</v>
      </c>
      <c r="AC74" s="21" t="s">
        <v>286</v>
      </c>
      <c r="AE74" s="14"/>
      <c r="AK74" s="55" t="s">
        <v>252</v>
      </c>
    </row>
    <row r="75" spans="1:38" ht="13" x14ac:dyDescent="0.3">
      <c r="A75" s="18" t="s">
        <v>37</v>
      </c>
      <c r="B75" s="16" t="s">
        <v>19</v>
      </c>
      <c r="G75" s="62" t="s">
        <v>32</v>
      </c>
      <c r="H75" s="16" t="s">
        <v>175</v>
      </c>
      <c r="N75" s="51"/>
      <c r="O75" s="52"/>
      <c r="P75" s="116" t="s">
        <v>149</v>
      </c>
      <c r="Q75" s="53">
        <f>+SUM(E65:E68)</f>
        <v>66252</v>
      </c>
      <c r="R75" s="44"/>
      <c r="S75" s="116" t="s">
        <v>149</v>
      </c>
      <c r="T75" s="53">
        <f>+SUM(H65:H68)</f>
        <v>70011</v>
      </c>
      <c r="U75" s="45"/>
      <c r="V75" s="55">
        <f t="shared" ref="V75:V86" si="14">W60-W75</f>
        <v>320756.33333330014</v>
      </c>
      <c r="W75" s="55">
        <f t="shared" ref="W75:W86" si="15">SUM(X75:Z75)</f>
        <v>514549.00000009994</v>
      </c>
      <c r="X75" s="262">
        <v>14248.666666700001</v>
      </c>
      <c r="Y75" s="261">
        <v>495277.66666669998</v>
      </c>
      <c r="Z75" s="261">
        <v>5022.6666667</v>
      </c>
      <c r="AA75" s="55"/>
      <c r="AB75" s="280">
        <f t="shared" ref="AB75:AB86" si="16">(V75*$AA$94+W75*$AA$95)/1000</f>
        <v>186.02387553421275</v>
      </c>
      <c r="AC75" s="280">
        <f t="shared" ref="AC75:AC86" si="17">(W60/1000)-AB75</f>
        <v>649.28145779918736</v>
      </c>
      <c r="AG75" s="55"/>
    </row>
    <row r="76" spans="1:38" s="63" customFormat="1" ht="13" x14ac:dyDescent="0.3">
      <c r="A76" s="22"/>
      <c r="B76" s="17" t="s">
        <v>21</v>
      </c>
      <c r="G76" s="21"/>
      <c r="H76" s="127" t="s">
        <v>174</v>
      </c>
      <c r="N76" s="51"/>
      <c r="O76" s="52"/>
      <c r="P76" s="114" t="s">
        <v>146</v>
      </c>
      <c r="Q76" s="53">
        <f>+SUMPRODUCT(E20:E23,E65:E68)</f>
        <v>34081.579400000002</v>
      </c>
      <c r="R76" s="47">
        <f>Q76/Q75</f>
        <v>0.51442340457646563</v>
      </c>
      <c r="S76" s="131" t="s">
        <v>177</v>
      </c>
      <c r="T76" s="53">
        <f>+SUMPRODUCT(H20:H23,H65:H68)</f>
        <v>38950.234400000001</v>
      </c>
      <c r="U76" s="48">
        <f>T76/T75</f>
        <v>0.55634449443658851</v>
      </c>
      <c r="V76" s="55">
        <f t="shared" si="14"/>
        <v>297719.66666659992</v>
      </c>
      <c r="W76" s="55">
        <f t="shared" si="15"/>
        <v>475794.66666660004</v>
      </c>
      <c r="X76" s="262">
        <v>12657.333333299999</v>
      </c>
      <c r="Y76" s="261">
        <v>458632.33333330002</v>
      </c>
      <c r="Z76" s="261">
        <v>4505</v>
      </c>
      <c r="AA76" s="55"/>
      <c r="AB76" s="280">
        <f t="shared" si="16"/>
        <v>172.1466422466151</v>
      </c>
      <c r="AC76" s="280">
        <f t="shared" si="17"/>
        <v>601.36769108658484</v>
      </c>
      <c r="AD76" s="13"/>
      <c r="AF76" s="63">
        <f>AA60/1000</f>
        <v>21.307337336645404</v>
      </c>
      <c r="AG76" s="63">
        <f>AB60/1000</f>
        <v>815.18726223660599</v>
      </c>
    </row>
    <row r="77" spans="1:38" ht="13" x14ac:dyDescent="0.3">
      <c r="A77" s="22"/>
      <c r="C77" s="63"/>
      <c r="D77" s="26" t="s">
        <v>169</v>
      </c>
      <c r="E77" s="63"/>
      <c r="G77" s="26"/>
      <c r="N77" s="64"/>
      <c r="O77" s="65"/>
      <c r="P77" s="117" t="s">
        <v>145</v>
      </c>
      <c r="Q77" s="66">
        <f>Q75-Q76</f>
        <v>32170.420599999998</v>
      </c>
      <c r="R77" s="58"/>
      <c r="S77" s="132" t="s">
        <v>178</v>
      </c>
      <c r="T77" s="66">
        <f>T75-T76</f>
        <v>31060.765599999999</v>
      </c>
      <c r="U77" s="59"/>
      <c r="V77" s="55">
        <f t="shared" si="14"/>
        <v>292376.33333330002</v>
      </c>
      <c r="W77" s="55">
        <f t="shared" si="15"/>
        <v>470147.66666669998</v>
      </c>
      <c r="X77" s="262">
        <v>13409.333333299999</v>
      </c>
      <c r="Y77" s="261">
        <v>451983.66666669998</v>
      </c>
      <c r="Z77" s="261">
        <v>4754.6666667</v>
      </c>
      <c r="AA77" s="55"/>
      <c r="AB77" s="280">
        <f t="shared" si="16"/>
        <v>169.88805288462098</v>
      </c>
      <c r="AC77" s="280">
        <f t="shared" si="17"/>
        <v>592.63594711537905</v>
      </c>
      <c r="AD77" s="55">
        <f>SUM(AB65:AB68)</f>
        <v>3771660.7530675433</v>
      </c>
      <c r="AF77" s="63">
        <f t="shared" ref="AF77:AG87" si="18">AA61/1000</f>
        <v>19.994198345899701</v>
      </c>
      <c r="AG77" s="63">
        <f t="shared" si="18"/>
        <v>731.89373229800105</v>
      </c>
    </row>
    <row r="78" spans="1:38" ht="13" x14ac:dyDescent="0.3">
      <c r="A78" s="22"/>
      <c r="C78" s="26" t="s">
        <v>14</v>
      </c>
      <c r="D78" s="26" t="s">
        <v>170</v>
      </c>
      <c r="E78" s="26" t="s">
        <v>15</v>
      </c>
      <c r="H78" s="26" t="s">
        <v>14</v>
      </c>
      <c r="I78" s="26" t="s">
        <v>15</v>
      </c>
      <c r="N78" s="46"/>
      <c r="O78" s="47"/>
      <c r="P78" s="47"/>
      <c r="Q78" s="47" t="s">
        <v>58</v>
      </c>
      <c r="R78" s="47"/>
      <c r="S78" s="47"/>
      <c r="T78" s="47"/>
      <c r="U78" s="48"/>
      <c r="V78" s="55">
        <f t="shared" si="14"/>
        <v>305576.00000000006</v>
      </c>
      <c r="W78" s="55">
        <f t="shared" si="15"/>
        <v>476453.66666669998</v>
      </c>
      <c r="X78" s="262">
        <v>12400</v>
      </c>
      <c r="Y78" s="261">
        <v>459671.66666669998</v>
      </c>
      <c r="Z78" s="261">
        <v>4382</v>
      </c>
      <c r="AA78" s="55"/>
      <c r="AB78" s="280">
        <f t="shared" si="16"/>
        <v>173.27126182845888</v>
      </c>
      <c r="AC78" s="280">
        <f t="shared" si="17"/>
        <v>608.75840483824118</v>
      </c>
      <c r="AF78" s="63">
        <f t="shared" si="18"/>
        <v>18.695207039934797</v>
      </c>
      <c r="AG78" s="63">
        <f t="shared" si="18"/>
        <v>692.87301100558602</v>
      </c>
    </row>
    <row r="79" spans="1:38" ht="13" x14ac:dyDescent="0.3">
      <c r="A79" s="22"/>
      <c r="B79" s="28" t="s">
        <v>1</v>
      </c>
      <c r="C79" s="69">
        <v>71.45</v>
      </c>
      <c r="D79" s="556">
        <v>0.77165615665449716</v>
      </c>
      <c r="E79" s="557">
        <f t="shared" ref="E79:E90" si="19">ROUND(C79*D79,3)</f>
        <v>55.134999999999998</v>
      </c>
      <c r="H79" s="33">
        <v>0.88229603353756847</v>
      </c>
      <c r="I79" s="33">
        <v>0.92470881863560739</v>
      </c>
      <c r="N79" s="43"/>
      <c r="O79" s="44"/>
      <c r="P79" s="26"/>
      <c r="Q79" s="26" t="str">
        <f>+Q$13</f>
        <v>RT{1}</v>
      </c>
      <c r="R79" s="26"/>
      <c r="S79" s="26"/>
      <c r="T79" s="26" t="str">
        <f>+T$13</f>
        <v>GST</v>
      </c>
      <c r="U79" s="45"/>
      <c r="V79" s="55">
        <f t="shared" si="14"/>
        <v>297743.3333332999</v>
      </c>
      <c r="W79" s="55">
        <f t="shared" si="15"/>
        <v>455826.33333330002</v>
      </c>
      <c r="X79" s="262">
        <v>13980.333333299999</v>
      </c>
      <c r="Y79" s="261">
        <v>437747</v>
      </c>
      <c r="Z79" s="261">
        <v>4099</v>
      </c>
      <c r="AA79" s="55"/>
      <c r="AB79" s="280">
        <f t="shared" si="16"/>
        <v>166.41222107752</v>
      </c>
      <c r="AC79" s="280">
        <f t="shared" si="17"/>
        <v>587.15744558907988</v>
      </c>
      <c r="AF79" s="63">
        <f t="shared" si="18"/>
        <v>16.805649685445701</v>
      </c>
      <c r="AG79" s="63">
        <f t="shared" si="18"/>
        <v>621.05023602456299</v>
      </c>
    </row>
    <row r="80" spans="1:38" ht="13" x14ac:dyDescent="0.3">
      <c r="A80" s="22"/>
      <c r="B80" s="28" t="s">
        <v>2</v>
      </c>
      <c r="C80" s="69">
        <v>66.599999999999994</v>
      </c>
      <c r="D80" s="111">
        <f>+$D$79</f>
        <v>0.77165615665449716</v>
      </c>
      <c r="E80" s="557">
        <f t="shared" si="19"/>
        <v>51.392000000000003</v>
      </c>
      <c r="H80" s="175">
        <f>H79</f>
        <v>0.88229603353756847</v>
      </c>
      <c r="I80" s="175">
        <f>I79</f>
        <v>0.92470881863560739</v>
      </c>
      <c r="N80" s="46"/>
      <c r="O80" s="47"/>
      <c r="P80" s="47"/>
      <c r="Q80" s="47"/>
      <c r="R80" s="47"/>
      <c r="S80" s="47"/>
      <c r="T80" s="47"/>
      <c r="U80" s="48"/>
      <c r="V80" s="55">
        <f t="shared" si="14"/>
        <v>289509.66666659981</v>
      </c>
      <c r="W80" s="55">
        <f t="shared" si="15"/>
        <v>424701.66666660004</v>
      </c>
      <c r="X80" s="262">
        <v>11440.333333299999</v>
      </c>
      <c r="Y80" s="261">
        <v>409653</v>
      </c>
      <c r="Z80" s="261">
        <v>3608.3333333</v>
      </c>
      <c r="AA80" s="55"/>
      <c r="AB80" s="280">
        <f t="shared" si="16"/>
        <v>156.48938148654184</v>
      </c>
      <c r="AC80" s="280">
        <f t="shared" si="17"/>
        <v>557.72195184665793</v>
      </c>
      <c r="AF80" s="63">
        <f t="shared" si="18"/>
        <v>12.7641379491461</v>
      </c>
      <c r="AG80" s="63">
        <f t="shared" si="18"/>
        <v>574.35845418210602</v>
      </c>
    </row>
    <row r="81" spans="1:33" ht="13" x14ac:dyDescent="0.3">
      <c r="A81" s="22"/>
      <c r="B81" s="28" t="s">
        <v>3</v>
      </c>
      <c r="C81" s="69">
        <v>48.45</v>
      </c>
      <c r="D81" s="111">
        <f>+$D$79</f>
        <v>0.77165615665449716</v>
      </c>
      <c r="E81" s="557">
        <f t="shared" si="19"/>
        <v>37.387</v>
      </c>
      <c r="H81" s="175">
        <f>H79</f>
        <v>0.88229603353756847</v>
      </c>
      <c r="I81" s="175">
        <f>I79</f>
        <v>0.92470881863560739</v>
      </c>
      <c r="N81" s="51"/>
      <c r="O81" s="52"/>
      <c r="P81" s="115" t="s">
        <v>26</v>
      </c>
      <c r="Q81" s="53"/>
      <c r="R81" s="53"/>
      <c r="S81" s="115" t="s">
        <v>26</v>
      </c>
      <c r="T81" s="53"/>
      <c r="U81" s="54"/>
      <c r="V81" s="55">
        <f t="shared" si="14"/>
        <v>253672.33333329984</v>
      </c>
      <c r="W81" s="55">
        <f t="shared" si="15"/>
        <v>363135.66666660004</v>
      </c>
      <c r="X81" s="262">
        <v>10803.333333299999</v>
      </c>
      <c r="Y81" s="261">
        <v>349101</v>
      </c>
      <c r="Z81" s="261">
        <v>3231.3333333</v>
      </c>
      <c r="AA81" s="55"/>
      <c r="AB81" s="280">
        <f t="shared" si="16"/>
        <v>134.53408310437243</v>
      </c>
      <c r="AC81" s="280">
        <f t="shared" si="17"/>
        <v>482.27391689552741</v>
      </c>
      <c r="AF81" s="63">
        <f t="shared" si="18"/>
        <v>12.665069766896201</v>
      </c>
      <c r="AG81" s="63">
        <f t="shared" si="18"/>
        <v>723.82384716710305</v>
      </c>
    </row>
    <row r="82" spans="1:33" ht="13" x14ac:dyDescent="0.3">
      <c r="A82" s="22"/>
      <c r="B82" s="28" t="s">
        <v>4</v>
      </c>
      <c r="C82" s="69">
        <v>40.200000000000003</v>
      </c>
      <c r="D82" s="111">
        <f>+$D$79</f>
        <v>0.77165615665449716</v>
      </c>
      <c r="E82" s="557">
        <f t="shared" si="19"/>
        <v>31.021000000000001</v>
      </c>
      <c r="H82" s="175">
        <f>H79</f>
        <v>0.88229603353756847</v>
      </c>
      <c r="I82" s="175">
        <f>I79</f>
        <v>0.92470881863560739</v>
      </c>
      <c r="N82" s="51"/>
      <c r="O82" s="52"/>
      <c r="P82" s="114" t="s">
        <v>147</v>
      </c>
      <c r="Q82" s="53">
        <f>Q72-Q61</f>
        <v>19088.41840000001</v>
      </c>
      <c r="R82" s="47"/>
      <c r="S82" s="114" t="s">
        <v>147</v>
      </c>
      <c r="T82" s="53">
        <f>T72-T61</f>
        <v>15204.536599999992</v>
      </c>
      <c r="U82" s="48"/>
      <c r="V82" s="55">
        <f t="shared" si="14"/>
        <v>224627.99999999994</v>
      </c>
      <c r="W82" s="55">
        <f t="shared" si="15"/>
        <v>323080.33333330002</v>
      </c>
      <c r="X82" s="262">
        <v>8673.3333332999991</v>
      </c>
      <c r="Y82" s="261">
        <v>311620</v>
      </c>
      <c r="Z82" s="261">
        <v>2787</v>
      </c>
      <c r="AA82" s="55"/>
      <c r="AB82" s="280">
        <f t="shared" si="16"/>
        <v>119.56785218253009</v>
      </c>
      <c r="AC82" s="280">
        <f t="shared" si="17"/>
        <v>428.14048115076986</v>
      </c>
      <c r="AF82" s="63">
        <f t="shared" si="18"/>
        <v>15.689100177203498</v>
      </c>
      <c r="AG82" s="63">
        <f t="shared" si="18"/>
        <v>1009.66073545941</v>
      </c>
    </row>
    <row r="83" spans="1:33" ht="13" x14ac:dyDescent="0.3">
      <c r="A83" s="22"/>
      <c r="B83" s="28" t="s">
        <v>5</v>
      </c>
      <c r="C83" s="69">
        <v>40.200000000000003</v>
      </c>
      <c r="D83" s="111">
        <f>+$D$79</f>
        <v>0.77165615665449716</v>
      </c>
      <c r="E83" s="557">
        <f t="shared" si="19"/>
        <v>31.021000000000001</v>
      </c>
      <c r="H83" s="175">
        <f>H79</f>
        <v>0.88229603353756847</v>
      </c>
      <c r="I83" s="175">
        <f>I79</f>
        <v>0.92470881863560739</v>
      </c>
      <c r="N83" s="51"/>
      <c r="O83" s="52"/>
      <c r="P83" s="114" t="s">
        <v>150</v>
      </c>
      <c r="Q83" s="140">
        <f>Q82*(E117-E118)</f>
        <v>190392.88958596252</v>
      </c>
      <c r="R83" s="47"/>
      <c r="S83" s="114" t="s">
        <v>150</v>
      </c>
      <c r="T83" s="140">
        <f>T82*(H117-H118)</f>
        <v>145570.02606647136</v>
      </c>
      <c r="U83" s="48"/>
      <c r="V83" s="55">
        <f t="shared" si="14"/>
        <v>237751.99999999988</v>
      </c>
      <c r="W83" s="55">
        <f t="shared" si="15"/>
        <v>329757.66666660004</v>
      </c>
      <c r="X83" s="262">
        <v>8150.3333333</v>
      </c>
      <c r="Y83" s="261">
        <v>318782.33333330002</v>
      </c>
      <c r="Z83" s="261">
        <v>2825</v>
      </c>
      <c r="AA83" s="55"/>
      <c r="AB83" s="280">
        <f t="shared" si="16"/>
        <v>123.04874351341182</v>
      </c>
      <c r="AC83" s="280">
        <f t="shared" si="17"/>
        <v>444.46092315318816</v>
      </c>
      <c r="AF83" s="63">
        <f t="shared" si="18"/>
        <v>17.056286055908298</v>
      </c>
      <c r="AG83" s="63">
        <f t="shared" si="18"/>
        <v>1124.67467502419</v>
      </c>
    </row>
    <row r="84" spans="1:33" ht="13" x14ac:dyDescent="0.3">
      <c r="A84" s="22"/>
      <c r="B84" s="28" t="s">
        <v>6</v>
      </c>
      <c r="C84" s="558">
        <v>47</v>
      </c>
      <c r="D84" s="559">
        <v>0.66836581709145426</v>
      </c>
      <c r="E84" s="560">
        <f t="shared" si="19"/>
        <v>31.413</v>
      </c>
      <c r="H84" s="128">
        <v>0.88422535211267606</v>
      </c>
      <c r="I84" s="129">
        <v>0.88824262567511425</v>
      </c>
      <c r="N84" s="46"/>
      <c r="O84" s="47"/>
      <c r="P84" s="47"/>
      <c r="Q84" s="68"/>
      <c r="R84" s="47"/>
      <c r="S84" s="47"/>
      <c r="T84" s="68"/>
      <c r="U84" s="48"/>
      <c r="V84" s="55">
        <f t="shared" si="14"/>
        <v>241361.66666669998</v>
      </c>
      <c r="W84" s="55">
        <f t="shared" si="15"/>
        <v>341792.66666669998</v>
      </c>
      <c r="X84" s="262">
        <v>11773.666666700001</v>
      </c>
      <c r="Y84" s="261">
        <v>326971.66666669998</v>
      </c>
      <c r="Z84" s="261">
        <v>3047.3333333</v>
      </c>
      <c r="AA84" s="55"/>
      <c r="AB84" s="280">
        <f t="shared" si="16"/>
        <v>126.93632402321253</v>
      </c>
      <c r="AC84" s="280">
        <f t="shared" si="17"/>
        <v>456.21800931018748</v>
      </c>
      <c r="AF84" s="63">
        <f t="shared" si="18"/>
        <v>14.140466268611901</v>
      </c>
      <c r="AG84" s="63">
        <f t="shared" si="18"/>
        <v>913.50149541683993</v>
      </c>
    </row>
    <row r="85" spans="1:33" ht="13" x14ac:dyDescent="0.3">
      <c r="A85" s="22"/>
      <c r="B85" s="28" t="s">
        <v>7</v>
      </c>
      <c r="C85" s="561">
        <v>55.4</v>
      </c>
      <c r="D85" s="210">
        <f>+$D$84</f>
        <v>0.66836581709145426</v>
      </c>
      <c r="E85" s="562">
        <f t="shared" si="19"/>
        <v>37.027000000000001</v>
      </c>
      <c r="H85" s="173">
        <f t="shared" ref="H85:I87" si="20">H84</f>
        <v>0.88422535211267606</v>
      </c>
      <c r="I85" s="563">
        <f t="shared" si="20"/>
        <v>0.88824262567511425</v>
      </c>
      <c r="N85" s="51"/>
      <c r="O85" s="52"/>
      <c r="P85" s="116" t="s">
        <v>25</v>
      </c>
      <c r="Q85" s="68"/>
      <c r="R85" s="44"/>
      <c r="S85" s="116" t="s">
        <v>25</v>
      </c>
      <c r="T85" s="68"/>
      <c r="U85" s="45"/>
      <c r="V85" s="55">
        <f t="shared" si="14"/>
        <v>260765.33333330008</v>
      </c>
      <c r="W85" s="55">
        <f t="shared" si="15"/>
        <v>381947.33333339996</v>
      </c>
      <c r="X85" s="262">
        <v>11407.666666700001</v>
      </c>
      <c r="Y85" s="261">
        <v>367055</v>
      </c>
      <c r="Z85" s="261">
        <v>3484.6666667</v>
      </c>
      <c r="AA85" s="55"/>
      <c r="AB85" s="280">
        <f t="shared" si="16"/>
        <v>140.78339667278684</v>
      </c>
      <c r="AC85" s="280">
        <f t="shared" si="17"/>
        <v>501.92926999391318</v>
      </c>
      <c r="AF85" s="63">
        <f t="shared" si="18"/>
        <v>10.445763041697901</v>
      </c>
      <c r="AG85" s="63">
        <f t="shared" si="18"/>
        <v>622.61713954493803</v>
      </c>
    </row>
    <row r="86" spans="1:33" ht="13" x14ac:dyDescent="0.3">
      <c r="A86" s="22"/>
      <c r="B86" s="28" t="s">
        <v>8</v>
      </c>
      <c r="C86" s="561">
        <v>51.75</v>
      </c>
      <c r="D86" s="210">
        <f>+$D$84</f>
        <v>0.66836581709145426</v>
      </c>
      <c r="E86" s="562">
        <f t="shared" si="19"/>
        <v>34.588000000000001</v>
      </c>
      <c r="H86" s="173">
        <f t="shared" si="20"/>
        <v>0.88422535211267606</v>
      </c>
      <c r="I86" s="563">
        <f t="shared" si="20"/>
        <v>0.88824262567511425</v>
      </c>
      <c r="N86" s="51"/>
      <c r="O86" s="52"/>
      <c r="P86" s="114" t="s">
        <v>147</v>
      </c>
      <c r="Q86" s="53">
        <f>Q76-Q65</f>
        <v>7873.2448000000004</v>
      </c>
      <c r="R86" s="47"/>
      <c r="S86" s="114" t="s">
        <v>147</v>
      </c>
      <c r="T86" s="53">
        <f>T76-T65</f>
        <v>6691.1244000000006</v>
      </c>
      <c r="U86" s="48"/>
      <c r="V86" s="55">
        <f t="shared" si="14"/>
        <v>292150.99999999983</v>
      </c>
      <c r="W86" s="55">
        <f t="shared" si="15"/>
        <v>452070.33333330002</v>
      </c>
      <c r="X86" s="282">
        <v>12416.333333299999</v>
      </c>
      <c r="Y86" s="279">
        <v>435429.66666669998</v>
      </c>
      <c r="Z86" s="279">
        <v>4224.3333333</v>
      </c>
      <c r="AA86" s="55"/>
      <c r="AB86" s="280">
        <f t="shared" si="16"/>
        <v>164.66730502135789</v>
      </c>
      <c r="AC86" s="280">
        <f t="shared" si="17"/>
        <v>579.55402831194192</v>
      </c>
      <c r="AF86" s="63">
        <f>AA70/1000</f>
        <v>11.9271849291673</v>
      </c>
      <c r="AG86" s="63">
        <f>AB70/1000</f>
        <v>550.89162229435601</v>
      </c>
    </row>
    <row r="87" spans="1:33" ht="13" x14ac:dyDescent="0.3">
      <c r="A87" s="22"/>
      <c r="B87" s="28" t="s">
        <v>9</v>
      </c>
      <c r="C87" s="564">
        <v>47.5</v>
      </c>
      <c r="D87" s="565">
        <f>+$D$84</f>
        <v>0.66836581709145426</v>
      </c>
      <c r="E87" s="566">
        <f t="shared" si="19"/>
        <v>31.747</v>
      </c>
      <c r="H87" s="174">
        <f t="shared" si="20"/>
        <v>0.88422535211267606</v>
      </c>
      <c r="I87" s="567">
        <f t="shared" si="20"/>
        <v>0.88824262567511425</v>
      </c>
      <c r="N87" s="64"/>
      <c r="O87" s="65"/>
      <c r="P87" s="117" t="s">
        <v>150</v>
      </c>
      <c r="Q87" s="141">
        <f>Q86*(E113-E114)</f>
        <v>131001.43402030026</v>
      </c>
      <c r="R87" s="58"/>
      <c r="S87" s="117" t="s">
        <v>150</v>
      </c>
      <c r="T87" s="141">
        <f>T86*(H113-H114)</f>
        <v>110100.15578710147</v>
      </c>
      <c r="U87" s="59"/>
      <c r="V87" s="55">
        <f>SUM(V75:V86)</f>
        <v>3314011.6666663997</v>
      </c>
      <c r="W87" s="55">
        <f>SUM(W75:W86)</f>
        <v>5009256.9999999003</v>
      </c>
      <c r="X87" s="55">
        <f>SUM(X75:X86)</f>
        <v>141360.66666650001</v>
      </c>
      <c r="Y87" s="55">
        <f>SUM(Y75:Y86)</f>
        <v>4821925.0000000997</v>
      </c>
      <c r="Z87" s="55">
        <f>SUM(Z75:Z86)</f>
        <v>45971.333333299997</v>
      </c>
      <c r="AA87" s="55"/>
      <c r="AB87" s="55">
        <f>SUM(AB75:AB86)</f>
        <v>1833.7691395756412</v>
      </c>
      <c r="AC87" s="55">
        <f>SUM(AC75:AC86)</f>
        <v>6489.4995270906584</v>
      </c>
      <c r="AF87" s="63">
        <f t="shared" si="18"/>
        <v>17.165912512023301</v>
      </c>
      <c r="AG87" s="63">
        <f t="shared" si="18"/>
        <v>682.42743413011897</v>
      </c>
    </row>
    <row r="88" spans="1:33" ht="13" x14ac:dyDescent="0.3">
      <c r="A88" s="22"/>
      <c r="B88" s="28" t="s">
        <v>10</v>
      </c>
      <c r="C88" s="69">
        <v>45.45</v>
      </c>
      <c r="D88" s="111">
        <f>+$D$79</f>
        <v>0.77165615665449716</v>
      </c>
      <c r="E88" s="557">
        <f t="shared" si="19"/>
        <v>35.072000000000003</v>
      </c>
      <c r="H88" s="175">
        <f>H79</f>
        <v>0.88229603353756847</v>
      </c>
      <c r="I88" s="175">
        <f>I79</f>
        <v>0.92470881863560739</v>
      </c>
      <c r="W88" s="297" t="s">
        <v>252</v>
      </c>
    </row>
    <row r="89" spans="1:33" ht="13" x14ac:dyDescent="0.3">
      <c r="A89" s="22"/>
      <c r="B89" s="28" t="s">
        <v>11</v>
      </c>
      <c r="C89" s="69">
        <v>46.65</v>
      </c>
      <c r="D89" s="111">
        <f>+$D$79</f>
        <v>0.77165615665449716</v>
      </c>
      <c r="E89" s="557">
        <f t="shared" si="19"/>
        <v>35.997999999999998</v>
      </c>
      <c r="H89" s="175">
        <f>H79</f>
        <v>0.88229603353756847</v>
      </c>
      <c r="I89" s="175">
        <f>I79</f>
        <v>0.92470881863560739</v>
      </c>
    </row>
    <row r="90" spans="1:33" ht="13" x14ac:dyDescent="0.3">
      <c r="A90" s="22"/>
      <c r="B90" s="28" t="s">
        <v>12</v>
      </c>
      <c r="C90" s="69">
        <v>50.25</v>
      </c>
      <c r="D90" s="111">
        <f>+$D$79</f>
        <v>0.77165615665449716</v>
      </c>
      <c r="E90" s="557">
        <f t="shared" si="19"/>
        <v>38.776000000000003</v>
      </c>
      <c r="G90" s="70"/>
      <c r="H90" s="175">
        <f>H79</f>
        <v>0.88229603353756847</v>
      </c>
      <c r="I90" s="175">
        <f>I79</f>
        <v>0.92470881863560739</v>
      </c>
    </row>
    <row r="91" spans="1:33" ht="13" x14ac:dyDescent="0.3">
      <c r="A91" s="22"/>
      <c r="B91" s="28"/>
      <c r="C91" s="69"/>
      <c r="D91" s="69"/>
      <c r="G91" s="70"/>
      <c r="L91" s="70"/>
      <c r="X91" s="13" t="s">
        <v>210</v>
      </c>
    </row>
    <row r="92" spans="1:33" ht="13" x14ac:dyDescent="0.3">
      <c r="A92" s="18" t="s">
        <v>33</v>
      </c>
      <c r="B92" s="37" t="s">
        <v>22</v>
      </c>
      <c r="C92" s="26"/>
      <c r="D92" s="26"/>
      <c r="E92" s="26" t="str">
        <f>+E$13</f>
        <v>RT{1}</v>
      </c>
      <c r="F92" s="26" t="str">
        <f>+F$13</f>
        <v>RS{2}</v>
      </c>
      <c r="G92" s="26" t="str">
        <f>+G$13</f>
        <v>GS{3}</v>
      </c>
      <c r="H92" s="26" t="str">
        <f>+H$58</f>
        <v>GST {4}</v>
      </c>
      <c r="I92" s="26" t="str">
        <f>+I$13</f>
        <v>OL/SL</v>
      </c>
      <c r="J92" s="26"/>
      <c r="K92" s="26"/>
      <c r="L92" s="26"/>
      <c r="M92" s="26"/>
      <c r="P92" s="243">
        <v>2021</v>
      </c>
      <c r="Q92" s="13" t="s">
        <v>215</v>
      </c>
      <c r="R92" s="13" t="s">
        <v>216</v>
      </c>
      <c r="S92" s="13" t="s">
        <v>217</v>
      </c>
      <c r="X92" s="13" t="s">
        <v>205</v>
      </c>
      <c r="Y92" s="71" t="s">
        <v>13</v>
      </c>
      <c r="Z92" s="71" t="s">
        <v>13</v>
      </c>
      <c r="AA92" s="71" t="s">
        <v>207</v>
      </c>
    </row>
    <row r="93" spans="1:33" ht="13" x14ac:dyDescent="0.3">
      <c r="A93" s="22"/>
      <c r="C93" s="71"/>
      <c r="D93" s="71"/>
      <c r="E93" s="71"/>
      <c r="F93" s="71"/>
      <c r="P93" s="13" t="s">
        <v>0</v>
      </c>
      <c r="Q93" s="195">
        <v>1850493877.8988981</v>
      </c>
      <c r="R93" s="195">
        <v>1682945335</v>
      </c>
      <c r="S93" s="50">
        <f>SUM(Q93:R93)</f>
        <v>3533439212.8988981</v>
      </c>
      <c r="X93" s="133" t="s">
        <v>206</v>
      </c>
      <c r="Y93" s="38" t="s">
        <v>207</v>
      </c>
      <c r="Z93" s="38" t="s">
        <v>208</v>
      </c>
      <c r="AA93" s="38" t="s">
        <v>209</v>
      </c>
    </row>
    <row r="94" spans="1:33" ht="13" x14ac:dyDescent="0.3">
      <c r="A94" s="22"/>
      <c r="B94" s="28" t="s">
        <v>277</v>
      </c>
      <c r="C94" s="72"/>
      <c r="D94" s="72"/>
      <c r="E94" s="154">
        <v>0.105545</v>
      </c>
      <c r="F94" s="154">
        <v>0.105545</v>
      </c>
      <c r="G94" s="154">
        <v>0.105545</v>
      </c>
      <c r="H94" s="154">
        <v>0.105545</v>
      </c>
      <c r="I94" s="154">
        <v>0.105545</v>
      </c>
      <c r="J94" s="72"/>
      <c r="K94" s="72"/>
      <c r="L94" s="72"/>
      <c r="M94" s="72"/>
      <c r="P94" s="13" t="s">
        <v>250</v>
      </c>
      <c r="Q94" s="195">
        <v>150690201.16864759</v>
      </c>
      <c r="R94" s="195">
        <v>87531339</v>
      </c>
      <c r="S94" s="50">
        <f>SUM(Q94:R94)</f>
        <v>238221540.16864759</v>
      </c>
      <c r="W94" s="13" t="s">
        <v>181</v>
      </c>
      <c r="X94" s="13">
        <v>4</v>
      </c>
      <c r="Y94" s="13">
        <f>X94*365*5/7</f>
        <v>1042.8571428571429</v>
      </c>
      <c r="Z94" s="13">
        <f>365*24</f>
        <v>8760</v>
      </c>
      <c r="AA94" s="13">
        <f>Y94/Z94</f>
        <v>0.11904761904761905</v>
      </c>
    </row>
    <row r="95" spans="1:33" ht="13" x14ac:dyDescent="0.3">
      <c r="A95" s="22"/>
      <c r="B95" s="13" t="s">
        <v>278</v>
      </c>
      <c r="C95" s="73"/>
      <c r="D95" s="73"/>
      <c r="E95" s="73">
        <f>1/(1-E94)</f>
        <v>1.1179992285805322</v>
      </c>
      <c r="F95" s="73">
        <f>1/(1-F94)</f>
        <v>1.1179992285805322</v>
      </c>
      <c r="G95" s="73">
        <f>1/(1-G94)</f>
        <v>1.1179992285805322</v>
      </c>
      <c r="H95" s="73">
        <f>1/(1-H94)</f>
        <v>1.1179992285805322</v>
      </c>
      <c r="I95" s="73">
        <f>1/(1-I94)</f>
        <v>1.1179992285805322</v>
      </c>
      <c r="J95" s="73"/>
      <c r="K95" s="73"/>
      <c r="L95" s="73"/>
      <c r="M95" s="73"/>
      <c r="P95" s="13" t="s">
        <v>251</v>
      </c>
      <c r="Q95" s="50">
        <f>SUM(Q93:Q94)</f>
        <v>2001184079.0675457</v>
      </c>
      <c r="R95" s="50">
        <f>SUM(R93:R94)</f>
        <v>1770476674</v>
      </c>
      <c r="S95" s="50">
        <f>SUM(S93:S94)</f>
        <v>3771660753.0675459</v>
      </c>
      <c r="T95" s="55">
        <f>SUM(F65:F68)</f>
        <v>3771661</v>
      </c>
      <c r="W95" s="13" t="s">
        <v>204</v>
      </c>
      <c r="X95" s="13">
        <f>(9*18+10*34)/52</f>
        <v>9.6538461538461533</v>
      </c>
      <c r="Y95" s="13">
        <f>X95*365*5/7</f>
        <v>2516.8956043956036</v>
      </c>
      <c r="Z95" s="13">
        <f>365*24</f>
        <v>8760</v>
      </c>
      <c r="AA95" s="13">
        <f>Y95/Z95</f>
        <v>0.28731684981684974</v>
      </c>
    </row>
    <row r="96" spans="1:33" ht="13" x14ac:dyDescent="0.3">
      <c r="A96" s="22"/>
      <c r="C96" s="73"/>
      <c r="D96" s="73"/>
      <c r="E96" s="73"/>
      <c r="F96" s="73"/>
      <c r="G96" s="73"/>
      <c r="H96" s="73"/>
      <c r="I96" s="73"/>
      <c r="J96" s="73" t="s">
        <v>252</v>
      </c>
      <c r="K96" s="73"/>
      <c r="L96" s="73"/>
      <c r="M96" s="73" t="s">
        <v>252</v>
      </c>
      <c r="Q96" s="50"/>
      <c r="R96" s="50"/>
      <c r="S96" s="50"/>
      <c r="T96" s="55"/>
    </row>
    <row r="97" spans="1:34" ht="13" x14ac:dyDescent="0.3">
      <c r="A97" s="22"/>
      <c r="B97" s="13" t="s">
        <v>279</v>
      </c>
      <c r="C97" s="73"/>
      <c r="D97" s="73"/>
      <c r="E97" s="237">
        <f>ROUND(1-1/E98,6)</f>
        <v>9.8295999999999994E-2</v>
      </c>
      <c r="F97" s="237">
        <f>ROUND(1-1/F98,6)</f>
        <v>9.8295999999999994E-2</v>
      </c>
      <c r="G97" s="237">
        <f>ROUND(1-1/G98,6)</f>
        <v>9.8295999999999994E-2</v>
      </c>
      <c r="H97" s="237">
        <f>ROUND(1-1/H98,6)</f>
        <v>9.8295999999999994E-2</v>
      </c>
      <c r="I97" s="237">
        <f>ROUND(1-1/I98,6)</f>
        <v>9.8295999999999994E-2</v>
      </c>
      <c r="Q97" s="50"/>
      <c r="R97" s="50"/>
      <c r="S97" s="50"/>
      <c r="T97" s="55"/>
    </row>
    <row r="98" spans="1:34" ht="13" x14ac:dyDescent="0.3">
      <c r="A98" s="22"/>
      <c r="B98" s="13" t="s">
        <v>280</v>
      </c>
      <c r="C98" s="73"/>
      <c r="D98" s="73"/>
      <c r="E98" s="73">
        <v>1.1090110249154914</v>
      </c>
      <c r="F98" s="73">
        <v>1.1090110249154914</v>
      </c>
      <c r="G98" s="73">
        <v>1.1090110249154914</v>
      </c>
      <c r="H98" s="73">
        <v>1.1090110249154914</v>
      </c>
      <c r="I98" s="73">
        <v>1.1090110249154914</v>
      </c>
      <c r="M98" s="47"/>
      <c r="N98" s="47"/>
      <c r="O98" s="47"/>
      <c r="P98" s="47"/>
      <c r="Q98" s="158"/>
      <c r="R98" s="158"/>
      <c r="S98" s="158"/>
      <c r="T98" s="53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</row>
    <row r="99" spans="1:34" ht="13" x14ac:dyDescent="0.3">
      <c r="A99" s="22"/>
      <c r="C99" s="73"/>
      <c r="D99" s="73"/>
      <c r="E99" s="89"/>
      <c r="F99" s="238"/>
      <c r="G99" s="73"/>
      <c r="H99" s="73"/>
      <c r="I99" s="73" t="s">
        <v>252</v>
      </c>
      <c r="J99" s="73"/>
      <c r="K99" s="73"/>
      <c r="L99" s="73"/>
      <c r="M99" s="47"/>
      <c r="N99" s="47"/>
      <c r="O99" s="47"/>
      <c r="P99" s="47"/>
      <c r="Q99" s="158"/>
      <c r="R99" s="158"/>
      <c r="S99" s="158"/>
      <c r="T99" s="53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</row>
    <row r="100" spans="1:34" ht="13" x14ac:dyDescent="0.3">
      <c r="A100" s="22"/>
      <c r="C100" s="73"/>
      <c r="D100" s="73"/>
      <c r="E100" s="239"/>
      <c r="F100" s="240"/>
      <c r="G100" s="73"/>
      <c r="H100" s="73"/>
      <c r="I100" s="73"/>
      <c r="J100" s="73"/>
      <c r="K100" s="73"/>
      <c r="L100" s="237"/>
      <c r="M100" s="47"/>
      <c r="N100" s="47"/>
      <c r="O100" s="47"/>
      <c r="P100" s="47"/>
      <c r="Q100" s="47"/>
      <c r="R100" s="47"/>
      <c r="S100" s="47"/>
      <c r="T100" s="383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</row>
    <row r="101" spans="1:34" ht="13" x14ac:dyDescent="0.3">
      <c r="A101" s="22"/>
      <c r="B101" s="36" t="s">
        <v>284</v>
      </c>
      <c r="C101" s="73"/>
      <c r="D101" s="73"/>
      <c r="E101" s="73"/>
      <c r="F101" s="73"/>
      <c r="G101" s="73"/>
      <c r="H101" s="73"/>
      <c r="I101" s="73"/>
      <c r="J101" s="238"/>
      <c r="K101" s="238"/>
      <c r="L101" s="234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</row>
    <row r="102" spans="1:34" ht="13" x14ac:dyDescent="0.3">
      <c r="A102" s="22"/>
      <c r="B102" s="13" t="s">
        <v>252</v>
      </c>
      <c r="I102" s="73"/>
      <c r="J102" s="238"/>
      <c r="K102" s="238"/>
      <c r="L102" s="73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</row>
    <row r="103" spans="1:34" ht="15.5" x14ac:dyDescent="0.35">
      <c r="A103" s="22"/>
      <c r="B103" s="638" t="str">
        <f>$B$1</f>
        <v xml:space="preserve">Jersey Central Power &amp; Light </v>
      </c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</row>
    <row r="104" spans="1:34" ht="15.5" x14ac:dyDescent="0.35">
      <c r="A104" s="22"/>
      <c r="B104" s="638" t="str">
        <f>$B$2</f>
        <v>Attachment 2</v>
      </c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13" x14ac:dyDescent="0.3">
      <c r="A105" s="2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34" ht="13" x14ac:dyDescent="0.3">
      <c r="A106" s="22"/>
      <c r="M106" s="47"/>
      <c r="N106" s="47"/>
      <c r="O106" s="47"/>
      <c r="P106" s="47"/>
      <c r="Q106" s="47"/>
      <c r="R106" s="47"/>
      <c r="S106" s="601"/>
      <c r="T106" s="348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</row>
    <row r="107" spans="1:34" ht="13" x14ac:dyDescent="0.3">
      <c r="A107" s="18" t="s">
        <v>34</v>
      </c>
      <c r="B107" s="16" t="s">
        <v>51</v>
      </c>
      <c r="L107" s="13" t="s">
        <v>252</v>
      </c>
      <c r="M107" s="348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</row>
    <row r="108" spans="1:34" ht="13" x14ac:dyDescent="0.3">
      <c r="A108" s="22"/>
      <c r="B108" s="17" t="s">
        <v>171</v>
      </c>
      <c r="L108" s="13" t="s">
        <v>252</v>
      </c>
      <c r="M108" s="47"/>
      <c r="N108" s="47"/>
      <c r="O108" s="47"/>
      <c r="P108" s="47"/>
      <c r="Q108" s="47"/>
      <c r="R108" s="47"/>
      <c r="S108" s="602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348"/>
      <c r="AG108" s="47"/>
      <c r="AH108" s="47"/>
    </row>
    <row r="109" spans="1:34" ht="13" x14ac:dyDescent="0.3">
      <c r="A109" s="22"/>
      <c r="B109" s="17" t="s">
        <v>21</v>
      </c>
      <c r="M109" s="47"/>
      <c r="N109" s="47"/>
      <c r="O109" s="47"/>
      <c r="P109" s="47"/>
      <c r="Q109" s="47"/>
      <c r="R109" s="47"/>
      <c r="S109" s="603"/>
      <c r="T109" s="47"/>
      <c r="U109" s="47"/>
      <c r="V109" s="47"/>
      <c r="W109" s="47"/>
      <c r="X109" s="47"/>
      <c r="Y109" s="47"/>
      <c r="Z109" s="47"/>
      <c r="AA109" s="47"/>
      <c r="AB109" s="47"/>
      <c r="AC109" s="604"/>
      <c r="AD109" s="47"/>
      <c r="AE109" s="47"/>
      <c r="AF109" s="605"/>
      <c r="AG109" s="348"/>
      <c r="AH109" s="47"/>
    </row>
    <row r="110" spans="1:34" ht="13" x14ac:dyDescent="0.3">
      <c r="A110" s="22"/>
      <c r="B110" s="16"/>
      <c r="C110" s="26"/>
      <c r="D110" s="26"/>
      <c r="E110" s="26" t="str">
        <f>+E$13</f>
        <v>RT{1}</v>
      </c>
      <c r="F110" s="26" t="str">
        <f>+F$13</f>
        <v>RS{2}</v>
      </c>
      <c r="G110" s="26" t="str">
        <f>+G$13</f>
        <v>GS{3}</v>
      </c>
      <c r="H110" s="26" t="str">
        <f>+H$58</f>
        <v>GST {4}</v>
      </c>
      <c r="I110" s="26" t="str">
        <f>+I$13</f>
        <v>OL/SL</v>
      </c>
      <c r="J110" s="26"/>
      <c r="K110" s="26"/>
      <c r="L110" s="26"/>
      <c r="M110" s="44"/>
      <c r="N110" s="606"/>
      <c r="O110" s="47"/>
      <c r="P110" s="131"/>
      <c r="Q110" s="47"/>
      <c r="R110" s="47"/>
      <c r="S110" s="47"/>
      <c r="T110" s="47"/>
      <c r="U110" s="47"/>
      <c r="V110" s="47"/>
      <c r="W110" s="607"/>
      <c r="X110" s="47"/>
      <c r="Y110" s="47"/>
      <c r="Z110" s="47"/>
      <c r="AA110" s="47"/>
      <c r="AB110" s="47"/>
      <c r="AC110" s="602"/>
      <c r="AD110" s="47"/>
      <c r="AE110" s="47"/>
      <c r="AF110" s="47"/>
      <c r="AG110" s="47"/>
      <c r="AH110" s="47"/>
    </row>
    <row r="111" spans="1:34" ht="13" x14ac:dyDescent="0.3">
      <c r="A111" s="22"/>
      <c r="M111" s="47"/>
      <c r="N111" s="47"/>
      <c r="O111" s="47"/>
      <c r="P111" s="47"/>
      <c r="Q111" s="47"/>
      <c r="R111" s="114"/>
      <c r="S111" s="608"/>
      <c r="T111" s="47"/>
      <c r="U111" s="47"/>
      <c r="V111" s="47"/>
      <c r="W111" s="44"/>
      <c r="X111" s="606"/>
      <c r="Y111" s="47"/>
      <c r="Z111" s="131"/>
      <c r="AA111" s="47"/>
      <c r="AB111" s="47"/>
      <c r="AC111" s="47"/>
      <c r="AD111" s="47"/>
      <c r="AE111" s="47"/>
      <c r="AF111" s="47"/>
      <c r="AG111" s="47"/>
      <c r="AH111" s="47"/>
    </row>
    <row r="112" spans="1:34" ht="13" x14ac:dyDescent="0.3">
      <c r="A112" s="22"/>
      <c r="B112" s="28" t="s">
        <v>17</v>
      </c>
      <c r="C112" s="74"/>
      <c r="D112" s="74"/>
      <c r="E112" s="75">
        <f>(SUMPRODUCT(E20:E23,E65:E68,$C84:$C87,$H84:$H87)*E95+SUMPRODUCT(Q20:Q23,E65:E68,$E84:$E87,$I84:$I87)*E95)/SUM(E65:E68)</f>
        <v>42.12080758909584</v>
      </c>
      <c r="F112" s="75">
        <f>(SUMPRODUCT(F20:F23,F65:F68,$C84:$C87,$H84:$H87)*F95+SUMPRODUCT(R20:R23,F65:F68,$E84:$E87,$I84:$I87)*F95)/SUM(F65:F68)</f>
        <v>42.260243706654443</v>
      </c>
      <c r="G112" s="75">
        <f>(SUMPRODUCT(G20:G23,G65:G68,$C84:$C87,$H84:$H87)*G95+SUMPRODUCT(S20:S23,G65:G68,$E84:$E87,$I84:$I87)*G95)/SUM(G65:G68)</f>
        <v>43.04985924760102</v>
      </c>
      <c r="H112" s="75">
        <f>(SUMPRODUCT(H20:H23,H65:H68,$C84:$C87,$H84:$H87)*H95+SUMPRODUCT(T20:T23,H65:H68,$E84:$E87,$I84:$I87)*H95)/SUM(H65:H68)</f>
        <v>42.64861679508244</v>
      </c>
      <c r="I112" s="75">
        <f>(SUMPRODUCT(I20:I23,I65:I68,$C84:$C87,$H84:$H87)*I95+SUMPRODUCT(U20:U23,I65:I68,$E84:$E87,$I84:$I87)*I95)/SUM(I65:I68)</f>
        <v>38.337850271490922</v>
      </c>
      <c r="J112" s="76"/>
      <c r="K112" s="76"/>
      <c r="L112" s="74"/>
      <c r="M112" s="609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348"/>
      <c r="AA112" s="47"/>
      <c r="AB112" s="114"/>
      <c r="AC112" s="608"/>
      <c r="AD112" s="348"/>
      <c r="AE112" s="47"/>
      <c r="AF112" s="47"/>
      <c r="AG112" s="47"/>
      <c r="AH112" s="47"/>
    </row>
    <row r="113" spans="1:34" ht="13" x14ac:dyDescent="0.3">
      <c r="A113" s="22"/>
      <c r="B113" s="77" t="s">
        <v>41</v>
      </c>
      <c r="C113" s="74"/>
      <c r="D113" s="74"/>
      <c r="E113" s="75">
        <f>(SUMPRODUCT(E20:E23,E65:E68,$C84:$C87,$H84:$H87)*E95)/SUMPRODUCT(E20:E23,E65:E68)</f>
        <v>50.200224899628111</v>
      </c>
      <c r="F113" s="75">
        <f>(SUMPRODUCT(F20:F23,F65:F68,$C84:$C87,$H84:$H87)*F95)/SUMPRODUCT(F20:F23,F65:F68)</f>
        <v>50.283779612179799</v>
      </c>
      <c r="G113" s="75">
        <f>(SUMPRODUCT(G20:G23,G65:G68,$C84:$C87,$H84:$H87)*G95)/SUMPRODUCT(G20:G23,G65:G68)</f>
        <v>49.985181735907467</v>
      </c>
      <c r="H113" s="75">
        <f>(SUMPRODUCT(H20:H23,H65:H68,$C84:$C87,$H84:$H87)*H95)/SUMPRODUCT(H20:H23,H65:H68)</f>
        <v>49.948815888427177</v>
      </c>
      <c r="I113" s="75">
        <f>(SUMPRODUCT(I20:I23,I65:I68,$C84:$C87,$H84:$H87)*I95)/SUMPRODUCT(I20:I23,I65:I68)</f>
        <v>49.823949202071567</v>
      </c>
      <c r="J113" s="76"/>
      <c r="K113" s="76"/>
      <c r="L113" s="74"/>
      <c r="M113" s="609"/>
      <c r="N113" s="47"/>
      <c r="O113" s="47"/>
      <c r="P113" s="47"/>
      <c r="Q113" s="47"/>
      <c r="R113" s="47"/>
      <c r="S113" s="602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</row>
    <row r="114" spans="1:34" ht="13" x14ac:dyDescent="0.3">
      <c r="A114" s="22"/>
      <c r="B114" s="77" t="s">
        <v>42</v>
      </c>
      <c r="C114" s="74"/>
      <c r="D114" s="74"/>
      <c r="E114" s="75">
        <f>(SUMPRODUCT(Q20:Q23,E65:E68,$E84:$E87,$I84:$I87)*E95)/SUMPRODUCT(Q20:Q23,E65:E68)</f>
        <v>33.561413666386606</v>
      </c>
      <c r="F114" s="75">
        <f>(SUMPRODUCT(R20:R23,F65:F68,$E84:$E87,$I84:$I87)*F95)/SUMPRODUCT(R20:R23,F65:F68)</f>
        <v>33.651229064767804</v>
      </c>
      <c r="G114" s="75">
        <f>(SUMPRODUCT(S20:S23,G65:G68,$E84:$E87,$I84:$I87)*G95)/SUMPRODUCT(S20:S23,G65:G68)</f>
        <v>33.507990612885621</v>
      </c>
      <c r="H114" s="75">
        <f>(SUMPRODUCT(T20:T23,H65:H68,$E84:$E87,$I84:$I87)*H95)/SUMPRODUCT(T20:T23,H65:H68)</f>
        <v>33.494159061675987</v>
      </c>
      <c r="I114" s="75">
        <f>(SUMPRODUCT(U20:U23,I65:I68,$E84:$E87,$I84:$I87)*I95)/SUMPRODUCT(U20:U23,I65:I68)</f>
        <v>33.463150212568486</v>
      </c>
      <c r="J114" s="76"/>
      <c r="K114" s="76"/>
      <c r="L114" s="74"/>
      <c r="M114" s="44"/>
      <c r="N114" s="606"/>
      <c r="O114" s="47"/>
      <c r="P114" s="131"/>
      <c r="Q114" s="47"/>
      <c r="R114" s="47"/>
      <c r="S114" s="47"/>
      <c r="T114" s="47"/>
      <c r="U114" s="47"/>
      <c r="V114" s="47"/>
      <c r="W114" s="607"/>
      <c r="X114" s="47"/>
      <c r="Y114" s="47"/>
      <c r="Z114" s="47"/>
      <c r="AA114" s="47"/>
      <c r="AB114" s="47"/>
      <c r="AC114" s="602"/>
      <c r="AD114" s="47"/>
      <c r="AE114" s="47"/>
      <c r="AF114" s="47"/>
      <c r="AG114" s="47"/>
      <c r="AH114" s="47"/>
    </row>
    <row r="115" spans="1:34" ht="13" x14ac:dyDescent="0.3">
      <c r="A115" s="22"/>
      <c r="C115" s="142"/>
      <c r="D115" s="142"/>
      <c r="E115" s="143"/>
      <c r="F115" s="143"/>
      <c r="G115" s="143"/>
      <c r="H115" s="143"/>
      <c r="I115" s="143"/>
      <c r="J115" s="76"/>
      <c r="K115" s="76"/>
      <c r="L115" s="142"/>
      <c r="M115" s="47"/>
      <c r="N115" s="47"/>
      <c r="O115" s="47"/>
      <c r="P115" s="47"/>
      <c r="Q115" s="47"/>
      <c r="R115" s="114"/>
      <c r="S115" s="608"/>
      <c r="T115" s="47"/>
      <c r="U115" s="47"/>
      <c r="V115" s="47"/>
      <c r="W115" s="44"/>
      <c r="X115" s="606"/>
      <c r="Y115" s="47"/>
      <c r="Z115" s="131"/>
      <c r="AA115" s="47"/>
      <c r="AB115" s="47"/>
      <c r="AC115" s="47"/>
      <c r="AD115" s="47"/>
      <c r="AE115" s="47"/>
      <c r="AF115" s="47"/>
      <c r="AG115" s="47"/>
      <c r="AH115" s="47"/>
    </row>
    <row r="116" spans="1:34" ht="13" x14ac:dyDescent="0.3">
      <c r="A116" s="22"/>
      <c r="B116" s="28" t="s">
        <v>18</v>
      </c>
      <c r="C116" s="74"/>
      <c r="D116" s="74"/>
      <c r="E116" s="75">
        <f>(SUMPRODUCT(E15:E19,E60:E64,$C79:$C83,$H79:$H83)*E95+SUMPRODUCT(Q15:Q19,E60:E64,$E79:$E83,$I79:$I83)*E95+SUMPRODUCT(E24:E26,E69:E71,$C88:$C90,$H88:$H90)*E95+SUMPRODUCT(Q24:Q26,E69:E71,$E88:$E90,$I88:$I90)*E95)/SUM(E60:E64,E69:E71)</f>
        <v>47.021164427064235</v>
      </c>
      <c r="F116" s="75">
        <f>(SUMPRODUCT(F15:F19,F60:F64,$C79:$C83,$H79:$H83)*F95+SUMPRODUCT(R15:R19,F60:F64,$E79:$E83,$I79:$I83)*F95+SUMPRODUCT(F24:F26,F69:F71,$C88:$C90,$H88:$H90)*F95+SUMPRODUCT(R24:R26,F69:F71,$E88:$E90,$I88:$I90)*F95)/SUM(F60:F64,F69:F71)</f>
        <v>46.730716398645342</v>
      </c>
      <c r="G116" s="75">
        <f>(SUMPRODUCT(G15:G19,G60:G64,$C79:$C83,$H79:$H83)*G95+SUMPRODUCT(S15:S19,G60:G64,$E79:$E83,$I79:$I83)*G95+SUMPRODUCT(G24:G26,G69:G71,$C88:$C90,$H88:$H90)*G95+SUMPRODUCT(S24:S26,G69:G71,$E88:$E90,$I88:$I90)*G95)/SUM(G60:G64,G69:G71)</f>
        <v>46.752724428520501</v>
      </c>
      <c r="H116" s="75">
        <f>(SUMPRODUCT(H15:H19,H60:H64,$C79:$C83,$H79:$H83)*H95+SUMPRODUCT(T15:T19,H60:H64,$E79:$E83,$I79:$I83)*H95+SUMPRODUCT(H24:H26,H69:H71,$C88:$C90,$H88:$H90)*H95+SUMPRODUCT(T24:T26,H69:H71,$E88:$E90,$I88:$I90)*H95)/SUM(H60:H64,H69:H71)</f>
        <v>45.999322715456337</v>
      </c>
      <c r="I116" s="75">
        <f>(SUMPRODUCT(I15:I19,I60:I64,$C79:$C83,$H79:$H83)*I95+SUMPRODUCT(U15:U19,I60:I64,$E79:$E83,$I79:$I83)*I95+SUMPRODUCT(I24:I26,I69:I71,$C88:$C90,$H88:$H90)*I95+SUMPRODUCT(U24:U26,I69:I71,$E88:$E90,$I88:$I90)*I95)/SUM(I60:I64,I69:I71)</f>
        <v>43.898796994195195</v>
      </c>
      <c r="J116" s="76"/>
      <c r="K116" s="76"/>
      <c r="L116" s="74"/>
      <c r="M116" s="610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348"/>
      <c r="AA116" s="47"/>
      <c r="AB116" s="114"/>
      <c r="AC116" s="608"/>
      <c r="AD116" s="348"/>
      <c r="AE116" s="47"/>
      <c r="AF116" s="47"/>
      <c r="AG116" s="47"/>
      <c r="AH116" s="47"/>
    </row>
    <row r="117" spans="1:34" ht="13" x14ac:dyDescent="0.3">
      <c r="A117" s="22"/>
      <c r="B117" s="77" t="s">
        <v>41</v>
      </c>
      <c r="C117" s="74"/>
      <c r="D117" s="74"/>
      <c r="E117" s="75">
        <f>(SUMPRODUCT(E15:E19,E60:E64,$C79:$C83,$H79:$H83)*E95+SUMPRODUCT(E24:E26,E69:E71,$C88:$C90,$H88:$H90)*E95)/(SUMPRODUCT(E15:E19,E60:E64)+SUMPRODUCT(E24:E26,E69:E71))</f>
        <v>52.213301009271476</v>
      </c>
      <c r="F117" s="75">
        <f>(SUMPRODUCT(F15:F19,F60:F64,$C79:$C83,$H79:$H83)*F95+SUMPRODUCT(F24:F26,F69:F71,$C88:$C90,$H88:$H90)*F95)/(SUMPRODUCT(F15:F19,F60:F64)+SUMPRODUCT(F24:F26,F69:F71))</f>
        <v>51.642413974796597</v>
      </c>
      <c r="G117" s="75">
        <f>(SUMPRODUCT(G15:G19,G60:G64,$C79:$C83,$H79:$H83)*G95+SUMPRODUCT(G24:G26,G69:G71,$C88:$C90,$H88:$H90)*G95)/(SUMPRODUCT(G15:G19,G60:G64)+SUMPRODUCT(G24:G26,G69:G71))</f>
        <v>50.740847886892446</v>
      </c>
      <c r="H117" s="75">
        <f>(SUMPRODUCT(H15:H19,H60:H64,$C79:$C83,$H79:$H83)*H95+SUMPRODUCT(H24:H26,H69:H71,$C88:$C90,$H88:$H90)*H95)/(SUMPRODUCT(H15:H19,H60:H64)+SUMPRODUCT(H24:H26,H69:H71))</f>
        <v>50.332593658062571</v>
      </c>
      <c r="I117" s="75">
        <f>(SUMPRODUCT(I15:I19,I60:I64,$C79:$C83,$H79:$H83)*I95+SUMPRODUCT(I24:I26,I69:I71,$C88:$C90,$H88:$H90)*I95)/(SUMPRODUCT(I15:I19,I60:I64)+SUMPRODUCT(I24:I26,I69:I71))</f>
        <v>50.600788484918006</v>
      </c>
      <c r="J117" s="76"/>
      <c r="K117" s="76"/>
      <c r="L117" s="74"/>
      <c r="M117" s="609"/>
      <c r="N117" s="47"/>
      <c r="O117" s="47"/>
      <c r="P117" s="47"/>
      <c r="Q117" s="47"/>
      <c r="R117" s="47"/>
      <c r="S117" s="602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4" ht="13" x14ac:dyDescent="0.3">
      <c r="A118" s="22"/>
      <c r="B118" s="77" t="s">
        <v>42</v>
      </c>
      <c r="C118" s="74"/>
      <c r="D118" s="74"/>
      <c r="E118" s="75">
        <f>(SUMPRODUCT(Q15:Q19,E60:E64,$E79:$E83,$I79:$I83)*E95+SUMPRODUCT(Q24:Q26,E69:E71,$E88:$E90,$I88:$I90)*E95)/(SUMPRODUCT(Q15:Q19,E60:E64)+SUMPRODUCT(Q24:Q26,E69:E71))</f>
        <v>42.239038836457702</v>
      </c>
      <c r="F118" s="75">
        <f>(SUMPRODUCT(R15:R19,F60:F64,$E79:$E83,$I79:$I83)*F95+SUMPRODUCT(R24:R26,F69:F71,$E88:$E90,$I88:$I90)*F95)/(SUMPRODUCT(R15:R19,F60:F64)+SUMPRODUCT(R24:R26,F69:F71))</f>
        <v>41.733583047676987</v>
      </c>
      <c r="G118" s="75">
        <f>(SUMPRODUCT(S15:S19,G60:G64,$E79:$E83,$I79:$I83)*G95+SUMPRODUCT(S24:S26,G69:G71,$E88:$E90,$I88:$I90)*G95)/(SUMPRODUCT(S15:S19,G60:G64)+SUMPRODUCT(S24:S26,G69:G71))</f>
        <v>41.273064009639874</v>
      </c>
      <c r="H118" s="75">
        <f>(SUMPRODUCT(T15:T19,H60:H64,$E79:$E83,$I79:$I83)*H95+SUMPRODUCT(T24:T26,H69:H71,$E88:$E90,$I88:$I90)*H95)/(SUMPRODUCT(T15:T19,H60:H64)+SUMPRODUCT(T24:T26,H69:H71))</f>
        <v>40.7584757552209</v>
      </c>
      <c r="I118" s="75">
        <f>(SUMPRODUCT(U15:U19,I60:I64,$E79:$E83,$I79:$I83)*I95+SUMPRODUCT(U24:U26,I69:I71,$E88:$E90,$I88:$I90)*I95)/(SUMPRODUCT(U15:U19,I60:I64)+SUMPRODUCT(U24:U26,I69:I71))</f>
        <v>40.757214698857723</v>
      </c>
      <c r="J118" s="76"/>
      <c r="K118" s="76"/>
      <c r="L118" s="74"/>
      <c r="M118" s="44"/>
      <c r="N118" s="606"/>
      <c r="O118" s="47"/>
      <c r="P118" s="131"/>
      <c r="Q118" s="47"/>
      <c r="R118" s="47"/>
      <c r="S118" s="47"/>
      <c r="T118" s="47"/>
      <c r="U118" s="47"/>
      <c r="V118" s="47"/>
      <c r="W118" s="607"/>
      <c r="X118" s="47"/>
      <c r="Y118" s="47"/>
      <c r="Z118" s="47"/>
      <c r="AA118" s="47"/>
      <c r="AB118" s="47"/>
      <c r="AC118" s="602"/>
      <c r="AD118" s="47"/>
      <c r="AE118" s="47"/>
      <c r="AF118" s="47"/>
      <c r="AG118" s="47"/>
      <c r="AH118" s="47"/>
    </row>
    <row r="119" spans="1:34" ht="13" x14ac:dyDescent="0.3">
      <c r="A119" s="22"/>
      <c r="C119" s="142"/>
      <c r="D119" s="142"/>
      <c r="E119" s="143"/>
      <c r="F119" s="143"/>
      <c r="G119" s="143"/>
      <c r="H119" s="143"/>
      <c r="I119" s="143"/>
      <c r="J119" s="76"/>
      <c r="K119" s="76"/>
      <c r="L119" s="142"/>
      <c r="M119" s="47"/>
      <c r="N119" s="47"/>
      <c r="O119" s="47"/>
      <c r="P119" s="47"/>
      <c r="Q119" s="47"/>
      <c r="R119" s="114"/>
      <c r="S119" s="608"/>
      <c r="T119" s="47"/>
      <c r="U119" s="47"/>
      <c r="V119" s="47"/>
      <c r="W119" s="44"/>
      <c r="X119" s="606"/>
      <c r="Y119" s="47"/>
      <c r="Z119" s="131"/>
      <c r="AA119" s="47"/>
      <c r="AB119" s="47"/>
      <c r="AC119" s="47"/>
      <c r="AD119" s="47"/>
      <c r="AE119" s="47"/>
      <c r="AF119" s="47"/>
      <c r="AG119" s="47"/>
      <c r="AH119" s="47"/>
    </row>
    <row r="120" spans="1:34" ht="13" x14ac:dyDescent="0.3">
      <c r="A120" s="22"/>
      <c r="B120" s="13" t="s">
        <v>16</v>
      </c>
      <c r="C120" s="74"/>
      <c r="D120" s="78"/>
      <c r="E120" s="79">
        <f>(E112*SUM(E65:E68)+E116*SUM(E60:E64,E69:E71))/E72</f>
        <v>45.407834533014579</v>
      </c>
      <c r="F120" s="79">
        <f>(F112*SUM(F65:F68)+F116*SUM(F60:F64,F69:F71))/F72</f>
        <v>44.872416919304555</v>
      </c>
      <c r="G120" s="79">
        <f>(G112*SUM(G65:G68)+G116*SUM(G60:G64,G69:G71))/G72</f>
        <v>45.410377605819967</v>
      </c>
      <c r="H120" s="79">
        <f>(H112*SUM(H65:H68)+H116*SUM(H60:H64,H69:H71))/H72</f>
        <v>44.856866377319648</v>
      </c>
      <c r="I120" s="79">
        <f>(I112*SUM(I65:I68)+I116*SUM(I60:I64,I69:I71))/I72</f>
        <v>42.045083667898773</v>
      </c>
      <c r="J120" s="76"/>
      <c r="K120" s="76"/>
      <c r="L120" s="78"/>
      <c r="M120" s="609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348"/>
      <c r="AA120" s="47"/>
      <c r="AB120" s="114"/>
      <c r="AC120" s="608"/>
      <c r="AD120" s="348"/>
      <c r="AE120" s="47"/>
      <c r="AF120" s="47"/>
      <c r="AG120" s="47"/>
      <c r="AH120" s="47"/>
    </row>
    <row r="121" spans="1:34" ht="13" x14ac:dyDescent="0.3">
      <c r="A121" s="22"/>
      <c r="C121" s="74"/>
      <c r="D121" s="78"/>
      <c r="E121" s="78"/>
      <c r="F121" s="78"/>
      <c r="G121" s="78"/>
      <c r="H121" s="78"/>
      <c r="I121" s="78"/>
      <c r="J121" s="78"/>
      <c r="K121" s="78"/>
      <c r="L121" s="78"/>
      <c r="M121" s="609"/>
      <c r="N121" s="47"/>
      <c r="O121" s="47"/>
      <c r="P121" s="47"/>
      <c r="Q121" s="47"/>
      <c r="R121" s="47"/>
      <c r="S121" s="602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1:34" ht="13" x14ac:dyDescent="0.3">
      <c r="A122" s="22"/>
      <c r="B122" s="13" t="s">
        <v>44</v>
      </c>
      <c r="C122" s="80">
        <f>SUMPRODUCT(C120:I120,C72:I72)/SUM(C72:I72)</f>
        <v>45.053247236207461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44"/>
      <c r="N122" s="606"/>
      <c r="O122" s="47"/>
      <c r="P122" s="131"/>
      <c r="Q122" s="47"/>
      <c r="R122" s="47"/>
      <c r="S122" s="47"/>
      <c r="T122" s="47"/>
      <c r="U122" s="47"/>
      <c r="V122" s="47"/>
      <c r="W122" s="607"/>
      <c r="X122" s="47"/>
      <c r="Y122" s="47"/>
      <c r="Z122" s="47"/>
      <c r="AA122" s="47"/>
      <c r="AB122" s="47"/>
      <c r="AC122" s="602"/>
      <c r="AD122" s="47"/>
      <c r="AE122" s="47"/>
      <c r="AF122" s="611"/>
      <c r="AG122" s="348"/>
      <c r="AH122" s="47"/>
    </row>
    <row r="123" spans="1:34" ht="13" x14ac:dyDescent="0.3">
      <c r="A123" s="22"/>
      <c r="C123" s="74"/>
      <c r="D123" s="78"/>
      <c r="E123" s="78"/>
      <c r="F123" s="78"/>
      <c r="G123" s="78"/>
      <c r="H123" s="78"/>
      <c r="I123" s="78"/>
      <c r="J123" s="78"/>
      <c r="K123" s="78"/>
      <c r="L123" s="78"/>
      <c r="M123" s="47"/>
      <c r="N123" s="47"/>
      <c r="O123" s="47"/>
      <c r="P123" s="47"/>
      <c r="Q123" s="47"/>
      <c r="R123" s="114"/>
      <c r="S123" s="608"/>
      <c r="T123" s="47"/>
      <c r="U123" s="47"/>
      <c r="V123" s="47"/>
      <c r="W123" s="44"/>
      <c r="X123" s="606"/>
      <c r="Y123" s="47"/>
      <c r="Z123" s="131"/>
      <c r="AA123" s="47"/>
      <c r="AB123" s="47"/>
      <c r="AC123" s="47"/>
      <c r="AD123" s="47"/>
      <c r="AE123" s="47"/>
      <c r="AF123" s="47"/>
      <c r="AG123" s="47"/>
      <c r="AH123" s="47"/>
    </row>
    <row r="124" spans="1:34" ht="13" x14ac:dyDescent="0.3">
      <c r="A124" s="22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609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348"/>
      <c r="AA124" s="47"/>
      <c r="AB124" s="114"/>
      <c r="AC124" s="608"/>
      <c r="AD124" s="348"/>
      <c r="AE124" s="47"/>
      <c r="AF124" s="612"/>
      <c r="AG124" s="348"/>
      <c r="AH124" s="47"/>
    </row>
    <row r="125" spans="1:34" ht="13" x14ac:dyDescent="0.3">
      <c r="A125" s="18" t="s">
        <v>35</v>
      </c>
      <c r="B125" s="16" t="s">
        <v>49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609"/>
      <c r="N125" s="47"/>
      <c r="O125" s="47"/>
      <c r="P125" s="47"/>
      <c r="Q125" s="47"/>
      <c r="R125" s="47"/>
      <c r="S125" s="602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</row>
    <row r="126" spans="1:34" ht="13" x14ac:dyDescent="0.3">
      <c r="A126" s="22"/>
      <c r="B126" s="17" t="s">
        <v>172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44"/>
      <c r="N126" s="606"/>
      <c r="O126" s="47"/>
      <c r="P126" s="131"/>
      <c r="Q126" s="47"/>
      <c r="R126" s="47"/>
      <c r="S126" s="47"/>
      <c r="T126" s="47"/>
      <c r="U126" s="47"/>
      <c r="V126" s="47"/>
      <c r="W126" s="607"/>
      <c r="X126" s="47"/>
      <c r="Y126" s="47"/>
      <c r="Z126" s="47"/>
      <c r="AA126" s="47"/>
      <c r="AB126" s="47"/>
      <c r="AC126" s="602"/>
      <c r="AD126" s="47"/>
      <c r="AE126" s="47"/>
      <c r="AF126" s="613"/>
      <c r="AG126" s="348"/>
      <c r="AH126" s="47"/>
    </row>
    <row r="127" spans="1:34" ht="13" x14ac:dyDescent="0.3">
      <c r="A127" s="22"/>
      <c r="B127" s="17" t="s">
        <v>43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47"/>
      <c r="N127" s="47"/>
      <c r="O127" s="47"/>
      <c r="P127" s="47"/>
      <c r="Q127" s="47"/>
      <c r="R127" s="114"/>
      <c r="S127" s="608"/>
      <c r="T127" s="47"/>
      <c r="U127" s="47"/>
      <c r="V127" s="47"/>
      <c r="W127" s="44"/>
      <c r="X127" s="606"/>
      <c r="Y127" s="47"/>
      <c r="Z127" s="131"/>
      <c r="AA127" s="47"/>
      <c r="AB127" s="47"/>
      <c r="AC127" s="47"/>
      <c r="AD127" s="47"/>
      <c r="AE127" s="47"/>
      <c r="AF127" s="47"/>
      <c r="AG127" s="47"/>
      <c r="AH127" s="47"/>
    </row>
    <row r="128" spans="1:34" ht="13" x14ac:dyDescent="0.3">
      <c r="A128" s="22"/>
      <c r="B128" s="16"/>
      <c r="C128" s="26"/>
      <c r="D128" s="26"/>
      <c r="E128" s="26" t="str">
        <f>+E$13</f>
        <v>RT{1}</v>
      </c>
      <c r="F128" s="26" t="str">
        <f>+F$13</f>
        <v>RS{2}</v>
      </c>
      <c r="G128" s="26" t="str">
        <f>+G$13</f>
        <v>GS{3}</v>
      </c>
      <c r="H128" s="26" t="str">
        <f>+H$58</f>
        <v>GST {4}</v>
      </c>
      <c r="I128" s="26" t="str">
        <f>+I$13</f>
        <v>OL/SL</v>
      </c>
      <c r="J128" s="26" t="s">
        <v>13</v>
      </c>
      <c r="K128" s="26"/>
      <c r="L128" s="26"/>
      <c r="M128" s="44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348"/>
      <c r="AA128" s="47"/>
      <c r="AB128" s="114"/>
      <c r="AC128" s="608"/>
      <c r="AD128" s="348"/>
      <c r="AE128" s="47"/>
      <c r="AF128" s="612"/>
      <c r="AG128" s="47"/>
      <c r="AH128" s="47"/>
    </row>
    <row r="129" spans="1:34" ht="13" x14ac:dyDescent="0.3">
      <c r="A129" s="22"/>
      <c r="C129" s="81"/>
      <c r="M129" s="609"/>
      <c r="N129" s="47"/>
      <c r="O129" s="47"/>
      <c r="P129" s="47"/>
      <c r="Q129" s="47"/>
      <c r="R129" s="47"/>
      <c r="S129" s="602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</row>
    <row r="130" spans="1:34" ht="13" x14ac:dyDescent="0.3">
      <c r="A130" s="22"/>
      <c r="B130" s="28" t="s">
        <v>17</v>
      </c>
      <c r="C130" s="76"/>
      <c r="D130" s="76"/>
      <c r="E130" s="76">
        <f>SUM(E65:E68)*E112/1000</f>
        <v>2790.5877443927779</v>
      </c>
      <c r="F130" s="76">
        <f>SUM(F65:F68)*F112/1000</f>
        <v>159391.31303888402</v>
      </c>
      <c r="G130" s="76">
        <f>SUM(G65:G68)*G112/1000</f>
        <v>85473.343043149434</v>
      </c>
      <c r="H130" s="76">
        <f>SUM(H65:H68)*H112/1000</f>
        <v>2985.8723104405167</v>
      </c>
      <c r="I130" s="76">
        <f>SUM(I65:I68)*I112/1000</f>
        <v>1470.9466392165637</v>
      </c>
      <c r="J130" s="76">
        <f>SUM(E130:I130)</f>
        <v>252112.0627760833</v>
      </c>
      <c r="K130" s="76"/>
      <c r="L130" s="76"/>
      <c r="M130" s="44"/>
      <c r="N130" s="606"/>
      <c r="O130" s="47"/>
      <c r="P130" s="131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</row>
    <row r="131" spans="1:34" ht="13" x14ac:dyDescent="0.3">
      <c r="A131" s="22"/>
      <c r="B131" s="77" t="s">
        <v>41</v>
      </c>
      <c r="C131" s="76"/>
      <c r="D131" s="76"/>
      <c r="E131" s="76">
        <f>SUMPRODUCT(E65:E68,E20:E23)*E113/1000</f>
        <v>1710.9029508145327</v>
      </c>
      <c r="F131" s="76">
        <f>SUMPRODUCT(F65:F68,F20:F23)*F113/1000</f>
        <v>98164.658440554485</v>
      </c>
      <c r="G131" s="76">
        <f>SUMPRODUCT(G65:G68,G20:G23)*G113/1000</f>
        <v>57471.228948703028</v>
      </c>
      <c r="H131" s="76">
        <f>SUMPRODUCT(H65:H68,H20:H23)*H113/1000</f>
        <v>1945.5180868566829</v>
      </c>
      <c r="I131" s="76">
        <f>SUMPRODUCT(I65:I68,I20:I23)*I113/1000</f>
        <v>569.57471206540515</v>
      </c>
      <c r="J131" s="76">
        <f>SUM(E131:I131)</f>
        <v>159861.88313899413</v>
      </c>
      <c r="K131" s="76"/>
      <c r="L131" s="76"/>
      <c r="M131" s="47"/>
      <c r="N131" s="47"/>
      <c r="O131" s="47"/>
      <c r="P131" s="47"/>
      <c r="Q131" s="47"/>
      <c r="R131" s="114"/>
      <c r="S131" s="608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</row>
    <row r="132" spans="1:34" ht="13" x14ac:dyDescent="0.3">
      <c r="A132" s="22"/>
      <c r="B132" s="77" t="s">
        <v>42</v>
      </c>
      <c r="C132" s="76"/>
      <c r="D132" s="76"/>
      <c r="E132" s="76">
        <f>SUMPRODUCT(E65:E68,Q20:Q23)*E114/1000</f>
        <v>1079.6847935782453</v>
      </c>
      <c r="F132" s="76">
        <f>SUMPRODUCT(F65:F68,R20:R23)*F114/1000</f>
        <v>61226.654598329522</v>
      </c>
      <c r="G132" s="76">
        <f>SUMPRODUCT(G65:G68,S20:S23)*G114/1000</f>
        <v>28002.114094446413</v>
      </c>
      <c r="H132" s="76">
        <f>SUMPRODUCT(H65:H68,T20:T23)*H114/1000</f>
        <v>1040.3542235838338</v>
      </c>
      <c r="I132" s="76">
        <f>SUMPRODUCT(I65:I68,U20:U23)*I114/1000</f>
        <v>901.37192715115884</v>
      </c>
      <c r="J132" s="76">
        <f>SUM(E132:I132)</f>
        <v>92250.179637089183</v>
      </c>
      <c r="K132" s="76"/>
      <c r="L132" s="76"/>
      <c r="M132" s="614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ht="13" x14ac:dyDescent="0.3">
      <c r="A133" s="22"/>
      <c r="C133" s="82"/>
      <c r="D133" s="82"/>
      <c r="E133" s="82"/>
      <c r="F133" s="82"/>
      <c r="G133" s="82"/>
      <c r="H133" s="82"/>
      <c r="I133" s="82"/>
      <c r="J133" s="76"/>
      <c r="K133" s="76"/>
      <c r="L133" s="82"/>
      <c r="M133" s="607"/>
      <c r="N133" s="47"/>
      <c r="O133" s="47"/>
      <c r="P133" s="47"/>
      <c r="Q133" s="47"/>
      <c r="R133" s="47"/>
      <c r="S133" s="602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4" ht="13" x14ac:dyDescent="0.3">
      <c r="A134" s="22"/>
      <c r="B134" s="28" t="s">
        <v>18</v>
      </c>
      <c r="C134" s="82"/>
      <c r="D134" s="82"/>
      <c r="E134" s="82">
        <f>SUM(E60:E64,E69:E71)*E116/1000</f>
        <v>6347.0578378584114</v>
      </c>
      <c r="F134" s="82">
        <f>SUM(F60:F64,F69:F71)*F116/1000</f>
        <v>247754.38874365235</v>
      </c>
      <c r="G134" s="82">
        <f>SUM(G60:G64,G69:G71)*G116/1000</f>
        <v>163233.21011332731</v>
      </c>
      <c r="H134" s="82">
        <f>SUM(H60:H64,H69:H71)*H116/1000</f>
        <v>6224.8123471464132</v>
      </c>
      <c r="I134" s="82">
        <f>SUM(I60:I64,I69:I71)*I116/1000</f>
        <v>3368.4424909585859</v>
      </c>
      <c r="J134" s="76">
        <f>SUM(E134:I134)</f>
        <v>426927.91153294308</v>
      </c>
      <c r="K134" s="76"/>
      <c r="L134" s="82"/>
      <c r="M134" s="44"/>
      <c r="N134" s="606"/>
      <c r="O134" s="47"/>
      <c r="P134" s="131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</row>
    <row r="135" spans="1:34" ht="13" x14ac:dyDescent="0.3">
      <c r="A135" s="22"/>
      <c r="B135" s="77" t="s">
        <v>41</v>
      </c>
      <c r="C135" s="76"/>
      <c r="D135" s="76"/>
      <c r="E135" s="76">
        <f>(SUMPRODUCT(E60:E64,E15:E19)+SUMPRODUCT(E69:E71,E24:E26))*E117/1000</f>
        <v>3379.0951823353676</v>
      </c>
      <c r="F135" s="76">
        <f>(SUMPRODUCT(F60:F64,F15:F19)+SUMPRODUCT(F69:F71,F24:F26))*F117/1000</f>
        <v>138077.83628637812</v>
      </c>
      <c r="G135" s="76">
        <f>(SUMPRODUCT(G60:G64,G15:G19)+SUMPRODUCT(G69:G71,G24:G26))*G117/1000</f>
        <v>102533.22741875447</v>
      </c>
      <c r="H135" s="76">
        <f>(SUMPRODUCT(H60:H64,H15:H19)+SUMPRODUCT(H69:H71,H24:H26))*H117/1000</f>
        <v>3728.4372933800519</v>
      </c>
      <c r="I135" s="76">
        <f>(SUMPRODUCT(I60:I64,I15:I19)+SUMPRODUCT(I69:I71,I24:I26))*I117/1000</f>
        <v>1239.1658666963588</v>
      </c>
      <c r="J135" s="76">
        <f>SUM(E135:I135)</f>
        <v>248957.76204754435</v>
      </c>
      <c r="K135" s="76"/>
      <c r="L135" s="76"/>
      <c r="M135" s="47"/>
      <c r="N135" s="47"/>
      <c r="O135" s="47"/>
      <c r="P135" s="348"/>
      <c r="Q135" s="47"/>
      <c r="R135" s="114"/>
      <c r="S135" s="608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</row>
    <row r="136" spans="1:34" ht="13" x14ac:dyDescent="0.3">
      <c r="A136" s="22"/>
      <c r="B136" s="77" t="s">
        <v>42</v>
      </c>
      <c r="C136" s="76"/>
      <c r="D136" s="76"/>
      <c r="E136" s="76">
        <f>+(SUMPRODUCT(E60:E64,Q15:Q19)+SUMPRODUCT(E69:E71,Q24:Q26))*E118/1000</f>
        <v>2967.9626555230438</v>
      </c>
      <c r="F136" s="76">
        <f>+(SUMPRODUCT(F60:F64,R15:R19)+SUMPRODUCT(F69:F71,R24:R26))*F118/1000</f>
        <v>109676.55245727423</v>
      </c>
      <c r="G136" s="76">
        <f>+(SUMPRODUCT(G60:G64,S15:S19)+SUMPRODUCT(G69:G71,S24:S26))*G118/1000</f>
        <v>60699.982694572842</v>
      </c>
      <c r="H136" s="76">
        <f>+(SUMPRODUCT(H60:H64,T15:T19)+SUMPRODUCT(H69:H71,T24:T26))*H118/1000</f>
        <v>2496.3750537663609</v>
      </c>
      <c r="I136" s="76">
        <f>+(SUMPRODUCT(I60:I64,U15:U19)+SUMPRODUCT(I69:I71,U24:U26))*I118/1000</f>
        <v>2129.276624262227</v>
      </c>
      <c r="J136" s="76">
        <f>SUM(E136:I136)</f>
        <v>177970.1494853987</v>
      </c>
      <c r="K136" s="76"/>
      <c r="L136" s="76"/>
      <c r="M136" s="614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ht="13" x14ac:dyDescent="0.3">
      <c r="A137" s="22"/>
      <c r="C137" s="142"/>
      <c r="D137" s="142"/>
      <c r="E137" s="142"/>
      <c r="F137" s="142"/>
      <c r="G137" s="142"/>
      <c r="H137" s="142"/>
      <c r="I137" s="142"/>
      <c r="J137" s="76"/>
      <c r="K137" s="76"/>
      <c r="L137" s="142"/>
      <c r="M137" s="607"/>
      <c r="N137" s="47"/>
      <c r="O137" s="47"/>
      <c r="P137" s="47"/>
      <c r="Q137" s="47"/>
      <c r="R137" s="47"/>
      <c r="S137" s="602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ht="13" x14ac:dyDescent="0.3">
      <c r="A138" s="22"/>
      <c r="B138" s="13" t="s">
        <v>16</v>
      </c>
      <c r="C138" s="82"/>
      <c r="D138" s="82"/>
      <c r="E138" s="82">
        <f>+E130+E134</f>
        <v>9137.6455822511889</v>
      </c>
      <c r="F138" s="82">
        <f>+F130+F134</f>
        <v>407145.70178253634</v>
      </c>
      <c r="G138" s="82">
        <f>+G130+G134</f>
        <v>248706.55315647676</v>
      </c>
      <c r="H138" s="82">
        <f>+H130+H134</f>
        <v>9210.6846575869295</v>
      </c>
      <c r="I138" s="82">
        <f>+I130+I134</f>
        <v>4839.3891301751501</v>
      </c>
      <c r="J138" s="76">
        <f>SUM(E138:I138)</f>
        <v>679039.97430902638</v>
      </c>
      <c r="K138" s="76"/>
      <c r="L138" s="82"/>
      <c r="M138" s="44"/>
      <c r="N138" s="606"/>
      <c r="O138" s="47"/>
      <c r="P138" s="131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ht="13" x14ac:dyDescent="0.3">
      <c r="A139" s="22"/>
      <c r="M139" s="47"/>
      <c r="N139" s="47"/>
      <c r="O139" s="47"/>
      <c r="P139" s="348"/>
      <c r="Q139" s="47"/>
      <c r="R139" s="114"/>
      <c r="S139" s="608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ht="13" x14ac:dyDescent="0.3">
      <c r="A140" s="22"/>
      <c r="B140" s="13" t="s">
        <v>44</v>
      </c>
      <c r="C140" s="76">
        <f>SUM(C138:I138)</f>
        <v>679039.97430902638</v>
      </c>
      <c r="E140" s="83"/>
      <c r="F140" s="74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spans="1:34" ht="13" x14ac:dyDescent="0.3">
      <c r="A141" s="22"/>
      <c r="M141" s="607"/>
      <c r="N141" s="47"/>
      <c r="O141" s="47"/>
      <c r="P141" s="47"/>
      <c r="Q141" s="47"/>
      <c r="R141" s="47"/>
      <c r="S141" s="602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</row>
    <row r="142" spans="1:34" ht="13" x14ac:dyDescent="0.3">
      <c r="A142" s="22"/>
      <c r="M142" s="44"/>
      <c r="N142" s="606"/>
      <c r="O142" s="47"/>
      <c r="P142" s="131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</row>
    <row r="143" spans="1:34" ht="15.5" x14ac:dyDescent="0.35">
      <c r="A143" s="22"/>
      <c r="B143" s="638" t="str">
        <f>$B$1</f>
        <v xml:space="preserve">Jersey Central Power &amp; Light </v>
      </c>
      <c r="C143" s="638"/>
      <c r="D143" s="638"/>
      <c r="E143" s="638"/>
      <c r="F143" s="638"/>
      <c r="G143" s="638"/>
      <c r="H143" s="638"/>
      <c r="I143" s="638"/>
      <c r="J143" s="638"/>
      <c r="K143" s="638"/>
      <c r="L143" s="638"/>
      <c r="M143" s="47"/>
      <c r="N143" s="47"/>
      <c r="O143" s="47"/>
      <c r="P143" s="348"/>
      <c r="Q143" s="47"/>
      <c r="R143" s="114"/>
      <c r="S143" s="608"/>
      <c r="T143" s="348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</row>
    <row r="144" spans="1:34" ht="15.5" x14ac:dyDescent="0.35">
      <c r="A144" s="22"/>
      <c r="B144" s="638" t="str">
        <f>$B$2</f>
        <v>Attachment 2</v>
      </c>
      <c r="C144" s="638"/>
      <c r="D144" s="638"/>
      <c r="E144" s="638"/>
      <c r="F144" s="638"/>
      <c r="G144" s="638"/>
      <c r="H144" s="638"/>
      <c r="I144" s="638"/>
      <c r="J144" s="638"/>
      <c r="K144" s="638"/>
      <c r="L144" s="638"/>
    </row>
    <row r="145" spans="1:51" ht="13" x14ac:dyDescent="0.3">
      <c r="A145" s="18" t="s">
        <v>70</v>
      </c>
      <c r="B145" s="16" t="s">
        <v>71</v>
      </c>
      <c r="C145" s="78"/>
      <c r="Q145" s="13" t="s">
        <v>126</v>
      </c>
      <c r="T145" s="13" t="s">
        <v>122</v>
      </c>
      <c r="W145" s="13" t="s">
        <v>123</v>
      </c>
      <c r="Z145" s="13" t="s">
        <v>124</v>
      </c>
    </row>
    <row r="146" spans="1:51" ht="13" x14ac:dyDescent="0.3">
      <c r="A146" s="22"/>
      <c r="B146" s="17" t="s">
        <v>173</v>
      </c>
      <c r="C146" s="78"/>
      <c r="W146" s="13" t="s">
        <v>127</v>
      </c>
      <c r="Z146" s="13" t="s">
        <v>128</v>
      </c>
      <c r="AC146" s="13" t="s">
        <v>125</v>
      </c>
    </row>
    <row r="147" spans="1:51" ht="13" x14ac:dyDescent="0.3">
      <c r="A147" s="22"/>
      <c r="B147" s="17" t="s">
        <v>21</v>
      </c>
      <c r="C147" s="78"/>
    </row>
    <row r="148" spans="1:51" ht="13" x14ac:dyDescent="0.3">
      <c r="A148" s="22"/>
      <c r="B148" s="16"/>
      <c r="C148" s="26"/>
      <c r="D148" s="26"/>
      <c r="E148" s="26" t="str">
        <f>+E$13</f>
        <v>RT{1}</v>
      </c>
      <c r="F148" s="26" t="str">
        <f>+F$13</f>
        <v>RS{2}</v>
      </c>
      <c r="G148" s="26" t="str">
        <f>+G$13</f>
        <v>GS{3}</v>
      </c>
      <c r="H148" s="26" t="str">
        <f>+H$58</f>
        <v>GST {4}</v>
      </c>
      <c r="I148" s="26" t="str">
        <f>+I$13</f>
        <v>OL/SL</v>
      </c>
      <c r="J148" s="26"/>
      <c r="K148" s="26"/>
      <c r="L148" s="26"/>
      <c r="M148" s="26"/>
      <c r="Q148" s="26" t="str">
        <f>+$H148</f>
        <v>GST {4}</v>
      </c>
      <c r="R148" s="26"/>
      <c r="S148" s="26"/>
      <c r="T148" s="26" t="str">
        <f>+$H148</f>
        <v>GST {4}</v>
      </c>
      <c r="U148" s="26"/>
      <c r="V148" s="26"/>
      <c r="W148" s="26" t="str">
        <f>+$H148</f>
        <v>GST {4}</v>
      </c>
      <c r="X148" s="26"/>
      <c r="Z148" s="26" t="str">
        <f>+$H148</f>
        <v>GST {4}</v>
      </c>
      <c r="AA148" s="26"/>
      <c r="AC148" s="26" t="str">
        <f>+$H148</f>
        <v>GST {4}</v>
      </c>
      <c r="AD148" s="26"/>
      <c r="AU148" s="26"/>
      <c r="AV148" s="26"/>
      <c r="AW148" s="26"/>
      <c r="AX148" s="26"/>
      <c r="AY148" s="26"/>
    </row>
    <row r="149" spans="1:51" ht="13" x14ac:dyDescent="0.3">
      <c r="A149" s="22"/>
      <c r="B149" s="28" t="s">
        <v>17</v>
      </c>
      <c r="C149" s="80"/>
      <c r="D149" s="80"/>
      <c r="E149" s="75">
        <f>+E130/SUM(E65:E68)*1000</f>
        <v>42.120807589095847</v>
      </c>
      <c r="F149" s="75">
        <f>+F130/SUM(F65:F68)*1000</f>
        <v>42.26024370665445</v>
      </c>
      <c r="G149" s="75">
        <f>+G130/SUM(G65:G68)*1000</f>
        <v>43.049859247601013</v>
      </c>
      <c r="H149" s="75">
        <f>+H130/SUM(H65:H68)*1000</f>
        <v>42.64861679508244</v>
      </c>
      <c r="I149" s="75">
        <f>+I130/SUM(I65:I68)*1000</f>
        <v>38.337850271490922</v>
      </c>
      <c r="J149" s="80"/>
      <c r="K149" s="80"/>
      <c r="L149" s="80"/>
      <c r="M149" s="80"/>
      <c r="P149" s="133" t="s">
        <v>25</v>
      </c>
      <c r="AU149" s="55"/>
      <c r="AV149" s="55"/>
      <c r="AW149" s="55"/>
      <c r="AX149" s="55"/>
      <c r="AY149" s="55"/>
    </row>
    <row r="150" spans="1:51" ht="13" x14ac:dyDescent="0.3">
      <c r="A150" s="22"/>
      <c r="B150" s="77" t="s">
        <v>72</v>
      </c>
      <c r="C150" s="76"/>
      <c r="D150" s="76"/>
      <c r="E150" s="75">
        <f>+(E131*1000-X161*AVERAGE(E$113,E$114))/R161</f>
        <v>52.306519011042987</v>
      </c>
      <c r="F150" s="75"/>
      <c r="G150" s="75"/>
      <c r="H150" s="75">
        <f>+(H131*1000-W150*AVERAGE(H$113,H$114))/Q150</f>
        <v>51.655312995556002</v>
      </c>
      <c r="I150" s="75"/>
      <c r="J150" s="76"/>
      <c r="K150" s="76"/>
      <c r="L150" s="76"/>
      <c r="M150" s="80"/>
      <c r="P150" s="13" t="s">
        <v>14</v>
      </c>
      <c r="Q150" s="55">
        <f>T65</f>
        <v>32259.11</v>
      </c>
      <c r="R150" s="55"/>
      <c r="T150" s="55">
        <f>T76</f>
        <v>38950.234400000001</v>
      </c>
      <c r="U150" s="55"/>
      <c r="W150" s="55">
        <f>+T150-Q150</f>
        <v>6691.1244000000006</v>
      </c>
      <c r="X150" s="55"/>
      <c r="Z150" s="144">
        <f>+H150*Q150/1000</f>
        <v>1666.3544240080707</v>
      </c>
      <c r="AA150" s="144"/>
      <c r="AX150" s="55"/>
    </row>
    <row r="151" spans="1:51" ht="14" x14ac:dyDescent="0.4">
      <c r="A151" s="22"/>
      <c r="B151" s="77" t="s">
        <v>73</v>
      </c>
      <c r="C151" s="76"/>
      <c r="D151" s="76"/>
      <c r="E151" s="75">
        <f>+(E132*1000-X162*AVERAGE(E$113,E$114))/R162</f>
        <v>35.021253353499745</v>
      </c>
      <c r="F151" s="75"/>
      <c r="G151" s="75"/>
      <c r="H151" s="75">
        <f>+(H132*1000-W151*AVERAGE(H$113,H$114))/Q151</f>
        <v>34.95236626384655</v>
      </c>
      <c r="I151" s="75"/>
      <c r="J151" s="76"/>
      <c r="K151" s="76"/>
      <c r="L151" s="76"/>
      <c r="M151" s="80"/>
      <c r="P151" s="13" t="s">
        <v>15</v>
      </c>
      <c r="Q151" s="55">
        <f>T66</f>
        <v>37751.89</v>
      </c>
      <c r="R151" s="55"/>
      <c r="T151" s="55">
        <f>T77</f>
        <v>31060.765599999999</v>
      </c>
      <c r="U151" s="55"/>
      <c r="W151" s="55">
        <f>+T151-Q151</f>
        <v>-6691.1244000000006</v>
      </c>
      <c r="X151" s="55"/>
      <c r="Z151" s="85">
        <f>+H151*Q151/1000</f>
        <v>1319.5178864324459</v>
      </c>
      <c r="AA151" s="85"/>
      <c r="AX151" s="55"/>
    </row>
    <row r="152" spans="1:51" ht="5.5" customHeight="1" x14ac:dyDescent="0.3">
      <c r="A152" s="22"/>
      <c r="C152" s="82"/>
      <c r="D152" s="82"/>
      <c r="E152" s="79"/>
      <c r="F152" s="79"/>
      <c r="G152" s="79"/>
      <c r="H152" s="79"/>
      <c r="I152" s="79"/>
      <c r="J152" s="82"/>
      <c r="K152" s="82"/>
      <c r="L152" s="82"/>
      <c r="M152" s="82"/>
      <c r="Q152" s="55"/>
      <c r="R152" s="55"/>
      <c r="T152" s="55"/>
      <c r="U152" s="55"/>
      <c r="W152" s="55"/>
      <c r="X152" s="55"/>
      <c r="Z152" s="144">
        <f>+Z151+Z150</f>
        <v>2985.8723104405167</v>
      </c>
      <c r="AA152" s="144"/>
      <c r="AC152" s="81">
        <f>+H130</f>
        <v>2985.8723104405167</v>
      </c>
      <c r="AD152" s="81"/>
    </row>
    <row r="153" spans="1:51" ht="13" x14ac:dyDescent="0.3">
      <c r="A153" s="22"/>
      <c r="B153" s="28" t="s">
        <v>18</v>
      </c>
      <c r="C153" s="78"/>
      <c r="D153" s="78"/>
      <c r="E153" s="79">
        <f>+E134/SUM(E60:E64,E69:E71)*1000</f>
        <v>47.021164427064235</v>
      </c>
      <c r="F153" s="79">
        <f>+F134/SUM(F60:F64,F69:F71)*1000</f>
        <v>46.730716398645342</v>
      </c>
      <c r="G153" s="79">
        <f>+G134/SUM(G60:G64,G69:G71)*1000</f>
        <v>46.752724428520494</v>
      </c>
      <c r="H153" s="79">
        <f>+H134/SUM(H60:H64,H69:H71)*1000</f>
        <v>45.999322715456337</v>
      </c>
      <c r="I153" s="79">
        <f>+I134/SUM(I60:I64,I69:I71)*1000</f>
        <v>43.898796994195195</v>
      </c>
      <c r="J153" s="78"/>
      <c r="K153" s="78"/>
      <c r="L153" s="78"/>
      <c r="M153" s="78"/>
      <c r="P153" s="133" t="s">
        <v>26</v>
      </c>
      <c r="Q153" s="55"/>
      <c r="R153" s="55"/>
      <c r="T153" s="55"/>
      <c r="U153" s="55"/>
      <c r="W153" s="55"/>
      <c r="X153" s="55"/>
      <c r="Z153" s="144"/>
      <c r="AA153" s="144"/>
      <c r="AC153" s="81"/>
      <c r="AU153" s="55"/>
      <c r="AV153" s="55"/>
      <c r="AW153" s="55"/>
      <c r="AX153" s="55"/>
      <c r="AY153" s="55"/>
    </row>
    <row r="154" spans="1:51" ht="13" x14ac:dyDescent="0.3">
      <c r="A154" s="22"/>
      <c r="B154" s="77" t="s">
        <v>72</v>
      </c>
      <c r="C154" s="76"/>
      <c r="D154" s="76"/>
      <c r="E154" s="75">
        <f>+(E135*1000-X166*AVERAGE(E$113,E$114))/R166</f>
        <v>55.890058276531953</v>
      </c>
      <c r="F154" s="75"/>
      <c r="G154" s="75"/>
      <c r="H154" s="75">
        <f>+(H135*1000-W154*AVERAGE(H$117,H$118))/Q154</f>
        <v>51.568931379734728</v>
      </c>
      <c r="I154" s="75"/>
      <c r="J154" s="76"/>
      <c r="K154" s="76"/>
      <c r="L154" s="76"/>
      <c r="M154" s="80"/>
      <c r="P154" s="13" t="s">
        <v>14</v>
      </c>
      <c r="Q154" s="55">
        <f>T61</f>
        <v>58871.465100000001</v>
      </c>
      <c r="R154" s="55"/>
      <c r="T154" s="55">
        <f>T72</f>
        <v>74076.001699999993</v>
      </c>
      <c r="U154" s="55"/>
      <c r="W154" s="55">
        <f>+T154-Q154</f>
        <v>15204.536599999992</v>
      </c>
      <c r="X154" s="55"/>
      <c r="Z154" s="144">
        <f>+H154*Q154/1000</f>
        <v>3035.9385439663479</v>
      </c>
      <c r="AA154" s="144"/>
      <c r="AC154" s="81"/>
      <c r="AX154" s="55"/>
    </row>
    <row r="155" spans="1:51" ht="14" x14ac:dyDescent="0.4">
      <c r="A155" s="22"/>
      <c r="B155" s="77" t="s">
        <v>73</v>
      </c>
      <c r="C155" s="76"/>
      <c r="D155" s="76"/>
      <c r="E155" s="75">
        <f>+(E136*1000-X167*AVERAGE(E$113,E$114))/R167</f>
        <v>42.171923299833693</v>
      </c>
      <c r="F155" s="75"/>
      <c r="G155" s="75"/>
      <c r="H155" s="75">
        <f>+(H136*1000-W155*AVERAGE(H$117,H$118))/Q155</f>
        <v>41.710504528739506</v>
      </c>
      <c r="I155" s="75"/>
      <c r="J155" s="76"/>
      <c r="K155" s="76"/>
      <c r="L155" s="76"/>
      <c r="M155" s="80"/>
      <c r="P155" s="13" t="s">
        <v>15</v>
      </c>
      <c r="Q155" s="55">
        <f>T62</f>
        <v>76452.534899999999</v>
      </c>
      <c r="R155" s="55"/>
      <c r="T155" s="55">
        <f>T73</f>
        <v>61247.998300000007</v>
      </c>
      <c r="U155" s="55"/>
      <c r="W155" s="55">
        <f>+T155-Q155</f>
        <v>-15204.536599999992</v>
      </c>
      <c r="X155" s="55"/>
      <c r="Z155" s="85">
        <f>+H155*Q155/1000</f>
        <v>3188.8738031800649</v>
      </c>
      <c r="AA155" s="85"/>
      <c r="AC155" s="81"/>
      <c r="AX155" s="55"/>
    </row>
    <row r="156" spans="1:51" ht="4" customHeight="1" x14ac:dyDescent="0.3">
      <c r="A156" s="22"/>
      <c r="C156" s="142"/>
      <c r="D156" s="142"/>
      <c r="E156" s="143"/>
      <c r="F156" s="143"/>
      <c r="G156" s="143"/>
      <c r="H156" s="143"/>
      <c r="I156" s="143"/>
      <c r="J156" s="142"/>
      <c r="K156" s="142"/>
      <c r="L156" s="142"/>
      <c r="M156" s="142"/>
      <c r="Z156" s="144">
        <f>+Z155+Z154</f>
        <v>6224.8123471464132</v>
      </c>
      <c r="AA156" s="144"/>
      <c r="AC156" s="81">
        <f>+H134</f>
        <v>6224.8123471464132</v>
      </c>
      <c r="AD156" s="81"/>
    </row>
    <row r="157" spans="1:51" ht="13" x14ac:dyDescent="0.3">
      <c r="A157" s="22"/>
      <c r="B157" s="13" t="s">
        <v>74</v>
      </c>
      <c r="C157" s="74"/>
      <c r="D157" s="74"/>
      <c r="E157" s="75">
        <f>(E149*SUM(E65:E68)+E153*SUM(E60:E64,E69:E71))/E72</f>
        <v>45.407834533014579</v>
      </c>
      <c r="F157" s="75">
        <f>(F149*SUM(F65:F68)+F153*SUM(F60:F64,F69:F71))/F72</f>
        <v>44.872416919304555</v>
      </c>
      <c r="G157" s="75">
        <f>(G149*SUM(G65:G68)+G153*SUM(G60:G64,G69:G71))/G72</f>
        <v>45.41037760581996</v>
      </c>
      <c r="H157" s="75">
        <f>(H149*SUM(H65:H68)+H153*SUM(H60:H64,H69:H71))/H72</f>
        <v>44.856866377319648</v>
      </c>
      <c r="I157" s="75">
        <f>(I149*SUM(I65:I68)+I153*SUM(I60:I64,I69:I71))/I72</f>
        <v>42.045083667898773</v>
      </c>
      <c r="J157" s="74"/>
      <c r="K157" s="74"/>
      <c r="L157" s="74"/>
      <c r="M157" s="74"/>
      <c r="AU157" s="55"/>
      <c r="AV157" s="55"/>
      <c r="AW157" s="55"/>
      <c r="AX157" s="55"/>
      <c r="AY157" s="55"/>
    </row>
    <row r="158" spans="1:51" ht="13" x14ac:dyDescent="0.3">
      <c r="A158" s="22"/>
      <c r="B158" s="13" t="s">
        <v>75</v>
      </c>
      <c r="C158" s="80">
        <f>+C140/SUM(C72:I72)*1000</f>
        <v>45.053247236207461</v>
      </c>
      <c r="E158" s="536"/>
      <c r="F158" s="536"/>
      <c r="G158" s="536"/>
      <c r="H158" s="536"/>
      <c r="I158" s="536"/>
    </row>
    <row r="159" spans="1:51" ht="13" x14ac:dyDescent="0.3">
      <c r="A159" s="22"/>
      <c r="Q159" s="26" t="str">
        <f>+$E148</f>
        <v>RT{1}</v>
      </c>
      <c r="R159" s="26"/>
      <c r="S159" s="26"/>
      <c r="T159" s="26" t="str">
        <f>+$E148</f>
        <v>RT{1}</v>
      </c>
      <c r="U159" s="26"/>
      <c r="V159" s="26"/>
      <c r="W159" s="26" t="str">
        <f>+$E148</f>
        <v>RT{1}</v>
      </c>
      <c r="X159" s="26"/>
      <c r="Z159" s="26" t="str">
        <f>+$E148</f>
        <v>RT{1}</v>
      </c>
      <c r="AA159" s="26"/>
      <c r="AC159" s="26" t="str">
        <f>+$E148</f>
        <v>RT{1}</v>
      </c>
    </row>
    <row r="160" spans="1:51" ht="13" x14ac:dyDescent="0.3">
      <c r="A160" s="18" t="s">
        <v>76</v>
      </c>
      <c r="B160" s="16" t="s">
        <v>139</v>
      </c>
      <c r="P160" s="133" t="s">
        <v>25</v>
      </c>
      <c r="Q160" s="38" t="s">
        <v>196</v>
      </c>
      <c r="R160" s="38" t="s">
        <v>192</v>
      </c>
      <c r="T160" s="38" t="s">
        <v>196</v>
      </c>
      <c r="U160" s="38" t="s">
        <v>192</v>
      </c>
      <c r="W160" s="38" t="s">
        <v>196</v>
      </c>
      <c r="X160" s="38" t="s">
        <v>192</v>
      </c>
      <c r="Z160" s="38" t="s">
        <v>197</v>
      </c>
      <c r="AC160" s="38" t="s">
        <v>197</v>
      </c>
    </row>
    <row r="161" spans="1:51" ht="13" x14ac:dyDescent="0.3">
      <c r="A161" s="22"/>
      <c r="B161" s="17" t="s">
        <v>400</v>
      </c>
      <c r="J161" s="26" t="s">
        <v>302</v>
      </c>
      <c r="K161" s="26"/>
      <c r="P161" s="13" t="s">
        <v>14</v>
      </c>
      <c r="Q161" s="55">
        <f>SUMPRODUCT(E38:E41,M65:M68)</f>
        <v>26208.334600000002</v>
      </c>
      <c r="R161" s="55">
        <f>SUMPRODUCT(E38:E41,E65:E68)</f>
        <v>27209.748199999998</v>
      </c>
      <c r="T161" s="55">
        <f>Q76</f>
        <v>34081.579400000002</v>
      </c>
      <c r="U161" s="55">
        <f>T161-($Q$163*$Q161/($Q$161+$Q$162))</f>
        <v>33076.770896857568</v>
      </c>
      <c r="W161" s="55">
        <f>+T161-Q161</f>
        <v>7873.2448000000004</v>
      </c>
      <c r="X161" s="55">
        <f>-Q161+U161</f>
        <v>6868.436296857566</v>
      </c>
      <c r="Z161" s="144">
        <f>+E150*Q161/1000</f>
        <v>1370.8667520026759</v>
      </c>
      <c r="AA161" s="144"/>
      <c r="AU161" s="82"/>
      <c r="AV161" s="82"/>
      <c r="AW161" s="82"/>
      <c r="AX161" s="82"/>
      <c r="AY161" s="82"/>
    </row>
    <row r="162" spans="1:51" ht="14" x14ac:dyDescent="0.4">
      <c r="A162" s="22"/>
      <c r="B162" s="17" t="s">
        <v>77</v>
      </c>
      <c r="C162" s="26"/>
      <c r="D162" s="26"/>
      <c r="E162" s="26" t="str">
        <f>+E$13</f>
        <v>RT{1}</v>
      </c>
      <c r="F162" s="26" t="str">
        <f>+F$13</f>
        <v>RS{2}</v>
      </c>
      <c r="G162" s="26" t="str">
        <f>+G$13</f>
        <v>GS{3}</v>
      </c>
      <c r="H162" s="26" t="str">
        <f>+H$58</f>
        <v>GST {4}</v>
      </c>
      <c r="I162" s="26" t="str">
        <f>+I$13</f>
        <v>OL/SL</v>
      </c>
      <c r="J162" s="26" t="s">
        <v>165</v>
      </c>
      <c r="K162" s="26"/>
      <c r="L162" s="26"/>
      <c r="M162" s="26"/>
      <c r="P162" s="13" t="s">
        <v>15</v>
      </c>
      <c r="Q162" s="55">
        <f>SUMPRODUCT(Q38:Q41,M65:M68)</f>
        <v>37596.665399999998</v>
      </c>
      <c r="R162" s="194">
        <f>SUMPRODUCT(Q38:Q41,E65:E68)</f>
        <v>39042.251799999998</v>
      </c>
      <c r="T162" s="55">
        <f>Q77</f>
        <v>32170.420599999998</v>
      </c>
      <c r="U162" s="55">
        <f>T162-($Q$163*$Q162/($Q$161+$Q$162))</f>
        <v>30728.991769809432</v>
      </c>
      <c r="W162" s="55">
        <f>+T162-Q162</f>
        <v>-5426.2448000000004</v>
      </c>
      <c r="X162" s="55">
        <f>-Q162+U162</f>
        <v>-6867.6736301905657</v>
      </c>
      <c r="Z162" s="144">
        <f>+E151*Q162/1000</f>
        <v>1316.6823442201578</v>
      </c>
      <c r="AA162" s="85"/>
      <c r="AU162" s="82"/>
      <c r="AV162" s="82"/>
      <c r="AW162" s="82"/>
      <c r="AX162" s="82"/>
      <c r="AY162" s="82"/>
    </row>
    <row r="163" spans="1:51" ht="14" x14ac:dyDescent="0.4">
      <c r="A163" s="22"/>
      <c r="P163" s="13" t="s">
        <v>191</v>
      </c>
      <c r="Q163" s="194">
        <f>SUM(W65:W68)/1000</f>
        <v>2446.2373333329997</v>
      </c>
      <c r="R163" s="55">
        <f>SUM(R161:R162)</f>
        <v>66252</v>
      </c>
      <c r="T163" s="55">
        <v>0</v>
      </c>
      <c r="U163" s="55">
        <v>0</v>
      </c>
      <c r="W163" s="55">
        <f>+T163-Q163</f>
        <v>-2446.2373333329997</v>
      </c>
      <c r="X163" s="55"/>
      <c r="Z163" s="85">
        <f>+E149*Q163/1000</f>
        <v>103.0374920345822</v>
      </c>
      <c r="AU163" s="82"/>
      <c r="AV163" s="82"/>
      <c r="AW163" s="82"/>
      <c r="AX163" s="82"/>
      <c r="AY163" s="82"/>
    </row>
    <row r="164" spans="1:51" ht="13" x14ac:dyDescent="0.3">
      <c r="A164" s="22"/>
      <c r="B164" s="13" t="s">
        <v>78</v>
      </c>
      <c r="C164" s="87"/>
      <c r="D164" s="87"/>
      <c r="E164" s="87">
        <v>49.817557000000001</v>
      </c>
      <c r="F164" s="87">
        <v>3258.746169</v>
      </c>
      <c r="G164" s="87">
        <v>1418.494514</v>
      </c>
      <c r="H164" s="87">
        <v>31.569097999999997</v>
      </c>
      <c r="I164" s="87">
        <v>1.0075180000000001</v>
      </c>
      <c r="J164" s="87">
        <f>SUM(E164:I164)</f>
        <v>4759.6348560000006</v>
      </c>
      <c r="K164" s="87"/>
      <c r="L164" s="87"/>
      <c r="M164" s="87"/>
      <c r="Q164" s="55">
        <f>SUM(Q161:Q163)</f>
        <v>66251.237333333003</v>
      </c>
      <c r="Z164" s="144">
        <f>SUM(Z161:Z163)</f>
        <v>2790.5865882574158</v>
      </c>
      <c r="AA164" s="144"/>
      <c r="AC164" s="81">
        <f>+E130</f>
        <v>2790.5877443927779</v>
      </c>
      <c r="AU164" s="82"/>
      <c r="AV164" s="82"/>
      <c r="AW164" s="82"/>
      <c r="AX164" s="82"/>
      <c r="AY164" s="82"/>
    </row>
    <row r="165" spans="1:51" ht="2" customHeight="1" x14ac:dyDescent="0.3">
      <c r="A165" s="22"/>
      <c r="B165" s="296"/>
      <c r="F165" s="352"/>
      <c r="G165" s="352"/>
      <c r="H165" s="352"/>
      <c r="I165" s="352"/>
      <c r="J165" s="352"/>
      <c r="P165" s="133" t="s">
        <v>26</v>
      </c>
      <c r="Q165" s="55"/>
      <c r="R165" s="55"/>
      <c r="T165" s="55"/>
      <c r="U165" s="55"/>
      <c r="W165" s="55"/>
      <c r="X165" s="55"/>
      <c r="AU165" s="82"/>
      <c r="AV165" s="82"/>
      <c r="AW165" s="82"/>
      <c r="AX165" s="82"/>
      <c r="AY165" s="82"/>
    </row>
    <row r="166" spans="1:51" ht="4" customHeight="1" x14ac:dyDescent="0.3">
      <c r="A166" s="22"/>
      <c r="E166" s="347"/>
      <c r="F166" s="347"/>
      <c r="G166" s="347"/>
      <c r="H166" s="347"/>
      <c r="I166" s="478"/>
      <c r="J166" s="347"/>
      <c r="K166" s="86"/>
      <c r="L166" s="86"/>
      <c r="M166" s="86"/>
      <c r="P166" s="13" t="s">
        <v>14</v>
      </c>
      <c r="Q166" s="55">
        <f>SUMPRODUCT(E33:E37,M60:M64)+SUMPRODUCT(E42:E44,M69:M71)</f>
        <v>45628.715299999996</v>
      </c>
      <c r="R166" s="55">
        <f>SUMPRODUCT(E33:E37,E60:E64)+SUMPRODUCT(E42:E44,E69:E71)</f>
        <v>47712.356500000002</v>
      </c>
      <c r="T166" s="55">
        <f>Q72</f>
        <v>64717.133700000006</v>
      </c>
      <c r="U166" s="55">
        <f>T166-($Q$168*$Q166/($Q$166+$Q$167))</f>
        <v>62640.05388498243</v>
      </c>
      <c r="W166" s="55">
        <f>+T166-Q166</f>
        <v>19088.41840000001</v>
      </c>
      <c r="X166" s="55">
        <f>-Q166+U166</f>
        <v>17011.338584982434</v>
      </c>
      <c r="Z166" s="144">
        <f>+E154*Q166/1000</f>
        <v>2550.1915572002849</v>
      </c>
      <c r="AA166" s="144"/>
      <c r="AC166" s="81"/>
      <c r="AU166" s="82"/>
      <c r="AV166" s="82"/>
      <c r="AW166" s="82"/>
      <c r="AX166" s="82"/>
      <c r="AY166" s="82"/>
    </row>
    <row r="167" spans="1:51" ht="14" x14ac:dyDescent="0.4">
      <c r="A167" s="22"/>
      <c r="B167" s="13" t="s">
        <v>79</v>
      </c>
      <c r="C167" s="88" t="s">
        <v>80</v>
      </c>
      <c r="D167" s="86"/>
      <c r="E167" s="67"/>
      <c r="F167" s="67"/>
      <c r="G167" s="67"/>
      <c r="H167" s="67"/>
      <c r="I167" s="86"/>
      <c r="J167" s="86"/>
      <c r="K167" s="86"/>
      <c r="L167" s="86"/>
      <c r="M167" s="86"/>
      <c r="P167" s="13" t="s">
        <v>15</v>
      </c>
      <c r="Q167" s="55">
        <f>SUMPRODUCT(Q33:Q37,M60:M64)+SUMPRODUCT(Q42:Q44,M69:M71)</f>
        <v>83476.284700000018</v>
      </c>
      <c r="R167" s="194">
        <f>SUMPRODUCT(Q33:Q37,E60:E64)+SUMPRODUCT(Q42:Q44,E69:E71)</f>
        <v>87270.643500000006</v>
      </c>
      <c r="T167" s="55">
        <f>Q73</f>
        <v>70265.866299999994</v>
      </c>
      <c r="U167" s="55">
        <f>T167-($Q$168*$Q167/($Q$166+$Q$167))</f>
        <v>66465.914781684274</v>
      </c>
      <c r="W167" s="55">
        <f>+T167-Q167</f>
        <v>-13210.418400000024</v>
      </c>
      <c r="X167" s="55">
        <f>-Q167+U167</f>
        <v>-17010.369918315744</v>
      </c>
      <c r="Z167" s="144">
        <f>+E155*Q167/1000</f>
        <v>3520.355475723482</v>
      </c>
      <c r="AA167" s="85"/>
      <c r="AC167" s="81"/>
      <c r="AU167" s="82"/>
      <c r="AV167" s="82"/>
      <c r="AW167" s="82"/>
      <c r="AX167" s="82"/>
      <c r="AY167" s="82"/>
    </row>
    <row r="168" spans="1:51" ht="14" x14ac:dyDescent="0.4">
      <c r="A168" s="22"/>
      <c r="B168" s="13" t="s">
        <v>81</v>
      </c>
      <c r="I168" s="86"/>
      <c r="J168" s="86"/>
      <c r="K168" s="86"/>
      <c r="L168" s="86"/>
      <c r="M168" s="86"/>
      <c r="P168" s="13" t="s">
        <v>191</v>
      </c>
      <c r="Q168" s="194">
        <f>SUM(W60:W64,W69:W71)/1000</f>
        <v>5877.0313333332997</v>
      </c>
      <c r="R168" s="55">
        <f>SUM(R166:R167)</f>
        <v>134983</v>
      </c>
      <c r="T168" s="13">
        <v>0</v>
      </c>
      <c r="U168" s="55">
        <v>0</v>
      </c>
      <c r="W168" s="55">
        <f>+T168-Q168</f>
        <v>-5877.0313333332997</v>
      </c>
      <c r="X168" s="55"/>
      <c r="Z168" s="85">
        <f>+E153*Q168/1000</f>
        <v>276.34485666767364</v>
      </c>
      <c r="AU168" s="82"/>
      <c r="AV168" s="82"/>
      <c r="AW168" s="82"/>
      <c r="AX168" s="82"/>
      <c r="AY168" s="82"/>
    </row>
    <row r="169" spans="1:51" ht="13" x14ac:dyDescent="0.3">
      <c r="A169" s="22"/>
      <c r="D169" s="89" t="s">
        <v>82</v>
      </c>
      <c r="E169" s="136">
        <v>122</v>
      </c>
      <c r="G169" s="89" t="s">
        <v>83</v>
      </c>
      <c r="H169" s="90">
        <v>4</v>
      </c>
      <c r="I169" s="86"/>
      <c r="J169" s="86"/>
      <c r="K169" s="86"/>
      <c r="L169" s="86"/>
      <c r="M169" s="246"/>
      <c r="N169" s="247"/>
      <c r="Q169" s="161">
        <f>SUM(Q166:Q168)</f>
        <v>134982.03133333332</v>
      </c>
      <c r="R169" s="26"/>
      <c r="S169" s="26"/>
      <c r="T169" s="26"/>
      <c r="U169" s="26"/>
      <c r="V169" s="26"/>
      <c r="W169" s="26"/>
      <c r="X169" s="26"/>
      <c r="Z169" s="144">
        <f>SUM(Z166:Z168)</f>
        <v>6346.8918895914403</v>
      </c>
      <c r="AA169" s="144"/>
      <c r="AC169" s="81">
        <f>+E134</f>
        <v>6347.0578378584114</v>
      </c>
      <c r="AU169" s="81"/>
      <c r="AV169" s="81"/>
      <c r="AW169" s="81"/>
      <c r="AX169" s="81"/>
      <c r="AY169" s="81"/>
    </row>
    <row r="170" spans="1:51" ht="14" x14ac:dyDescent="0.4">
      <c r="A170" s="22"/>
      <c r="D170" s="91" t="s">
        <v>84</v>
      </c>
      <c r="E170" s="90">
        <f>31+30+31+31+28+31+30+31</f>
        <v>243</v>
      </c>
      <c r="G170" s="91" t="s">
        <v>85</v>
      </c>
      <c r="H170" s="90">
        <v>8</v>
      </c>
      <c r="I170" s="86"/>
      <c r="J170" s="86"/>
      <c r="K170" s="86"/>
      <c r="L170" s="86"/>
      <c r="M170" s="246"/>
      <c r="N170" s="247"/>
      <c r="Q170" s="55"/>
      <c r="R170" s="55"/>
      <c r="T170" s="55"/>
      <c r="U170" s="55"/>
      <c r="W170" s="55"/>
      <c r="X170" s="55"/>
      <c r="Z170" s="85"/>
      <c r="AA170" s="85"/>
      <c r="AX170" s="81"/>
    </row>
    <row r="171" spans="1:51" ht="13" x14ac:dyDescent="0.3">
      <c r="A171" s="22"/>
      <c r="D171" s="256"/>
      <c r="E171" s="256"/>
      <c r="F171" s="257"/>
      <c r="G171" s="89" t="s">
        <v>86</v>
      </c>
      <c r="H171" s="13">
        <f>+H169+H170</f>
        <v>12</v>
      </c>
      <c r="I171" s="86"/>
      <c r="J171" s="86"/>
      <c r="K171" s="86"/>
      <c r="L171" s="86"/>
      <c r="M171" s="86"/>
      <c r="N171" s="86"/>
      <c r="O171" s="87" t="s">
        <v>252</v>
      </c>
      <c r="Q171" s="55"/>
      <c r="R171" s="55"/>
      <c r="T171" s="55"/>
      <c r="U171" s="55"/>
      <c r="W171" s="55"/>
      <c r="X171" s="55"/>
      <c r="Z171" s="144"/>
      <c r="AA171" s="144"/>
      <c r="AC171" s="81">
        <f>SUM(AC164:AC169)</f>
        <v>9137.6455822511889</v>
      </c>
    </row>
    <row r="172" spans="1:51" ht="13" x14ac:dyDescent="0.3">
      <c r="A172" s="22"/>
      <c r="B172" s="21" t="s">
        <v>158</v>
      </c>
      <c r="C172" s="92"/>
      <c r="D172" s="93"/>
      <c r="L172" s="94"/>
      <c r="N172" s="248" t="s">
        <v>252</v>
      </c>
      <c r="Q172" s="55"/>
      <c r="R172" s="55"/>
      <c r="T172" s="55"/>
      <c r="U172" s="55"/>
      <c r="W172" s="55"/>
      <c r="X172" s="55"/>
      <c r="Z172" s="144"/>
      <c r="AA172" s="144"/>
      <c r="AC172" s="81"/>
    </row>
    <row r="173" spans="1:51" ht="13" x14ac:dyDescent="0.3">
      <c r="A173" s="22"/>
      <c r="B173" s="296"/>
      <c r="C173" s="92"/>
      <c r="D173" s="374"/>
      <c r="E173" s="93"/>
      <c r="G173" s="341"/>
      <c r="H173" s="84"/>
      <c r="L173" s="94"/>
      <c r="Q173" s="55"/>
      <c r="R173" s="55"/>
      <c r="T173" s="55"/>
      <c r="U173" s="55"/>
      <c r="W173" s="55"/>
      <c r="X173" s="55"/>
      <c r="Z173" s="144"/>
      <c r="AA173" s="144"/>
      <c r="AC173" s="81"/>
    </row>
    <row r="174" spans="1:51" ht="14" x14ac:dyDescent="0.4">
      <c r="A174" s="22"/>
      <c r="B174" s="21" t="s">
        <v>87</v>
      </c>
      <c r="C174" s="13" t="s">
        <v>25</v>
      </c>
      <c r="D174" s="11">
        <v>97.75</v>
      </c>
      <c r="E174" s="93" t="s">
        <v>88</v>
      </c>
      <c r="G174" s="89" t="s">
        <v>162</v>
      </c>
      <c r="H174" s="81">
        <f>ROUND(D174*E169*J$164,0)</f>
        <v>56761025</v>
      </c>
      <c r="I174" s="89"/>
      <c r="J174" s="480"/>
      <c r="K174" s="481"/>
      <c r="L174" s="142"/>
      <c r="Q174" s="55"/>
      <c r="R174" s="55"/>
      <c r="T174" s="55"/>
      <c r="U174" s="55"/>
      <c r="W174" s="55"/>
      <c r="X174" s="55"/>
      <c r="Z174" s="85"/>
      <c r="AA174" s="85"/>
      <c r="AC174" s="81"/>
    </row>
    <row r="175" spans="1:51" ht="14" x14ac:dyDescent="0.4">
      <c r="A175" s="22"/>
      <c r="B175" s="21"/>
      <c r="C175" s="13" t="s">
        <v>26</v>
      </c>
      <c r="D175" s="299">
        <f>D174</f>
        <v>97.75</v>
      </c>
      <c r="E175" s="93" t="s">
        <v>88</v>
      </c>
      <c r="G175" s="121" t="s">
        <v>163</v>
      </c>
      <c r="H175" s="122">
        <f>ROUND(D175*E170*J$164,0)</f>
        <v>113056797</v>
      </c>
      <c r="I175" s="89"/>
      <c r="J175" s="480"/>
      <c r="K175" s="481"/>
      <c r="L175" s="142"/>
      <c r="P175" s="296" t="s">
        <v>299</v>
      </c>
      <c r="Z175" s="144"/>
      <c r="AA175" s="144"/>
      <c r="AC175" s="81"/>
    </row>
    <row r="176" spans="1:51" ht="13" x14ac:dyDescent="0.3">
      <c r="A176" s="22"/>
      <c r="B176" s="400"/>
      <c r="C176" s="400"/>
      <c r="D176" s="400"/>
      <c r="E176" s="400"/>
      <c r="F176" s="400"/>
      <c r="G176" s="89" t="s">
        <v>164</v>
      </c>
      <c r="H176" s="81">
        <f>SUM(H174:H175)</f>
        <v>169817822</v>
      </c>
      <c r="I176" s="89"/>
      <c r="J176" s="479"/>
      <c r="K176" s="481"/>
      <c r="L176" s="142"/>
      <c r="O176" s="13">
        <v>2015</v>
      </c>
      <c r="P176" s="353">
        <f>E72</f>
        <v>201235</v>
      </c>
      <c r="Q176" s="353">
        <f>F72</f>
        <v>9073407</v>
      </c>
      <c r="R176" s="353">
        <f>G72</f>
        <v>5476866</v>
      </c>
      <c r="S176" s="353">
        <f>H72</f>
        <v>205335</v>
      </c>
      <c r="T176" s="353">
        <f>I72</f>
        <v>115100</v>
      </c>
      <c r="U176" s="353">
        <f>SUM(P176:T176)</f>
        <v>15071943</v>
      </c>
    </row>
    <row r="177" spans="1:50" ht="13" x14ac:dyDescent="0.3">
      <c r="A177" s="22"/>
      <c r="B177" s="13" t="s">
        <v>153</v>
      </c>
      <c r="I177" s="89"/>
      <c r="J177" s="479"/>
      <c r="K177" s="481"/>
      <c r="L177" s="142"/>
      <c r="O177" s="13">
        <v>2014</v>
      </c>
      <c r="P177" s="353">
        <v>300812</v>
      </c>
      <c r="Q177" s="353">
        <v>9139433</v>
      </c>
      <c r="R177" s="353">
        <v>6011880</v>
      </c>
      <c r="S177" s="353">
        <v>242920</v>
      </c>
      <c r="T177" s="353">
        <v>114222</v>
      </c>
      <c r="U177" s="353">
        <f>SUM(P177:T177)</f>
        <v>15809267</v>
      </c>
    </row>
    <row r="178" spans="1:50" ht="13" x14ac:dyDescent="0.3">
      <c r="A178" s="22"/>
      <c r="B178" s="17" t="s">
        <v>154</v>
      </c>
      <c r="I178" s="89"/>
      <c r="J178" s="89"/>
      <c r="K178" s="89"/>
      <c r="L178" s="142"/>
      <c r="O178" s="13">
        <v>2013</v>
      </c>
      <c r="P178" s="353">
        <v>298034</v>
      </c>
      <c r="Q178" s="353">
        <v>8751355</v>
      </c>
      <c r="R178" s="353">
        <v>5786197</v>
      </c>
      <c r="S178" s="353">
        <v>228915</v>
      </c>
      <c r="T178" s="353">
        <v>115314</v>
      </c>
      <c r="U178" s="353">
        <f>SUM(P178:T178)</f>
        <v>15179815</v>
      </c>
    </row>
    <row r="179" spans="1:50" ht="13" x14ac:dyDescent="0.3">
      <c r="A179" s="22"/>
      <c r="B179" s="17"/>
      <c r="C179" s="105" t="str">
        <f>" ---------- Rate "&amp;C30&amp;" ----------"</f>
        <v xml:space="preserve"> ---------- Rate  ----------</v>
      </c>
      <c r="D179" s="106"/>
      <c r="E179" s="106"/>
      <c r="I179" s="89"/>
      <c r="J179" s="89"/>
      <c r="K179" s="89"/>
      <c r="L179" s="142"/>
      <c r="P179" s="255">
        <f t="shared" ref="P179:U179" si="21">(P176-P177)/P177</f>
        <v>-0.33102735263220884</v>
      </c>
      <c r="Q179" s="255">
        <f t="shared" si="21"/>
        <v>-7.2242993629911181E-3</v>
      </c>
      <c r="R179" s="255">
        <f t="shared" si="21"/>
        <v>-8.8992794267350642E-2</v>
      </c>
      <c r="S179" s="255">
        <f t="shared" si="21"/>
        <v>-0.15472171908447224</v>
      </c>
      <c r="T179" s="255">
        <f t="shared" si="21"/>
        <v>7.6867853828509391E-3</v>
      </c>
      <c r="U179" s="255">
        <f t="shared" si="21"/>
        <v>-4.6638721453689157E-2</v>
      </c>
    </row>
    <row r="180" spans="1:50" ht="13" x14ac:dyDescent="0.3">
      <c r="A180" s="22"/>
      <c r="C180" s="38" t="s">
        <v>140</v>
      </c>
      <c r="E180" s="38" t="s">
        <v>141</v>
      </c>
      <c r="I180" s="89"/>
      <c r="J180" s="89"/>
      <c r="K180" s="89"/>
      <c r="L180" s="142"/>
      <c r="P180" s="255">
        <f t="shared" ref="P180:U180" si="22">(P176-P178)/P178</f>
        <v>-0.32479180227759247</v>
      </c>
      <c r="Q180" s="255">
        <f t="shared" si="22"/>
        <v>3.6800244076488728E-2</v>
      </c>
      <c r="R180" s="255">
        <f t="shared" si="22"/>
        <v>-5.3460156990852541E-2</v>
      </c>
      <c r="S180" s="255">
        <f t="shared" si="22"/>
        <v>-0.10300766660114016</v>
      </c>
      <c r="T180" s="255">
        <f t="shared" si="22"/>
        <v>-1.8558024177463275E-3</v>
      </c>
      <c r="U180" s="255">
        <f t="shared" si="22"/>
        <v>-7.1062789632152963E-3</v>
      </c>
    </row>
    <row r="181" spans="1:50" ht="13" x14ac:dyDescent="0.3">
      <c r="A181" s="22"/>
      <c r="B181" s="89" t="s">
        <v>142</v>
      </c>
      <c r="C181" s="107"/>
      <c r="E181" s="118">
        <f>SUM(R65/(R65+R66))</f>
        <v>0.53058432613271322</v>
      </c>
      <c r="F181" s="112"/>
      <c r="I181" s="89"/>
      <c r="J181" s="89"/>
      <c r="K181" s="89"/>
      <c r="L181" s="142"/>
      <c r="AX181" s="118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ht="13" x14ac:dyDescent="0.3">
      <c r="A182" s="22"/>
      <c r="B182" s="89" t="s">
        <v>144</v>
      </c>
      <c r="C182" s="108"/>
      <c r="E182" s="109">
        <f>1-E181</f>
        <v>0.46941567386728678</v>
      </c>
      <c r="G182" s="53"/>
      <c r="I182" s="89"/>
      <c r="J182" s="89"/>
      <c r="K182" s="89"/>
      <c r="L182" s="142"/>
    </row>
    <row r="183" spans="1:50" ht="13" x14ac:dyDescent="0.3">
      <c r="A183" s="22"/>
      <c r="B183" s="110" t="s">
        <v>155</v>
      </c>
      <c r="C183" s="111">
        <v>0.86519999999999997</v>
      </c>
      <c r="D183" s="13" t="s">
        <v>143</v>
      </c>
      <c r="J183" s="89"/>
      <c r="K183" s="89"/>
      <c r="L183" s="142"/>
      <c r="P183" s="296" t="s">
        <v>300</v>
      </c>
    </row>
    <row r="184" spans="1:50" ht="4" customHeight="1" x14ac:dyDescent="0.25">
      <c r="A184" s="13"/>
      <c r="J184" s="89"/>
      <c r="K184" s="89"/>
      <c r="L184" s="142"/>
      <c r="P184" s="87">
        <f>E164</f>
        <v>49.817557000000001</v>
      </c>
      <c r="Q184" s="87">
        <f>F164</f>
        <v>3258.746169</v>
      </c>
      <c r="R184" s="87">
        <f>G164</f>
        <v>1418.494514</v>
      </c>
      <c r="S184" s="87">
        <f>H164</f>
        <v>31.569097999999997</v>
      </c>
      <c r="T184" s="87">
        <f>I164</f>
        <v>1.0075180000000001</v>
      </c>
      <c r="U184" s="352">
        <f>SUM(P184:T184)</f>
        <v>4759.6348560000006</v>
      </c>
    </row>
    <row r="185" spans="1:50" ht="13" x14ac:dyDescent="0.3">
      <c r="A185" s="18" t="s">
        <v>89</v>
      </c>
      <c r="B185" s="16" t="s">
        <v>90</v>
      </c>
      <c r="O185" s="13">
        <v>2014</v>
      </c>
      <c r="P185" s="13">
        <v>103.3</v>
      </c>
      <c r="Q185" s="352">
        <v>3286</v>
      </c>
      <c r="R185" s="352">
        <v>1769</v>
      </c>
      <c r="S185" s="352">
        <v>44.1</v>
      </c>
      <c r="T185" s="352">
        <v>2</v>
      </c>
      <c r="U185" s="352">
        <f>SUM(P185:T185)</f>
        <v>5204.4000000000005</v>
      </c>
    </row>
    <row r="186" spans="1:50" ht="13" x14ac:dyDescent="0.3">
      <c r="A186" s="18"/>
      <c r="B186" s="17" t="s">
        <v>310</v>
      </c>
      <c r="F186" s="376">
        <v>2</v>
      </c>
      <c r="G186" s="13" t="s">
        <v>92</v>
      </c>
      <c r="Q186" s="352"/>
      <c r="R186" s="352"/>
      <c r="S186" s="352"/>
      <c r="T186" s="352"/>
      <c r="U186" s="352"/>
    </row>
    <row r="187" spans="1:50" ht="13" x14ac:dyDescent="0.3">
      <c r="A187" s="18"/>
      <c r="B187" s="17" t="s">
        <v>313</v>
      </c>
      <c r="F187" s="377">
        <v>16.09</v>
      </c>
      <c r="G187" s="13" t="s">
        <v>92</v>
      </c>
      <c r="Q187" s="352"/>
      <c r="R187" s="352"/>
      <c r="S187" s="352"/>
      <c r="T187" s="352"/>
      <c r="U187" s="352"/>
    </row>
    <row r="188" spans="1:50" ht="13" x14ac:dyDescent="0.3">
      <c r="A188" s="22"/>
      <c r="B188" s="17" t="s">
        <v>309</v>
      </c>
      <c r="F188" s="375">
        <f>F186+F187</f>
        <v>18.09</v>
      </c>
      <c r="G188" s="13" t="s">
        <v>92</v>
      </c>
      <c r="P188" s="347">
        <f>(P184-P185)/P185</f>
        <v>-0.51773904162633111</v>
      </c>
      <c r="Q188" s="347">
        <f t="shared" ref="Q188" si="23">(Q184-Q185)/Q185</f>
        <v>-8.293923006695068E-3</v>
      </c>
      <c r="R188" s="347">
        <f t="shared" ref="R188" si="24">(R184-R185)/R185</f>
        <v>-0.19813764047484456</v>
      </c>
      <c r="S188" s="347">
        <f t="shared" ref="S188" si="25">(S184-S185)/S185</f>
        <v>-0.28414743764172345</v>
      </c>
      <c r="T188" s="347">
        <f t="shared" ref="T188" si="26">(T184-T185)/T185</f>
        <v>-0.49624099999999993</v>
      </c>
      <c r="U188" s="347">
        <f t="shared" ref="U188" si="27">(U184-U185)/U185</f>
        <v>-8.5459446622088986E-2</v>
      </c>
    </row>
    <row r="189" spans="1:50" ht="9" customHeight="1" x14ac:dyDescent="0.3">
      <c r="A189" s="22"/>
      <c r="B189" s="16"/>
      <c r="E189" s="92"/>
      <c r="F189" s="93"/>
    </row>
    <row r="190" spans="1:50" ht="13" x14ac:dyDescent="0.3">
      <c r="A190" s="18" t="s">
        <v>93</v>
      </c>
      <c r="B190" s="16" t="s">
        <v>167</v>
      </c>
    </row>
    <row r="191" spans="1:50" ht="4.5" customHeight="1" x14ac:dyDescent="0.3">
      <c r="A191" s="18"/>
      <c r="B191" s="16"/>
    </row>
    <row r="192" spans="1:50" ht="13" x14ac:dyDescent="0.3">
      <c r="A192" s="18"/>
      <c r="B192" s="16"/>
      <c r="C192" s="26"/>
      <c r="D192" s="26"/>
      <c r="E192" s="26" t="str">
        <f>+E$13</f>
        <v>RT{1}</v>
      </c>
      <c r="F192" s="26" t="str">
        <f>+F$13</f>
        <v>RS{2}</v>
      </c>
      <c r="G192" s="26" t="str">
        <f>+G$13</f>
        <v>GS{3}</v>
      </c>
      <c r="H192" s="155" t="str">
        <f>+H$58</f>
        <v>GST {4}</v>
      </c>
      <c r="I192" s="26" t="str">
        <f>+I$13</f>
        <v>OL/SL</v>
      </c>
      <c r="J192" s="26"/>
      <c r="K192" s="26"/>
    </row>
    <row r="193" spans="1:18" ht="13" x14ac:dyDescent="0.3">
      <c r="A193" s="22"/>
      <c r="B193" s="89" t="s">
        <v>94</v>
      </c>
      <c r="C193" s="145"/>
      <c r="D193" s="145"/>
      <c r="E193" s="146">
        <v>0</v>
      </c>
      <c r="F193" s="146">
        <v>0</v>
      </c>
      <c r="G193" s="146">
        <f>E193</f>
        <v>0</v>
      </c>
      <c r="H193" s="146">
        <f>E193</f>
        <v>0</v>
      </c>
      <c r="I193" s="146">
        <v>0</v>
      </c>
      <c r="J193" s="145"/>
      <c r="K193" s="145"/>
      <c r="L193" s="145"/>
      <c r="M193" s="145"/>
    </row>
    <row r="194" spans="1:18" ht="3" customHeight="1" x14ac:dyDescent="0.3">
      <c r="A194" s="22"/>
      <c r="B194" s="89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</row>
    <row r="195" spans="1:18" ht="13" x14ac:dyDescent="0.3">
      <c r="A195" s="22"/>
      <c r="B195" s="89" t="s">
        <v>131</v>
      </c>
      <c r="C195" s="145"/>
      <c r="D195" s="145"/>
      <c r="E195" s="146">
        <f>$H$176*(E$164/$J$164)/E$72</f>
        <v>8.8325995009483655</v>
      </c>
      <c r="F195" s="146">
        <f>$H$176*(F$164/$J$164)/F$72</f>
        <v>12.814149061765809</v>
      </c>
      <c r="G195" s="146">
        <f>$H$176*(G$164/$J$164)/G$72</f>
        <v>9.2407064744798291</v>
      </c>
      <c r="H195" s="146">
        <f>$H$176*(H$164/$J$164)/H$72</f>
        <v>5.4854065526162703</v>
      </c>
      <c r="I195" s="146">
        <f>$H$176*(I$164/$J$164)/I$72</f>
        <v>0.31231088459959899</v>
      </c>
      <c r="J195" s="145"/>
      <c r="K195" s="145"/>
      <c r="L195" s="145"/>
      <c r="M195" s="145"/>
    </row>
    <row r="196" spans="1:18" ht="13" x14ac:dyDescent="0.3">
      <c r="A196" s="22"/>
      <c r="B196" s="89" t="s">
        <v>198</v>
      </c>
      <c r="C196" s="145"/>
      <c r="D196" s="145"/>
      <c r="E196" s="146">
        <f>$H$174*(E$164/$J$164)/SUM(E65:E68)</f>
        <v>8.9672654565815719</v>
      </c>
      <c r="F196" s="146">
        <f>$H$174*(F$164/$J$164)/SUM(F65:F68)</f>
        <v>10.303730137209692</v>
      </c>
      <c r="G196" s="146">
        <f>$H$174*(G$164/$J$164)/SUM(G65:G68)</f>
        <v>8.5201119066593165</v>
      </c>
      <c r="H196" s="146"/>
      <c r="I196" s="146">
        <f>$H$174*(I$164/$J$164)/SUM(I65:I68)</f>
        <v>0.31315564554847497</v>
      </c>
      <c r="J196" s="145"/>
      <c r="K196" s="145"/>
      <c r="L196" s="145"/>
      <c r="M196" s="145"/>
    </row>
    <row r="197" spans="1:18" ht="13" x14ac:dyDescent="0.3">
      <c r="A197" s="22"/>
      <c r="B197" s="89" t="s">
        <v>199</v>
      </c>
      <c r="C197" s="145"/>
      <c r="D197" s="145"/>
      <c r="E197" s="146">
        <f>$H$174*(E$164/$J$164)/R161</f>
        <v>21.834059862025565</v>
      </c>
      <c r="F197" s="146"/>
      <c r="G197" s="146"/>
      <c r="H197" s="146">
        <f>$H$174*(H$164/$J$164)/Q150</f>
        <v>11.670417288231707</v>
      </c>
      <c r="I197" s="146"/>
      <c r="J197" s="145"/>
      <c r="K197" s="145"/>
      <c r="L197" s="145"/>
      <c r="M197" s="224"/>
    </row>
    <row r="198" spans="1:18" ht="13" x14ac:dyDescent="0.3">
      <c r="A198" s="22"/>
      <c r="B198" s="89" t="s">
        <v>201</v>
      </c>
      <c r="C198" s="145"/>
      <c r="D198" s="145"/>
      <c r="E198" s="146">
        <f>$H$175*(E$164/$J$164)/(E72-SUM(E65:E68))</f>
        <v>8.7665031118281682</v>
      </c>
      <c r="F198" s="146">
        <f>$H$175*(F$164/$J$164)/(F72-SUM(F65:F68))</f>
        <v>14.600060561752843</v>
      </c>
      <c r="G198" s="146">
        <f>$H$175*(G$164/$J$164)/(G72-SUM(G65:G68))</f>
        <v>9.6504841935139485</v>
      </c>
      <c r="H198" s="146"/>
      <c r="I198" s="146">
        <f>$H$175*(I$164/$J$164)/(I72-SUM(I65:I68))</f>
        <v>0.31188848210668241</v>
      </c>
      <c r="J198" s="145"/>
      <c r="K198" s="145"/>
      <c r="L198" s="145"/>
      <c r="M198" s="145"/>
    </row>
    <row r="199" spans="1:18" ht="13" x14ac:dyDescent="0.3">
      <c r="A199" s="22"/>
      <c r="B199" s="89" t="s">
        <v>200</v>
      </c>
      <c r="C199" s="145"/>
      <c r="D199" s="145"/>
      <c r="E199" s="146">
        <f>$H$175*(E$164/$J$164)/R166</f>
        <v>24.801308850546956</v>
      </c>
      <c r="F199" s="147"/>
      <c r="G199" s="147"/>
      <c r="H199" s="146">
        <f>$H$175*(H$164/$J$164)/Q154</f>
        <v>12.737387767753948</v>
      </c>
      <c r="I199" s="146"/>
      <c r="J199" s="145"/>
      <c r="K199" s="145"/>
      <c r="L199" s="145"/>
      <c r="M199" s="224" t="s">
        <v>252</v>
      </c>
    </row>
    <row r="200" spans="1:18" ht="13" x14ac:dyDescent="0.3">
      <c r="A200" s="22"/>
      <c r="B200" s="89"/>
      <c r="C200" s="145"/>
      <c r="D200" s="145"/>
      <c r="E200" s="146"/>
      <c r="F200" s="146"/>
      <c r="G200" s="146"/>
      <c r="H200" s="146"/>
      <c r="I200" s="146"/>
      <c r="J200" s="145"/>
      <c r="K200" s="145"/>
      <c r="L200" s="145"/>
      <c r="M200" s="145"/>
    </row>
    <row r="201" spans="1:18" ht="15.5" x14ac:dyDescent="0.35">
      <c r="A201" s="22"/>
      <c r="B201" s="638" t="str">
        <f>$B$1</f>
        <v xml:space="preserve">Jersey Central Power &amp; Light </v>
      </c>
      <c r="C201" s="638"/>
      <c r="D201" s="638"/>
      <c r="E201" s="638"/>
      <c r="F201" s="638"/>
      <c r="G201" s="638"/>
      <c r="H201" s="638"/>
      <c r="I201" s="638"/>
      <c r="J201" s="638"/>
      <c r="K201" s="638"/>
      <c r="L201" s="638"/>
      <c r="M201" s="145"/>
    </row>
    <row r="202" spans="1:18" ht="15.5" x14ac:dyDescent="0.35">
      <c r="A202" s="22"/>
      <c r="B202" s="638" t="str">
        <f>$B$2</f>
        <v>Attachment 2</v>
      </c>
      <c r="C202" s="638"/>
      <c r="D202" s="638"/>
      <c r="E202" s="638"/>
      <c r="F202" s="638"/>
      <c r="G202" s="638"/>
      <c r="H202" s="638"/>
      <c r="I202" s="638"/>
      <c r="J202" s="638"/>
      <c r="K202" s="638"/>
      <c r="L202" s="638"/>
      <c r="M202" s="145"/>
      <c r="N202" s="145"/>
      <c r="O202" s="145"/>
      <c r="P202" s="145"/>
      <c r="Q202" s="145"/>
      <c r="R202" s="145"/>
    </row>
    <row r="203" spans="1:18" ht="13" x14ac:dyDescent="0.3">
      <c r="A203" s="22"/>
      <c r="E203" s="145"/>
      <c r="F203" s="145"/>
      <c r="G203" s="145"/>
      <c r="H203" s="145"/>
      <c r="L203" s="145"/>
      <c r="M203" s="145"/>
      <c r="N203" s="145"/>
      <c r="O203" s="145"/>
      <c r="P203" s="145"/>
      <c r="Q203" s="145"/>
      <c r="R203" s="145"/>
    </row>
    <row r="204" spans="1:18" ht="13" x14ac:dyDescent="0.3">
      <c r="A204" s="22"/>
      <c r="M204" s="145"/>
      <c r="N204" s="145"/>
      <c r="O204" s="145"/>
      <c r="P204" s="145"/>
      <c r="Q204" s="145"/>
      <c r="R204" s="145"/>
    </row>
    <row r="205" spans="1:18" ht="13" x14ac:dyDescent="0.3">
      <c r="A205" s="18" t="s">
        <v>95</v>
      </c>
      <c r="B205" s="16" t="s">
        <v>96</v>
      </c>
      <c r="M205" s="145"/>
      <c r="N205" s="145"/>
      <c r="O205" s="145"/>
      <c r="P205" s="145"/>
      <c r="Q205" s="145"/>
      <c r="R205" s="145"/>
    </row>
    <row r="206" spans="1:18" ht="13" x14ac:dyDescent="0.3">
      <c r="A206" s="22"/>
      <c r="B206" s="16"/>
      <c r="M206" s="145"/>
      <c r="N206" s="145"/>
      <c r="O206" s="145"/>
      <c r="P206" s="145"/>
      <c r="Q206" s="145"/>
      <c r="R206" s="145"/>
    </row>
    <row r="207" spans="1:18" ht="13" x14ac:dyDescent="0.3">
      <c r="A207" s="22"/>
      <c r="B207" s="16" t="s">
        <v>97</v>
      </c>
      <c r="M207" s="145"/>
      <c r="N207" s="145"/>
      <c r="O207" s="145"/>
      <c r="P207" s="145"/>
      <c r="Q207" s="145"/>
      <c r="R207" s="145"/>
    </row>
    <row r="208" spans="1:18" ht="13" x14ac:dyDescent="0.3">
      <c r="A208" s="22"/>
      <c r="B208" s="17" t="s">
        <v>380</v>
      </c>
      <c r="M208" s="145"/>
      <c r="N208" s="145"/>
      <c r="O208" s="145"/>
      <c r="P208" s="145"/>
      <c r="Q208" s="145"/>
      <c r="R208" s="145"/>
    </row>
    <row r="209" spans="1:18" ht="13" x14ac:dyDescent="0.3">
      <c r="A209" s="22"/>
      <c r="B209" s="17" t="s">
        <v>21</v>
      </c>
      <c r="M209" s="145"/>
      <c r="N209" s="145"/>
      <c r="O209" s="145"/>
      <c r="P209" s="145"/>
      <c r="Q209" s="145"/>
      <c r="R209" s="145"/>
    </row>
    <row r="210" spans="1:18" ht="13" x14ac:dyDescent="0.3">
      <c r="A210" s="22"/>
      <c r="C210" s="26"/>
      <c r="D210" s="26"/>
      <c r="E210" s="26" t="str">
        <f>+E$13</f>
        <v>RT{1}</v>
      </c>
      <c r="F210" s="26" t="str">
        <f>+F$13</f>
        <v>RS{2}</v>
      </c>
      <c r="G210" s="26" t="str">
        <f>+G$13</f>
        <v>GS{3}</v>
      </c>
      <c r="H210" s="155" t="str">
        <f>+H$58</f>
        <v>GST {4}</v>
      </c>
      <c r="I210" s="26" t="str">
        <f>+I$13</f>
        <v>OL/SL</v>
      </c>
      <c r="J210" s="26"/>
      <c r="K210" s="26"/>
      <c r="M210" s="145"/>
      <c r="N210" s="145"/>
      <c r="O210" s="145"/>
      <c r="P210" s="145"/>
      <c r="Q210" s="145"/>
      <c r="R210" s="145"/>
    </row>
    <row r="211" spans="1:18" ht="13" x14ac:dyDescent="0.3">
      <c r="A211" s="22"/>
      <c r="C211" s="26"/>
      <c r="D211" s="26"/>
      <c r="E211" s="74"/>
      <c r="F211" s="26"/>
      <c r="G211" s="26"/>
      <c r="M211" s="145"/>
      <c r="N211" s="145"/>
      <c r="O211" s="145"/>
      <c r="P211" s="145"/>
      <c r="Q211" s="145"/>
      <c r="R211" s="145"/>
    </row>
    <row r="212" spans="1:18" ht="13" x14ac:dyDescent="0.3">
      <c r="A212" s="22"/>
      <c r="B212" s="28" t="s">
        <v>17</v>
      </c>
      <c r="C212" s="74"/>
      <c r="D212" s="74"/>
      <c r="E212" s="74">
        <f>+E149+(E$95*$F$188)+E$193+E196</f>
        <v>71.312679090699248</v>
      </c>
      <c r="F212" s="74">
        <f>+F149+(F$95*$F$188)+F$193+F196</f>
        <v>72.788579888885977</v>
      </c>
      <c r="G212" s="74">
        <f>+G149+(G$95*$F$188)+G$193+G196</f>
        <v>71.794577199282159</v>
      </c>
      <c r="H212" s="74"/>
      <c r="I212" s="74">
        <f>+I149+(I$95*$F$188)+I$193+I196</f>
        <v>58.875611962061228</v>
      </c>
      <c r="J212" s="74"/>
      <c r="K212" s="74"/>
      <c r="L212" s="74"/>
      <c r="M212" s="145"/>
      <c r="N212" s="145"/>
      <c r="O212" s="145"/>
      <c r="P212" s="145"/>
      <c r="Q212" s="145"/>
      <c r="R212" s="145"/>
    </row>
    <row r="213" spans="1:18" ht="13" x14ac:dyDescent="0.3">
      <c r="A213" s="22"/>
      <c r="B213" s="77" t="s">
        <v>72</v>
      </c>
      <c r="C213" s="74"/>
      <c r="D213" s="74"/>
      <c r="E213" s="74">
        <f>+E150+(E$95*$F$188)+E$193+E$197</f>
        <v>94.365184918090378</v>
      </c>
      <c r="F213" s="74"/>
      <c r="G213" s="74"/>
      <c r="H213" s="74">
        <f>+H150+(H$95*$F$188)+H$193+H$197</f>
        <v>83.550336328809536</v>
      </c>
      <c r="I213" s="74"/>
      <c r="J213" s="74"/>
      <c r="K213" s="74"/>
      <c r="M213" s="145"/>
      <c r="N213" s="145"/>
      <c r="O213" s="145"/>
      <c r="P213" s="145"/>
      <c r="Q213" s="145"/>
      <c r="R213" s="145"/>
    </row>
    <row r="214" spans="1:18" ht="13" x14ac:dyDescent="0.3">
      <c r="A214" s="22"/>
      <c r="B214" s="77" t="s">
        <v>73</v>
      </c>
      <c r="C214" s="74"/>
      <c r="D214" s="74"/>
      <c r="E214" s="74">
        <f>+E151+(E$95*$F$188)+E$193</f>
        <v>55.245859398521574</v>
      </c>
      <c r="F214" s="74"/>
      <c r="G214" s="74"/>
      <c r="H214" s="74">
        <f>+H151+(H$95*$F$188)+H$193</f>
        <v>55.176972308868379</v>
      </c>
      <c r="I214" s="74"/>
      <c r="J214" s="74"/>
      <c r="K214" s="74"/>
      <c r="M214" s="145"/>
      <c r="N214" s="145"/>
      <c r="O214" s="145"/>
      <c r="P214" s="145"/>
      <c r="Q214" s="145"/>
      <c r="R214" s="145"/>
    </row>
    <row r="215" spans="1:18" ht="13" x14ac:dyDescent="0.3">
      <c r="A215" s="22"/>
      <c r="B215" s="89" t="s">
        <v>142</v>
      </c>
      <c r="C215" s="74"/>
      <c r="D215" s="74"/>
      <c r="E215" s="74"/>
      <c r="F215" s="74">
        <f>(F212*SUM(F65:F68)-C183*10*E182*SUM(F65:F68))/SUM(F65:F68)</f>
        <v>68.727195478586211</v>
      </c>
      <c r="G215" s="74"/>
      <c r="H215" s="74"/>
      <c r="I215" s="74"/>
      <c r="J215" s="74"/>
      <c r="K215" s="74"/>
      <c r="M215" s="145"/>
      <c r="N215" s="145"/>
      <c r="O215" s="145"/>
      <c r="P215" s="145"/>
      <c r="Q215" s="145"/>
      <c r="R215" s="145"/>
    </row>
    <row r="216" spans="1:18" ht="13" x14ac:dyDescent="0.3">
      <c r="A216" s="22"/>
      <c r="B216" s="89" t="s">
        <v>144</v>
      </c>
      <c r="C216" s="74"/>
      <c r="D216" s="74"/>
      <c r="E216" s="74"/>
      <c r="F216" s="74">
        <f>+F215+C183*10</f>
        <v>77.379195478586212</v>
      </c>
      <c r="G216" s="119"/>
      <c r="H216" s="74"/>
      <c r="I216" s="74"/>
      <c r="J216" s="74"/>
      <c r="K216" s="74"/>
      <c r="M216" s="145"/>
      <c r="N216" s="145"/>
      <c r="O216" s="145"/>
      <c r="P216" s="145"/>
      <c r="Q216" s="145"/>
      <c r="R216" s="145"/>
    </row>
    <row r="217" spans="1:18" ht="13" x14ac:dyDescent="0.3">
      <c r="A217" s="22"/>
      <c r="C217" s="74"/>
      <c r="D217" s="74"/>
      <c r="E217" s="74"/>
      <c r="F217" s="74"/>
      <c r="G217" s="74"/>
      <c r="H217" s="74"/>
      <c r="I217" s="74"/>
      <c r="J217" s="74"/>
      <c r="K217" s="74"/>
      <c r="M217" s="145"/>
      <c r="N217" s="145"/>
      <c r="O217" s="145"/>
      <c r="P217" s="145"/>
      <c r="Q217" s="145"/>
      <c r="R217" s="145"/>
    </row>
    <row r="218" spans="1:18" ht="13" x14ac:dyDescent="0.3">
      <c r="A218" s="22"/>
      <c r="B218" s="28" t="s">
        <v>18</v>
      </c>
      <c r="C218" s="74"/>
      <c r="D218" s="74"/>
      <c r="E218" s="74">
        <f>+E153+(E$95*$F$188)+E$193+E198</f>
        <v>76.012273583914236</v>
      </c>
      <c r="F218" s="74">
        <f>+F153+(F$95*$F$188)+F$193+F198</f>
        <v>81.555383005420012</v>
      </c>
      <c r="G218" s="74">
        <f>+G153+(G$95*$F$188)+G$193+G198</f>
        <v>76.627814667056271</v>
      </c>
      <c r="H218" s="74"/>
      <c r="I218" s="74">
        <f>+I153+(I$95*$F$188)+I$193+I198</f>
        <v>64.435291521323705</v>
      </c>
      <c r="J218" s="74"/>
      <c r="K218" s="74"/>
      <c r="L218" s="74"/>
      <c r="M218" s="145"/>
      <c r="N218" s="145"/>
      <c r="O218" s="145"/>
      <c r="P218" s="145"/>
      <c r="Q218" s="145"/>
      <c r="R218" s="145"/>
    </row>
    <row r="219" spans="1:18" ht="13" x14ac:dyDescent="0.3">
      <c r="A219" s="22"/>
      <c r="B219" s="77" t="s">
        <v>72</v>
      </c>
      <c r="C219" s="74"/>
      <c r="D219" s="74"/>
      <c r="E219" s="74">
        <f>+E154+(E$95*$F$188)+E$193+E$199</f>
        <v>100.91597317210075</v>
      </c>
      <c r="F219" s="74"/>
      <c r="G219" s="74"/>
      <c r="H219" s="74">
        <f>+H154+(H$95*$F$188)+H$193+H$199</f>
        <v>84.530925192510495</v>
      </c>
      <c r="I219" s="74"/>
      <c r="J219" s="74"/>
      <c r="K219" s="74"/>
      <c r="M219" s="145"/>
      <c r="N219" s="145"/>
      <c r="O219" s="145"/>
      <c r="P219" s="145"/>
      <c r="Q219" s="145"/>
      <c r="R219" s="145"/>
    </row>
    <row r="220" spans="1:18" ht="13" x14ac:dyDescent="0.3">
      <c r="A220" s="22"/>
      <c r="B220" s="77" t="s">
        <v>73</v>
      </c>
      <c r="C220" s="74"/>
      <c r="D220" s="74"/>
      <c r="E220" s="74">
        <f>+E155+(E$95*$F$188)+E$193</f>
        <v>62.396529344855523</v>
      </c>
      <c r="F220" s="74"/>
      <c r="G220" s="74"/>
      <c r="H220" s="74">
        <f>+H155+(H$95*$F$188)+H$193</f>
        <v>61.935110573761335</v>
      </c>
      <c r="I220" s="74"/>
      <c r="J220" s="74"/>
      <c r="K220" s="74"/>
      <c r="M220" s="145"/>
      <c r="N220" s="145"/>
      <c r="O220" s="145"/>
      <c r="P220" s="145"/>
      <c r="Q220" s="145"/>
      <c r="R220" s="145"/>
    </row>
    <row r="221" spans="1:18" ht="13" x14ac:dyDescent="0.3">
      <c r="A221" s="22"/>
      <c r="C221" s="74"/>
      <c r="D221" s="74"/>
      <c r="E221" s="74"/>
      <c r="F221" s="74"/>
      <c r="G221" s="74"/>
      <c r="H221" s="74"/>
      <c r="I221" s="74"/>
      <c r="J221" s="74"/>
      <c r="K221" s="74"/>
      <c r="M221" s="145"/>
      <c r="N221" s="145"/>
      <c r="O221" s="145"/>
      <c r="P221" s="145"/>
      <c r="Q221" s="145"/>
      <c r="R221" s="145"/>
    </row>
    <row r="222" spans="1:18" ht="13" x14ac:dyDescent="0.3">
      <c r="A222" s="22"/>
      <c r="B222" s="13" t="s">
        <v>98</v>
      </c>
      <c r="C222" s="74"/>
      <c r="D222" s="74"/>
      <c r="E222" s="74">
        <f>+E157+(E$95*$F$188)+E$193+E195</f>
        <v>74.465040078984771</v>
      </c>
      <c r="F222" s="74">
        <f>+F157+(F$95*$F$188)+F$193+F195</f>
        <v>77.911172026092189</v>
      </c>
      <c r="G222" s="74">
        <f>+G157+(G$95*$F$188)+G$193+G195</f>
        <v>74.875690125321626</v>
      </c>
      <c r="H222" s="74">
        <f>((H213*SUMPRODUCT(H38:H41,H65:H68)+H214*SUMPRODUCT(T38:T41,H65:H68))+(H219*(SUMPRODUCT(H33:H37,H60:H64)+SUMPRODUCT(H42:H44,H69:H71))+H220*(SUMPRODUCT(T33:T37,H60:H64)+SUMPRODUCT(T42:T44,H69:H71))))/H72</f>
        <v>70.566878974957746</v>
      </c>
      <c r="I222" s="74">
        <f>+I157+(I$95*$F$188)+I$193+I195</f>
        <v>62.582000597520199</v>
      </c>
      <c r="J222" s="74"/>
      <c r="K222" s="74"/>
      <c r="L222" s="74"/>
      <c r="M222" s="145"/>
      <c r="N222" s="145"/>
      <c r="O222" s="145"/>
      <c r="P222" s="145"/>
      <c r="Q222" s="145"/>
      <c r="R222" s="145"/>
    </row>
    <row r="223" spans="1:18" ht="13" x14ac:dyDescent="0.3">
      <c r="A223" s="22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145"/>
      <c r="N223" s="145"/>
      <c r="O223" s="145"/>
      <c r="P223" s="145"/>
      <c r="Q223" s="145"/>
      <c r="R223" s="145"/>
    </row>
    <row r="224" spans="1:18" ht="13" x14ac:dyDescent="0.3">
      <c r="A224" s="22"/>
      <c r="B224" s="16" t="s">
        <v>99</v>
      </c>
      <c r="M224" s="145"/>
      <c r="N224" s="145"/>
      <c r="O224" s="145"/>
      <c r="P224" s="145"/>
      <c r="Q224" s="145"/>
      <c r="R224" s="145"/>
    </row>
    <row r="225" spans="1:18" ht="13" x14ac:dyDescent="0.3">
      <c r="A225" s="22"/>
      <c r="B225" s="17" t="s">
        <v>392</v>
      </c>
      <c r="M225" s="145"/>
      <c r="N225" s="145"/>
      <c r="O225" s="145"/>
      <c r="P225" s="145"/>
      <c r="Q225" s="145"/>
      <c r="R225" s="145"/>
    </row>
    <row r="226" spans="1:18" ht="13" x14ac:dyDescent="0.3">
      <c r="A226" s="22"/>
      <c r="B226" s="17"/>
      <c r="M226" s="145"/>
      <c r="N226" s="145"/>
      <c r="O226" s="145"/>
      <c r="P226" s="145"/>
      <c r="Q226" s="145"/>
      <c r="R226" s="145"/>
    </row>
    <row r="227" spans="1:18" ht="13" x14ac:dyDescent="0.3">
      <c r="A227" s="22"/>
      <c r="B227" s="77"/>
      <c r="C227" s="74"/>
      <c r="D227" s="74"/>
      <c r="I227" s="89"/>
      <c r="J227" s="80"/>
      <c r="K227" s="80"/>
      <c r="L227" s="93"/>
    </row>
    <row r="228" spans="1:18" ht="13" x14ac:dyDescent="0.3">
      <c r="A228" s="22"/>
      <c r="C228" s="74"/>
      <c r="D228" s="74"/>
    </row>
    <row r="229" spans="1:18" ht="13" x14ac:dyDescent="0.3">
      <c r="A229" s="22"/>
      <c r="B229" s="37" t="s">
        <v>101</v>
      </c>
      <c r="C229" s="74"/>
      <c r="D229" s="74"/>
      <c r="I229" s="96"/>
      <c r="L229" s="93"/>
    </row>
    <row r="230" spans="1:18" ht="13" x14ac:dyDescent="0.3">
      <c r="A230" s="22"/>
      <c r="B230" s="77"/>
      <c r="C230" s="74"/>
      <c r="D230" s="74"/>
      <c r="I230" s="89"/>
      <c r="J230" s="97"/>
      <c r="K230" s="97"/>
      <c r="L230" s="93"/>
    </row>
    <row r="231" spans="1:18" ht="15.5" x14ac:dyDescent="0.35">
      <c r="A231" s="22"/>
      <c r="B231" s="638" t="str">
        <f>$B$1</f>
        <v xml:space="preserve">Jersey Central Power &amp; Light </v>
      </c>
      <c r="C231" s="638"/>
      <c r="D231" s="638"/>
      <c r="E231" s="638"/>
      <c r="F231" s="638"/>
      <c r="G231" s="638"/>
      <c r="H231" s="638"/>
      <c r="I231" s="638"/>
      <c r="J231" s="638"/>
      <c r="K231" s="638"/>
      <c r="L231" s="638"/>
    </row>
    <row r="232" spans="1:18" ht="15.5" x14ac:dyDescent="0.35">
      <c r="A232" s="22"/>
      <c r="B232" s="638" t="str">
        <f>$B$2</f>
        <v>Attachment 2</v>
      </c>
      <c r="C232" s="638"/>
      <c r="D232" s="638"/>
      <c r="E232" s="638"/>
      <c r="F232" s="638"/>
      <c r="G232" s="638"/>
      <c r="H232" s="638"/>
      <c r="I232" s="638"/>
      <c r="J232" s="638"/>
      <c r="K232" s="638"/>
      <c r="L232" s="638"/>
    </row>
    <row r="233" spans="1:18" ht="15.5" x14ac:dyDescent="0.35">
      <c r="A233" s="22"/>
      <c r="B233" s="165"/>
      <c r="C233" s="165"/>
      <c r="D233" s="165"/>
      <c r="E233" s="165"/>
      <c r="F233" s="165"/>
      <c r="G233" s="165"/>
      <c r="H233" s="165"/>
      <c r="I233" s="165"/>
      <c r="J233" s="165"/>
      <c r="K233" s="165"/>
      <c r="L233" s="165"/>
    </row>
    <row r="234" spans="1:18" ht="15.5" x14ac:dyDescent="0.35">
      <c r="A234" s="18" t="s">
        <v>106</v>
      </c>
      <c r="B234" s="163" t="s">
        <v>239</v>
      </c>
      <c r="C234" s="20"/>
      <c r="E234" s="164"/>
      <c r="F234" s="38"/>
      <c r="L234" s="165"/>
    </row>
    <row r="235" spans="1:18" ht="15.5" x14ac:dyDescent="0.35">
      <c r="B235" s="13" t="s">
        <v>240</v>
      </c>
      <c r="L235" s="165"/>
    </row>
    <row r="236" spans="1:18" ht="15.5" x14ac:dyDescent="0.35">
      <c r="E236" s="26" t="s">
        <v>61</v>
      </c>
      <c r="F236" s="26" t="s">
        <v>62</v>
      </c>
      <c r="G236" s="26" t="s">
        <v>65</v>
      </c>
      <c r="H236" s="26" t="s">
        <v>203</v>
      </c>
      <c r="I236" s="26" t="s">
        <v>55</v>
      </c>
      <c r="L236" s="165"/>
    </row>
    <row r="237" spans="1:18" ht="15.5" x14ac:dyDescent="0.35">
      <c r="L237" s="165"/>
    </row>
    <row r="238" spans="1:18" ht="15.5" x14ac:dyDescent="0.35">
      <c r="B238" s="28" t="s">
        <v>17</v>
      </c>
      <c r="E238" s="55">
        <f>'Composite Cost Allocation'!E105</f>
        <v>2446237.3333329996</v>
      </c>
      <c r="G238" s="55">
        <f>'Composite Cost Allocation'!G105</f>
        <v>1985450000</v>
      </c>
      <c r="I238" s="55">
        <f>'Composite Cost Allocation'!I105</f>
        <v>38368000</v>
      </c>
      <c r="L238" s="165"/>
    </row>
    <row r="239" spans="1:18" ht="15.5" x14ac:dyDescent="0.35">
      <c r="B239" s="77" t="s">
        <v>72</v>
      </c>
      <c r="E239" s="55">
        <f>'Composite Cost Allocation'!E106</f>
        <v>26206974</v>
      </c>
      <c r="H239" s="55">
        <f>'Composite Cost Allocation'!H106</f>
        <v>32259110</v>
      </c>
      <c r="L239" s="165"/>
    </row>
    <row r="240" spans="1:18" ht="15.5" x14ac:dyDescent="0.35">
      <c r="B240" s="77" t="s">
        <v>73</v>
      </c>
      <c r="E240" s="55">
        <f>'Composite Cost Allocation'!E107</f>
        <v>37598788.666666999</v>
      </c>
      <c r="H240" s="55">
        <f>'Composite Cost Allocation'!H107</f>
        <v>37751890</v>
      </c>
      <c r="L240" s="165"/>
    </row>
    <row r="241" spans="1:14" ht="15.5" x14ac:dyDescent="0.35">
      <c r="B241" s="89" t="s">
        <v>142</v>
      </c>
      <c r="F241" s="55">
        <f>'Composite Cost Allocation'!F108</f>
        <v>2001184000</v>
      </c>
      <c r="L241" s="165"/>
    </row>
    <row r="242" spans="1:14" ht="15.5" x14ac:dyDescent="0.35">
      <c r="B242" s="89" t="s">
        <v>144</v>
      </c>
      <c r="F242" s="55">
        <f>'Composite Cost Allocation'!F109</f>
        <v>1770477000</v>
      </c>
      <c r="L242" s="165"/>
    </row>
    <row r="243" spans="1:14" ht="15.5" x14ac:dyDescent="0.35">
      <c r="L243" s="165"/>
    </row>
    <row r="244" spans="1:14" ht="15.5" x14ac:dyDescent="0.35">
      <c r="B244" s="28" t="s">
        <v>18</v>
      </c>
      <c r="E244" s="55">
        <f>'Composite Cost Allocation'!E111</f>
        <v>5877031.3333332986</v>
      </c>
      <c r="F244" s="55">
        <f>'Composite Cost Allocation'!F111</f>
        <v>5301746000</v>
      </c>
      <c r="G244" s="55">
        <f>'Composite Cost Allocation'!G111</f>
        <v>3491416000</v>
      </c>
      <c r="I244" s="55">
        <f>'Composite Cost Allocation'!I111</f>
        <v>76732000</v>
      </c>
      <c r="L244" s="165"/>
    </row>
    <row r="245" spans="1:14" ht="15.5" x14ac:dyDescent="0.35">
      <c r="B245" s="77" t="s">
        <v>72</v>
      </c>
      <c r="E245" s="55">
        <f>'Composite Cost Allocation'!E112</f>
        <v>45630733.617000148</v>
      </c>
      <c r="H245" s="55">
        <f>'Composite Cost Allocation'!H112</f>
        <v>58871465.099999994</v>
      </c>
      <c r="L245" s="165"/>
    </row>
    <row r="246" spans="1:14" ht="15.5" x14ac:dyDescent="0.35">
      <c r="B246" s="77" t="s">
        <v>73</v>
      </c>
      <c r="E246" s="55">
        <f>'Composite Cost Allocation'!E113</f>
        <v>83475235.049666554</v>
      </c>
      <c r="H246" s="55">
        <f>'Composite Cost Allocation'!H113</f>
        <v>76452534.900000006</v>
      </c>
      <c r="L246" s="165"/>
    </row>
    <row r="247" spans="1:14" ht="15.5" x14ac:dyDescent="0.35">
      <c r="J247" s="26" t="s">
        <v>13</v>
      </c>
      <c r="K247" s="26"/>
      <c r="M247" s="235" t="s">
        <v>275</v>
      </c>
      <c r="N247" s="235" t="s">
        <v>276</v>
      </c>
    </row>
    <row r="248" spans="1:14" ht="13" x14ac:dyDescent="0.3">
      <c r="B248" s="89" t="s">
        <v>162</v>
      </c>
      <c r="E248" s="55">
        <f>SUM(E238:E242)</f>
        <v>66252000</v>
      </c>
      <c r="F248" s="55">
        <f>SUM(F238:F242)</f>
        <v>3771661000</v>
      </c>
      <c r="G248" s="55">
        <f>SUM(G238:G242)</f>
        <v>1985450000</v>
      </c>
      <c r="H248" s="55">
        <f>SUM(H238:H242)</f>
        <v>70011000</v>
      </c>
      <c r="I248" s="55">
        <f>SUM(I238:I242)</f>
        <v>38368000</v>
      </c>
      <c r="J248" s="55">
        <f>SUM(E248:I248)</f>
        <v>5931742000</v>
      </c>
      <c r="K248" s="55"/>
      <c r="M248" s="250">
        <f>ROUND(J248*$E$95/1000,0)</f>
        <v>6631683</v>
      </c>
      <c r="N248" s="250">
        <f>ROUND(J248*$E$98/1000,0)</f>
        <v>6578367</v>
      </c>
    </row>
    <row r="249" spans="1:14" ht="13" x14ac:dyDescent="0.3">
      <c r="B249" s="89" t="s">
        <v>163</v>
      </c>
      <c r="E249" s="138">
        <f>SUM(E244:E246)</f>
        <v>134983000</v>
      </c>
      <c r="F249" s="138">
        <f>SUM(F244:F246)</f>
        <v>5301746000</v>
      </c>
      <c r="G249" s="133">
        <f>SUM(G244:G246)</f>
        <v>3491416000</v>
      </c>
      <c r="H249" s="133">
        <f>SUM(H244:H246)</f>
        <v>135324000</v>
      </c>
      <c r="I249" s="133">
        <f>SUM(I244:I246)</f>
        <v>76732000</v>
      </c>
      <c r="J249" s="138">
        <f>SUM(E249:I249)</f>
        <v>9140201000</v>
      </c>
      <c r="K249" s="138"/>
      <c r="M249" s="250">
        <f>ROUND(J249*$E$95/1000,0)</f>
        <v>10218738</v>
      </c>
      <c r="N249" s="250">
        <f>ROUND(J249*$E$98/1000,0)</f>
        <v>10136584</v>
      </c>
    </row>
    <row r="250" spans="1:14" ht="13" x14ac:dyDescent="0.3">
      <c r="B250" s="89" t="s">
        <v>164</v>
      </c>
      <c r="E250" s="55">
        <f>SUM(E248:E249)</f>
        <v>201235000</v>
      </c>
      <c r="F250" s="55">
        <f>SUM(F248:F249)</f>
        <v>9073407000</v>
      </c>
      <c r="G250" s="55">
        <f>SUM(G248:G249)</f>
        <v>5476866000</v>
      </c>
      <c r="H250" s="55">
        <f>SUM(H248:H249)</f>
        <v>205335000</v>
      </c>
      <c r="I250" s="55">
        <f>SUM(I248:I249)</f>
        <v>115100000</v>
      </c>
      <c r="J250" s="55">
        <f>SUM(E250:I250)</f>
        <v>15071943000</v>
      </c>
      <c r="K250" s="55"/>
      <c r="M250" s="251">
        <f>SUM(M248:M249)</f>
        <v>16850421</v>
      </c>
      <c r="N250" s="251">
        <f>SUM(N248:N249)</f>
        <v>16714951</v>
      </c>
    </row>
    <row r="251" spans="1:14" ht="15.5" x14ac:dyDescent="0.35">
      <c r="A251" s="22"/>
      <c r="B251" s="165"/>
      <c r="C251" s="165"/>
      <c r="D251" s="165"/>
      <c r="E251" s="165"/>
      <c r="F251" s="165"/>
      <c r="G251" s="165"/>
      <c r="H251" s="165"/>
      <c r="I251" s="165"/>
      <c r="J251" s="249" t="s">
        <v>252</v>
      </c>
      <c r="K251" s="249"/>
      <c r="L251" s="165"/>
    </row>
    <row r="252" spans="1:14" ht="15.5" x14ac:dyDescent="0.35">
      <c r="A252" s="22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</row>
    <row r="254" spans="1:14" ht="13" x14ac:dyDescent="0.3">
      <c r="A254" s="6" t="s">
        <v>133</v>
      </c>
      <c r="B254" s="1" t="s">
        <v>168</v>
      </c>
      <c r="C254"/>
      <c r="D254"/>
      <c r="E254"/>
      <c r="F254"/>
      <c r="G254"/>
      <c r="H254"/>
      <c r="I254"/>
      <c r="J254"/>
      <c r="K254"/>
      <c r="L254"/>
    </row>
    <row r="255" spans="1:14" ht="13" x14ac:dyDescent="0.3">
      <c r="A255" s="7"/>
      <c r="B255" s="1"/>
      <c r="C255"/>
      <c r="D255"/>
      <c r="E255"/>
      <c r="F255"/>
      <c r="G255"/>
      <c r="H255"/>
      <c r="I255"/>
      <c r="J255"/>
      <c r="K255"/>
      <c r="L255"/>
    </row>
    <row r="256" spans="1:14" ht="13" x14ac:dyDescent="0.3">
      <c r="A256" s="7"/>
      <c r="B256"/>
      <c r="C256" s="2"/>
      <c r="D256" s="2"/>
      <c r="E256" s="26" t="str">
        <f>+E$13</f>
        <v>RT{1}</v>
      </c>
      <c r="F256" s="26" t="str">
        <f>+F$13</f>
        <v>RS{2}</v>
      </c>
      <c r="G256" s="26" t="str">
        <f>+G$13</f>
        <v>GS{3}</v>
      </c>
      <c r="H256" s="155" t="str">
        <f>+H$58</f>
        <v>GST {4}</v>
      </c>
      <c r="I256" s="26" t="str">
        <f>+I$13</f>
        <v>OL/SL</v>
      </c>
      <c r="J256" s="2" t="s">
        <v>13</v>
      </c>
      <c r="K256" s="2"/>
      <c r="L256" s="2"/>
    </row>
    <row r="257" spans="1:15" ht="13" x14ac:dyDescent="0.3">
      <c r="A257" s="7"/>
      <c r="B257" t="s">
        <v>134</v>
      </c>
      <c r="C257"/>
      <c r="D257"/>
      <c r="E257"/>
      <c r="F257"/>
      <c r="G257"/>
      <c r="H257"/>
      <c r="I257"/>
      <c r="J257"/>
      <c r="K257"/>
      <c r="L257"/>
    </row>
    <row r="258" spans="1:15" ht="13" x14ac:dyDescent="0.3">
      <c r="A258" s="7"/>
      <c r="B258" s="28" t="s">
        <v>17</v>
      </c>
      <c r="C258" s="149"/>
      <c r="D258" s="149"/>
      <c r="E258" s="149">
        <f>+E212*E238/1000000</f>
        <v>174.44773793166408</v>
      </c>
      <c r="F258" s="149"/>
      <c r="G258" s="149">
        <f>+G212*G238/1000000</f>
        <v>142544.54330031475</v>
      </c>
      <c r="H258" s="144"/>
      <c r="I258" s="149">
        <f>+I212*I238/1000000</f>
        <v>2258.939479760365</v>
      </c>
      <c r="J258" s="149"/>
      <c r="K258" s="149"/>
      <c r="L258" s="149"/>
    </row>
    <row r="259" spans="1:15" ht="13" x14ac:dyDescent="0.3">
      <c r="A259" s="7"/>
      <c r="B259" s="77" t="s">
        <v>72</v>
      </c>
      <c r="C259" s="149"/>
      <c r="D259" s="149"/>
      <c r="E259" s="149">
        <f>+E213*E239/1000000</f>
        <v>2473.0259476535871</v>
      </c>
      <c r="F259" s="149"/>
      <c r="G259" s="149"/>
      <c r="H259" s="149">
        <f>+H213*H239/1000000</f>
        <v>2695.2594901680632</v>
      </c>
      <c r="I259" s="149"/>
      <c r="J259" s="149"/>
      <c r="K259" s="149"/>
      <c r="L259" s="149"/>
    </row>
    <row r="260" spans="1:15" ht="13" x14ac:dyDescent="0.3">
      <c r="A260" s="7"/>
      <c r="B260" s="77" t="s">
        <v>73</v>
      </c>
      <c r="C260" s="149"/>
      <c r="D260" s="149"/>
      <c r="E260" s="149">
        <f>+E214*E240/1000000</f>
        <v>2077.1773922334114</v>
      </c>
      <c r="F260" s="149"/>
      <c r="G260" s="149"/>
      <c r="H260" s="149">
        <f>+H214*H240/1000000</f>
        <v>2083.0349891374449</v>
      </c>
      <c r="I260" s="149"/>
      <c r="J260" s="149"/>
      <c r="K260" s="149"/>
      <c r="L260" s="81"/>
      <c r="M260" s="81"/>
      <c r="N260" s="81"/>
      <c r="O260" s="81"/>
    </row>
    <row r="261" spans="1:15" ht="13" x14ac:dyDescent="0.3">
      <c r="A261" s="7"/>
      <c r="B261" s="89" t="s">
        <v>142</v>
      </c>
      <c r="C261" s="149"/>
      <c r="D261" s="149"/>
      <c r="E261" s="149"/>
      <c r="F261" s="149">
        <f>+F215*F241/1000000</f>
        <v>137535.76395661908</v>
      </c>
      <c r="G261" s="149"/>
      <c r="H261" s="144"/>
      <c r="I261" s="149"/>
      <c r="J261" s="149"/>
      <c r="K261" s="149"/>
      <c r="L261" s="149"/>
    </row>
    <row r="262" spans="1:15" ht="13" x14ac:dyDescent="0.3">
      <c r="A262" s="7"/>
      <c r="B262" s="89" t="s">
        <v>144</v>
      </c>
      <c r="C262" s="149"/>
      <c r="D262" s="149"/>
      <c r="E262" s="149"/>
      <c r="F262" s="149">
        <f>+F216*F242/1000000</f>
        <v>136998.08587334087</v>
      </c>
      <c r="G262" s="149"/>
      <c r="H262" s="144"/>
      <c r="I262" s="149"/>
      <c r="J262" s="149"/>
      <c r="K262" s="149"/>
      <c r="L262" s="149"/>
    </row>
    <row r="263" spans="1:15" ht="13" x14ac:dyDescent="0.3">
      <c r="A263" s="7"/>
      <c r="C263" s="149"/>
      <c r="D263" s="149"/>
      <c r="E263" s="149"/>
      <c r="F263" s="149"/>
      <c r="G263" s="149"/>
      <c r="H263" s="144"/>
      <c r="I263" s="149"/>
      <c r="J263" s="149"/>
      <c r="K263" s="149"/>
      <c r="L263" s="149"/>
    </row>
    <row r="264" spans="1:15" ht="13" x14ac:dyDescent="0.3">
      <c r="A264" s="7"/>
      <c r="B264" s="28" t="s">
        <v>18</v>
      </c>
      <c r="C264" s="149"/>
      <c r="D264" s="149"/>
      <c r="E264" s="149">
        <f>+E218*E244/1000000</f>
        <v>446.72651357056696</v>
      </c>
      <c r="F264" s="149">
        <f>+F218*F244/1000000</f>
        <v>432385.92562745354</v>
      </c>
      <c r="G264" s="149">
        <f>+G218*G244/1000000</f>
        <v>267539.57817359496</v>
      </c>
      <c r="I264" s="149">
        <f>+I218*I244/1000000</f>
        <v>4944.2487890142111</v>
      </c>
      <c r="J264" s="149"/>
      <c r="K264" s="149"/>
      <c r="L264" s="149"/>
    </row>
    <row r="265" spans="1:15" ht="13" x14ac:dyDescent="0.3">
      <c r="A265" s="7"/>
      <c r="B265" s="77" t="s">
        <v>72</v>
      </c>
      <c r="C265" s="149"/>
      <c r="D265" s="149"/>
      <c r="E265" s="149">
        <f>+E219*E245/1000000</f>
        <v>4604.8698895164625</v>
      </c>
      <c r="F265" s="3"/>
      <c r="G265" s="3"/>
      <c r="H265" s="149">
        <f>+H219*H245/1000000</f>
        <v>4976.4594123415918</v>
      </c>
      <c r="I265" s="3"/>
      <c r="J265" s="149"/>
      <c r="K265" s="149"/>
      <c r="L265" s="149"/>
    </row>
    <row r="266" spans="1:15" ht="13" x14ac:dyDescent="0.3">
      <c r="A266" s="7"/>
      <c r="B266" s="77" t="s">
        <v>73</v>
      </c>
      <c r="C266" s="3"/>
      <c r="D266" s="3"/>
      <c r="E266" s="149">
        <f>+E220*E246/1000000</f>
        <v>5208.5649533452306</v>
      </c>
      <c r="H266" s="149">
        <f>+H220*H246/1000000</f>
        <v>4735.096202675848</v>
      </c>
      <c r="J266" s="149"/>
      <c r="K266" s="149"/>
      <c r="L266" s="149"/>
    </row>
    <row r="267" spans="1:15" ht="13" x14ac:dyDescent="0.3">
      <c r="A267" s="7"/>
      <c r="B267" s="5"/>
      <c r="C267"/>
      <c r="D267"/>
      <c r="E267"/>
      <c r="F267"/>
      <c r="G267"/>
      <c r="H267"/>
      <c r="I267"/>
      <c r="J267"/>
      <c r="K267"/>
      <c r="L267"/>
    </row>
    <row r="268" spans="1:15" ht="13" x14ac:dyDescent="0.3">
      <c r="A268" s="7"/>
      <c r="B268" t="s">
        <v>135</v>
      </c>
      <c r="C268"/>
      <c r="D268"/>
      <c r="E268"/>
      <c r="F268"/>
      <c r="G268"/>
      <c r="H268"/>
      <c r="I268"/>
      <c r="J268"/>
      <c r="K268"/>
      <c r="L268"/>
    </row>
    <row r="269" spans="1:15" ht="13" x14ac:dyDescent="0.3">
      <c r="A269" s="7"/>
      <c r="B269" s="5" t="s">
        <v>25</v>
      </c>
      <c r="D269"/>
      <c r="E269" s="3">
        <f>SUM(E258:E262)</f>
        <v>4724.6510778186621</v>
      </c>
      <c r="F269" s="3">
        <f>SUM(F258:F262)</f>
        <v>274533.84982995992</v>
      </c>
      <c r="G269" s="3">
        <f>SUM(G258:G262)</f>
        <v>142544.54330031475</v>
      </c>
      <c r="H269" s="3">
        <f>SUM(H258:H262)</f>
        <v>4778.2944793055085</v>
      </c>
      <c r="I269" s="3">
        <f>SUM(I258:I262)</f>
        <v>2258.939479760365</v>
      </c>
      <c r="J269" s="151">
        <f>SUM(E269:I269)</f>
        <v>428840.27816715918</v>
      </c>
      <c r="K269" s="151"/>
      <c r="L269"/>
    </row>
    <row r="270" spans="1:15" ht="13" x14ac:dyDescent="0.3">
      <c r="A270" s="7"/>
      <c r="B270" s="5" t="s">
        <v>26</v>
      </c>
      <c r="D270"/>
      <c r="E270" s="3">
        <f>SUM(E264:E266)</f>
        <v>10260.16135643226</v>
      </c>
      <c r="F270" s="3">
        <f>SUM(F264:F266)</f>
        <v>432385.92562745354</v>
      </c>
      <c r="G270" s="3">
        <f>SUM(G264:G266)</f>
        <v>267539.57817359496</v>
      </c>
      <c r="H270" s="3">
        <f>SUM(H264:H266)</f>
        <v>9711.5556150174398</v>
      </c>
      <c r="I270" s="3">
        <f>SUM(I264:I266)</f>
        <v>4944.2487890142111</v>
      </c>
      <c r="J270" s="151">
        <f>SUM(E270:I270)</f>
        <v>724841.46956151235</v>
      </c>
      <c r="K270" s="151"/>
      <c r="L270"/>
    </row>
    <row r="271" spans="1:15" ht="13" x14ac:dyDescent="0.3">
      <c r="A271" s="7"/>
      <c r="B271" s="5" t="s">
        <v>13</v>
      </c>
      <c r="D271"/>
      <c r="E271" s="3">
        <f>SUM(E269:E270)</f>
        <v>14984.812434250922</v>
      </c>
      <c r="F271" s="3">
        <f>SUM(F269:F270)</f>
        <v>706919.7754574134</v>
      </c>
      <c r="G271" s="3">
        <f>SUM(G269:G270)</f>
        <v>410084.1214739097</v>
      </c>
      <c r="H271" s="3">
        <f>SUM(H269:H270)</f>
        <v>14489.850094322948</v>
      </c>
      <c r="I271" s="3">
        <f>SUM(I269:I270)</f>
        <v>7203.1882687745765</v>
      </c>
      <c r="J271" s="3">
        <f>SUM(E271:I271)</f>
        <v>1153681.7477286719</v>
      </c>
      <c r="K271" s="3"/>
    </row>
    <row r="272" spans="1:15" ht="13" x14ac:dyDescent="0.3">
      <c r="A272" s="7"/>
      <c r="B272"/>
      <c r="C272"/>
      <c r="D272"/>
      <c r="E272"/>
      <c r="F272"/>
      <c r="G272"/>
      <c r="H272"/>
      <c r="J272"/>
      <c r="K272"/>
    </row>
    <row r="273" spans="1:12" ht="13" x14ac:dyDescent="0.3">
      <c r="A273" s="7"/>
      <c r="B273" t="s">
        <v>136</v>
      </c>
      <c r="C273"/>
      <c r="D273"/>
      <c r="E273"/>
      <c r="F273"/>
      <c r="G273"/>
      <c r="H273"/>
      <c r="J273"/>
      <c r="K273"/>
    </row>
    <row r="274" spans="1:12" ht="13" x14ac:dyDescent="0.3">
      <c r="A274" s="7"/>
      <c r="B274" s="5" t="s">
        <v>25</v>
      </c>
      <c r="C274"/>
      <c r="D274"/>
      <c r="E274" s="150">
        <f t="shared" ref="E274:J274" si="28">+E269/E271</f>
        <v>0.31529597708006568</v>
      </c>
      <c r="F274" s="150">
        <f t="shared" si="28"/>
        <v>0.38835219972778723</v>
      </c>
      <c r="G274" s="150">
        <f t="shared" si="28"/>
        <v>0.34759829955860333</v>
      </c>
      <c r="H274" s="150">
        <f t="shared" si="28"/>
        <v>0.32976838602199349</v>
      </c>
      <c r="I274" s="150">
        <f t="shared" si="28"/>
        <v>0.31360272638613973</v>
      </c>
      <c r="J274" s="150">
        <f t="shared" si="28"/>
        <v>0.37171453826971335</v>
      </c>
      <c r="K274" s="150"/>
    </row>
    <row r="275" spans="1:12" ht="13" x14ac:dyDescent="0.3">
      <c r="A275" s="7"/>
      <c r="B275" s="5" t="s">
        <v>26</v>
      </c>
      <c r="C275"/>
      <c r="D275"/>
      <c r="E275" s="150">
        <f t="shared" ref="E275:J275" si="29">+E270/E271</f>
        <v>0.68470402291993426</v>
      </c>
      <c r="F275" s="150">
        <f t="shared" si="29"/>
        <v>0.61164780027221288</v>
      </c>
      <c r="G275" s="150">
        <f t="shared" si="29"/>
        <v>0.65240170044139667</v>
      </c>
      <c r="H275" s="150">
        <f t="shared" si="29"/>
        <v>0.67023161397800657</v>
      </c>
      <c r="I275" s="150">
        <f t="shared" si="29"/>
        <v>0.68639727361386027</v>
      </c>
      <c r="J275" s="150">
        <f t="shared" si="29"/>
        <v>0.62828546173028632</v>
      </c>
      <c r="K275" s="150"/>
    </row>
    <row r="276" spans="1:12" ht="13" x14ac:dyDescent="0.3">
      <c r="A276" s="7"/>
      <c r="B276" s="5"/>
      <c r="C276"/>
      <c r="D276"/>
      <c r="E276" s="150"/>
      <c r="F276" s="150"/>
      <c r="G276" s="150"/>
      <c r="H276" s="150"/>
      <c r="I276" s="150"/>
      <c r="J276" s="150"/>
      <c r="K276" s="150"/>
    </row>
    <row r="277" spans="1:12" ht="15.5" x14ac:dyDescent="0.35">
      <c r="A277" s="22"/>
      <c r="B277" s="638" t="str">
        <f>$B$1</f>
        <v xml:space="preserve">Jersey Central Power &amp; Light </v>
      </c>
      <c r="C277" s="638"/>
      <c r="D277" s="638"/>
      <c r="E277" s="638"/>
      <c r="F277" s="638"/>
      <c r="G277" s="638"/>
      <c r="H277" s="638"/>
      <c r="I277" s="638"/>
      <c r="J277" s="638"/>
      <c r="K277" s="638"/>
      <c r="L277" s="638"/>
    </row>
    <row r="278" spans="1:12" ht="15.5" x14ac:dyDescent="0.35">
      <c r="A278" s="22"/>
      <c r="B278" s="638" t="str">
        <f>$B$2</f>
        <v>Attachment 2</v>
      </c>
      <c r="C278" s="638"/>
      <c r="D278" s="638"/>
      <c r="E278" s="638"/>
      <c r="F278" s="638"/>
      <c r="G278" s="638"/>
      <c r="H278" s="638"/>
      <c r="I278" s="638"/>
      <c r="J278" s="638"/>
      <c r="K278" s="638"/>
      <c r="L278" s="638"/>
    </row>
    <row r="279" spans="1:12" x14ac:dyDescent="0.25">
      <c r="F279"/>
      <c r="G279"/>
      <c r="H279"/>
      <c r="J279"/>
      <c r="K279"/>
    </row>
    <row r="280" spans="1:12" x14ac:dyDescent="0.25">
      <c r="F280"/>
      <c r="G280"/>
      <c r="H280"/>
      <c r="J280"/>
      <c r="K280"/>
    </row>
    <row r="281" spans="1:12" ht="13" x14ac:dyDescent="0.3">
      <c r="A281" s="6" t="s">
        <v>244</v>
      </c>
      <c r="C281" s="252" t="s">
        <v>406</v>
      </c>
      <c r="D281" s="223"/>
      <c r="E281" s="223"/>
      <c r="F281"/>
      <c r="G281"/>
      <c r="H281"/>
      <c r="J281"/>
      <c r="K281"/>
    </row>
    <row r="282" spans="1:12" x14ac:dyDescent="0.25">
      <c r="F282"/>
      <c r="G282"/>
      <c r="H282"/>
      <c r="J282"/>
      <c r="K282"/>
    </row>
    <row r="283" spans="1:12" x14ac:dyDescent="0.25">
      <c r="A283" s="13"/>
      <c r="J283"/>
      <c r="K283"/>
    </row>
    <row r="284" spans="1:12" x14ac:dyDescent="0.25">
      <c r="A284" s="13"/>
      <c r="J284"/>
      <c r="K284"/>
    </row>
    <row r="285" spans="1:12" ht="13" x14ac:dyDescent="0.3">
      <c r="A285" s="6" t="s">
        <v>242</v>
      </c>
      <c r="B285" s="1" t="s">
        <v>245</v>
      </c>
      <c r="C285"/>
      <c r="D285"/>
      <c r="E285"/>
      <c r="G285" s="81"/>
      <c r="J285"/>
      <c r="K285"/>
    </row>
    <row r="286" spans="1:12" ht="13" x14ac:dyDescent="0.3">
      <c r="A286" s="7"/>
      <c r="C286" s="74"/>
      <c r="D286" s="74"/>
      <c r="J286"/>
      <c r="K286"/>
    </row>
    <row r="287" spans="1:12" ht="13" x14ac:dyDescent="0.3">
      <c r="A287" s="7"/>
      <c r="B287" s="16" t="s">
        <v>102</v>
      </c>
      <c r="C287" s="74"/>
      <c r="D287" s="74"/>
      <c r="J287"/>
      <c r="K287"/>
    </row>
    <row r="288" spans="1:12" ht="13" x14ac:dyDescent="0.3">
      <c r="A288" s="7"/>
      <c r="B288" s="89" t="s">
        <v>103</v>
      </c>
      <c r="C288" s="144">
        <f>(+SUMPRODUCT(C222:I222,C72:I72))/1000</f>
        <v>1153681.9058170507</v>
      </c>
      <c r="J288"/>
      <c r="K288"/>
    </row>
    <row r="289" spans="1:21" ht="13" x14ac:dyDescent="0.3">
      <c r="A289" s="7"/>
      <c r="C289" s="89" t="s">
        <v>104</v>
      </c>
      <c r="D289" s="269">
        <f>+C288/SUMPRODUCT(E72:I72,E95:I95)*1000</f>
        <v>68.466059689025514</v>
      </c>
      <c r="E289" s="13" t="s">
        <v>105</v>
      </c>
      <c r="J289"/>
      <c r="K289"/>
      <c r="M289" s="244" t="s">
        <v>267</v>
      </c>
      <c r="N289" s="245">
        <f>C288/SUMPRODUCT(E72:I72,E98:I98)*1000</f>
        <v>69.020956687163732</v>
      </c>
      <c r="O289" s="244" t="s">
        <v>265</v>
      </c>
      <c r="P289" s="244"/>
      <c r="Q289" s="244"/>
      <c r="R289" s="244"/>
    </row>
    <row r="290" spans="1:21" ht="13" x14ac:dyDescent="0.3">
      <c r="A290" s="7"/>
      <c r="J290"/>
      <c r="K290"/>
    </row>
    <row r="291" spans="1:21" ht="13" x14ac:dyDescent="0.3">
      <c r="A291" s="7"/>
      <c r="C291" s="89"/>
      <c r="D291" s="236"/>
      <c r="I291" s="13" t="s">
        <v>252</v>
      </c>
      <c r="J291"/>
      <c r="K291"/>
    </row>
    <row r="292" spans="1:21" ht="13" x14ac:dyDescent="0.3">
      <c r="A292" s="6" t="s">
        <v>243</v>
      </c>
      <c r="B292" s="1" t="s">
        <v>220</v>
      </c>
      <c r="C292" s="89"/>
      <c r="D292" s="233"/>
      <c r="J292"/>
      <c r="K292"/>
    </row>
    <row r="293" spans="1:21" ht="13" x14ac:dyDescent="0.3">
      <c r="A293" s="7"/>
      <c r="B293"/>
      <c r="C293"/>
      <c r="D293"/>
      <c r="E293"/>
      <c r="F293"/>
      <c r="G293"/>
      <c r="H293"/>
      <c r="J293"/>
      <c r="K293"/>
    </row>
    <row r="294" spans="1:21" ht="13" x14ac:dyDescent="0.3">
      <c r="A294" s="7"/>
      <c r="B294" s="13" t="s">
        <v>274</v>
      </c>
      <c r="G294" s="231" t="s">
        <v>176</v>
      </c>
      <c r="H294" s="133"/>
      <c r="I294" s="133"/>
      <c r="J294" s="10"/>
      <c r="K294" s="10"/>
      <c r="M294" s="13" t="s">
        <v>273</v>
      </c>
      <c r="R294" s="231" t="s">
        <v>176</v>
      </c>
      <c r="S294" s="133"/>
      <c r="T294" s="133"/>
      <c r="U294" s="10"/>
    </row>
    <row r="295" spans="1:21" ht="13" x14ac:dyDescent="0.3">
      <c r="A295" s="7"/>
      <c r="B295" s="71" t="s">
        <v>25</v>
      </c>
      <c r="C295" s="270">
        <f>+J269/SUMPRODUCT(Q64:U64,E$95:I$95)*1000</f>
        <v>64.665376715306635</v>
      </c>
      <c r="D295" s="13" t="s">
        <v>137</v>
      </c>
      <c r="H295" s="26" t="s">
        <v>25</v>
      </c>
      <c r="I295" s="232">
        <f>ROUND(C295/$D$289,4)</f>
        <v>0.94450000000000001</v>
      </c>
      <c r="M295" s="226" t="s">
        <v>25</v>
      </c>
      <c r="N295" s="227">
        <f>J269/SUMPRODUCT(Q64:U64,E$98:I$98)*1000</f>
        <v>65.189470311254482</v>
      </c>
      <c r="O295" s="225" t="s">
        <v>266</v>
      </c>
      <c r="P295" s="225"/>
      <c r="Q295" s="230"/>
      <c r="S295" s="228" t="s">
        <v>25</v>
      </c>
      <c r="T295" s="229">
        <f>ROUND(N295/N289,4)</f>
        <v>0.94450000000000001</v>
      </c>
    </row>
    <row r="296" spans="1:21" ht="13" x14ac:dyDescent="0.3">
      <c r="A296" s="7"/>
      <c r="B296" s="71" t="s">
        <v>26</v>
      </c>
      <c r="C296" s="142">
        <f>+J270/SUMPRODUCT(Q60:U60,E$95:I$95)*1000</f>
        <v>70.932584158339907</v>
      </c>
      <c r="D296" s="13" t="s">
        <v>137</v>
      </c>
      <c r="H296" s="26" t="s">
        <v>26</v>
      </c>
      <c r="I296" s="232">
        <f>ROUND(C296/$D$289,4)</f>
        <v>1.036</v>
      </c>
      <c r="M296" s="226" t="s">
        <v>26</v>
      </c>
      <c r="N296" s="227">
        <f>J270/SUMPRODUCT(Q60:U60,E$98:I$98)*1000</f>
        <v>71.507471601818096</v>
      </c>
      <c r="O296" s="225" t="s">
        <v>266</v>
      </c>
      <c r="P296" s="225"/>
      <c r="Q296" s="230"/>
      <c r="S296" s="228" t="s">
        <v>26</v>
      </c>
      <c r="T296" s="229">
        <f>ROUND(N296/N289,4)</f>
        <v>1.036</v>
      </c>
    </row>
    <row r="297" spans="1:21" ht="13" x14ac:dyDescent="0.3">
      <c r="A297" s="7"/>
    </row>
    <row r="298" spans="1:21" ht="13" x14ac:dyDescent="0.3">
      <c r="A298" s="7"/>
      <c r="G298" s="231" t="s">
        <v>308</v>
      </c>
    </row>
    <row r="299" spans="1:21" ht="13" x14ac:dyDescent="0.3">
      <c r="A299" s="7"/>
      <c r="B299"/>
      <c r="C299"/>
      <c r="D299"/>
      <c r="E299" s="137"/>
      <c r="F299" s="4"/>
      <c r="G299"/>
      <c r="H299" s="26" t="s">
        <v>25</v>
      </c>
      <c r="I299" s="369">
        <f>IF(I296&gt;I295,1,I295)</f>
        <v>1</v>
      </c>
      <c r="J299"/>
      <c r="K299"/>
      <c r="L299"/>
    </row>
    <row r="300" spans="1:21" ht="13" x14ac:dyDescent="0.3">
      <c r="A300" s="16" t="s">
        <v>108</v>
      </c>
      <c r="E300" s="98"/>
      <c r="F300" s="101"/>
      <c r="H300" s="26" t="s">
        <v>26</v>
      </c>
      <c r="I300" s="369">
        <f>IF(I296&gt;I295,1,I296)</f>
        <v>1</v>
      </c>
      <c r="J300"/>
      <c r="K300"/>
      <c r="L300"/>
    </row>
    <row r="301" spans="1:21" ht="13" x14ac:dyDescent="0.3">
      <c r="A301" s="22"/>
      <c r="B301" s="89" t="s">
        <v>132</v>
      </c>
      <c r="C301" s="102">
        <f>D174</f>
        <v>97.75</v>
      </c>
      <c r="D301" s="93" t="s">
        <v>160</v>
      </c>
      <c r="E301" s="98"/>
      <c r="F301" s="101"/>
      <c r="I301"/>
      <c r="J301"/>
      <c r="K301"/>
      <c r="L301"/>
    </row>
    <row r="302" spans="1:21" ht="13" x14ac:dyDescent="0.3">
      <c r="A302" s="22"/>
      <c r="B302" s="89"/>
      <c r="C302" s="102">
        <f>D175</f>
        <v>97.75</v>
      </c>
      <c r="D302" s="93" t="s">
        <v>161</v>
      </c>
      <c r="E302" s="98"/>
      <c r="F302" s="101"/>
      <c r="I302"/>
      <c r="J302"/>
      <c r="K302"/>
      <c r="L302"/>
    </row>
    <row r="303" spans="1:21" ht="13" x14ac:dyDescent="0.3">
      <c r="A303" s="22"/>
      <c r="B303" s="89" t="s">
        <v>159</v>
      </c>
      <c r="C303" s="568" t="s">
        <v>378</v>
      </c>
      <c r="D303" s="93"/>
      <c r="E303" s="98"/>
      <c r="F303" s="101"/>
      <c r="I303"/>
      <c r="J303"/>
      <c r="K303"/>
      <c r="L303"/>
    </row>
    <row r="304" spans="1:21" ht="13" x14ac:dyDescent="0.3">
      <c r="A304" s="22"/>
      <c r="B304" s="89" t="s">
        <v>109</v>
      </c>
      <c r="C304" s="148">
        <f>+H169</f>
        <v>4</v>
      </c>
      <c r="D304" s="13" t="s">
        <v>110</v>
      </c>
      <c r="E304" s="98"/>
      <c r="F304" s="101"/>
      <c r="I304"/>
      <c r="J304"/>
      <c r="K304"/>
      <c r="L304"/>
    </row>
    <row r="305" spans="1:13" ht="13" x14ac:dyDescent="0.3">
      <c r="A305" s="22"/>
      <c r="B305" s="89"/>
      <c r="C305" s="148">
        <f>+H170</f>
        <v>8</v>
      </c>
      <c r="D305" s="13" t="s">
        <v>111</v>
      </c>
      <c r="E305" s="98"/>
      <c r="F305" s="101"/>
      <c r="I305"/>
      <c r="J305"/>
      <c r="K305"/>
      <c r="L305"/>
    </row>
    <row r="306" spans="1:13" ht="13" x14ac:dyDescent="0.3">
      <c r="A306" s="22"/>
      <c r="B306" s="341" t="s">
        <v>311</v>
      </c>
      <c r="C306" s="102">
        <f>+F188</f>
        <v>18.09</v>
      </c>
      <c r="D306" s="13" t="s">
        <v>113</v>
      </c>
      <c r="E306" s="98"/>
      <c r="F306" s="101"/>
      <c r="I306"/>
      <c r="J306"/>
      <c r="K306"/>
      <c r="L306"/>
    </row>
    <row r="307" spans="1:13" ht="13" x14ac:dyDescent="0.3">
      <c r="A307" s="22"/>
      <c r="B307" s="89" t="s">
        <v>114</v>
      </c>
      <c r="C307" s="296" t="s">
        <v>423</v>
      </c>
      <c r="E307" s="98"/>
      <c r="F307" s="101"/>
      <c r="I307"/>
      <c r="J307"/>
      <c r="K307"/>
      <c r="L307"/>
      <c r="M307" s="296" t="s">
        <v>252</v>
      </c>
    </row>
    <row r="308" spans="1:13" ht="13" x14ac:dyDescent="0.3">
      <c r="A308" s="22"/>
      <c r="B308" s="89" t="s">
        <v>115</v>
      </c>
      <c r="C308" s="535" t="s">
        <v>407</v>
      </c>
      <c r="E308" s="98"/>
      <c r="F308" s="101"/>
      <c r="I308"/>
      <c r="J308"/>
      <c r="K308"/>
      <c r="L308"/>
    </row>
    <row r="309" spans="1:13" ht="13" x14ac:dyDescent="0.3">
      <c r="A309" s="22"/>
      <c r="B309" s="89"/>
      <c r="C309" s="535" t="s">
        <v>408</v>
      </c>
      <c r="E309" s="98"/>
      <c r="F309" s="101"/>
      <c r="I309"/>
      <c r="J309"/>
      <c r="K309"/>
      <c r="L309"/>
    </row>
    <row r="310" spans="1:13" ht="13" x14ac:dyDescent="0.3">
      <c r="A310" s="22"/>
      <c r="B310" s="89" t="s">
        <v>116</v>
      </c>
      <c r="C310" s="296" t="s">
        <v>409</v>
      </c>
      <c r="E310" s="98"/>
      <c r="F310" s="101"/>
      <c r="I310"/>
      <c r="J310"/>
      <c r="K310"/>
      <c r="L310"/>
    </row>
    <row r="311" spans="1:13" ht="13" x14ac:dyDescent="0.3">
      <c r="A311" s="22"/>
      <c r="B311" s="89" t="s">
        <v>271</v>
      </c>
      <c r="C311" s="13" t="s">
        <v>272</v>
      </c>
      <c r="E311" s="98"/>
      <c r="F311" s="101"/>
      <c r="I311"/>
      <c r="J311"/>
      <c r="K311"/>
      <c r="L311"/>
    </row>
    <row r="312" spans="1:13" ht="13" x14ac:dyDescent="0.3">
      <c r="A312" s="22"/>
      <c r="B312" s="89" t="s">
        <v>268</v>
      </c>
      <c r="C312" s="13" t="s">
        <v>269</v>
      </c>
      <c r="E312" s="98"/>
      <c r="F312" s="101"/>
      <c r="I312"/>
      <c r="J312"/>
      <c r="K312"/>
      <c r="L312"/>
    </row>
    <row r="313" spans="1:13" ht="13" x14ac:dyDescent="0.3">
      <c r="A313" s="22"/>
      <c r="B313" s="89" t="s">
        <v>118</v>
      </c>
      <c r="C313" s="13" t="s">
        <v>214</v>
      </c>
      <c r="E313" s="100"/>
      <c r="F313" s="101"/>
      <c r="I313"/>
      <c r="J313"/>
      <c r="K313"/>
      <c r="L313"/>
    </row>
    <row r="314" spans="1:13" ht="13" x14ac:dyDescent="0.3">
      <c r="C314" s="13" t="s">
        <v>119</v>
      </c>
      <c r="E314" s="98"/>
      <c r="F314" s="101"/>
      <c r="I314"/>
      <c r="J314"/>
      <c r="K314"/>
      <c r="L314"/>
    </row>
    <row r="315" spans="1:13" ht="13" x14ac:dyDescent="0.3">
      <c r="B315" s="89" t="s">
        <v>120</v>
      </c>
      <c r="C315" s="103" t="s">
        <v>189</v>
      </c>
      <c r="E315" s="98"/>
      <c r="F315" s="101"/>
      <c r="I315"/>
      <c r="J315"/>
      <c r="K315"/>
      <c r="L315"/>
    </row>
    <row r="316" spans="1:13" ht="13" x14ac:dyDescent="0.3">
      <c r="A316" s="22"/>
      <c r="C316" s="103" t="s">
        <v>121</v>
      </c>
      <c r="E316" s="99"/>
      <c r="I316"/>
      <c r="J316"/>
      <c r="K316"/>
      <c r="L316"/>
    </row>
    <row r="317" spans="1:13" x14ac:dyDescent="0.25">
      <c r="C317" s="103" t="s">
        <v>188</v>
      </c>
      <c r="I317"/>
      <c r="J317"/>
      <c r="K317"/>
      <c r="L317"/>
    </row>
    <row r="318" spans="1:13" ht="13" x14ac:dyDescent="0.3">
      <c r="A318" s="7"/>
      <c r="B318" s="404" t="s">
        <v>314</v>
      </c>
      <c r="C318" s="405" t="s">
        <v>315</v>
      </c>
      <c r="D318"/>
      <c r="E318" s="137"/>
      <c r="F318" s="4"/>
      <c r="G318"/>
      <c r="H318"/>
      <c r="I318"/>
      <c r="J318"/>
      <c r="K318"/>
      <c r="L318"/>
    </row>
    <row r="319" spans="1:13" ht="13" x14ac:dyDescent="0.3">
      <c r="A319" s="7"/>
      <c r="B319" s="403" t="s">
        <v>252</v>
      </c>
      <c r="C319" s="9"/>
      <c r="D319"/>
      <c r="E319" s="137"/>
      <c r="F319" s="137"/>
      <c r="G319"/>
      <c r="H319"/>
      <c r="I319"/>
      <c r="J319"/>
      <c r="K319"/>
      <c r="L319"/>
    </row>
  </sheetData>
  <mergeCells count="17">
    <mergeCell ref="B1:L1"/>
    <mergeCell ref="B2:L2"/>
    <mergeCell ref="B52:L52"/>
    <mergeCell ref="B53:L53"/>
    <mergeCell ref="B5:L5"/>
    <mergeCell ref="M30:N30"/>
    <mergeCell ref="B277:L277"/>
    <mergeCell ref="B278:L278"/>
    <mergeCell ref="B3:L3"/>
    <mergeCell ref="B231:L231"/>
    <mergeCell ref="B232:L232"/>
    <mergeCell ref="B103:L103"/>
    <mergeCell ref="B104:L104"/>
    <mergeCell ref="B143:L143"/>
    <mergeCell ref="B144:L144"/>
    <mergeCell ref="B201:L201"/>
    <mergeCell ref="B202:L202"/>
  </mergeCells>
  <phoneticPr fontId="33" type="noConversion"/>
  <pageMargins left="0.97" right="0.79" top="0.69" bottom="0.69" header="0.33" footer="0.5"/>
  <pageSetup scale="73" fitToHeight="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199" max="9" man="1"/>
    <brk id="230" max="9" man="1"/>
    <brk id="276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82"/>
  <sheetViews>
    <sheetView view="pageBreakPreview" topLeftCell="B28" zoomScale="80" zoomScaleNormal="60" zoomScaleSheetLayoutView="80" workbookViewId="0">
      <selection activeCell="G134" sqref="G134"/>
    </sheetView>
  </sheetViews>
  <sheetFormatPr defaultColWidth="9.08984375" defaultRowHeight="12.5" x14ac:dyDescent="0.25"/>
  <cols>
    <col min="1" max="1" width="16.08984375" style="12" customWidth="1"/>
    <col min="2" max="2" width="27.90625" style="13" customWidth="1"/>
    <col min="3" max="3" width="11.90625" style="13" customWidth="1"/>
    <col min="4" max="4" width="9.54296875" style="13" customWidth="1"/>
    <col min="5" max="5" width="14.453125" style="13" customWidth="1"/>
    <col min="6" max="6" width="15" style="13" customWidth="1"/>
    <col min="7" max="7" width="16.90625" style="13" bestFit="1" customWidth="1"/>
    <col min="8" max="9" width="14.08984375" style="13" customWidth="1"/>
    <col min="10" max="10" width="18.26953125" style="13" customWidth="1"/>
    <col min="11" max="11" width="3.08984375" style="13" hidden="1" customWidth="1"/>
    <col min="12" max="12" width="5.54296875" style="13" hidden="1" customWidth="1"/>
    <col min="13" max="14" width="4.54296875" style="13" hidden="1" customWidth="1"/>
    <col min="15" max="15" width="20.1796875" style="13" hidden="1" customWidth="1"/>
    <col min="16" max="16" width="31.26953125" style="13" customWidth="1"/>
    <col min="17" max="17" width="14.81640625" style="13" customWidth="1"/>
    <col min="18" max="19" width="13.6328125" style="13" customWidth="1"/>
    <col min="20" max="20" width="14.1796875" style="13" customWidth="1"/>
    <col min="21" max="21" width="14.08984375" style="13" customWidth="1"/>
    <col min="22" max="22" width="13.6328125" style="13" customWidth="1"/>
    <col min="23" max="23" width="14.90625" style="13" bestFit="1" customWidth="1"/>
    <col min="24" max="24" width="14.36328125" style="13" bestFit="1" customWidth="1"/>
    <col min="25" max="25" width="14.1796875" style="13" bestFit="1" customWidth="1"/>
    <col min="26" max="26" width="14.08984375" style="13" customWidth="1"/>
    <col min="27" max="27" width="13.6328125" style="13" customWidth="1"/>
    <col min="28" max="28" width="13.54296875" style="13" customWidth="1"/>
    <col min="29" max="29" width="13.6328125" style="13" customWidth="1"/>
    <col min="30" max="30" width="17.54296875" style="13" customWidth="1"/>
    <col min="31" max="31" width="16.6328125" style="13" customWidth="1"/>
    <col min="32" max="32" width="14.453125" style="13" customWidth="1"/>
    <col min="33" max="16384" width="9.08984375" style="13"/>
  </cols>
  <sheetData>
    <row r="1" spans="1:16" ht="15.5" x14ac:dyDescent="0.35">
      <c r="B1" s="638" t="s">
        <v>69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</row>
    <row r="2" spans="1:16" ht="15.5" x14ac:dyDescent="0.35">
      <c r="B2" s="638" t="s">
        <v>187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</row>
    <row r="3" spans="1:16" ht="15.5" x14ac:dyDescent="0.35">
      <c r="B3" s="638" t="str">
        <f>'BGS PTY20 Cost Alloc'!$B$3</f>
        <v>2022 BGS Auction Cost and Bid Factor Tables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</row>
    <row r="4" spans="1:16" ht="15.5" x14ac:dyDescent="0.35"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6" ht="15.5" x14ac:dyDescent="0.35">
      <c r="B5" s="638" t="s">
        <v>306</v>
      </c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  <c r="N5" s="638"/>
    </row>
    <row r="6" spans="1:16" x14ac:dyDescent="0.25">
      <c r="N6" s="120" t="s">
        <v>252</v>
      </c>
    </row>
    <row r="7" spans="1:16" ht="13" x14ac:dyDescent="0.3">
      <c r="A7" s="18" t="s">
        <v>253</v>
      </c>
      <c r="B7" s="171" t="s">
        <v>389</v>
      </c>
      <c r="C7" s="20"/>
      <c r="E7" s="164" t="s">
        <v>283</v>
      </c>
      <c r="F7" s="274">
        <v>15</v>
      </c>
      <c r="G7" s="16"/>
      <c r="P7" s="258" t="s">
        <v>252</v>
      </c>
    </row>
    <row r="8" spans="1:16" ht="14.25" customHeight="1" x14ac:dyDescent="0.3">
      <c r="A8" s="22"/>
      <c r="B8" s="13" t="s">
        <v>238</v>
      </c>
      <c r="C8" s="23"/>
      <c r="D8" s="23"/>
      <c r="M8" s="23"/>
      <c r="N8" s="23"/>
    </row>
    <row r="9" spans="1:16" ht="3" customHeight="1" x14ac:dyDescent="0.3">
      <c r="A9" s="22"/>
    </row>
    <row r="10" spans="1:16" ht="13" x14ac:dyDescent="0.3">
      <c r="A10" s="22"/>
      <c r="B10" s="13" t="s">
        <v>134</v>
      </c>
      <c r="E10" s="26" t="s">
        <v>61</v>
      </c>
      <c r="F10" s="26" t="s">
        <v>62</v>
      </c>
      <c r="G10" s="26" t="s">
        <v>65</v>
      </c>
      <c r="H10" s="26" t="s">
        <v>203</v>
      </c>
      <c r="I10" s="26" t="s">
        <v>55</v>
      </c>
      <c r="M10" s="30"/>
      <c r="N10" s="30"/>
    </row>
    <row r="11" spans="1:16" ht="13" x14ac:dyDescent="0.3">
      <c r="A11" s="22"/>
      <c r="B11" s="28" t="s">
        <v>17</v>
      </c>
      <c r="C11" s="144"/>
      <c r="D11" s="144"/>
      <c r="E11" s="144">
        <f>'BGS PTY18 Cost Alloc'!E291</f>
        <v>174.64276348955769</v>
      </c>
      <c r="F11" s="144"/>
      <c r="G11" s="144">
        <f>'BGS PTY18 Cost Alloc'!G291</f>
        <v>142010.5625539574</v>
      </c>
      <c r="H11" s="144"/>
      <c r="I11" s="144">
        <f>'BGS PTY18 Cost Alloc'!I291</f>
        <v>2028.6948367383109</v>
      </c>
      <c r="J11" s="144"/>
      <c r="K11" s="144"/>
      <c r="L11" s="144"/>
      <c r="M11" s="30"/>
      <c r="N11" s="30"/>
    </row>
    <row r="12" spans="1:16" ht="13" x14ac:dyDescent="0.3">
      <c r="A12" s="22"/>
      <c r="B12" s="77" t="s">
        <v>72</v>
      </c>
      <c r="C12" s="144"/>
      <c r="D12" s="144"/>
      <c r="E12" s="144">
        <f>'BGS PTY18 Cost Alloc'!E292</f>
        <v>2702.534333456349</v>
      </c>
      <c r="F12" s="144"/>
      <c r="G12" s="144"/>
      <c r="H12" s="144">
        <f>'BGS PTY18 Cost Alloc'!H292</f>
        <v>2737.7082684973261</v>
      </c>
      <c r="I12" s="144"/>
      <c r="J12" s="144"/>
      <c r="K12" s="144"/>
      <c r="L12" s="144"/>
      <c r="M12" s="30"/>
      <c r="N12" s="30"/>
    </row>
    <row r="13" spans="1:16" ht="13" x14ac:dyDescent="0.3">
      <c r="A13" s="22"/>
      <c r="B13" s="77" t="s">
        <v>73</v>
      </c>
      <c r="C13" s="144"/>
      <c r="D13" s="144"/>
      <c r="E13" s="144">
        <f>'BGS PTY18 Cost Alloc'!E293</f>
        <v>1852.7888594230753</v>
      </c>
      <c r="F13" s="144"/>
      <c r="G13" s="144"/>
      <c r="H13" s="144">
        <f>'BGS PTY18 Cost Alloc'!H293</f>
        <v>1858.4166646360623</v>
      </c>
      <c r="I13" s="144"/>
      <c r="J13" s="144"/>
      <c r="K13" s="144"/>
      <c r="L13" s="144"/>
      <c r="M13" s="30"/>
      <c r="N13" s="30"/>
    </row>
    <row r="14" spans="1:16" ht="13" x14ac:dyDescent="0.3">
      <c r="A14" s="22"/>
      <c r="B14" s="89" t="s">
        <v>142</v>
      </c>
      <c r="C14" s="144"/>
      <c r="D14" s="144"/>
      <c r="E14" s="144"/>
      <c r="F14" s="144">
        <f>'BGS PTY18 Cost Alloc'!F294</f>
        <v>139671.3178926679</v>
      </c>
      <c r="G14" s="144"/>
      <c r="H14" s="144"/>
      <c r="I14" s="144"/>
      <c r="J14" s="144"/>
      <c r="K14" s="144"/>
      <c r="L14" s="144"/>
      <c r="M14" s="30"/>
      <c r="N14" s="30"/>
    </row>
    <row r="15" spans="1:16" ht="13" x14ac:dyDescent="0.3">
      <c r="A15" s="22"/>
      <c r="B15" s="89" t="s">
        <v>144</v>
      </c>
      <c r="C15" s="144"/>
      <c r="D15" s="144"/>
      <c r="E15" s="144"/>
      <c r="F15" s="144">
        <f>'BGS PTY18 Cost Alloc'!F295</f>
        <v>138887.44193756781</v>
      </c>
      <c r="G15" s="144"/>
      <c r="H15" s="144"/>
      <c r="I15" s="144"/>
      <c r="J15" s="144"/>
      <c r="K15" s="144"/>
      <c r="L15" s="144"/>
      <c r="M15" s="30"/>
      <c r="N15" s="30"/>
    </row>
    <row r="16" spans="1:16" ht="13" x14ac:dyDescent="0.3">
      <c r="A16" s="22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30"/>
      <c r="N16" s="30"/>
    </row>
    <row r="17" spans="1:16" ht="13" x14ac:dyDescent="0.3">
      <c r="A17" s="22"/>
      <c r="B17" s="28" t="s">
        <v>18</v>
      </c>
      <c r="C17" s="144"/>
      <c r="D17" s="144"/>
      <c r="E17" s="144">
        <f>'BGS PTY18 Cost Alloc'!E297</f>
        <v>391.82670890067806</v>
      </c>
      <c r="F17" s="144">
        <f>'BGS PTY18 Cost Alloc'!F297</f>
        <v>406636.25394335506</v>
      </c>
      <c r="G17" s="144">
        <f>'BGS PTY18 Cost Alloc'!G297</f>
        <v>238024.25933253922</v>
      </c>
      <c r="I17" s="144">
        <f>'BGS PTY18 Cost Alloc'!I297</f>
        <v>3834.5496938813098</v>
      </c>
      <c r="J17" s="144"/>
      <c r="K17" s="144"/>
      <c r="L17" s="144"/>
      <c r="M17" s="30"/>
      <c r="N17" s="30"/>
    </row>
    <row r="18" spans="1:16" ht="13" x14ac:dyDescent="0.3">
      <c r="A18" s="22"/>
      <c r="B18" s="77" t="s">
        <v>72</v>
      </c>
      <c r="C18" s="144"/>
      <c r="D18" s="144"/>
      <c r="E18" s="144">
        <f>'BGS PTY18 Cost Alloc'!E298</f>
        <v>4471.8434037308243</v>
      </c>
      <c r="F18" s="81"/>
      <c r="G18" s="81"/>
      <c r="H18" s="144">
        <f>'BGS PTY18 Cost Alloc'!H298</f>
        <v>4532.5518282582734</v>
      </c>
      <c r="I18" s="81"/>
      <c r="J18" s="144"/>
      <c r="K18" s="144"/>
      <c r="L18" s="144"/>
      <c r="M18" s="30"/>
      <c r="N18" s="30"/>
    </row>
    <row r="19" spans="1:16" ht="13" x14ac:dyDescent="0.3">
      <c r="A19" s="22"/>
      <c r="B19" s="77" t="s">
        <v>73</v>
      </c>
      <c r="C19" s="81"/>
      <c r="D19" s="81"/>
      <c r="E19" s="144">
        <f>'BGS PTY18 Cost Alloc'!E299</f>
        <v>4135.5225197910331</v>
      </c>
      <c r="H19" s="144">
        <f>'BGS PTY18 Cost Alloc'!H299</f>
        <v>3669.2378742914989</v>
      </c>
      <c r="J19" s="144"/>
      <c r="K19" s="144"/>
      <c r="L19" s="144"/>
      <c r="M19" s="30"/>
      <c r="N19" s="30"/>
    </row>
    <row r="20" spans="1:16" ht="4.5" customHeight="1" x14ac:dyDescent="0.3">
      <c r="A20" s="22"/>
      <c r="B20" s="71"/>
      <c r="M20" s="30"/>
      <c r="N20" s="30"/>
    </row>
    <row r="21" spans="1:16" ht="13" x14ac:dyDescent="0.3">
      <c r="A21" s="22"/>
      <c r="B21" s="13" t="s">
        <v>135</v>
      </c>
      <c r="M21" s="30"/>
      <c r="N21" s="30"/>
    </row>
    <row r="22" spans="1:16" ht="13" x14ac:dyDescent="0.3">
      <c r="A22" s="22"/>
      <c r="B22" s="71" t="s">
        <v>25</v>
      </c>
      <c r="E22" s="81">
        <f>SUM(E11:E15)</f>
        <v>4729.965956368982</v>
      </c>
      <c r="F22" s="81">
        <f>SUM(F11:F15)</f>
        <v>278558.75983023574</v>
      </c>
      <c r="G22" s="81">
        <f>SUM(G11:G15)</f>
        <v>142010.5625539574</v>
      </c>
      <c r="H22" s="81">
        <f>SUM(H11:H15)</f>
        <v>4596.1249331333884</v>
      </c>
      <c r="I22" s="81">
        <f>SUM(I11:I15)</f>
        <v>2028.6948367383109</v>
      </c>
      <c r="J22" s="632">
        <f>SUM(E22:I22)</f>
        <v>431924.10811043379</v>
      </c>
      <c r="K22" s="632"/>
      <c r="L22" s="632"/>
      <c r="M22" s="31"/>
      <c r="N22" s="31"/>
    </row>
    <row r="23" spans="1:16" ht="13" x14ac:dyDescent="0.3">
      <c r="A23" s="22"/>
      <c r="B23" s="71" t="s">
        <v>26</v>
      </c>
      <c r="E23" s="81">
        <f>SUM(E17:E19)</f>
        <v>8999.1926324225351</v>
      </c>
      <c r="F23" s="81">
        <f>SUM(F17:F19)</f>
        <v>406636.25394335506</v>
      </c>
      <c r="G23" s="81">
        <f>SUM(G17:G19)</f>
        <v>238024.25933253922</v>
      </c>
      <c r="H23" s="81">
        <f>SUM(H17:H19)</f>
        <v>8201.7897025497732</v>
      </c>
      <c r="I23" s="81">
        <f>SUM(I17:I19)</f>
        <v>3834.5496938813098</v>
      </c>
      <c r="J23" s="632">
        <f>SUM(E23:I23)</f>
        <v>665696.045304748</v>
      </c>
      <c r="K23" s="632"/>
      <c r="L23" s="632"/>
      <c r="M23" s="31"/>
      <c r="N23" s="31"/>
    </row>
    <row r="24" spans="1:16" ht="13" x14ac:dyDescent="0.3">
      <c r="A24" s="18"/>
      <c r="B24" s="71" t="s">
        <v>13</v>
      </c>
      <c r="E24" s="81">
        <f>SUM(E22:E23)</f>
        <v>13729.158588791517</v>
      </c>
      <c r="F24" s="81">
        <f>SUM(F22:F23)</f>
        <v>685195.01377359079</v>
      </c>
      <c r="G24" s="81">
        <f>SUM(G22:G23)</f>
        <v>380034.82188649662</v>
      </c>
      <c r="H24" s="81">
        <f>SUM(H22:H23)</f>
        <v>12797.914635683162</v>
      </c>
      <c r="I24" s="81">
        <f>SUM(I22:I23)</f>
        <v>5863.2445306196205</v>
      </c>
      <c r="J24" s="81">
        <f>SUM(E24:I24)</f>
        <v>1097620.1534151817</v>
      </c>
      <c r="K24" s="81"/>
      <c r="L24" s="81"/>
      <c r="M24" s="31"/>
      <c r="N24" s="31"/>
    </row>
    <row r="25" spans="1:16" ht="13" x14ac:dyDescent="0.3">
      <c r="A25" s="22"/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6" ht="13" x14ac:dyDescent="0.3">
      <c r="A26" s="18" t="s">
        <v>254</v>
      </c>
      <c r="B26" s="171" t="s">
        <v>390</v>
      </c>
      <c r="C26" s="20"/>
      <c r="E26" s="164" t="s">
        <v>283</v>
      </c>
      <c r="F26" s="274">
        <v>20</v>
      </c>
      <c r="G26" s="16" t="s">
        <v>252</v>
      </c>
      <c r="P26" s="258" t="s">
        <v>252</v>
      </c>
    </row>
    <row r="27" spans="1:16" ht="13" x14ac:dyDescent="0.3">
      <c r="A27" s="22"/>
      <c r="B27" s="13" t="s">
        <v>238</v>
      </c>
      <c r="C27" s="23"/>
      <c r="D27" s="23"/>
    </row>
    <row r="28" spans="1:16" ht="13" x14ac:dyDescent="0.3">
      <c r="A28" s="22"/>
    </row>
    <row r="29" spans="1:16" ht="13" x14ac:dyDescent="0.3">
      <c r="A29" s="22"/>
      <c r="B29" s="13" t="s">
        <v>134</v>
      </c>
      <c r="E29" s="26" t="s">
        <v>61</v>
      </c>
      <c r="F29" s="26" t="s">
        <v>62</v>
      </c>
      <c r="G29" s="26" t="s">
        <v>65</v>
      </c>
      <c r="H29" s="26" t="s">
        <v>203</v>
      </c>
      <c r="I29" s="26" t="s">
        <v>55</v>
      </c>
    </row>
    <row r="30" spans="1:16" ht="13" x14ac:dyDescent="0.3">
      <c r="A30" s="22"/>
      <c r="B30" s="28" t="s">
        <v>17</v>
      </c>
      <c r="C30" s="144"/>
      <c r="D30" s="144"/>
      <c r="E30" s="144">
        <f>'BGS PTY19 Cost Alloc'!E265</f>
        <v>173.83002065680026</v>
      </c>
      <c r="F30" s="144"/>
      <c r="G30" s="144">
        <f>'BGS PTY19 Cost Alloc'!G265</f>
        <v>141260.40684079353</v>
      </c>
      <c r="H30" s="144"/>
      <c r="I30" s="144">
        <f>'BGS PTY19 Cost Alloc'!I265</f>
        <v>2044.3004027307888</v>
      </c>
      <c r="J30" s="144"/>
      <c r="K30" s="144"/>
      <c r="L30" s="144"/>
    </row>
    <row r="31" spans="1:16" ht="13" x14ac:dyDescent="0.3">
      <c r="A31" s="22"/>
      <c r="B31" s="77" t="s">
        <v>72</v>
      </c>
      <c r="C31" s="144"/>
      <c r="D31" s="144"/>
      <c r="E31" s="144">
        <f>'BGS PTY19 Cost Alloc'!E266</f>
        <v>2659.9346686048748</v>
      </c>
      <c r="F31" s="144"/>
      <c r="G31" s="144"/>
      <c r="H31" s="144">
        <f>'BGS PTY19 Cost Alloc'!H266</f>
        <v>2708.7688909536178</v>
      </c>
      <c r="I31" s="144"/>
      <c r="J31" s="144"/>
      <c r="K31" s="144"/>
      <c r="L31" s="144"/>
    </row>
    <row r="32" spans="1:16" ht="13" x14ac:dyDescent="0.3">
      <c r="A32" s="22"/>
      <c r="B32" s="77" t="s">
        <v>73</v>
      </c>
      <c r="C32" s="144"/>
      <c r="D32" s="144"/>
      <c r="E32" s="144">
        <f>'BGS PTY19 Cost Alloc'!E267</f>
        <v>1874.1842670026219</v>
      </c>
      <c r="F32" s="144"/>
      <c r="G32" s="144"/>
      <c r="H32" s="144">
        <f>'BGS PTY19 Cost Alloc'!H267</f>
        <v>1879.5491023796683</v>
      </c>
      <c r="I32" s="144"/>
      <c r="J32" s="144"/>
      <c r="K32" s="144"/>
      <c r="L32" s="144"/>
    </row>
    <row r="33" spans="1:12" ht="13" x14ac:dyDescent="0.3">
      <c r="A33" s="22"/>
      <c r="B33" s="89" t="s">
        <v>142</v>
      </c>
      <c r="C33" s="144"/>
      <c r="D33" s="144"/>
      <c r="E33" s="144"/>
      <c r="F33" s="144">
        <f>'BGS PTY19 Cost Alloc'!F268</f>
        <v>138808.11573036882</v>
      </c>
      <c r="G33" s="144"/>
      <c r="H33" s="144"/>
      <c r="I33" s="144"/>
      <c r="J33" s="144"/>
      <c r="K33" s="144"/>
      <c r="L33" s="144"/>
    </row>
    <row r="34" spans="1:12" ht="13" x14ac:dyDescent="0.3">
      <c r="A34" s="22"/>
      <c r="B34" s="89" t="s">
        <v>144</v>
      </c>
      <c r="C34" s="144"/>
      <c r="D34" s="144"/>
      <c r="E34" s="144"/>
      <c r="F34" s="144">
        <f>'BGS PTY19 Cost Alloc'!F269</f>
        <v>138123.75425332654</v>
      </c>
      <c r="G34" s="144"/>
      <c r="H34" s="144"/>
      <c r="I34" s="144"/>
      <c r="J34" s="144"/>
      <c r="K34" s="144"/>
      <c r="L34" s="144"/>
    </row>
    <row r="35" spans="1:12" ht="13" x14ac:dyDescent="0.3">
      <c r="A35" s="22"/>
      <c r="C35" s="144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1:12" ht="13" x14ac:dyDescent="0.3">
      <c r="A36" s="22"/>
      <c r="B36" s="28" t="s">
        <v>18</v>
      </c>
      <c r="C36" s="144"/>
      <c r="D36" s="144"/>
      <c r="E36" s="144">
        <f>'BGS PTY19 Cost Alloc'!E271</f>
        <v>391.30849151059311</v>
      </c>
      <c r="F36" s="144">
        <f>'BGS PTY19 Cost Alloc'!F271</f>
        <v>403652.9804160684</v>
      </c>
      <c r="G36" s="144">
        <f>'BGS PTY19 Cost Alloc'!G271</f>
        <v>237133.11798661284</v>
      </c>
      <c r="I36" s="144">
        <f>'BGS PTY19 Cost Alloc'!I271</f>
        <v>3884.1295405953788</v>
      </c>
      <c r="J36" s="144"/>
      <c r="K36" s="144"/>
      <c r="L36" s="144"/>
    </row>
    <row r="37" spans="1:12" ht="13" x14ac:dyDescent="0.3">
      <c r="A37" s="22"/>
      <c r="B37" s="77" t="s">
        <v>72</v>
      </c>
      <c r="C37" s="144"/>
      <c r="D37" s="144"/>
      <c r="E37" s="144">
        <f>'BGS PTY19 Cost Alloc'!E272</f>
        <v>4390.6234890548103</v>
      </c>
      <c r="F37" s="81"/>
      <c r="G37" s="81"/>
      <c r="H37" s="144">
        <f>'BGS PTY19 Cost Alloc'!H272</f>
        <v>4478.3635813152041</v>
      </c>
      <c r="I37" s="81"/>
      <c r="J37" s="144"/>
      <c r="K37" s="144"/>
      <c r="L37" s="144"/>
    </row>
    <row r="38" spans="1:12" ht="13" x14ac:dyDescent="0.3">
      <c r="A38" s="22"/>
      <c r="B38" s="77" t="s">
        <v>73</v>
      </c>
      <c r="C38" s="81"/>
      <c r="D38" s="81"/>
      <c r="E38" s="144">
        <f>'BGS PTY19 Cost Alloc'!E273</f>
        <v>4205.3680364962738</v>
      </c>
      <c r="H38" s="144">
        <f>'BGS PTY19 Cost Alloc'!H273</f>
        <v>3730.9230520126007</v>
      </c>
      <c r="J38" s="144"/>
      <c r="K38" s="144"/>
      <c r="L38" s="144"/>
    </row>
    <row r="39" spans="1:12" ht="13" x14ac:dyDescent="0.3">
      <c r="A39" s="22"/>
      <c r="B39" s="71"/>
    </row>
    <row r="40" spans="1:12" ht="13" x14ac:dyDescent="0.3">
      <c r="A40" s="22"/>
      <c r="B40" s="13" t="s">
        <v>135</v>
      </c>
    </row>
    <row r="41" spans="1:12" ht="13" x14ac:dyDescent="0.3">
      <c r="A41" s="22"/>
      <c r="B41" s="71" t="s">
        <v>25</v>
      </c>
      <c r="E41" s="81">
        <f>SUM(E30:E34)</f>
        <v>4707.9489562642966</v>
      </c>
      <c r="F41" s="81">
        <f>SUM(F30:F34)</f>
        <v>276931.86998369533</v>
      </c>
      <c r="G41" s="81">
        <f>SUM(G30:G34)</f>
        <v>141260.40684079353</v>
      </c>
      <c r="H41" s="81">
        <f>SUM(H30:H34)</f>
        <v>4588.3179933332858</v>
      </c>
      <c r="I41" s="81">
        <f>SUM(I30:I34)</f>
        <v>2044.3004027307888</v>
      </c>
      <c r="J41" s="632">
        <f>SUM(E41:I41)</f>
        <v>429532.84417681722</v>
      </c>
      <c r="K41" s="632"/>
      <c r="L41" s="632"/>
    </row>
    <row r="42" spans="1:12" ht="13" x14ac:dyDescent="0.3">
      <c r="A42" s="22"/>
      <c r="B42" s="71" t="s">
        <v>26</v>
      </c>
      <c r="E42" s="81">
        <f>SUM(E36:E38)</f>
        <v>8987.300017061676</v>
      </c>
      <c r="F42" s="81">
        <f>SUM(F36:F38)</f>
        <v>403652.9804160684</v>
      </c>
      <c r="G42" s="81">
        <f>SUM(G36:G38)</f>
        <v>237133.11798661284</v>
      </c>
      <c r="H42" s="81">
        <f>SUM(H36:H38)</f>
        <v>8209.2866333278052</v>
      </c>
      <c r="I42" s="81">
        <f>SUM(I36:I38)</f>
        <v>3884.1295405953788</v>
      </c>
      <c r="J42" s="632">
        <f>SUM(E42:I42)</f>
        <v>661866.81459366612</v>
      </c>
      <c r="K42" s="632"/>
      <c r="L42" s="632"/>
    </row>
    <row r="43" spans="1:12" ht="13" x14ac:dyDescent="0.3">
      <c r="A43" s="18"/>
      <c r="B43" s="71" t="s">
        <v>13</v>
      </c>
      <c r="E43" s="81">
        <f>SUM(E41:E42)</f>
        <v>13695.248973325972</v>
      </c>
      <c r="F43" s="81">
        <f>SUM(F41:F42)</f>
        <v>680584.85039976379</v>
      </c>
      <c r="G43" s="81">
        <f>SUM(G41:G42)</f>
        <v>378393.52482740639</v>
      </c>
      <c r="H43" s="81">
        <f>SUM(H41:H42)</f>
        <v>12797.60462666109</v>
      </c>
      <c r="I43" s="81">
        <f>SUM(I41:I42)</f>
        <v>5928.4299433261676</v>
      </c>
      <c r="J43" s="81">
        <f>SUM(E43:I43)</f>
        <v>1091399.6587704835</v>
      </c>
      <c r="K43" s="81"/>
      <c r="L43" s="81"/>
    </row>
    <row r="44" spans="1:12" ht="13" x14ac:dyDescent="0.3">
      <c r="A44" s="18"/>
      <c r="B44" s="71"/>
      <c r="E44" s="81"/>
      <c r="F44" s="81"/>
      <c r="G44" s="81"/>
      <c r="H44" s="81"/>
      <c r="I44" s="81"/>
      <c r="J44" s="81"/>
      <c r="K44" s="81"/>
      <c r="L44" s="81"/>
    </row>
    <row r="45" spans="1:12" x14ac:dyDescent="0.25">
      <c r="A45" s="13"/>
      <c r="B45" s="36" t="str">
        <f>'BGS PTY20 Cost Alloc'!B46</f>
        <v>{1} For BGS purposes the RT rate class includes the RS and GS rate class Off-Peak (OPWH) and Controlled Water Heating (CTWH) provisions.  The RT rate class also includes the</v>
      </c>
      <c r="E45" s="81"/>
      <c r="F45" s="81"/>
      <c r="G45" s="81"/>
      <c r="H45" s="81"/>
      <c r="I45" s="81"/>
      <c r="J45" s="81"/>
      <c r="K45" s="81"/>
      <c r="L45" s="81"/>
    </row>
    <row r="46" spans="1:12" x14ac:dyDescent="0.25">
      <c r="A46" s="13"/>
      <c r="B46" s="36" t="str">
        <f>'BGS PTY20 Cost Alloc'!B47</f>
        <v xml:space="preserve">  summer billing month RGT rate class usage.  OPWH and CTWH is billed on the average RT rates, while RT and Summer RGT use is billed at on-peak and off-peak rates.</v>
      </c>
      <c r="E46" s="81"/>
      <c r="F46" s="81"/>
      <c r="G46" s="81"/>
      <c r="H46" s="81"/>
      <c r="I46" s="81"/>
      <c r="J46" s="81"/>
      <c r="K46" s="81"/>
      <c r="L46" s="81"/>
    </row>
    <row r="47" spans="1:12" x14ac:dyDescent="0.25">
      <c r="A47" s="13"/>
      <c r="B47" s="36" t="str">
        <f>'BGS PTY20 Cost Alloc'!B48</f>
        <v xml:space="preserve">{2} For BGS purposes the RS rate class excludes the Off-Peak and Controlled Water Heating provisions and includes  </v>
      </c>
      <c r="E47" s="81"/>
      <c r="F47" s="81"/>
      <c r="G47" s="81"/>
      <c r="H47" s="81"/>
      <c r="I47" s="81"/>
      <c r="J47" s="81"/>
      <c r="K47" s="81"/>
      <c r="L47" s="81"/>
    </row>
    <row r="48" spans="1:12" x14ac:dyDescent="0.25">
      <c r="A48" s="13"/>
      <c r="B48" s="36" t="str">
        <f>'BGS PTY20 Cost Alloc'!B49</f>
        <v xml:space="preserve">     the winter billing month RGT rate class usage</v>
      </c>
      <c r="E48" s="81"/>
      <c r="F48" s="81"/>
      <c r="G48" s="81"/>
      <c r="H48" s="81"/>
      <c r="I48" s="81"/>
      <c r="J48" s="81"/>
      <c r="K48" s="81"/>
      <c r="L48" s="81"/>
    </row>
    <row r="49" spans="1:16" x14ac:dyDescent="0.25">
      <c r="A49" s="13"/>
      <c r="B49" s="36" t="str">
        <f>'BGS PTY20 Cost Alloc'!B50</f>
        <v>{3} For BGS purposes the GS rate class excludes the Off-Peak and Controlled Water Heating provisions</v>
      </c>
      <c r="E49" s="81"/>
      <c r="F49" s="81"/>
      <c r="G49" s="81"/>
      <c r="H49" s="81"/>
      <c r="I49" s="81"/>
      <c r="J49" s="81"/>
      <c r="K49" s="81"/>
      <c r="L49" s="81"/>
    </row>
    <row r="50" spans="1:16" x14ac:dyDescent="0.25">
      <c r="A50" s="36"/>
      <c r="B50" s="634" t="str">
        <f>'BGS PTY20 Cost Alloc'!B101</f>
        <v>{4} The GS and GST units exclude the units associated with the 500 kW and above PLS accounts that will be required to take service under BGS-CIEP</v>
      </c>
      <c r="E50" s="81"/>
      <c r="F50" s="81"/>
      <c r="G50" s="81"/>
      <c r="H50" s="81"/>
      <c r="I50" s="81"/>
      <c r="J50" s="81"/>
      <c r="K50" s="81"/>
      <c r="L50" s="81"/>
    </row>
    <row r="51" spans="1:16" x14ac:dyDescent="0.25">
      <c r="A51" s="13"/>
      <c r="B51" s="634" t="str">
        <f>'BGS PTY20 Cost Alloc'!B102</f>
        <v xml:space="preserve"> </v>
      </c>
    </row>
    <row r="52" spans="1:16" ht="15.5" x14ac:dyDescent="0.35">
      <c r="B52" s="638" t="s">
        <v>69</v>
      </c>
      <c r="C52" s="638"/>
      <c r="D52" s="638"/>
      <c r="E52" s="638"/>
      <c r="F52" s="638"/>
      <c r="G52" s="638"/>
      <c r="H52" s="638"/>
      <c r="I52" s="638"/>
      <c r="J52" s="638"/>
      <c r="K52" s="638"/>
      <c r="L52" s="638"/>
      <c r="M52" s="638"/>
      <c r="N52" s="638"/>
    </row>
    <row r="53" spans="1:16" ht="15.5" x14ac:dyDescent="0.35">
      <c r="B53" s="638" t="s">
        <v>187</v>
      </c>
      <c r="C53" s="638"/>
      <c r="D53" s="638"/>
      <c r="E53" s="638"/>
      <c r="F53" s="638"/>
      <c r="G53" s="638"/>
      <c r="H53" s="638"/>
      <c r="I53" s="638"/>
      <c r="J53" s="638"/>
      <c r="K53" s="638"/>
      <c r="L53" s="638"/>
      <c r="M53" s="638"/>
      <c r="N53" s="638"/>
    </row>
    <row r="54" spans="1:16" ht="15.5" x14ac:dyDescent="0.35">
      <c r="B54" s="638"/>
      <c r="C54" s="638"/>
      <c r="D54" s="638"/>
      <c r="E54" s="638"/>
      <c r="F54" s="638"/>
      <c r="G54" s="638"/>
      <c r="H54" s="638"/>
      <c r="I54" s="638"/>
      <c r="J54" s="638"/>
      <c r="K54" s="638"/>
      <c r="L54" s="638"/>
      <c r="M54" s="638"/>
      <c r="N54" s="638"/>
    </row>
    <row r="55" spans="1:16" x14ac:dyDescent="0.25">
      <c r="N55" s="120" t="s">
        <v>252</v>
      </c>
    </row>
    <row r="57" spans="1:16" ht="13" x14ac:dyDescent="0.3">
      <c r="E57" s="17"/>
    </row>
    <row r="58" spans="1:16" ht="13" x14ac:dyDescent="0.3">
      <c r="A58" s="18" t="s">
        <v>255</v>
      </c>
      <c r="B58" s="171" t="s">
        <v>410</v>
      </c>
      <c r="C58" s="20"/>
      <c r="E58" s="164" t="s">
        <v>283</v>
      </c>
      <c r="F58" s="274">
        <v>18</v>
      </c>
      <c r="G58" s="13" t="s">
        <v>252</v>
      </c>
      <c r="P58" s="258" t="s">
        <v>252</v>
      </c>
    </row>
    <row r="59" spans="1:16" ht="13" x14ac:dyDescent="0.3">
      <c r="A59" s="22"/>
      <c r="B59" s="13" t="s">
        <v>238</v>
      </c>
      <c r="C59" s="23"/>
      <c r="D59" s="23"/>
    </row>
    <row r="60" spans="1:16" ht="13" x14ac:dyDescent="0.3">
      <c r="A60" s="22"/>
    </row>
    <row r="61" spans="1:16" ht="13" x14ac:dyDescent="0.3">
      <c r="A61" s="22"/>
      <c r="B61" s="13" t="s">
        <v>134</v>
      </c>
      <c r="E61" s="26" t="s">
        <v>61</v>
      </c>
      <c r="F61" s="26" t="s">
        <v>62</v>
      </c>
      <c r="G61" s="26" t="s">
        <v>65</v>
      </c>
      <c r="H61" s="26" t="s">
        <v>203</v>
      </c>
      <c r="I61" s="26" t="s">
        <v>55</v>
      </c>
    </row>
    <row r="62" spans="1:16" ht="13" x14ac:dyDescent="0.3">
      <c r="A62" s="22"/>
      <c r="B62" s="28" t="s">
        <v>17</v>
      </c>
      <c r="C62" s="144"/>
      <c r="D62" s="144"/>
      <c r="E62" s="144">
        <f>'BGS PTY20 Cost Alloc'!E258</f>
        <v>174.44773793166408</v>
      </c>
      <c r="F62" s="144"/>
      <c r="G62" s="144">
        <f>'BGS PTY20 Cost Alloc'!G258</f>
        <v>142544.54330031475</v>
      </c>
      <c r="H62" s="144"/>
      <c r="I62" s="144">
        <f>'BGS PTY20 Cost Alloc'!I258</f>
        <v>2258.939479760365</v>
      </c>
      <c r="J62" s="144"/>
      <c r="K62" s="144"/>
      <c r="L62" s="144"/>
    </row>
    <row r="63" spans="1:16" ht="13" x14ac:dyDescent="0.3">
      <c r="A63" s="22"/>
      <c r="B63" s="77" t="s">
        <v>72</v>
      </c>
      <c r="C63" s="144"/>
      <c r="D63" s="144"/>
      <c r="E63" s="144">
        <f>'BGS PTY20 Cost Alloc'!E259</f>
        <v>2473.0259476535871</v>
      </c>
      <c r="F63" s="144"/>
      <c r="G63" s="144"/>
      <c r="H63" s="144">
        <f>'BGS PTY20 Cost Alloc'!H259</f>
        <v>2695.2594901680632</v>
      </c>
      <c r="I63" s="144"/>
      <c r="J63" s="144"/>
      <c r="K63" s="144"/>
      <c r="L63" s="144"/>
    </row>
    <row r="64" spans="1:16" ht="13" x14ac:dyDescent="0.3">
      <c r="A64" s="22"/>
      <c r="B64" s="77" t="s">
        <v>73</v>
      </c>
      <c r="C64" s="144"/>
      <c r="D64" s="144"/>
      <c r="E64" s="144">
        <f>'BGS PTY20 Cost Alloc'!E260</f>
        <v>2077.1773922334114</v>
      </c>
      <c r="F64" s="144"/>
      <c r="G64" s="144"/>
      <c r="H64" s="144">
        <f>'BGS PTY20 Cost Alloc'!H260</f>
        <v>2083.0349891374449</v>
      </c>
      <c r="I64" s="144"/>
      <c r="J64" s="144"/>
      <c r="K64" s="144"/>
      <c r="L64" s="144"/>
    </row>
    <row r="65" spans="1:12" ht="13" x14ac:dyDescent="0.3">
      <c r="A65" s="22"/>
      <c r="B65" s="89" t="s">
        <v>142</v>
      </c>
      <c r="C65" s="144"/>
      <c r="D65" s="144"/>
      <c r="E65" s="144"/>
      <c r="F65" s="144">
        <f>'BGS PTY20 Cost Alloc'!F261</f>
        <v>137535.76395661908</v>
      </c>
      <c r="G65" s="144"/>
      <c r="H65" s="144"/>
      <c r="I65" s="144"/>
      <c r="J65" s="144"/>
      <c r="K65" s="144"/>
      <c r="L65" s="144"/>
    </row>
    <row r="66" spans="1:12" ht="13" x14ac:dyDescent="0.3">
      <c r="A66" s="22"/>
      <c r="B66" s="89" t="s">
        <v>144</v>
      </c>
      <c r="C66" s="144"/>
      <c r="D66" s="144"/>
      <c r="E66" s="144"/>
      <c r="F66" s="144">
        <f>'BGS PTY20 Cost Alloc'!F262</f>
        <v>136998.08587334087</v>
      </c>
      <c r="G66" s="144"/>
      <c r="H66" s="144"/>
      <c r="I66" s="144"/>
      <c r="J66" s="144"/>
      <c r="K66" s="144"/>
      <c r="L66" s="144"/>
    </row>
    <row r="67" spans="1:12" ht="13" x14ac:dyDescent="0.3">
      <c r="A67" s="22"/>
      <c r="C67" s="144"/>
      <c r="D67" s="144"/>
      <c r="E67" s="144"/>
      <c r="F67" s="144"/>
      <c r="G67" s="144"/>
      <c r="H67" s="144"/>
      <c r="I67" s="144"/>
      <c r="J67" s="144"/>
      <c r="K67" s="144"/>
      <c r="L67" s="144"/>
    </row>
    <row r="68" spans="1:12" ht="13" x14ac:dyDescent="0.3">
      <c r="A68" s="22"/>
      <c r="B68" s="28" t="s">
        <v>18</v>
      </c>
      <c r="C68" s="144"/>
      <c r="D68" s="144"/>
      <c r="E68" s="144">
        <f>'BGS PTY20 Cost Alloc'!E264</f>
        <v>446.72651357056696</v>
      </c>
      <c r="F68" s="144">
        <f>'BGS PTY20 Cost Alloc'!F264</f>
        <v>432385.92562745354</v>
      </c>
      <c r="G68" s="144">
        <f>'BGS PTY20 Cost Alloc'!G264</f>
        <v>267539.57817359496</v>
      </c>
      <c r="I68" s="144">
        <f>'BGS PTY20 Cost Alloc'!I264</f>
        <v>4944.2487890142111</v>
      </c>
      <c r="J68" s="144"/>
      <c r="K68" s="144"/>
      <c r="L68" s="144"/>
    </row>
    <row r="69" spans="1:12" ht="13" x14ac:dyDescent="0.3">
      <c r="A69" s="22"/>
      <c r="B69" s="77" t="s">
        <v>72</v>
      </c>
      <c r="C69" s="144"/>
      <c r="D69" s="144"/>
      <c r="E69" s="144">
        <f>'BGS PTY20 Cost Alloc'!E265</f>
        <v>4604.8698895164625</v>
      </c>
      <c r="F69" s="81"/>
      <c r="G69" s="81"/>
      <c r="H69" s="144">
        <f>'BGS PTY20 Cost Alloc'!H265</f>
        <v>4976.4594123415918</v>
      </c>
      <c r="I69" s="81"/>
      <c r="J69" s="144"/>
      <c r="K69" s="144"/>
      <c r="L69" s="144"/>
    </row>
    <row r="70" spans="1:12" ht="13" x14ac:dyDescent="0.3">
      <c r="A70" s="22"/>
      <c r="B70" s="77" t="s">
        <v>73</v>
      </c>
      <c r="C70" s="81"/>
      <c r="D70" s="81"/>
      <c r="E70" s="144">
        <f>'BGS PTY20 Cost Alloc'!E266</f>
        <v>5208.5649533452306</v>
      </c>
      <c r="H70" s="144">
        <f>'BGS PTY20 Cost Alloc'!H266</f>
        <v>4735.096202675848</v>
      </c>
      <c r="J70" s="144"/>
      <c r="K70" s="144"/>
      <c r="L70" s="144"/>
    </row>
    <row r="71" spans="1:12" ht="13" x14ac:dyDescent="0.3">
      <c r="A71" s="22"/>
      <c r="B71" s="71"/>
    </row>
    <row r="72" spans="1:12" ht="13" x14ac:dyDescent="0.3">
      <c r="A72" s="22"/>
      <c r="B72" s="13" t="s">
        <v>135</v>
      </c>
    </row>
    <row r="73" spans="1:12" ht="13" x14ac:dyDescent="0.3">
      <c r="A73" s="22"/>
      <c r="B73" s="71" t="s">
        <v>25</v>
      </c>
      <c r="E73" s="81">
        <f>SUM(E62:E66)</f>
        <v>4724.6510778186621</v>
      </c>
      <c r="F73" s="81">
        <f>SUM(F62:F66)</f>
        <v>274533.84982995992</v>
      </c>
      <c r="G73" s="81">
        <f>SUM(G62:G66)</f>
        <v>142544.54330031475</v>
      </c>
      <c r="H73" s="81">
        <f>SUM(H62:H66)</f>
        <v>4778.2944793055085</v>
      </c>
      <c r="I73" s="81">
        <f>SUM(I62:I66)</f>
        <v>2258.939479760365</v>
      </c>
      <c r="J73" s="632">
        <f>SUM(E73:I73)</f>
        <v>428840.27816715918</v>
      </c>
      <c r="K73" s="632"/>
      <c r="L73" s="632"/>
    </row>
    <row r="74" spans="1:12" ht="13" x14ac:dyDescent="0.3">
      <c r="A74" s="22"/>
      <c r="B74" s="71" t="s">
        <v>26</v>
      </c>
      <c r="E74" s="81">
        <f>SUM(E68:E70)</f>
        <v>10260.16135643226</v>
      </c>
      <c r="F74" s="81">
        <f>SUM(F68:F70)</f>
        <v>432385.92562745354</v>
      </c>
      <c r="G74" s="81">
        <f>SUM(G68:G70)</f>
        <v>267539.57817359496</v>
      </c>
      <c r="H74" s="81">
        <f>SUM(H68:H70)</f>
        <v>9711.5556150174398</v>
      </c>
      <c r="I74" s="81">
        <f>SUM(I68:I70)</f>
        <v>4944.2487890142111</v>
      </c>
      <c r="J74" s="632">
        <f>SUM(E74:I74)</f>
        <v>724841.46956151235</v>
      </c>
      <c r="K74" s="632"/>
      <c r="L74" s="632"/>
    </row>
    <row r="75" spans="1:12" ht="13" x14ac:dyDescent="0.3">
      <c r="A75" s="18"/>
      <c r="B75" s="71" t="s">
        <v>13</v>
      </c>
      <c r="E75" s="81">
        <f>SUM(E73:E74)</f>
        <v>14984.812434250922</v>
      </c>
      <c r="F75" s="81">
        <f>SUM(F73:F74)</f>
        <v>706919.7754574134</v>
      </c>
      <c r="G75" s="81">
        <f>SUM(G73:G74)</f>
        <v>410084.1214739097</v>
      </c>
      <c r="H75" s="81">
        <f>SUM(H73:H74)</f>
        <v>14489.850094322948</v>
      </c>
      <c r="I75" s="81">
        <f>SUM(I73:I74)</f>
        <v>7203.1882687745765</v>
      </c>
      <c r="J75" s="81">
        <f>SUM(E75:I75)</f>
        <v>1153681.7477286719</v>
      </c>
      <c r="K75" s="81"/>
      <c r="L75" s="81"/>
    </row>
    <row r="79" spans="1:12" ht="13" x14ac:dyDescent="0.3">
      <c r="A79" s="18" t="s">
        <v>256</v>
      </c>
      <c r="B79" s="163" t="s">
        <v>391</v>
      </c>
      <c r="C79" s="20"/>
      <c r="E79" s="17"/>
    </row>
    <row r="80" spans="1:12" ht="13" x14ac:dyDescent="0.3">
      <c r="A80" s="22"/>
      <c r="B80" s="13" t="s">
        <v>238</v>
      </c>
      <c r="C80" s="23"/>
      <c r="D80" s="23"/>
    </row>
    <row r="81" spans="1:31" ht="13" x14ac:dyDescent="0.3">
      <c r="A81" s="22"/>
    </row>
    <row r="82" spans="1:31" ht="13" x14ac:dyDescent="0.3">
      <c r="A82" s="22"/>
      <c r="B82" s="13" t="s">
        <v>134</v>
      </c>
      <c r="E82" s="26" t="s">
        <v>61</v>
      </c>
      <c r="F82" s="26" t="s">
        <v>62</v>
      </c>
      <c r="G82" s="26" t="s">
        <v>65</v>
      </c>
      <c r="H82" s="26" t="s">
        <v>203</v>
      </c>
      <c r="I82" s="26" t="s">
        <v>55</v>
      </c>
    </row>
    <row r="83" spans="1:31" ht="13" x14ac:dyDescent="0.3">
      <c r="A83" s="22"/>
      <c r="B83" s="28" t="s">
        <v>17</v>
      </c>
      <c r="C83" s="144"/>
      <c r="D83" s="144"/>
      <c r="E83" s="144">
        <f>(E11*$F$7+E30*$F$26+E62*$F$58)/($F$7+$F$26+$F$58)</f>
        <v>174.2698329858363</v>
      </c>
      <c r="F83" s="144"/>
      <c r="G83" s="144">
        <f>(G11*$F$7+G30*$F$26+G62*$F$58)/($F$7+$F$26+$F$58)</f>
        <v>141908.83687794144</v>
      </c>
      <c r="H83" s="144"/>
      <c r="I83" s="144">
        <f>(I11*$F$7+I30*$F$26+I62*$F$58)/($F$7+$F$26+$F$58)</f>
        <v>2112.7800234222077</v>
      </c>
      <c r="J83" s="144"/>
      <c r="K83" s="144"/>
      <c r="L83" s="144"/>
    </row>
    <row r="84" spans="1:31" ht="13" x14ac:dyDescent="0.3">
      <c r="A84" s="22"/>
      <c r="B84" s="77" t="s">
        <v>72</v>
      </c>
      <c r="C84" s="144"/>
      <c r="D84" s="144"/>
      <c r="E84" s="144">
        <f>(E12*$F$7+E31*$F$26+E63*$F$58)/($F$7+$F$26+$F$58)</f>
        <v>2608.5127439944772</v>
      </c>
      <c r="F84" s="144"/>
      <c r="G84" s="144"/>
      <c r="H84" s="144">
        <f>(H12*$F$7+H31*$F$26+H63*$F$58)/($F$7+$F$26+$F$58)</f>
        <v>2712.371182444479</v>
      </c>
      <c r="I84" s="144"/>
      <c r="J84" s="144"/>
      <c r="K84" s="144"/>
      <c r="L84" s="144"/>
    </row>
    <row r="85" spans="1:31" ht="13" x14ac:dyDescent="0.3">
      <c r="A85" s="22"/>
      <c r="B85" s="77" t="s">
        <v>73</v>
      </c>
      <c r="C85" s="144"/>
      <c r="D85" s="144"/>
      <c r="E85" s="144">
        <f>(E13*$F$7+E32*$F$26+E64*$F$58)/($F$7+$F$26+$F$58)</f>
        <v>1937.0700243698109</v>
      </c>
      <c r="F85" s="144"/>
      <c r="G85" s="144"/>
      <c r="H85" s="144">
        <f>(H13*$F$7+H32*$F$26+H64*$F$58)/($F$7+$F$26+$F$58)</f>
        <v>1942.676638143553</v>
      </c>
      <c r="I85" s="144"/>
      <c r="J85" s="144"/>
      <c r="K85" s="144"/>
      <c r="L85" s="144"/>
      <c r="O85" s="47"/>
      <c r="P85" s="47"/>
      <c r="Q85" s="44"/>
      <c r="R85" s="44"/>
      <c r="S85" s="44"/>
      <c r="T85" s="47"/>
      <c r="U85" s="47"/>
      <c r="V85" s="44"/>
      <c r="W85" s="44"/>
      <c r="X85" s="44"/>
      <c r="Y85" s="47"/>
      <c r="Z85" s="47"/>
      <c r="AA85" s="44"/>
      <c r="AB85" s="44"/>
      <c r="AC85" s="44"/>
      <c r="AD85" s="47"/>
      <c r="AE85" s="47"/>
    </row>
    <row r="86" spans="1:31" ht="13" x14ac:dyDescent="0.3">
      <c r="A86" s="22"/>
      <c r="B86" s="89" t="s">
        <v>142</v>
      </c>
      <c r="C86" s="144"/>
      <c r="D86" s="144"/>
      <c r="E86" s="144"/>
      <c r="F86" s="144">
        <f>(F14*$F$7+F33*$F$26+F65*$F$58)/($F$7+$F$26+$F$58)</f>
        <v>138620.29875880262</v>
      </c>
      <c r="G86" s="144"/>
      <c r="H86" s="144"/>
      <c r="I86" s="144"/>
      <c r="J86" s="144"/>
      <c r="K86" s="144"/>
      <c r="L86" s="144"/>
      <c r="O86" s="47"/>
      <c r="P86" s="47"/>
      <c r="Q86" s="47"/>
      <c r="R86" s="47"/>
      <c r="S86" s="47"/>
      <c r="T86" s="47"/>
      <c r="U86" s="47"/>
      <c r="V86" s="378"/>
      <c r="W86" s="378"/>
      <c r="X86" s="378"/>
      <c r="Y86" s="47"/>
      <c r="Z86" s="47"/>
      <c r="AA86" s="378"/>
      <c r="AB86" s="378"/>
      <c r="AC86" s="378"/>
      <c r="AD86" s="47"/>
      <c r="AE86" s="47"/>
    </row>
    <row r="87" spans="1:31" ht="13" x14ac:dyDescent="0.3">
      <c r="A87" s="22"/>
      <c r="B87" s="89" t="s">
        <v>144</v>
      </c>
      <c r="C87" s="144"/>
      <c r="D87" s="144"/>
      <c r="E87" s="144"/>
      <c r="F87" s="144">
        <f>(F15*$F$7+F34*$F$26+F66*$F$58)/($F$7+$F$26+$F$58)</f>
        <v>137957.58980849403</v>
      </c>
      <c r="G87" s="144"/>
      <c r="H87" s="144"/>
      <c r="I87" s="144"/>
      <c r="J87" s="144"/>
      <c r="K87" s="144"/>
      <c r="L87" s="144"/>
      <c r="O87" s="163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 ht="13" x14ac:dyDescent="0.3">
      <c r="A88" s="22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O88" s="398"/>
      <c r="P88" s="47"/>
      <c r="Q88" s="383"/>
      <c r="R88" s="383"/>
      <c r="S88" s="383"/>
      <c r="T88" s="383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 ht="13" x14ac:dyDescent="0.3">
      <c r="A89" s="22"/>
      <c r="B89" s="28" t="s">
        <v>18</v>
      </c>
      <c r="C89" s="144"/>
      <c r="D89" s="144"/>
      <c r="E89" s="144">
        <f>(E17*$F$7+E36*$F$26+E68*$F$58)/($F$7+$F$26+$F$58)</f>
        <v>410.27637184891017</v>
      </c>
      <c r="F89" s="144">
        <f>(F17*$F$7+F36*$F$26+F68*$F$58)/($F$7+$F$26+$F$58)</f>
        <v>414255.66186350677</v>
      </c>
      <c r="G89" s="144">
        <f>(G17*$F$7+G36*$F$26+G68*$F$58)/($F$7+$F$26+$F$58)</f>
        <v>247712.05012915199</v>
      </c>
      <c r="I89" s="144">
        <f>(I17*$F$7+I36*$F$26+I68*$F$58)/($F$7+$F$26+$F$58)</f>
        <v>4230.1380079694909</v>
      </c>
      <c r="J89" s="144"/>
      <c r="K89" s="144"/>
      <c r="L89" s="144"/>
      <c r="O89" s="398"/>
      <c r="P89" s="47"/>
      <c r="Q89" s="383"/>
      <c r="R89" s="383"/>
      <c r="S89" s="383"/>
      <c r="T89" s="383"/>
      <c r="U89" s="47"/>
      <c r="V89" s="163"/>
      <c r="W89" s="47"/>
      <c r="X89" s="47"/>
      <c r="Y89" s="47"/>
      <c r="Z89" s="47"/>
      <c r="AA89" s="163"/>
      <c r="AB89" s="47"/>
      <c r="AC89" s="47"/>
      <c r="AD89" s="47"/>
      <c r="AE89" s="47"/>
    </row>
    <row r="90" spans="1:31" ht="13" x14ac:dyDescent="0.3">
      <c r="A90" s="22"/>
      <c r="B90" s="77" t="s">
        <v>72</v>
      </c>
      <c r="C90" s="144"/>
      <c r="D90" s="144"/>
      <c r="E90" s="144">
        <f>(E18*$F$7+E37*$F$26+E69*$F$58)/($F$7+$F$26+$F$58)</f>
        <v>4486.3731858180172</v>
      </c>
      <c r="F90" s="81"/>
      <c r="G90" s="81"/>
      <c r="H90" s="144">
        <f>(H18*$F$7+H37*$F$26+H69*$F$58)/($F$7+$F$26+$F$58)</f>
        <v>4662.8644994778642</v>
      </c>
      <c r="I90" s="81"/>
      <c r="J90" s="144"/>
      <c r="K90" s="144"/>
      <c r="L90" s="144"/>
      <c r="Q90" s="26"/>
      <c r="R90" s="26"/>
      <c r="S90" s="26"/>
      <c r="U90" s="47"/>
      <c r="V90" s="44"/>
      <c r="W90" s="44"/>
      <c r="X90" s="44"/>
      <c r="Y90" s="47"/>
      <c r="Z90" s="47"/>
      <c r="AA90" s="44"/>
      <c r="AB90" s="44"/>
      <c r="AC90" s="44"/>
      <c r="AD90" s="47"/>
      <c r="AE90" s="47"/>
    </row>
    <row r="91" spans="1:31" ht="13" x14ac:dyDescent="0.3">
      <c r="A91" s="22"/>
      <c r="B91" s="77" t="s">
        <v>73</v>
      </c>
      <c r="C91" s="81"/>
      <c r="D91" s="81"/>
      <c r="E91" s="144">
        <f>(E19*$F$7+E38*$F$26+E70*$F$58)/($F$7+$F$26+$F$58)</f>
        <v>4526.3088242831163</v>
      </c>
      <c r="H91" s="144">
        <f>(H19*$F$7+H38*$F$26+H70*$F$58)/($F$7+$F$26+$F$58)</f>
        <v>4054.5049208073542</v>
      </c>
      <c r="J91" s="144"/>
      <c r="K91" s="144"/>
      <c r="L91" s="144"/>
      <c r="P91" s="341"/>
      <c r="Q91" s="55"/>
      <c r="R91" s="55"/>
      <c r="S91" s="55"/>
      <c r="U91" s="47"/>
      <c r="V91" s="379"/>
      <c r="W91" s="379"/>
      <c r="X91" s="379"/>
      <c r="Y91" s="380"/>
      <c r="Z91" s="47"/>
      <c r="AA91" s="381"/>
      <c r="AB91" s="381"/>
      <c r="AC91" s="381"/>
      <c r="AD91" s="380"/>
      <c r="AE91" s="47"/>
    </row>
    <row r="92" spans="1:31" ht="13" x14ac:dyDescent="0.3">
      <c r="A92" s="22"/>
      <c r="B92" s="71"/>
      <c r="R92" s="47"/>
      <c r="S92" s="47"/>
      <c r="T92" s="53"/>
      <c r="U92" s="47"/>
      <c r="V92" s="47"/>
      <c r="W92" s="47"/>
      <c r="X92" s="382"/>
      <c r="Y92" s="382"/>
      <c r="Z92" s="47"/>
      <c r="AA92" s="47"/>
      <c r="AB92" s="47"/>
      <c r="AC92" s="47"/>
      <c r="AD92" s="382"/>
      <c r="AE92" s="47"/>
    </row>
    <row r="93" spans="1:31" ht="13" x14ac:dyDescent="0.3">
      <c r="A93" s="22"/>
      <c r="B93" s="13" t="s">
        <v>135</v>
      </c>
      <c r="P93" s="357" t="s">
        <v>307</v>
      </c>
      <c r="R93" s="398"/>
      <c r="S93" s="47"/>
      <c r="T93" s="383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 ht="13" x14ac:dyDescent="0.3">
      <c r="A94" s="22"/>
      <c r="B94" s="71" t="s">
        <v>25</v>
      </c>
      <c r="E94" s="81">
        <f>SUM(E83:E87)</f>
        <v>4719.8526013501241</v>
      </c>
      <c r="F94" s="81">
        <f>SUM(F83:F87)</f>
        <v>276577.88856729667</v>
      </c>
      <c r="G94" s="81">
        <f>SUM(G83:G87)</f>
        <v>141908.83687794144</v>
      </c>
      <c r="H94" s="81">
        <f>SUM(H83:H87)</f>
        <v>4655.0478205880318</v>
      </c>
      <c r="I94" s="81">
        <f>SUM(I83:I87)</f>
        <v>2112.7800234222077</v>
      </c>
      <c r="J94" s="632">
        <f>SUM(E94:I94)</f>
        <v>429974.40589059849</v>
      </c>
      <c r="K94" s="632"/>
      <c r="L94" s="632"/>
      <c r="P94" s="357"/>
      <c r="R94" s="398"/>
      <c r="S94" s="47"/>
      <c r="T94" s="383"/>
      <c r="U94" s="359"/>
      <c r="V94" s="47"/>
      <c r="W94" s="47"/>
      <c r="X94" s="47"/>
      <c r="Y94" s="47"/>
      <c r="Z94" s="359"/>
      <c r="AA94" s="47"/>
      <c r="AB94" s="47"/>
      <c r="AC94" s="47"/>
      <c r="AD94" s="47"/>
      <c r="AE94" s="47"/>
    </row>
    <row r="95" spans="1:31" ht="13" x14ac:dyDescent="0.3">
      <c r="A95" s="22"/>
      <c r="B95" s="71" t="s">
        <v>26</v>
      </c>
      <c r="E95" s="81">
        <f>SUM(E89:E91)</f>
        <v>9422.958381950044</v>
      </c>
      <c r="F95" s="81">
        <f>SUM(F89:F91)</f>
        <v>414255.66186350677</v>
      </c>
      <c r="G95" s="81">
        <f>SUM(G89:G91)</f>
        <v>247712.05012915199</v>
      </c>
      <c r="H95" s="81">
        <f>SUM(H89:H91)</f>
        <v>8717.3694202852184</v>
      </c>
      <c r="I95" s="81">
        <f>SUM(I89:I91)</f>
        <v>4230.1380079694909</v>
      </c>
      <c r="J95" s="632">
        <f>SUM(E95:I95)</f>
        <v>684338.17780286353</v>
      </c>
      <c r="K95" s="632"/>
      <c r="L95" s="632"/>
      <c r="P95" s="296"/>
      <c r="Q95" s="255"/>
      <c r="R95" s="255"/>
      <c r="S95" s="255"/>
      <c r="U95" s="348"/>
      <c r="V95" s="383"/>
      <c r="W95" s="383"/>
      <c r="X95" s="383"/>
      <c r="Y95" s="47"/>
      <c r="Z95" s="348"/>
      <c r="AA95" s="383"/>
      <c r="AB95" s="383"/>
      <c r="AC95" s="383"/>
      <c r="AD95" s="47"/>
      <c r="AE95" s="47"/>
    </row>
    <row r="96" spans="1:31" ht="13" x14ac:dyDescent="0.3">
      <c r="A96" s="18"/>
      <c r="B96" s="71" t="s">
        <v>13</v>
      </c>
      <c r="E96" s="81">
        <f>SUM(E94:E95)</f>
        <v>14142.810983300169</v>
      </c>
      <c r="F96" s="81">
        <f>SUM(F94:F95)</f>
        <v>690833.55043080344</v>
      </c>
      <c r="G96" s="81">
        <f>SUM(G94:G95)</f>
        <v>389620.88700709341</v>
      </c>
      <c r="H96" s="81">
        <f>SUM(H94:H95)</f>
        <v>13372.41724087325</v>
      </c>
      <c r="I96" s="81">
        <f>SUM(I94:I95)</f>
        <v>6342.9180313916986</v>
      </c>
      <c r="J96" s="81">
        <f>SUM(E96:I96)</f>
        <v>1114312.583693462</v>
      </c>
      <c r="K96" s="81"/>
      <c r="L96" s="81"/>
      <c r="P96" s="296"/>
      <c r="Q96" s="255"/>
      <c r="R96" s="255"/>
      <c r="S96" s="255"/>
      <c r="U96" s="348"/>
      <c r="V96" s="383"/>
      <c r="W96" s="383"/>
      <c r="X96" s="383"/>
      <c r="Y96" s="47"/>
      <c r="Z96" s="348"/>
      <c r="AA96" s="383"/>
      <c r="AB96" s="383"/>
      <c r="AC96" s="383"/>
      <c r="AD96" s="47"/>
      <c r="AE96" s="47"/>
    </row>
    <row r="97" spans="1:31" ht="13" x14ac:dyDescent="0.3">
      <c r="B97" s="268"/>
      <c r="U97" s="19"/>
      <c r="V97" s="47"/>
      <c r="W97" s="47"/>
      <c r="X97" s="47"/>
      <c r="Y97" s="47"/>
      <c r="Z97" s="19"/>
      <c r="AA97" s="47"/>
      <c r="AB97" s="47"/>
      <c r="AC97" s="47"/>
      <c r="AD97" s="47"/>
      <c r="AE97" s="47"/>
    </row>
    <row r="98" spans="1:31" ht="15.5" x14ac:dyDescent="0.35">
      <c r="B98" s="638" t="s">
        <v>69</v>
      </c>
      <c r="C98" s="638"/>
      <c r="D98" s="638"/>
      <c r="E98" s="638"/>
      <c r="F98" s="638"/>
      <c r="G98" s="638"/>
      <c r="H98" s="638"/>
      <c r="I98" s="638"/>
      <c r="J98" s="638"/>
      <c r="K98" s="638"/>
      <c r="L98" s="638"/>
      <c r="M98" s="638"/>
      <c r="N98" s="638"/>
      <c r="O98" s="47"/>
      <c r="P98" s="348"/>
      <c r="Q98" s="44"/>
      <c r="R98" s="44"/>
      <c r="S98" s="44"/>
      <c r="T98" s="47"/>
      <c r="U98" s="44"/>
      <c r="V98" s="44"/>
      <c r="W98" s="44"/>
      <c r="X98" s="44"/>
      <c r="Y98" s="47"/>
      <c r="Z98" s="44"/>
      <c r="AA98" s="44"/>
      <c r="AB98" s="44"/>
      <c r="AC98" s="44"/>
      <c r="AD98" s="47"/>
      <c r="AE98" s="47"/>
    </row>
    <row r="99" spans="1:31" ht="15.5" x14ac:dyDescent="0.35">
      <c r="B99" s="638" t="s">
        <v>187</v>
      </c>
      <c r="C99" s="638"/>
      <c r="D99" s="638"/>
      <c r="E99" s="638"/>
      <c r="F99" s="638"/>
      <c r="G99" s="638"/>
      <c r="H99" s="638"/>
      <c r="I99" s="638"/>
      <c r="J99" s="638"/>
      <c r="K99" s="638"/>
      <c r="L99" s="638"/>
      <c r="M99" s="638"/>
      <c r="N99" s="638"/>
      <c r="O99" s="47"/>
      <c r="P99" s="356"/>
      <c r="Q99" s="627"/>
      <c r="R99" s="627"/>
      <c r="S99" s="627"/>
      <c r="T99" s="385"/>
      <c r="U99" s="396"/>
      <c r="V99" s="384"/>
      <c r="W99" s="384"/>
      <c r="X99" s="384"/>
      <c r="Y99" s="385"/>
      <c r="Z99" s="396"/>
      <c r="AA99" s="384"/>
      <c r="AB99" s="384"/>
      <c r="AC99" s="384"/>
      <c r="AD99" s="385"/>
      <c r="AE99" s="47"/>
    </row>
    <row r="100" spans="1:31" ht="8" customHeight="1" x14ac:dyDescent="0.35">
      <c r="B100" s="638"/>
      <c r="C100" s="638"/>
      <c r="D100" s="638"/>
      <c r="E100" s="638"/>
      <c r="F100" s="638"/>
      <c r="G100" s="638"/>
      <c r="H100" s="638"/>
      <c r="I100" s="638"/>
      <c r="J100" s="638"/>
      <c r="K100" s="638"/>
      <c r="L100" s="638"/>
      <c r="M100" s="638"/>
      <c r="N100" s="638"/>
      <c r="O100" s="47"/>
      <c r="P100" s="356"/>
      <c r="Q100" s="627"/>
      <c r="R100" s="627"/>
      <c r="S100" s="627"/>
      <c r="T100" s="385"/>
      <c r="U100" s="396"/>
      <c r="V100" s="384"/>
      <c r="W100" s="384"/>
      <c r="X100" s="384"/>
      <c r="Y100" s="385"/>
      <c r="Z100" s="396"/>
      <c r="AA100" s="384"/>
      <c r="AB100" s="384"/>
      <c r="AC100" s="384"/>
      <c r="AD100" s="385"/>
      <c r="AE100" s="47"/>
    </row>
    <row r="101" spans="1:31" ht="13" x14ac:dyDescent="0.3">
      <c r="A101" s="18" t="s">
        <v>257</v>
      </c>
      <c r="B101" s="163" t="s">
        <v>239</v>
      </c>
      <c r="C101" s="20"/>
      <c r="E101" s="164"/>
      <c r="F101" s="38"/>
      <c r="O101" s="47"/>
      <c r="P101" s="356"/>
      <c r="Q101" s="393"/>
      <c r="R101" s="393"/>
      <c r="S101" s="393"/>
      <c r="T101" s="628"/>
      <c r="U101" s="47"/>
      <c r="V101" s="625"/>
      <c r="W101" s="625"/>
      <c r="X101" s="625"/>
      <c r="Y101" s="626"/>
      <c r="Z101" s="47"/>
      <c r="AA101" s="386"/>
      <c r="AB101" s="386"/>
      <c r="AC101" s="386"/>
      <c r="AD101" s="348"/>
      <c r="AE101" s="47"/>
    </row>
    <row r="102" spans="1:31" ht="13" x14ac:dyDescent="0.3">
      <c r="B102" s="17" t="s">
        <v>401</v>
      </c>
      <c r="O102" s="47"/>
      <c r="P102" s="356"/>
      <c r="Q102" s="385"/>
      <c r="R102" s="385"/>
      <c r="S102" s="385"/>
      <c r="T102" s="47"/>
      <c r="U102" s="47"/>
      <c r="V102" s="47"/>
      <c r="W102" s="47"/>
      <c r="X102" s="47"/>
      <c r="Y102" s="47"/>
      <c r="Z102" s="47"/>
      <c r="AA102" s="385"/>
      <c r="AB102" s="385"/>
      <c r="AC102" s="385"/>
      <c r="AD102" s="47"/>
      <c r="AE102" s="47"/>
    </row>
    <row r="103" spans="1:31" ht="13" x14ac:dyDescent="0.3">
      <c r="E103" s="26" t="s">
        <v>61</v>
      </c>
      <c r="F103" s="26" t="s">
        <v>62</v>
      </c>
      <c r="G103" s="26" t="s">
        <v>65</v>
      </c>
      <c r="H103" s="26" t="s">
        <v>203</v>
      </c>
      <c r="I103" s="26" t="s">
        <v>55</v>
      </c>
      <c r="O103" s="47"/>
      <c r="P103" s="629"/>
      <c r="Q103" s="630"/>
      <c r="R103" s="630"/>
      <c r="S103" s="630"/>
      <c r="T103" s="348"/>
      <c r="U103" s="47"/>
      <c r="V103" s="131"/>
      <c r="W103" s="131"/>
      <c r="X103" s="131"/>
      <c r="Y103" s="47"/>
      <c r="Z103" s="47"/>
      <c r="AA103" s="131"/>
      <c r="AB103" s="131"/>
      <c r="AC103" s="131"/>
      <c r="AD103" s="47"/>
      <c r="AE103" s="47"/>
    </row>
    <row r="104" spans="1:31" x14ac:dyDescent="0.25">
      <c r="O104" s="47"/>
      <c r="P104" s="629"/>
      <c r="Q104" s="552"/>
      <c r="R104" s="552"/>
      <c r="S104" s="552"/>
      <c r="T104" s="387"/>
      <c r="U104" s="387"/>
      <c r="V104" s="388"/>
      <c r="W104" s="552"/>
      <c r="X104" s="552"/>
      <c r="Y104" s="552"/>
      <c r="Z104" s="348"/>
      <c r="AA104" s="388"/>
      <c r="AB104" s="388"/>
      <c r="AC104" s="388"/>
      <c r="AD104" s="348"/>
      <c r="AE104" s="47"/>
    </row>
    <row r="105" spans="1:31" x14ac:dyDescent="0.25">
      <c r="B105" s="28" t="s">
        <v>17</v>
      </c>
      <c r="E105" s="55">
        <f>SUM('BGS PTY20 Cost Alloc'!W65:W68)</f>
        <v>2446237.3333329996</v>
      </c>
      <c r="G105" s="55">
        <f>SUM('BGS PTY20 Cost Alloc'!G65:G68)*1000</f>
        <v>1985450000</v>
      </c>
      <c r="I105" s="55">
        <f>SUM('BGS PTY20 Cost Alloc'!I65:I68)*1000</f>
        <v>38368000</v>
      </c>
      <c r="O105" s="47"/>
      <c r="P105" s="356"/>
      <c r="Q105" s="622"/>
      <c r="R105" s="622"/>
      <c r="S105" s="622"/>
      <c r="T105" s="348"/>
      <c r="U105" s="356"/>
      <c r="V105" s="389"/>
      <c r="W105" s="553"/>
      <c r="X105" s="553"/>
      <c r="Y105" s="47"/>
      <c r="Z105" s="348"/>
      <c r="AA105" s="389"/>
      <c r="AB105" s="389"/>
      <c r="AC105" s="389"/>
      <c r="AD105" s="47"/>
      <c r="AE105" s="47"/>
    </row>
    <row r="106" spans="1:31" x14ac:dyDescent="0.25">
      <c r="B106" s="77" t="s">
        <v>72</v>
      </c>
      <c r="E106" s="55">
        <f>ROUND(SUMPRODUCT('BGS PTY20 Cost Alloc'!E65:E68,'BGS PTY20 Cost Alloc'!E38:E41)*1000-AVERAGE('BGS PTY20 Cost Alloc'!E38:E41)*E105,0)</f>
        <v>26206974</v>
      </c>
      <c r="H106" s="55">
        <f>SUMPRODUCT('BGS PTY20 Cost Alloc'!H65:H68,'BGS PTY20 Cost Alloc'!H38:H41)*1000</f>
        <v>32259110</v>
      </c>
      <c r="O106" s="53"/>
      <c r="P106" s="356"/>
      <c r="Q106" s="623"/>
      <c r="R106" s="623"/>
      <c r="S106" s="623"/>
      <c r="T106" s="47"/>
      <c r="U106" s="356"/>
      <c r="V106" s="389"/>
      <c r="W106" s="389"/>
      <c r="X106" s="389"/>
      <c r="Y106" s="47"/>
      <c r="Z106" s="47"/>
      <c r="AA106" s="389"/>
      <c r="AB106" s="389"/>
      <c r="AC106" s="389"/>
      <c r="AD106" s="47"/>
      <c r="AE106" s="47"/>
    </row>
    <row r="107" spans="1:31" ht="13" x14ac:dyDescent="0.3">
      <c r="B107" s="77" t="s">
        <v>73</v>
      </c>
      <c r="E107" s="55">
        <f>ROUND(SUM('BGS PTY20 Cost Alloc'!E65:E68)*1000,0)-E105-E106</f>
        <v>37598788.666666999</v>
      </c>
      <c r="H107" s="55">
        <f>SUM('BGS PTY20 Cost Alloc'!H65:H68)*1000-H106</f>
        <v>37751890</v>
      </c>
      <c r="O107" s="47"/>
      <c r="P107" s="356"/>
      <c r="Q107" s="390"/>
      <c r="R107" s="390"/>
      <c r="S107" s="390"/>
      <c r="T107" s="624"/>
      <c r="U107" s="47"/>
      <c r="V107" s="390"/>
      <c r="W107" s="390"/>
      <c r="X107" s="390"/>
      <c r="Y107" s="47"/>
      <c r="Z107" s="47"/>
      <c r="AA107" s="390"/>
      <c r="AB107" s="390"/>
      <c r="AC107" s="390"/>
      <c r="AD107" s="47"/>
      <c r="AE107" s="47"/>
    </row>
    <row r="108" spans="1:31" x14ac:dyDescent="0.25">
      <c r="B108" s="89" t="s">
        <v>142</v>
      </c>
      <c r="F108" s="55">
        <f>ROUND('BGS PTY20 Cost Alloc'!R65,0)*1000</f>
        <v>2001184000</v>
      </c>
      <c r="O108" s="47"/>
      <c r="P108" s="356"/>
      <c r="Q108" s="391"/>
      <c r="R108" s="391"/>
      <c r="S108" s="391"/>
      <c r="T108" s="47"/>
      <c r="U108" s="47"/>
      <c r="V108" s="391"/>
      <c r="W108" s="391"/>
      <c r="X108" s="391"/>
      <c r="Y108" s="47"/>
      <c r="Z108" s="47"/>
      <c r="AA108" s="391"/>
      <c r="AB108" s="391"/>
      <c r="AC108" s="391"/>
      <c r="AD108" s="47"/>
      <c r="AE108" s="47"/>
    </row>
    <row r="109" spans="1:31" ht="13" x14ac:dyDescent="0.3">
      <c r="B109" s="89" t="s">
        <v>144</v>
      </c>
      <c r="F109" s="55">
        <f>ROUND('BGS PTY20 Cost Alloc'!R66,0)*1000</f>
        <v>1770477000</v>
      </c>
      <c r="O109" s="19"/>
      <c r="P109" s="163"/>
      <c r="Q109" s="399"/>
      <c r="R109" s="399"/>
      <c r="S109" s="399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</row>
    <row r="110" spans="1:31" ht="13" x14ac:dyDescent="0.3">
      <c r="O110" s="19"/>
      <c r="P110" s="163"/>
      <c r="Q110" s="399"/>
      <c r="R110" s="399"/>
      <c r="S110" s="399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</row>
    <row r="111" spans="1:31" x14ac:dyDescent="0.25">
      <c r="B111" s="28" t="s">
        <v>18</v>
      </c>
      <c r="E111" s="55">
        <f>'BGS PTY20 Cost Alloc'!W72-E105</f>
        <v>5877031.3333332986</v>
      </c>
      <c r="F111" s="55">
        <f>ROUND('BGS PTY20 Cost Alloc'!F72,0)*1000-SUM(F108:F109)</f>
        <v>5301746000</v>
      </c>
      <c r="G111" s="55">
        <f>'BGS PTY20 Cost Alloc'!G72*1000-G105</f>
        <v>3491416000</v>
      </c>
      <c r="I111" s="55">
        <f>'BGS PTY20 Cost Alloc'!I72*1000-'Composite Cost Allocation'!I105</f>
        <v>76732000</v>
      </c>
      <c r="P111" s="341"/>
      <c r="Q111" s="255"/>
      <c r="R111" s="255"/>
      <c r="S111" s="255"/>
      <c r="T111" s="358"/>
      <c r="U111" s="392"/>
      <c r="V111" s="393"/>
      <c r="W111" s="393"/>
      <c r="X111" s="393"/>
      <c r="Y111" s="47"/>
      <c r="Z111" s="47"/>
      <c r="AA111" s="393"/>
      <c r="AB111" s="393"/>
      <c r="AC111" s="393"/>
      <c r="AD111" s="47"/>
      <c r="AE111" s="47"/>
    </row>
    <row r="112" spans="1:31" x14ac:dyDescent="0.25">
      <c r="B112" s="77" t="s">
        <v>72</v>
      </c>
      <c r="E112" s="55">
        <f>SUMPRODUCT('BGS PTY20 Cost Alloc'!E60:E71,'BGS PTY20 Cost Alloc'!E33:E44)*1000-E106-SUMPRODUCT('BGS PTY20 Cost Alloc'!W60:W71,'BGS PTY20 Cost Alloc'!E33:E44)</f>
        <v>45630733.617000148</v>
      </c>
      <c r="H112" s="55">
        <f>SUMPRODUCT('BGS PTY20 Cost Alloc'!H60:H71,'BGS PTY20 Cost Alloc'!H33:H44)*1000-H106</f>
        <v>58871465.099999994</v>
      </c>
      <c r="P112" s="341"/>
      <c r="Q112" s="255"/>
      <c r="R112" s="255"/>
      <c r="S112" s="255"/>
      <c r="T112" s="358"/>
      <c r="U112" s="392"/>
      <c r="V112" s="393"/>
      <c r="W112" s="393"/>
      <c r="X112" s="393"/>
      <c r="Y112" s="47"/>
      <c r="Z112" s="394"/>
      <c r="AA112" s="393"/>
      <c r="AB112" s="393"/>
      <c r="AC112" s="393"/>
      <c r="AD112" s="47"/>
      <c r="AE112" s="47"/>
    </row>
    <row r="113" spans="1:32" x14ac:dyDescent="0.25">
      <c r="B113" s="77" t="s">
        <v>73</v>
      </c>
      <c r="E113" s="55">
        <f>'BGS PTY20 Cost Alloc'!E72*1000-E105-E106-E107-E111-E112</f>
        <v>83475235.049666554</v>
      </c>
      <c r="H113" s="55">
        <f>'BGS PTY20 Cost Alloc'!H72*1000-H106-H107-H112</f>
        <v>76452534.900000006</v>
      </c>
      <c r="U113" s="47"/>
      <c r="V113" s="47"/>
      <c r="W113" s="47"/>
      <c r="X113" s="47"/>
      <c r="Y113" s="47"/>
      <c r="Z113" s="394"/>
      <c r="AA113" s="394"/>
      <c r="AB113" s="394"/>
      <c r="AC113" s="394"/>
      <c r="AD113" s="394"/>
      <c r="AE113" s="394"/>
    </row>
    <row r="114" spans="1:32" ht="13" x14ac:dyDescent="0.3">
      <c r="J114" s="26" t="s">
        <v>13</v>
      </c>
      <c r="K114" s="26"/>
      <c r="L114" s="26"/>
      <c r="U114" s="47"/>
      <c r="V114" s="348"/>
      <c r="W114" s="47"/>
      <c r="X114" s="47"/>
      <c r="Y114" s="47"/>
      <c r="Z114" s="394"/>
      <c r="AA114" s="394"/>
      <c r="AB114" s="394"/>
      <c r="AC114" s="394"/>
      <c r="AD114" s="394"/>
      <c r="AE114" s="394"/>
    </row>
    <row r="115" spans="1:32" ht="13" x14ac:dyDescent="0.3">
      <c r="B115" s="89" t="s">
        <v>162</v>
      </c>
      <c r="E115" s="55">
        <f>SUM(E105:E109)</f>
        <v>66252000</v>
      </c>
      <c r="F115" s="55">
        <f>SUM(F105:F109)</f>
        <v>3771661000</v>
      </c>
      <c r="G115" s="55">
        <f>SUM(G105:G109)</f>
        <v>1985450000</v>
      </c>
      <c r="H115" s="55">
        <f>SUM(H105:H109)</f>
        <v>70011000</v>
      </c>
      <c r="I115" s="55">
        <f>SUM(I105:I109)</f>
        <v>38368000</v>
      </c>
      <c r="J115" s="55">
        <f>SUM(E115:I115)</f>
        <v>5931742000</v>
      </c>
      <c r="K115" s="55"/>
      <c r="L115" s="55"/>
      <c r="Q115" s="354"/>
      <c r="R115" s="355"/>
      <c r="U115" s="47"/>
      <c r="V115" s="348"/>
      <c r="W115" s="397"/>
      <c r="X115" s="47"/>
      <c r="Y115" s="47"/>
      <c r="Z115" s="394"/>
      <c r="AA115" s="394"/>
      <c r="AB115" s="394"/>
      <c r="AC115" s="394"/>
      <c r="AD115" s="394"/>
      <c r="AE115" s="394"/>
    </row>
    <row r="116" spans="1:32" x14ac:dyDescent="0.25">
      <c r="B116" s="89" t="s">
        <v>163</v>
      </c>
      <c r="E116" s="138">
        <f>SUM(E111:E113)</f>
        <v>134983000</v>
      </c>
      <c r="F116" s="138">
        <f>SUM(F111:F113)</f>
        <v>5301746000</v>
      </c>
      <c r="G116" s="254">
        <f>SUM(G111:G113)</f>
        <v>3491416000</v>
      </c>
      <c r="H116" s="254">
        <f>SUM(H111:H113)</f>
        <v>135324000</v>
      </c>
      <c r="I116" s="254">
        <f>SUM(I111:I113)</f>
        <v>76732000</v>
      </c>
      <c r="J116" s="138">
        <f>SUM(E116:I116)</f>
        <v>9140201000</v>
      </c>
      <c r="K116" s="138"/>
      <c r="L116" s="138"/>
      <c r="P116" s="296" t="s">
        <v>434</v>
      </c>
      <c r="U116" s="47"/>
      <c r="V116" s="348"/>
      <c r="W116" s="397"/>
      <c r="X116" s="47"/>
      <c r="Y116" s="47"/>
      <c r="Z116" s="47"/>
      <c r="AA116" s="394"/>
      <c r="AB116" s="394"/>
      <c r="AC116" s="394"/>
      <c r="AD116" s="394"/>
      <c r="AE116" s="394"/>
    </row>
    <row r="117" spans="1:32" ht="13" x14ac:dyDescent="0.3">
      <c r="B117" s="89" t="s">
        <v>164</v>
      </c>
      <c r="E117" s="55">
        <f>SUM(E115:E116)</f>
        <v>201235000</v>
      </c>
      <c r="F117" s="55">
        <f>SUM(F115:F116)</f>
        <v>9073407000</v>
      </c>
      <c r="G117" s="55">
        <f>SUM(G115:G116)</f>
        <v>5476866000</v>
      </c>
      <c r="H117" s="55">
        <f>SUM(H115:H116)</f>
        <v>205335000</v>
      </c>
      <c r="I117" s="55">
        <f>SUM(I115:I116)</f>
        <v>115100000</v>
      </c>
      <c r="J117" s="55">
        <f>SUM(E117:I117)</f>
        <v>15071943000</v>
      </c>
      <c r="K117" s="55"/>
      <c r="L117" s="55"/>
      <c r="O117" s="360"/>
      <c r="P117" s="361" t="s">
        <v>312</v>
      </c>
      <c r="Q117" s="637">
        <v>0.99236949638081506</v>
      </c>
      <c r="R117" s="637">
        <v>0.9922233434023805</v>
      </c>
      <c r="S117" s="637">
        <v>0.9926905939332149</v>
      </c>
      <c r="T117" s="366"/>
      <c r="U117" s="395"/>
      <c r="V117" s="348"/>
      <c r="W117" s="383"/>
      <c r="X117" s="47"/>
      <c r="Y117" s="47"/>
      <c r="Z117" s="47"/>
      <c r="AA117" s="47"/>
      <c r="AB117" s="47"/>
      <c r="AC117" s="47"/>
      <c r="AD117" s="47"/>
      <c r="AE117" s="47"/>
      <c r="AF117" s="342"/>
    </row>
    <row r="118" spans="1:32" ht="13" x14ac:dyDescent="0.3">
      <c r="P118" s="362" t="s">
        <v>252</v>
      </c>
      <c r="Q118" s="367"/>
      <c r="R118" s="367"/>
      <c r="S118" s="367"/>
      <c r="AF118" s="342"/>
    </row>
    <row r="119" spans="1:32" ht="13" x14ac:dyDescent="0.3">
      <c r="A119" s="18" t="s">
        <v>258</v>
      </c>
      <c r="B119" s="16" t="s">
        <v>96</v>
      </c>
      <c r="P119" s="18"/>
      <c r="Q119" s="16"/>
    </row>
    <row r="120" spans="1:32" ht="13" x14ac:dyDescent="0.3">
      <c r="A120" s="22"/>
      <c r="B120" s="16"/>
      <c r="P120" s="22"/>
      <c r="Q120" s="16"/>
    </row>
    <row r="121" spans="1:32" ht="13" x14ac:dyDescent="0.3">
      <c r="A121" s="22"/>
      <c r="B121" s="16" t="s">
        <v>97</v>
      </c>
      <c r="P121" s="18"/>
      <c r="Q121" s="16" t="s">
        <v>252</v>
      </c>
    </row>
    <row r="122" spans="1:32" ht="13" x14ac:dyDescent="0.3">
      <c r="A122" s="22"/>
      <c r="B122" s="17" t="s">
        <v>379</v>
      </c>
      <c r="P122" s="22"/>
      <c r="Q122" s="17"/>
    </row>
    <row r="123" spans="1:32" ht="13" x14ac:dyDescent="0.3">
      <c r="A123" s="22"/>
      <c r="B123" s="17" t="s">
        <v>21</v>
      </c>
      <c r="P123" s="22"/>
      <c r="Q123" s="17"/>
    </row>
    <row r="124" spans="1:32" ht="13" x14ac:dyDescent="0.3">
      <c r="A124" s="22"/>
      <c r="C124" s="26"/>
      <c r="D124" s="26"/>
      <c r="E124" s="26" t="str">
        <f>E103</f>
        <v>RT{1}</v>
      </c>
      <c r="F124" s="26" t="str">
        <f>F103</f>
        <v>RS{2}</v>
      </c>
      <c r="G124" s="26" t="str">
        <f>G103</f>
        <v>GS{3}</v>
      </c>
      <c r="H124" s="26" t="str">
        <f>H103</f>
        <v>GST {4}</v>
      </c>
      <c r="I124" s="26" t="str">
        <f>I103</f>
        <v>OL/SL</v>
      </c>
      <c r="J124" s="26"/>
      <c r="K124" s="26"/>
      <c r="L124" s="26"/>
      <c r="P124" s="22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32" ht="13" x14ac:dyDescent="0.3">
      <c r="A125" s="22"/>
      <c r="C125" s="26"/>
      <c r="D125" s="26"/>
      <c r="E125" s="74"/>
      <c r="F125" s="26"/>
      <c r="G125" s="26"/>
      <c r="P125" s="22"/>
      <c r="R125" s="26"/>
      <c r="S125" s="26"/>
      <c r="T125" s="74"/>
      <c r="U125" s="26"/>
      <c r="V125" s="26"/>
      <c r="AA125" s="26"/>
    </row>
    <row r="126" spans="1:32" ht="13" x14ac:dyDescent="0.3">
      <c r="A126" s="22"/>
      <c r="B126" s="28" t="s">
        <v>17</v>
      </c>
      <c r="C126" s="74"/>
      <c r="D126" s="74"/>
      <c r="E126" s="74">
        <f>E83*1000/(E105/1000)</f>
        <v>71.239953135860929</v>
      </c>
      <c r="F126" s="74"/>
      <c r="G126" s="80">
        <f>G83*1000/(G105/1000)*S117</f>
        <v>70.951959286174628</v>
      </c>
      <c r="H126" s="74"/>
      <c r="I126" s="74">
        <f>I83*1000/(I105/1000)</f>
        <v>55.066201611296073</v>
      </c>
      <c r="J126" s="74"/>
      <c r="K126" s="74"/>
      <c r="L126" s="74"/>
      <c r="M126" s="74"/>
      <c r="P126" s="22"/>
      <c r="Q126" s="28"/>
      <c r="R126" s="74"/>
      <c r="S126" s="74"/>
      <c r="T126" s="74"/>
      <c r="U126" s="74"/>
      <c r="V126" s="74"/>
      <c r="W126" s="74"/>
      <c r="X126" s="74"/>
      <c r="Y126" s="74"/>
      <c r="Z126" s="74"/>
    </row>
    <row r="127" spans="1:32" ht="13" x14ac:dyDescent="0.3">
      <c r="A127" s="22"/>
      <c r="B127" s="77" t="s">
        <v>72</v>
      </c>
      <c r="C127" s="74"/>
      <c r="D127" s="74"/>
      <c r="E127" s="74">
        <f>E84*1000/(E106/1000)*Q117</f>
        <v>98.775557912971465</v>
      </c>
      <c r="F127" s="74"/>
      <c r="G127" s="80"/>
      <c r="H127" s="74">
        <f>H84*1000/(H106/1000)</f>
        <v>84.08078159764726</v>
      </c>
      <c r="I127" s="74"/>
      <c r="J127" s="74"/>
      <c r="K127" s="74"/>
      <c r="L127" s="74"/>
      <c r="P127" s="22"/>
      <c r="Q127" s="77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32" ht="13" x14ac:dyDescent="0.3">
      <c r="A128" s="22"/>
      <c r="B128" s="77" t="s">
        <v>73</v>
      </c>
      <c r="C128" s="74"/>
      <c r="D128" s="74"/>
      <c r="E128" s="74">
        <f>E85*1000/(E107/1000)*Q117</f>
        <v>51.126359989422674</v>
      </c>
      <c r="F128" s="74"/>
      <c r="G128" s="80"/>
      <c r="H128" s="74">
        <f>H85*1000/(H107/1000)</f>
        <v>51.459056437798289</v>
      </c>
      <c r="I128" s="74"/>
      <c r="J128" s="74"/>
      <c r="K128" s="74"/>
      <c r="L128" s="74"/>
      <c r="P128" s="22"/>
      <c r="Q128" s="77"/>
      <c r="R128" s="74"/>
      <c r="S128" s="74"/>
      <c r="T128" s="74"/>
      <c r="U128" s="74"/>
      <c r="V128" s="74"/>
      <c r="W128" s="74"/>
      <c r="X128" s="74"/>
      <c r="Y128" s="74"/>
      <c r="Z128" s="74"/>
      <c r="AA128" s="74"/>
    </row>
    <row r="129" spans="1:28" ht="13" x14ac:dyDescent="0.3">
      <c r="A129" s="22"/>
      <c r="B129" s="89" t="s">
        <v>142</v>
      </c>
      <c r="C129" s="74"/>
      <c r="D129" s="74"/>
      <c r="E129" s="74"/>
      <c r="F129" s="74">
        <f>F86*1000/(F108/1000)*R117</f>
        <v>68.73045971679565</v>
      </c>
      <c r="G129" s="80"/>
      <c r="H129" s="74"/>
      <c r="I129" s="74"/>
      <c r="J129" s="74"/>
      <c r="K129" s="74"/>
      <c r="L129" s="74"/>
      <c r="P129" s="22"/>
      <c r="Q129" s="89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 spans="1:28" ht="13" x14ac:dyDescent="0.3">
      <c r="A130" s="22"/>
      <c r="B130" s="89" t="s">
        <v>144</v>
      </c>
      <c r="C130" s="74"/>
      <c r="D130" s="74"/>
      <c r="E130" s="74"/>
      <c r="F130" s="74">
        <f>F87*1000/(F109/1000)*R117</f>
        <v>77.315176083913045</v>
      </c>
      <c r="G130" s="80"/>
      <c r="H130" s="74"/>
      <c r="I130" s="74"/>
      <c r="J130" s="74"/>
      <c r="K130" s="74"/>
      <c r="L130" s="74"/>
      <c r="P130" s="22"/>
      <c r="Q130" s="89"/>
      <c r="R130" s="74"/>
      <c r="S130" s="74"/>
      <c r="T130" s="74"/>
      <c r="U130" s="74"/>
      <c r="V130" s="119"/>
      <c r="W130" s="74"/>
      <c r="X130" s="74"/>
      <c r="Y130" s="74"/>
      <c r="Z130" s="74"/>
      <c r="AA130" s="74"/>
    </row>
    <row r="131" spans="1:28" ht="13" x14ac:dyDescent="0.3">
      <c r="A131" s="22"/>
      <c r="C131" s="74"/>
      <c r="D131" s="74"/>
      <c r="E131" s="74"/>
      <c r="F131" s="74"/>
      <c r="G131" s="80"/>
      <c r="H131" s="74"/>
      <c r="I131" s="74"/>
      <c r="J131" s="74"/>
      <c r="K131" s="74"/>
      <c r="L131" s="74"/>
      <c r="P131" s="22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 spans="1:28" ht="13" x14ac:dyDescent="0.3">
      <c r="A132" s="22"/>
      <c r="B132" s="28" t="s">
        <v>18</v>
      </c>
      <c r="C132" s="74"/>
      <c r="D132" s="74"/>
      <c r="E132" s="74">
        <f>E89*1000/(E111/1000)</f>
        <v>69.810138585089376</v>
      </c>
      <c r="F132" s="74">
        <f>F89*1000/(F111/1000)*R117</f>
        <v>77.528070533287476</v>
      </c>
      <c r="G132" s="80">
        <f>G89*1000/(G111/1000)*S117</f>
        <v>70.430284494062633</v>
      </c>
      <c r="H132" s="74"/>
      <c r="I132" s="74">
        <f>I89*1000/(I111/1000)</f>
        <v>55.128733878557725</v>
      </c>
      <c r="J132" s="74"/>
      <c r="K132" s="74"/>
      <c r="L132" s="74"/>
      <c r="M132" s="74"/>
      <c r="P132" s="22"/>
      <c r="Q132" s="28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 spans="1:28" ht="13" x14ac:dyDescent="0.3">
      <c r="A133" s="22"/>
      <c r="B133" s="77" t="s">
        <v>72</v>
      </c>
      <c r="C133" s="74"/>
      <c r="D133" s="74"/>
      <c r="E133" s="74">
        <f>E90*1000/(E112/1000)*Q117</f>
        <v>97.568887153020327</v>
      </c>
      <c r="F133" s="74"/>
      <c r="G133" s="80"/>
      <c r="H133" s="74">
        <f>H90*1000/(H112/1000)</f>
        <v>79.204152496586417</v>
      </c>
      <c r="I133" s="74"/>
      <c r="J133" s="74"/>
      <c r="K133" s="74"/>
      <c r="L133" s="74"/>
      <c r="P133" s="22"/>
      <c r="Q133" s="77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 ht="13" x14ac:dyDescent="0.3">
      <c r="A134" s="22"/>
      <c r="B134" s="77" t="s">
        <v>73</v>
      </c>
      <c r="C134" s="74"/>
      <c r="D134" s="74"/>
      <c r="E134" s="74">
        <f>E91*1000/(E113/1000)*Q117</f>
        <v>53.809621569143665</v>
      </c>
      <c r="F134" s="74"/>
      <c r="G134" s="80"/>
      <c r="H134" s="74">
        <f>H91*1000/(H113/1000)</f>
        <v>53.03296909789389</v>
      </c>
      <c r="I134" s="74"/>
      <c r="J134" s="74"/>
      <c r="K134" s="74"/>
      <c r="L134" s="74"/>
      <c r="P134" s="22"/>
      <c r="Q134" s="77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 spans="1:28" ht="13" x14ac:dyDescent="0.3">
      <c r="A135" s="22"/>
      <c r="C135" s="74"/>
      <c r="D135" s="74"/>
      <c r="E135" s="74"/>
      <c r="F135" s="74"/>
      <c r="G135" s="80"/>
      <c r="H135" s="74"/>
      <c r="I135" s="74"/>
      <c r="J135" s="74"/>
      <c r="K135" s="74"/>
      <c r="L135" s="74"/>
      <c r="P135" s="22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 spans="1:28" ht="13" x14ac:dyDescent="0.3">
      <c r="A136" s="22"/>
      <c r="B136" s="13" t="s">
        <v>98</v>
      </c>
      <c r="C136" s="74"/>
      <c r="D136" s="74"/>
      <c r="E136" s="80">
        <f>E96*1000/(E117/1000)*Q117</f>
        <v>69.743803080511086</v>
      </c>
      <c r="F136" s="80">
        <f>F96*1000/(F117/1000)*R117</f>
        <v>75.546173024420568</v>
      </c>
      <c r="G136" s="80">
        <f>G96*1000/(G117/1000)*S117</f>
        <v>70.619399804898933</v>
      </c>
      <c r="H136" s="80">
        <f>H96*1000/(H117/1000)</f>
        <v>65.124880029577284</v>
      </c>
      <c r="I136" s="80">
        <f>I96*1000/(I117/1000)</f>
        <v>55.107889065088607</v>
      </c>
      <c r="J136" s="74"/>
      <c r="K136" s="74"/>
      <c r="L136" s="74"/>
      <c r="M136" s="74"/>
      <c r="P136" s="22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8" ht="13" x14ac:dyDescent="0.3">
      <c r="A137" s="22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P137" s="22"/>
      <c r="R137" s="74"/>
      <c r="S137" s="74"/>
      <c r="T137" s="363"/>
      <c r="U137" s="363"/>
      <c r="V137" s="363"/>
      <c r="W137" s="364"/>
      <c r="X137" s="364"/>
      <c r="Y137" s="74"/>
      <c r="Z137" s="74"/>
      <c r="AA137" s="74"/>
      <c r="AB137" s="74"/>
    </row>
    <row r="138" spans="1:28" ht="13" x14ac:dyDescent="0.3">
      <c r="A138" s="22"/>
      <c r="B138" s="16" t="s">
        <v>99</v>
      </c>
      <c r="P138" s="22"/>
      <c r="Q138" s="16"/>
      <c r="T138" s="365"/>
      <c r="U138" s="365"/>
      <c r="V138" s="365"/>
      <c r="W138" s="365"/>
      <c r="X138" s="365"/>
      <c r="AA138" s="74"/>
      <c r="AB138" s="74"/>
    </row>
    <row r="139" spans="1:28" ht="13" x14ac:dyDescent="0.3">
      <c r="A139" s="22"/>
      <c r="B139" s="17" t="s">
        <v>392</v>
      </c>
      <c r="P139" s="22"/>
      <c r="Q139" s="17"/>
    </row>
    <row r="140" spans="1:28" ht="13" x14ac:dyDescent="0.3">
      <c r="A140" s="22"/>
      <c r="B140" s="17" t="s">
        <v>21</v>
      </c>
      <c r="P140" s="47"/>
      <c r="Q140" s="47"/>
      <c r="R140" s="348"/>
      <c r="S140" s="348"/>
      <c r="T140" s="47"/>
      <c r="U140" s="47"/>
      <c r="V140" s="47"/>
      <c r="W140" s="47"/>
      <c r="X140" s="47"/>
      <c r="Y140" s="47"/>
      <c r="Z140" s="47"/>
    </row>
    <row r="141" spans="1:28" ht="13" x14ac:dyDescent="0.3">
      <c r="A141" s="22"/>
      <c r="B141" s="37" t="s">
        <v>101</v>
      </c>
      <c r="C141" s="74"/>
      <c r="D141" s="74"/>
      <c r="I141" s="96"/>
      <c r="M141" s="93"/>
      <c r="P141" s="47"/>
      <c r="Q141" s="351"/>
      <c r="R141" s="350"/>
      <c r="S141" s="350"/>
      <c r="T141" s="210"/>
      <c r="U141" s="210"/>
      <c r="V141" s="210"/>
      <c r="W141" s="210"/>
      <c r="X141" s="210"/>
      <c r="Y141" s="210"/>
      <c r="Z141" s="210"/>
    </row>
    <row r="142" spans="1:28" ht="13" x14ac:dyDescent="0.3">
      <c r="A142" s="22"/>
      <c r="B142" s="77"/>
      <c r="C142" s="74"/>
      <c r="D142" s="74"/>
      <c r="I142" s="89"/>
      <c r="J142" s="97"/>
      <c r="K142" s="97"/>
      <c r="L142" s="97"/>
      <c r="M142" s="93"/>
      <c r="P142" s="47"/>
      <c r="Q142" s="349"/>
      <c r="R142" s="350"/>
      <c r="S142" s="350"/>
      <c r="T142" s="210"/>
      <c r="U142" s="210"/>
      <c r="V142" s="210"/>
      <c r="W142" s="210"/>
      <c r="X142" s="210"/>
      <c r="Y142" s="210"/>
      <c r="Z142" s="210"/>
      <c r="AB142" s="93"/>
    </row>
    <row r="143" spans="1:28" ht="13" x14ac:dyDescent="0.3">
      <c r="A143" s="22"/>
      <c r="B143" s="16" t="s">
        <v>102</v>
      </c>
      <c r="C143" s="74"/>
      <c r="D143" s="74"/>
      <c r="P143" s="47"/>
      <c r="Q143" s="349"/>
      <c r="R143" s="350"/>
      <c r="S143" s="350"/>
      <c r="T143" s="210"/>
      <c r="U143" s="210"/>
      <c r="V143" s="210"/>
      <c r="W143" s="210"/>
      <c r="X143" s="210"/>
      <c r="Y143" s="210"/>
      <c r="Z143" s="210"/>
    </row>
    <row r="144" spans="1:28" ht="13" x14ac:dyDescent="0.3">
      <c r="A144" s="22"/>
      <c r="B144" s="89" t="s">
        <v>103</v>
      </c>
      <c r="C144" s="84">
        <f>J96</f>
        <v>1114312.583693462</v>
      </c>
      <c r="G144" s="81"/>
      <c r="P144" s="47"/>
      <c r="Q144" s="349"/>
      <c r="R144" s="350"/>
      <c r="S144" s="350"/>
      <c r="T144" s="210"/>
      <c r="U144" s="210"/>
      <c r="V144" s="210"/>
      <c r="W144" s="210"/>
      <c r="X144" s="210"/>
      <c r="Y144" s="210"/>
      <c r="Z144" s="210"/>
    </row>
    <row r="145" spans="1:29" ht="13" x14ac:dyDescent="0.3">
      <c r="A145" s="22"/>
      <c r="C145" s="89" t="s">
        <v>104</v>
      </c>
      <c r="D145" s="95">
        <f>+C144/SUMPRODUCT('BGS PTY20 Cost Alloc'!E72:I72,'BGS PTY20 Cost Alloc'!E95:I95)*1000</f>
        <v>66.12965972917597</v>
      </c>
      <c r="E145" s="13" t="s">
        <v>105</v>
      </c>
      <c r="I145" s="13" t="s">
        <v>252</v>
      </c>
      <c r="P145" s="47"/>
      <c r="Q145" s="349"/>
      <c r="R145" s="350"/>
      <c r="S145" s="350"/>
      <c r="T145" s="210"/>
      <c r="U145" s="210"/>
      <c r="V145" s="210"/>
      <c r="W145" s="210"/>
      <c r="X145" s="210"/>
      <c r="Y145" s="210"/>
      <c r="Z145" s="210"/>
    </row>
    <row r="146" spans="1:29" ht="13" x14ac:dyDescent="0.3">
      <c r="A146" s="22"/>
      <c r="C146" s="89" t="s">
        <v>267</v>
      </c>
      <c r="D146" s="95">
        <f>C144/SUMPRODUCT('BGS PTY20 Cost Alloc'!E72:I72,'BGS PTY20 Cost Alloc'!E98:I98)*1000</f>
        <v>66.66562090232209</v>
      </c>
      <c r="E146" s="13" t="s">
        <v>265</v>
      </c>
      <c r="J146" s="230"/>
      <c r="K146" s="230"/>
      <c r="L146" s="230"/>
      <c r="R146" s="89"/>
      <c r="S146" s="95"/>
      <c r="Y146" s="230"/>
      <c r="Z146" s="230"/>
    </row>
    <row r="147" spans="1:29" ht="15.5" x14ac:dyDescent="0.35">
      <c r="A147" s="22"/>
      <c r="B147" s="638" t="str">
        <f>$B$1</f>
        <v xml:space="preserve">Jersey Central Power &amp; Light </v>
      </c>
      <c r="C147" s="638"/>
      <c r="D147" s="638"/>
      <c r="E147" s="638"/>
      <c r="F147" s="638"/>
      <c r="G147" s="638"/>
      <c r="H147" s="638"/>
      <c r="I147" s="638"/>
      <c r="J147" s="638"/>
      <c r="K147" s="638"/>
      <c r="L147" s="638"/>
      <c r="M147" s="638"/>
      <c r="N147" s="638"/>
      <c r="P147" s="22"/>
      <c r="Q147" s="633"/>
      <c r="R147" s="633"/>
      <c r="S147" s="633"/>
      <c r="T147" s="633"/>
      <c r="U147" s="633"/>
      <c r="V147" s="633"/>
      <c r="W147" s="633"/>
      <c r="X147" s="633"/>
      <c r="Y147" s="633"/>
      <c r="Z147" s="633"/>
      <c r="AA147" s="230"/>
    </row>
    <row r="148" spans="1:29" ht="15.5" x14ac:dyDescent="0.35">
      <c r="A148" s="22"/>
      <c r="B148" s="638" t="str">
        <f>$B$2</f>
        <v>Attachment 2</v>
      </c>
      <c r="C148" s="638"/>
      <c r="D148" s="638"/>
      <c r="E148" s="638"/>
      <c r="F148" s="638"/>
      <c r="G148" s="638"/>
      <c r="H148" s="638"/>
      <c r="I148" s="638"/>
      <c r="J148" s="638"/>
      <c r="K148" s="638"/>
      <c r="L148" s="638"/>
      <c r="M148" s="638"/>
      <c r="N148" s="638"/>
      <c r="P148" s="22"/>
      <c r="Q148" s="633"/>
      <c r="R148" s="633"/>
      <c r="S148" s="633"/>
      <c r="T148" s="633"/>
      <c r="U148" s="633"/>
      <c r="V148" s="633"/>
      <c r="W148" s="633"/>
      <c r="X148" s="633"/>
      <c r="Y148" s="633"/>
      <c r="Z148" s="633"/>
      <c r="AA148" s="633"/>
      <c r="AB148" s="633"/>
      <c r="AC148" s="633"/>
    </row>
    <row r="149" spans="1:29" ht="15.5" x14ac:dyDescent="0.35">
      <c r="A149" s="22"/>
      <c r="B149" s="633"/>
      <c r="C149" s="633"/>
      <c r="D149" s="633"/>
      <c r="E149" s="633"/>
      <c r="F149" s="633"/>
      <c r="G149" s="633"/>
      <c r="H149" s="633"/>
      <c r="I149" s="633"/>
      <c r="J149" s="633"/>
      <c r="K149" s="633"/>
      <c r="L149" s="633"/>
      <c r="M149" s="633"/>
      <c r="N149" s="633"/>
      <c r="P149" s="22"/>
      <c r="Q149" s="633"/>
      <c r="R149" s="633"/>
      <c r="S149" s="633"/>
      <c r="T149" s="633"/>
      <c r="U149" s="633"/>
      <c r="V149" s="633"/>
      <c r="W149" s="633"/>
      <c r="X149" s="633"/>
      <c r="Y149" s="633"/>
      <c r="Z149" s="633"/>
      <c r="AA149" s="633"/>
      <c r="AB149" s="633"/>
      <c r="AC149" s="633"/>
    </row>
    <row r="150" spans="1:29" ht="13" x14ac:dyDescent="0.3">
      <c r="A150" s="18" t="s">
        <v>259</v>
      </c>
      <c r="B150" s="16" t="s">
        <v>270</v>
      </c>
      <c r="J150" s="16" t="s">
        <v>252</v>
      </c>
      <c r="K150" s="16"/>
      <c r="L150" s="16"/>
      <c r="M150" s="16"/>
      <c r="N150" s="16"/>
      <c r="P150" s="18"/>
      <c r="Q150" s="16"/>
      <c r="Y150" s="16"/>
      <c r="Z150" s="16"/>
    </row>
    <row r="151" spans="1:29" ht="13" x14ac:dyDescent="0.3">
      <c r="A151" s="22"/>
      <c r="B151" s="16"/>
      <c r="P151" s="22"/>
      <c r="Q151" s="16"/>
      <c r="AA151" s="16"/>
      <c r="AB151" s="16"/>
      <c r="AC151" s="16"/>
    </row>
    <row r="152" spans="1:29" ht="13" x14ac:dyDescent="0.3">
      <c r="A152" s="22"/>
      <c r="B152" s="16" t="s">
        <v>97</v>
      </c>
      <c r="P152" s="22"/>
      <c r="Q152" s="16"/>
    </row>
    <row r="153" spans="1:29" ht="13" x14ac:dyDescent="0.3">
      <c r="A153" s="22"/>
      <c r="B153" s="17" t="s">
        <v>380</v>
      </c>
      <c r="P153" s="22"/>
      <c r="Q153" s="17"/>
    </row>
    <row r="154" spans="1:29" ht="13" x14ac:dyDescent="0.3">
      <c r="A154" s="22"/>
      <c r="B154" s="16"/>
      <c r="P154" s="22"/>
      <c r="Q154" s="16"/>
    </row>
    <row r="155" spans="1:29" ht="13" x14ac:dyDescent="0.3">
      <c r="A155" s="22"/>
      <c r="C155" s="26"/>
      <c r="D155" s="26"/>
      <c r="E155" s="26" t="str">
        <f>+E$10</f>
        <v>RT{1}</v>
      </c>
      <c r="F155" s="26" t="str">
        <f>+F$10</f>
        <v>RS{2}</v>
      </c>
      <c r="G155" s="26" t="str">
        <f>+G$10</f>
        <v>GS{3}</v>
      </c>
      <c r="H155" s="26" t="str">
        <f>+H$10</f>
        <v>GST {4}</v>
      </c>
      <c r="I155" s="26" t="str">
        <f>+I$10</f>
        <v>OL/SL</v>
      </c>
      <c r="J155" s="26"/>
      <c r="K155" s="26"/>
      <c r="L155" s="26"/>
      <c r="M155" s="26"/>
      <c r="N155" s="26"/>
      <c r="P155" s="22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9" ht="13" x14ac:dyDescent="0.3">
      <c r="A156" s="22"/>
      <c r="C156" s="26"/>
      <c r="D156" s="26"/>
      <c r="E156" s="26"/>
      <c r="F156" s="26"/>
      <c r="G156" s="26"/>
      <c r="P156" s="22"/>
      <c r="R156" s="26"/>
      <c r="S156" s="26"/>
      <c r="T156" s="26"/>
      <c r="U156" s="26"/>
      <c r="V156" s="26"/>
      <c r="AA156" s="26"/>
      <c r="AB156" s="26"/>
      <c r="AC156" s="26"/>
    </row>
    <row r="157" spans="1:29" ht="13" x14ac:dyDescent="0.3">
      <c r="A157" s="22"/>
      <c r="B157" s="28" t="s">
        <v>17</v>
      </c>
      <c r="C157" s="98"/>
      <c r="D157" s="98"/>
      <c r="E157" s="123">
        <f>+ROUND(E126/$D$146,3)</f>
        <v>1.069</v>
      </c>
      <c r="F157" s="123">
        <f>ROUND((F86+F87)*R117*1000000/(F108+F109)/D146,3)</f>
        <v>1.091</v>
      </c>
      <c r="G157" s="123">
        <f>+ROUND(G126/$D$146,3)</f>
        <v>1.0640000000000001</v>
      </c>
      <c r="H157" s="123"/>
      <c r="I157" s="123">
        <f>+ROUND(I126/$D$146,3)</f>
        <v>0.82599999999999996</v>
      </c>
      <c r="J157" s="98"/>
      <c r="K157" s="98"/>
      <c r="L157" s="98"/>
      <c r="M157" s="98"/>
      <c r="N157" s="98"/>
      <c r="P157" s="22"/>
      <c r="Q157" s="28"/>
      <c r="R157" s="98"/>
      <c r="S157" s="98"/>
      <c r="T157" s="123"/>
      <c r="U157" s="123"/>
      <c r="V157" s="123"/>
      <c r="W157" s="123"/>
      <c r="X157" s="123"/>
      <c r="Y157" s="98"/>
      <c r="Z157" s="98"/>
    </row>
    <row r="158" spans="1:29" ht="13" x14ac:dyDescent="0.3">
      <c r="A158" s="22"/>
      <c r="B158" s="77" t="s">
        <v>72</v>
      </c>
      <c r="C158" s="100"/>
      <c r="D158" s="100"/>
      <c r="E158" s="123">
        <f>+ROUND(E127/$D$146,3)</f>
        <v>1.482</v>
      </c>
      <c r="F158" s="124"/>
      <c r="G158" s="124"/>
      <c r="H158" s="123">
        <f>+ROUND(H127/$D$146,3)</f>
        <v>1.2609999999999999</v>
      </c>
      <c r="I158" s="124"/>
      <c r="J158" s="100"/>
      <c r="K158" s="100"/>
      <c r="L158" s="100"/>
      <c r="M158" s="100"/>
      <c r="N158" s="100"/>
      <c r="P158" s="22"/>
      <c r="Q158" s="77"/>
      <c r="R158" s="100"/>
      <c r="S158" s="100"/>
      <c r="T158" s="123"/>
      <c r="U158" s="124"/>
      <c r="V158" s="124"/>
      <c r="W158" s="123"/>
      <c r="X158" s="124"/>
      <c r="Y158" s="100"/>
      <c r="Z158" s="100"/>
      <c r="AA158" s="98"/>
      <c r="AB158" s="98"/>
      <c r="AC158" s="98"/>
    </row>
    <row r="159" spans="1:29" ht="13" x14ac:dyDescent="0.3">
      <c r="A159" s="22"/>
      <c r="B159" s="77" t="s">
        <v>73</v>
      </c>
      <c r="C159" s="100"/>
      <c r="D159" s="100"/>
      <c r="E159" s="123">
        <f>+ROUND(E128/$D$146,3)</f>
        <v>0.76700000000000002</v>
      </c>
      <c r="F159" s="124"/>
      <c r="G159" s="124"/>
      <c r="H159" s="123">
        <f>+ROUND(H128/$D$146,3)</f>
        <v>0.77200000000000002</v>
      </c>
      <c r="I159" s="124"/>
      <c r="J159" s="100"/>
      <c r="K159" s="100"/>
      <c r="L159" s="100"/>
      <c r="M159" s="100"/>
      <c r="N159" s="100"/>
      <c r="O159" s="124">
        <f>(F86+F87)*1000000/(F108+F109)</f>
        <v>73.330526939535844</v>
      </c>
      <c r="P159" s="22"/>
      <c r="Q159" s="77"/>
      <c r="R159" s="100"/>
      <c r="S159" s="100"/>
      <c r="T159" s="123"/>
      <c r="U159" s="124"/>
      <c r="V159" s="124"/>
      <c r="W159" s="123"/>
      <c r="X159" s="124"/>
      <c r="Y159" s="100"/>
      <c r="Z159" s="124"/>
      <c r="AA159" s="100"/>
      <c r="AB159" s="100"/>
      <c r="AC159" s="100"/>
    </row>
    <row r="160" spans="1:29" ht="13" x14ac:dyDescent="0.3">
      <c r="A160" s="22"/>
      <c r="B160" s="77"/>
      <c r="C160" s="100"/>
      <c r="D160" s="100"/>
      <c r="E160" s="123"/>
      <c r="G160" s="124"/>
      <c r="H160" s="123"/>
      <c r="I160" s="124"/>
      <c r="K160" s="124"/>
      <c r="L160" s="124"/>
      <c r="M160" s="124"/>
      <c r="N160" s="124"/>
      <c r="O160" s="124">
        <f>F86*1000000/F108</f>
        <v>69.269142047309302</v>
      </c>
      <c r="P160" s="22"/>
      <c r="Q160" s="77"/>
      <c r="R160" s="100"/>
      <c r="S160" s="100"/>
      <c r="T160" s="123"/>
      <c r="V160" s="124"/>
      <c r="W160" s="123"/>
      <c r="X160" s="124"/>
      <c r="Z160" s="124"/>
      <c r="AA160" s="100"/>
      <c r="AB160" s="100"/>
      <c r="AC160" s="100"/>
    </row>
    <row r="161" spans="1:29" ht="13" x14ac:dyDescent="0.3">
      <c r="A161" s="22"/>
      <c r="B161" s="77"/>
      <c r="C161" s="100"/>
      <c r="D161" s="100"/>
      <c r="E161" s="123"/>
      <c r="G161" s="124"/>
      <c r="H161" s="123"/>
      <c r="I161" s="124"/>
      <c r="K161" s="124"/>
      <c r="L161" s="124"/>
      <c r="M161" s="124"/>
      <c r="N161" s="124"/>
      <c r="O161" s="124">
        <f>F87*1000000/F109</f>
        <v>77.921142047309289</v>
      </c>
      <c r="P161" s="22"/>
      <c r="Q161" s="77"/>
      <c r="R161" s="100"/>
      <c r="S161" s="100"/>
      <c r="T161" s="123"/>
      <c r="V161" s="124"/>
      <c r="W161" s="123"/>
      <c r="X161" s="124"/>
      <c r="Z161" s="124"/>
      <c r="AA161" s="124"/>
      <c r="AB161" s="124"/>
      <c r="AC161" s="124"/>
    </row>
    <row r="162" spans="1:29" ht="13" x14ac:dyDescent="0.3">
      <c r="A162" s="22"/>
      <c r="C162" s="113"/>
      <c r="D162" s="113"/>
      <c r="E162" s="125" t="s">
        <v>156</v>
      </c>
      <c r="F162" s="123">
        <f>ROUND(O160-O159,3)</f>
        <v>-4.0609999999999999</v>
      </c>
      <c r="G162" s="124"/>
      <c r="H162" s="123"/>
      <c r="I162" s="124"/>
      <c r="J162" s="100"/>
      <c r="K162" s="100"/>
      <c r="L162" s="100"/>
      <c r="M162" s="100"/>
      <c r="N162" s="100"/>
      <c r="P162" s="22"/>
      <c r="R162" s="113"/>
      <c r="S162" s="113"/>
      <c r="T162" s="125"/>
      <c r="U162" s="123"/>
      <c r="V162" s="124"/>
      <c r="W162" s="123"/>
      <c r="X162" s="124"/>
      <c r="Y162" s="100"/>
      <c r="Z162" s="100"/>
      <c r="AA162" s="100"/>
      <c r="AB162" s="100"/>
      <c r="AC162" s="100"/>
    </row>
    <row r="163" spans="1:29" ht="13" x14ac:dyDescent="0.3">
      <c r="A163" s="22"/>
      <c r="C163" s="113"/>
      <c r="D163" s="113"/>
      <c r="E163" s="125" t="s">
        <v>157</v>
      </c>
      <c r="F163" s="123">
        <f>ROUND(O161-O159,3)</f>
        <v>4.5910000000000002</v>
      </c>
      <c r="G163" s="124"/>
      <c r="H163" s="123"/>
      <c r="I163" s="124"/>
      <c r="J163" s="100"/>
      <c r="K163" s="100"/>
      <c r="L163" s="100"/>
      <c r="M163" s="100"/>
      <c r="N163" s="100"/>
      <c r="P163" s="22"/>
      <c r="R163" s="113"/>
      <c r="S163" s="113"/>
      <c r="T163" s="125"/>
      <c r="U163" s="123"/>
      <c r="V163" s="124"/>
      <c r="W163" s="123"/>
      <c r="X163" s="124"/>
      <c r="Y163" s="100"/>
      <c r="Z163" s="100"/>
      <c r="AA163" s="100"/>
      <c r="AB163" s="100"/>
      <c r="AC163" s="100"/>
    </row>
    <row r="164" spans="1:29" ht="13" x14ac:dyDescent="0.3">
      <c r="A164" s="22"/>
      <c r="C164" s="100"/>
      <c r="D164" s="100"/>
      <c r="E164" s="124"/>
      <c r="F164" s="124"/>
      <c r="G164" s="124"/>
      <c r="H164" s="124"/>
      <c r="I164" s="124"/>
      <c r="J164" s="100"/>
      <c r="K164" s="100"/>
      <c r="L164" s="100"/>
      <c r="M164" s="100"/>
      <c r="N164" s="100"/>
      <c r="P164" s="22"/>
      <c r="R164" s="100"/>
      <c r="S164" s="100"/>
      <c r="T164" s="124"/>
      <c r="U164" s="124"/>
      <c r="V164" s="124"/>
      <c r="W164" s="124"/>
      <c r="X164" s="124"/>
      <c r="Y164" s="100"/>
      <c r="Z164" s="100"/>
      <c r="AA164" s="100"/>
      <c r="AB164" s="100"/>
      <c r="AC164" s="100"/>
    </row>
    <row r="165" spans="1:29" ht="13" x14ac:dyDescent="0.3">
      <c r="A165" s="22"/>
      <c r="B165" s="28" t="s">
        <v>18</v>
      </c>
      <c r="C165" s="98"/>
      <c r="D165" s="98"/>
      <c r="E165" s="123">
        <f>ROUND(E132/$D$146,3)</f>
        <v>1.0469999999999999</v>
      </c>
      <c r="F165" s="123">
        <f>ROUND(F132/$D$146,3)</f>
        <v>1.163</v>
      </c>
      <c r="G165" s="123">
        <f>ROUND(G132/$D$146,3)</f>
        <v>1.056</v>
      </c>
      <c r="H165" s="123"/>
      <c r="I165" s="123">
        <f>ROUND(I132/$D$146,3)</f>
        <v>0.82699999999999996</v>
      </c>
      <c r="J165" s="98"/>
      <c r="K165" s="98"/>
      <c r="L165" s="98"/>
      <c r="M165" s="98"/>
      <c r="N165" s="98"/>
      <c r="P165" s="22"/>
      <c r="Q165" s="28"/>
      <c r="R165" s="98"/>
      <c r="S165" s="98"/>
      <c r="T165" s="123"/>
      <c r="U165" s="123"/>
      <c r="V165" s="123"/>
      <c r="W165" s="123"/>
      <c r="X165" s="123"/>
      <c r="Y165" s="98"/>
      <c r="Z165" s="98"/>
      <c r="AA165" s="100"/>
      <c r="AB165" s="100"/>
      <c r="AC165" s="100"/>
    </row>
    <row r="166" spans="1:29" ht="13" x14ac:dyDescent="0.3">
      <c r="A166" s="22"/>
      <c r="B166" s="77" t="s">
        <v>72</v>
      </c>
      <c r="C166" s="100"/>
      <c r="D166" s="100"/>
      <c r="E166" s="123">
        <f>ROUND(E133/$D$146,3)</f>
        <v>1.464</v>
      </c>
      <c r="F166" s="124"/>
      <c r="G166" s="124"/>
      <c r="H166" s="123">
        <f>ROUND(H133/$D$146,3)</f>
        <v>1.1879999999999999</v>
      </c>
      <c r="I166" s="124"/>
      <c r="J166" s="100"/>
      <c r="K166" s="100"/>
      <c r="L166" s="100"/>
      <c r="M166" s="100"/>
      <c r="N166" s="100"/>
      <c r="P166" s="22"/>
      <c r="Q166" s="77"/>
      <c r="R166" s="100"/>
      <c r="S166" s="100"/>
      <c r="T166" s="123"/>
      <c r="U166" s="124"/>
      <c r="V166" s="124"/>
      <c r="W166" s="123"/>
      <c r="X166" s="124"/>
      <c r="Y166" s="100"/>
      <c r="Z166" s="100"/>
      <c r="AA166" s="98"/>
      <c r="AB166" s="98"/>
      <c r="AC166" s="98"/>
    </row>
    <row r="167" spans="1:29" ht="13" x14ac:dyDescent="0.3">
      <c r="A167" s="22"/>
      <c r="B167" s="77" t="s">
        <v>73</v>
      </c>
      <c r="C167" s="100"/>
      <c r="D167" s="100"/>
      <c r="E167" s="123">
        <f>ROUND(E134/$D$146,3)</f>
        <v>0.80700000000000005</v>
      </c>
      <c r="F167" s="124"/>
      <c r="G167" s="124"/>
      <c r="H167" s="123">
        <f>ROUND(H134/$D$146,3)</f>
        <v>0.79600000000000004</v>
      </c>
      <c r="I167" s="124"/>
      <c r="J167" s="100"/>
      <c r="K167" s="100"/>
      <c r="L167" s="100"/>
      <c r="M167" s="100"/>
      <c r="N167" s="100"/>
      <c r="P167" s="22"/>
      <c r="Q167" s="77"/>
      <c r="R167" s="100"/>
      <c r="S167" s="100"/>
      <c r="T167" s="123"/>
      <c r="U167" s="124"/>
      <c r="V167" s="124"/>
      <c r="W167" s="123"/>
      <c r="X167" s="124"/>
      <c r="Y167" s="100"/>
      <c r="Z167" s="100"/>
      <c r="AA167" s="100"/>
      <c r="AB167" s="100"/>
      <c r="AC167" s="100"/>
    </row>
    <row r="168" spans="1:29" ht="13" x14ac:dyDescent="0.3">
      <c r="A168" s="22"/>
      <c r="C168" s="99"/>
      <c r="D168" s="99"/>
      <c r="E168" s="635"/>
      <c r="F168" s="635"/>
      <c r="G168" s="635"/>
      <c r="H168" s="635"/>
      <c r="I168" s="635"/>
      <c r="J168" s="99"/>
      <c r="K168" s="99"/>
      <c r="L168" s="99"/>
      <c r="M168" s="99"/>
      <c r="N168" s="99"/>
      <c r="P168" s="22"/>
      <c r="R168" s="99"/>
      <c r="S168" s="99"/>
      <c r="T168" s="635"/>
      <c r="U168" s="635"/>
      <c r="V168" s="635"/>
      <c r="W168" s="635"/>
      <c r="X168" s="635"/>
      <c r="Y168" s="99"/>
      <c r="Z168" s="99"/>
      <c r="AA168" s="100"/>
      <c r="AB168" s="100"/>
      <c r="AC168" s="100"/>
    </row>
    <row r="169" spans="1:29" ht="13" x14ac:dyDescent="0.3">
      <c r="A169" s="22"/>
      <c r="B169" s="13" t="s">
        <v>107</v>
      </c>
      <c r="C169" s="99"/>
      <c r="D169" s="99"/>
      <c r="E169" s="636">
        <f>ROUND(E136/$D$146,3)</f>
        <v>1.046</v>
      </c>
      <c r="F169" s="636">
        <f>ROUND(F136/$D$146,3)</f>
        <v>1.133</v>
      </c>
      <c r="G169" s="636">
        <f>ROUND(G136/$D$146,3)</f>
        <v>1.0589999999999999</v>
      </c>
      <c r="H169" s="636">
        <f>ROUND(H136/$D$146,3)</f>
        <v>0.97699999999999998</v>
      </c>
      <c r="I169" s="636">
        <f>ROUND(I136/$D$146,3)</f>
        <v>0.82699999999999996</v>
      </c>
      <c r="J169" s="99"/>
      <c r="K169" s="99"/>
      <c r="L169" s="99"/>
      <c r="M169" s="99"/>
      <c r="N169" s="99"/>
      <c r="P169" s="22"/>
      <c r="R169" s="99"/>
      <c r="S169" s="99"/>
      <c r="T169" s="636"/>
      <c r="U169" s="636"/>
      <c r="V169" s="636"/>
      <c r="W169" s="636"/>
      <c r="X169" s="636"/>
      <c r="Y169" s="99"/>
      <c r="Z169" s="99"/>
      <c r="AA169" s="99"/>
      <c r="AB169" s="99"/>
      <c r="AC169" s="99"/>
    </row>
    <row r="170" spans="1:29" ht="13" x14ac:dyDescent="0.3">
      <c r="A170" s="22"/>
      <c r="D170" s="341"/>
      <c r="P170" s="22"/>
      <c r="AA170" s="99"/>
      <c r="AB170" s="99"/>
      <c r="AC170" s="99"/>
    </row>
    <row r="171" spans="1:29" ht="13" x14ac:dyDescent="0.3">
      <c r="A171" s="22"/>
      <c r="E171" s="255"/>
      <c r="F171" s="255"/>
      <c r="G171" s="255"/>
      <c r="H171" s="255"/>
      <c r="I171" s="255"/>
      <c r="P171" s="22"/>
    </row>
    <row r="172" spans="1:29" ht="13" x14ac:dyDescent="0.3">
      <c r="A172" s="22"/>
      <c r="B172" s="16" t="s">
        <v>99</v>
      </c>
      <c r="P172" s="22"/>
      <c r="Q172" s="16"/>
    </row>
    <row r="173" spans="1:29" ht="13" x14ac:dyDescent="0.3">
      <c r="A173" s="22"/>
      <c r="B173" s="17" t="s">
        <v>392</v>
      </c>
      <c r="P173" s="22"/>
      <c r="Q173" s="17"/>
    </row>
    <row r="174" spans="1:29" ht="13" x14ac:dyDescent="0.3">
      <c r="A174" s="22"/>
      <c r="B174" s="21"/>
      <c r="P174" s="22"/>
      <c r="Q174" s="21"/>
    </row>
    <row r="175" spans="1:29" ht="13" x14ac:dyDescent="0.3">
      <c r="A175" s="22"/>
      <c r="B175" s="37" t="s">
        <v>101</v>
      </c>
      <c r="C175" s="26"/>
      <c r="D175" s="26"/>
      <c r="E175" s="26"/>
      <c r="F175" s="26"/>
      <c r="I175" s="16"/>
      <c r="P175" s="22"/>
      <c r="Q175" s="37"/>
      <c r="R175" s="26"/>
      <c r="S175" s="26"/>
      <c r="T175" s="26"/>
      <c r="U175" s="26"/>
      <c r="X175" s="16"/>
    </row>
    <row r="176" spans="1:29" x14ac:dyDescent="0.25">
      <c r="A176" s="12" t="s">
        <v>252</v>
      </c>
      <c r="P176" s="12"/>
    </row>
    <row r="178" spans="10:27" x14ac:dyDescent="0.25">
      <c r="J178" s="84"/>
      <c r="Y178" s="342"/>
      <c r="Z178" s="296"/>
    </row>
    <row r="179" spans="10:27" x14ac:dyDescent="0.25">
      <c r="J179" s="342"/>
    </row>
    <row r="180" spans="10:27" x14ac:dyDescent="0.25">
      <c r="J180" s="84"/>
      <c r="Y180" s="347"/>
      <c r="Z180" s="296"/>
      <c r="AA180" s="296"/>
    </row>
    <row r="181" spans="10:27" x14ac:dyDescent="0.25">
      <c r="J181" s="342"/>
    </row>
    <row r="182" spans="10:27" x14ac:dyDescent="0.25">
      <c r="J182" s="81"/>
      <c r="Z182" s="280"/>
    </row>
  </sheetData>
  <mergeCells count="12">
    <mergeCell ref="B147:N147"/>
    <mergeCell ref="B148:N148"/>
    <mergeCell ref="B1:N1"/>
    <mergeCell ref="B2:N2"/>
    <mergeCell ref="B5:N5"/>
    <mergeCell ref="B99:N99"/>
    <mergeCell ref="B52:N52"/>
    <mergeCell ref="B53:N53"/>
    <mergeCell ref="B54:N54"/>
    <mergeCell ref="B98:N98"/>
    <mergeCell ref="B3:N3"/>
    <mergeCell ref="B100:N100"/>
  </mergeCells>
  <phoneticPr fontId="33" type="noConversion"/>
  <pageMargins left="0.7" right="0.7" top="0.75" bottom="0.75" header="0.3" footer="0.3"/>
  <pageSetup scale="78" fitToHeight="0" orientation="landscape" r:id="rId1"/>
  <headerFooter alignWithMargins="0">
    <oddFooter>&amp;L&amp;F    &amp;A&amp;CPage &amp;P of &amp;N&amp;R&amp;D</oddFooter>
  </headerFooter>
  <rowBreaks count="3" manualBreakCount="3">
    <brk id="51" max="9" man="1"/>
    <brk id="96" max="9" man="1"/>
    <brk id="146" max="9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14999847407452621"/>
    <pageSetUpPr fitToPage="1"/>
  </sheetPr>
  <dimension ref="A1:M64"/>
  <sheetViews>
    <sheetView view="pageBreakPreview" topLeftCell="A31" zoomScale="70" zoomScaleNormal="69" zoomScaleSheetLayoutView="70" workbookViewId="0">
      <selection activeCell="C37" sqref="C37"/>
    </sheetView>
  </sheetViews>
  <sheetFormatPr defaultColWidth="8.90625" defaultRowHeight="12.5" x14ac:dyDescent="0.25"/>
  <cols>
    <col min="1" max="1" width="5.6328125" style="300" customWidth="1"/>
    <col min="2" max="2" width="38.453125" style="300" bestFit="1" customWidth="1"/>
    <col min="3" max="3" width="16.08984375" style="300" customWidth="1"/>
    <col min="4" max="4" width="15.90625" style="300" customWidth="1"/>
    <col min="5" max="5" width="15.453125" style="300" bestFit="1" customWidth="1"/>
    <col min="6" max="6" width="13.81640625" style="300" bestFit="1" customWidth="1"/>
    <col min="7" max="7" width="43.36328125" style="300" customWidth="1"/>
    <col min="8" max="16384" width="8.90625" style="300"/>
  </cols>
  <sheetData>
    <row r="1" spans="1:13" s="13" customFormat="1" ht="15.5" x14ac:dyDescent="0.35">
      <c r="A1" s="12"/>
      <c r="B1" s="638" t="s">
        <v>69</v>
      </c>
      <c r="C1" s="638"/>
      <c r="D1" s="638"/>
      <c r="E1" s="638"/>
      <c r="F1" s="638"/>
      <c r="G1" s="506"/>
      <c r="H1" s="506"/>
      <c r="I1" s="506"/>
      <c r="J1" s="506"/>
      <c r="K1" s="506"/>
      <c r="L1" s="506"/>
      <c r="M1" s="506"/>
    </row>
    <row r="2" spans="1:13" s="13" customFormat="1" ht="15.5" x14ac:dyDescent="0.35">
      <c r="A2" s="12"/>
      <c r="B2" s="638" t="s">
        <v>383</v>
      </c>
      <c r="C2" s="638"/>
      <c r="D2" s="638"/>
      <c r="E2" s="638"/>
      <c r="F2" s="638"/>
      <c r="G2" s="506"/>
      <c r="H2" s="506"/>
      <c r="I2" s="506"/>
      <c r="J2" s="506"/>
      <c r="K2" s="506"/>
      <c r="L2" s="506"/>
      <c r="M2" s="506"/>
    </row>
    <row r="3" spans="1:13" s="13" customFormat="1" ht="31" customHeight="1" x14ac:dyDescent="0.35">
      <c r="A3" s="12"/>
      <c r="B3" s="645" t="s">
        <v>374</v>
      </c>
      <c r="C3" s="638"/>
      <c r="D3" s="638"/>
      <c r="E3" s="638"/>
      <c r="F3" s="638"/>
      <c r="G3" s="486"/>
      <c r="H3" s="486"/>
      <c r="I3" s="486"/>
      <c r="J3" s="486"/>
      <c r="K3" s="486"/>
      <c r="L3" s="486"/>
      <c r="M3" s="486"/>
    </row>
    <row r="4" spans="1:13" s="13" customFormat="1" ht="15.5" x14ac:dyDescent="0.35">
      <c r="A4" s="12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3" ht="18" x14ac:dyDescent="0.4">
      <c r="A5" s="646" t="s">
        <v>373</v>
      </c>
      <c r="B5" s="646"/>
      <c r="C5" s="646"/>
      <c r="D5" s="646"/>
      <c r="E5" s="646"/>
      <c r="F5" s="646"/>
    </row>
    <row r="6" spans="1:13" ht="13.5" customHeight="1" x14ac:dyDescent="0.4">
      <c r="A6" s="453"/>
      <c r="B6" s="454"/>
    </row>
    <row r="7" spans="1:13" ht="26" x14ac:dyDescent="0.3">
      <c r="C7" s="455" t="s">
        <v>369</v>
      </c>
      <c r="D7" s="500" t="s">
        <v>323</v>
      </c>
      <c r="E7" s="457"/>
      <c r="G7" s="345"/>
    </row>
    <row r="8" spans="1:13" ht="26" x14ac:dyDescent="0.3">
      <c r="A8" s="370">
        <v>1</v>
      </c>
      <c r="B8" s="501" t="s">
        <v>393</v>
      </c>
      <c r="C8" s="459">
        <f>'BGS PTY20 Cost Alloc'!C301</f>
        <v>97.75</v>
      </c>
      <c r="D8" s="643" t="s">
        <v>394</v>
      </c>
      <c r="E8" s="643"/>
      <c r="F8" s="643"/>
      <c r="G8" s="348"/>
      <c r="H8" s="300" t="s">
        <v>397</v>
      </c>
    </row>
    <row r="9" spans="1:13" ht="13" x14ac:dyDescent="0.3">
      <c r="A9" s="370">
        <v>2</v>
      </c>
      <c r="B9" s="501" t="s">
        <v>334</v>
      </c>
      <c r="C9" s="475" t="s">
        <v>39</v>
      </c>
      <c r="D9" s="460" t="s">
        <v>252</v>
      </c>
      <c r="E9" s="461"/>
      <c r="G9" s="47"/>
    </row>
    <row r="10" spans="1:13" ht="13" x14ac:dyDescent="0.25">
      <c r="A10" s="370">
        <v>3</v>
      </c>
      <c r="B10" s="502" t="s">
        <v>335</v>
      </c>
      <c r="C10" s="476" t="s">
        <v>39</v>
      </c>
      <c r="D10" s="644" t="s">
        <v>338</v>
      </c>
      <c r="E10" s="644"/>
      <c r="F10" s="644"/>
      <c r="G10" s="47"/>
    </row>
    <row r="11" spans="1:13" ht="13" x14ac:dyDescent="0.25">
      <c r="A11" s="370">
        <f>A10+1</f>
        <v>4</v>
      </c>
      <c r="B11" s="502" t="s">
        <v>324</v>
      </c>
      <c r="C11" s="503">
        <f>'BGS PTY20 Cost Alloc'!J164</f>
        <v>4759.6348560000006</v>
      </c>
      <c r="D11" s="539" t="s">
        <v>370</v>
      </c>
      <c r="E11" s="539"/>
      <c r="F11" s="314"/>
      <c r="G11" s="348"/>
      <c r="H11" s="314"/>
    </row>
    <row r="12" spans="1:13" ht="13" x14ac:dyDescent="0.25">
      <c r="A12" s="370">
        <f t="shared" ref="A12:A20" si="0">A11+1</f>
        <v>5</v>
      </c>
      <c r="B12" s="502" t="s">
        <v>325</v>
      </c>
      <c r="C12" s="464">
        <v>365</v>
      </c>
      <c r="D12" s="539"/>
      <c r="E12" s="539"/>
      <c r="F12" s="314"/>
      <c r="G12" s="47"/>
      <c r="H12" s="314"/>
    </row>
    <row r="13" spans="1:13" ht="13" x14ac:dyDescent="0.25">
      <c r="A13" s="370">
        <f t="shared" si="0"/>
        <v>6</v>
      </c>
      <c r="B13" s="502" t="s">
        <v>341</v>
      </c>
      <c r="C13" s="477" t="s">
        <v>39</v>
      </c>
      <c r="D13" s="540" t="s">
        <v>326</v>
      </c>
      <c r="E13" s="539"/>
      <c r="F13" s="314"/>
      <c r="G13" s="348"/>
      <c r="H13" s="314"/>
    </row>
    <row r="14" spans="1:13" ht="13" x14ac:dyDescent="0.25">
      <c r="A14" s="370">
        <f t="shared" si="0"/>
        <v>7</v>
      </c>
      <c r="B14" s="502" t="s">
        <v>327</v>
      </c>
      <c r="C14" s="465">
        <v>0</v>
      </c>
      <c r="D14" s="539"/>
      <c r="E14" s="539"/>
      <c r="F14" s="314"/>
      <c r="G14" s="346"/>
      <c r="H14" s="314"/>
    </row>
    <row r="15" spans="1:13" ht="13" x14ac:dyDescent="0.25">
      <c r="A15" s="370">
        <f t="shared" si="0"/>
        <v>8</v>
      </c>
      <c r="B15" s="502" t="s">
        <v>328</v>
      </c>
      <c r="C15" s="545">
        <f>C42</f>
        <v>53</v>
      </c>
      <c r="D15" s="539"/>
      <c r="E15" s="539"/>
      <c r="F15" s="314"/>
      <c r="G15" s="314"/>
      <c r="H15" s="314"/>
    </row>
    <row r="16" spans="1:13" ht="13" x14ac:dyDescent="0.25">
      <c r="A16" s="370">
        <f t="shared" si="0"/>
        <v>9</v>
      </c>
      <c r="B16" s="502" t="s">
        <v>342</v>
      </c>
      <c r="C16" s="466">
        <f>C14/C15</f>
        <v>0</v>
      </c>
      <c r="D16" s="540" t="s">
        <v>329</v>
      </c>
      <c r="E16" s="539"/>
      <c r="F16" s="314"/>
      <c r="G16" s="314"/>
      <c r="H16" s="314"/>
    </row>
    <row r="17" spans="1:8" ht="13" x14ac:dyDescent="0.25">
      <c r="A17" s="468">
        <f t="shared" si="0"/>
        <v>10</v>
      </c>
      <c r="B17" s="504" t="s">
        <v>343</v>
      </c>
      <c r="C17" s="470">
        <v>0</v>
      </c>
      <c r="D17" s="541" t="s">
        <v>330</v>
      </c>
      <c r="E17" s="542"/>
      <c r="F17" s="543"/>
      <c r="G17" s="314"/>
      <c r="H17" s="314"/>
    </row>
    <row r="18" spans="1:8" ht="26" x14ac:dyDescent="0.25">
      <c r="A18" s="370">
        <f t="shared" si="0"/>
        <v>11</v>
      </c>
      <c r="B18" s="505" t="s">
        <v>344</v>
      </c>
      <c r="C18" s="334">
        <f>F49+F50</f>
        <v>16714951</v>
      </c>
      <c r="D18" s="544" t="s">
        <v>372</v>
      </c>
      <c r="E18" s="544"/>
      <c r="F18" s="314"/>
      <c r="G18" s="314"/>
      <c r="H18" s="314"/>
    </row>
    <row r="19" spans="1:8" ht="26" x14ac:dyDescent="0.25">
      <c r="A19" s="370">
        <f t="shared" si="0"/>
        <v>12</v>
      </c>
      <c r="B19" s="505" t="s">
        <v>345</v>
      </c>
      <c r="C19" s="474">
        <f>C18*C16</f>
        <v>0</v>
      </c>
      <c r="D19" s="414" t="s">
        <v>331</v>
      </c>
      <c r="E19" s="317"/>
    </row>
    <row r="20" spans="1:8" ht="13" x14ac:dyDescent="0.3">
      <c r="A20" s="300">
        <f t="shared" si="0"/>
        <v>13</v>
      </c>
      <c r="B20" s="501" t="s">
        <v>336</v>
      </c>
      <c r="C20" s="472">
        <v>0</v>
      </c>
      <c r="D20" s="414" t="s">
        <v>332</v>
      </c>
      <c r="E20" s="317"/>
    </row>
    <row r="21" spans="1:8" ht="13" x14ac:dyDescent="0.3">
      <c r="A21" s="421"/>
      <c r="B21" s="401"/>
      <c r="C21" s="401"/>
      <c r="D21" s="401"/>
      <c r="E21" s="401"/>
      <c r="F21" s="401"/>
    </row>
    <row r="22" spans="1:8" ht="13" x14ac:dyDescent="0.3">
      <c r="A22" s="300" t="s">
        <v>322</v>
      </c>
      <c r="B22" s="421"/>
      <c r="C22" s="487"/>
      <c r="D22" s="487"/>
      <c r="E22" s="487"/>
      <c r="F22" s="487"/>
      <c r="G22" s="487"/>
    </row>
    <row r="23" spans="1:8" ht="13" x14ac:dyDescent="0.3">
      <c r="B23" s="421"/>
      <c r="C23" s="487"/>
      <c r="D23" s="487"/>
      <c r="E23" s="487"/>
      <c r="F23" s="487"/>
      <c r="G23" s="487"/>
    </row>
    <row r="24" spans="1:8" ht="13" x14ac:dyDescent="0.3">
      <c r="A24" s="421"/>
      <c r="B24" s="487"/>
      <c r="C24" s="487"/>
      <c r="D24" s="487"/>
      <c r="E24" s="487"/>
      <c r="F24" s="487"/>
    </row>
    <row r="25" spans="1:8" ht="15.5" x14ac:dyDescent="0.35">
      <c r="A25" s="647" t="s">
        <v>287</v>
      </c>
      <c r="B25" s="647"/>
      <c r="C25" s="647"/>
      <c r="D25" s="647"/>
      <c r="E25" s="647"/>
      <c r="F25" s="647"/>
    </row>
    <row r="26" spans="1:8" x14ac:dyDescent="0.25">
      <c r="A26" s="302"/>
    </row>
    <row r="27" spans="1:8" ht="15.5" x14ac:dyDescent="0.35">
      <c r="A27" s="647" t="s">
        <v>303</v>
      </c>
      <c r="B27" s="647"/>
      <c r="C27" s="647"/>
      <c r="D27" s="647"/>
      <c r="E27" s="647"/>
      <c r="F27" s="647"/>
    </row>
    <row r="28" spans="1:8" ht="15.5" x14ac:dyDescent="0.35">
      <c r="A28" s="648" t="s">
        <v>353</v>
      </c>
      <c r="B28" s="648"/>
      <c r="C28" s="648"/>
      <c r="D28" s="648"/>
      <c r="E28" s="648"/>
      <c r="F28" s="648"/>
    </row>
    <row r="29" spans="1:8" ht="15.5" x14ac:dyDescent="0.35">
      <c r="A29" s="303"/>
      <c r="B29" s="303"/>
      <c r="C29" s="303"/>
      <c r="D29" s="303"/>
      <c r="E29" s="304"/>
    </row>
    <row r="30" spans="1:8" ht="13" x14ac:dyDescent="0.3">
      <c r="B30" s="305"/>
      <c r="F30" s="306"/>
    </row>
    <row r="31" spans="1:8" ht="39" x14ac:dyDescent="0.3">
      <c r="B31" s="305"/>
      <c r="C31" s="307" t="s">
        <v>318</v>
      </c>
      <c r="D31" s="307" t="s">
        <v>321</v>
      </c>
      <c r="E31" s="307" t="s">
        <v>339</v>
      </c>
      <c r="F31" s="307" t="s">
        <v>304</v>
      </c>
    </row>
    <row r="32" spans="1:8" ht="13" x14ac:dyDescent="0.3">
      <c r="B32" s="305"/>
      <c r="C32" s="494" t="s">
        <v>354</v>
      </c>
      <c r="D32" s="494" t="s">
        <v>355</v>
      </c>
      <c r="E32" s="495" t="s">
        <v>356</v>
      </c>
      <c r="F32" s="307"/>
    </row>
    <row r="33" spans="1:12" ht="25.5" x14ac:dyDescent="0.3">
      <c r="B33" s="308"/>
      <c r="C33" s="309" t="s">
        <v>288</v>
      </c>
      <c r="D33" s="309" t="s">
        <v>289</v>
      </c>
      <c r="E33" s="310" t="s">
        <v>290</v>
      </c>
      <c r="F33" s="309"/>
    </row>
    <row r="34" spans="1:12" x14ac:dyDescent="0.25">
      <c r="C34" s="311"/>
      <c r="D34" s="311"/>
      <c r="E34" s="311"/>
      <c r="F34" s="368"/>
    </row>
    <row r="35" spans="1:12" x14ac:dyDescent="0.25">
      <c r="A35" s="344"/>
      <c r="B35" s="312" t="s">
        <v>291</v>
      </c>
      <c r="C35" s="419">
        <f>'BGS PTY19 Cost Alloc'!E298</f>
        <v>64.77</v>
      </c>
      <c r="D35" s="419">
        <f>'BGS PTY18 Cost Alloc'!E320</f>
        <v>72.430000000000007</v>
      </c>
      <c r="E35" s="488">
        <f>D38</f>
        <v>65</v>
      </c>
      <c r="F35" s="285"/>
      <c r="G35" s="300" t="s">
        <v>252</v>
      </c>
      <c r="H35" s="314"/>
      <c r="I35" s="314"/>
      <c r="J35" s="314"/>
      <c r="K35" s="314"/>
      <c r="L35" s="314"/>
    </row>
    <row r="36" spans="1:12" x14ac:dyDescent="0.25">
      <c r="A36" s="344"/>
      <c r="B36" s="312" t="s">
        <v>371</v>
      </c>
      <c r="C36" s="507"/>
      <c r="D36" s="419">
        <v>0</v>
      </c>
      <c r="E36" s="419">
        <v>0</v>
      </c>
      <c r="F36" s="285"/>
      <c r="H36" s="314"/>
      <c r="I36" s="314"/>
      <c r="J36" s="314"/>
      <c r="K36" s="314"/>
      <c r="L36" s="314"/>
    </row>
    <row r="37" spans="1:12" x14ac:dyDescent="0.25">
      <c r="A37" s="344"/>
      <c r="B37" s="312" t="s">
        <v>385</v>
      </c>
      <c r="C37" s="420" t="e">
        <f>-'Attachment 4 - Transmission'!#REF!</f>
        <v>#REF!</v>
      </c>
      <c r="D37" s="420">
        <f>-'Attachment 4 - Transmission'!C18</f>
        <v>-7.43</v>
      </c>
      <c r="E37" s="508"/>
      <c r="F37" s="285"/>
      <c r="H37" s="314"/>
      <c r="I37" s="314"/>
      <c r="J37" s="314"/>
      <c r="K37" s="314"/>
      <c r="L37" s="314"/>
    </row>
    <row r="38" spans="1:12" x14ac:dyDescent="0.25">
      <c r="A38" s="344"/>
      <c r="C38" s="419" t="e">
        <f>C37+C35</f>
        <v>#REF!</v>
      </c>
      <c r="D38" s="419">
        <f>D37+D35</f>
        <v>65</v>
      </c>
      <c r="E38" s="419">
        <f>E37+E35</f>
        <v>65</v>
      </c>
      <c r="F38" s="285"/>
      <c r="H38" s="314"/>
      <c r="I38" s="314"/>
      <c r="J38" s="314"/>
      <c r="K38" s="314"/>
      <c r="L38" s="314"/>
    </row>
    <row r="39" spans="1:12" x14ac:dyDescent="0.25">
      <c r="A39" s="344"/>
      <c r="C39" s="313"/>
      <c r="D39" s="313"/>
      <c r="E39" s="313"/>
      <c r="F39" s="285"/>
      <c r="H39" s="314"/>
      <c r="I39" s="314"/>
      <c r="J39" s="314"/>
      <c r="K39" s="314"/>
      <c r="L39" s="314"/>
    </row>
    <row r="40" spans="1:12" x14ac:dyDescent="0.25">
      <c r="B40" s="316" t="s">
        <v>293</v>
      </c>
      <c r="C40" s="313"/>
      <c r="D40" s="313"/>
      <c r="E40" s="313"/>
      <c r="F40" s="285"/>
      <c r="H40" s="314"/>
      <c r="I40" s="314"/>
      <c r="J40" s="314"/>
      <c r="K40" s="314"/>
      <c r="L40" s="314"/>
    </row>
    <row r="41" spans="1:12" x14ac:dyDescent="0.25">
      <c r="A41" s="344"/>
      <c r="B41" s="317" t="s">
        <v>292</v>
      </c>
      <c r="C41" s="555">
        <v>18</v>
      </c>
      <c r="D41" s="555">
        <v>15</v>
      </c>
      <c r="E41" s="555">
        <v>20</v>
      </c>
      <c r="F41" s="319"/>
    </row>
    <row r="42" spans="1:12" x14ac:dyDescent="0.25">
      <c r="A42" s="344"/>
      <c r="B42" s="317" t="s">
        <v>293</v>
      </c>
      <c r="C42" s="318">
        <f>C41+D41+E41</f>
        <v>53</v>
      </c>
      <c r="D42" s="318">
        <f>C42</f>
        <v>53</v>
      </c>
      <c r="E42" s="318">
        <f>C42</f>
        <v>53</v>
      </c>
      <c r="F42" s="286"/>
    </row>
    <row r="43" spans="1:12" x14ac:dyDescent="0.25">
      <c r="A43" s="344"/>
      <c r="B43" s="317"/>
      <c r="C43" s="287"/>
      <c r="D43" s="287"/>
      <c r="E43" s="287"/>
      <c r="F43" s="286"/>
    </row>
    <row r="44" spans="1:12" x14ac:dyDescent="0.25">
      <c r="B44" s="316" t="s">
        <v>294</v>
      </c>
      <c r="C44" s="320"/>
      <c r="D44" s="320"/>
      <c r="E44" s="321"/>
      <c r="F44" s="321"/>
      <c r="G44" s="300" t="s">
        <v>252</v>
      </c>
    </row>
    <row r="45" spans="1:12" x14ac:dyDescent="0.25">
      <c r="A45" s="344"/>
      <c r="B45" s="289" t="s">
        <v>25</v>
      </c>
      <c r="C45" s="322">
        <f>'BGS PTY18 Cost Alloc'!D321</f>
        <v>1</v>
      </c>
      <c r="D45" s="323">
        <f>'BGS PTY19 Cost Alloc'!D299</f>
        <v>1</v>
      </c>
      <c r="E45" s="340">
        <f>'BGS PTY20 Cost Alloc'!I299</f>
        <v>1</v>
      </c>
      <c r="F45" s="324"/>
    </row>
    <row r="46" spans="1:12" x14ac:dyDescent="0.25">
      <c r="A46" s="344"/>
      <c r="B46" s="289" t="s">
        <v>26</v>
      </c>
      <c r="C46" s="322">
        <f>'BGS PTY18 Cost Alloc'!D322</f>
        <v>1</v>
      </c>
      <c r="D46" s="323">
        <f>'BGS PTY19 Cost Alloc'!D300</f>
        <v>1</v>
      </c>
      <c r="E46" s="340">
        <f>'BGS PTY20 Cost Alloc'!I300</f>
        <v>1</v>
      </c>
      <c r="F46" s="325"/>
    </row>
    <row r="47" spans="1:12" x14ac:dyDescent="0.25">
      <c r="A47" s="344"/>
      <c r="B47" s="317"/>
      <c r="C47" s="326"/>
      <c r="D47" s="326"/>
      <c r="E47" s="327"/>
      <c r="F47" s="326"/>
    </row>
    <row r="48" spans="1:12" ht="25.5" customHeight="1" x14ac:dyDescent="0.25">
      <c r="B48" s="328" t="s">
        <v>295</v>
      </c>
      <c r="C48" s="326"/>
      <c r="D48" s="327"/>
      <c r="E48" s="327"/>
      <c r="F48" s="326"/>
    </row>
    <row r="49" spans="1:7" x14ac:dyDescent="0.25">
      <c r="A49" s="344"/>
      <c r="B49" s="329" t="s">
        <v>296</v>
      </c>
      <c r="C49" s="330">
        <f>'BGS PTY20 Cost Alloc'!N248</f>
        <v>6578367</v>
      </c>
      <c r="D49" s="331">
        <f t="shared" ref="D49:F50" si="1">C49</f>
        <v>6578367</v>
      </c>
      <c r="E49" s="331">
        <f t="shared" si="1"/>
        <v>6578367</v>
      </c>
      <c r="F49" s="332">
        <f t="shared" si="1"/>
        <v>6578367</v>
      </c>
      <c r="G49" s="642"/>
    </row>
    <row r="50" spans="1:7" x14ac:dyDescent="0.25">
      <c r="A50" s="344"/>
      <c r="B50" s="329" t="s">
        <v>297</v>
      </c>
      <c r="C50" s="330">
        <f>'BGS PTY20 Cost Alloc'!N249</f>
        <v>10136584</v>
      </c>
      <c r="D50" s="331">
        <f t="shared" si="1"/>
        <v>10136584</v>
      </c>
      <c r="E50" s="331">
        <f t="shared" si="1"/>
        <v>10136584</v>
      </c>
      <c r="F50" s="332">
        <f t="shared" si="1"/>
        <v>10136584</v>
      </c>
      <c r="G50" s="642"/>
    </row>
    <row r="51" spans="1:7" ht="13" x14ac:dyDescent="0.3">
      <c r="A51" s="344"/>
      <c r="B51" s="333"/>
      <c r="C51" s="326"/>
      <c r="D51" s="326"/>
      <c r="E51" s="327"/>
      <c r="F51" s="326"/>
      <c r="G51" s="334" t="s">
        <v>252</v>
      </c>
    </row>
    <row r="52" spans="1:7" x14ac:dyDescent="0.25">
      <c r="B52" s="316" t="s">
        <v>305</v>
      </c>
      <c r="C52" s="326"/>
      <c r="D52" s="326"/>
      <c r="E52" s="327"/>
      <c r="F52" s="326"/>
    </row>
    <row r="53" spans="1:7" x14ac:dyDescent="0.25">
      <c r="A53" s="344"/>
      <c r="B53" s="289" t="s">
        <v>25</v>
      </c>
      <c r="C53" s="293" t="e">
        <f>(+C$35+C$37)*C$41/C$42*C45*C49</f>
        <v>#REF!</v>
      </c>
      <c r="D53" s="293">
        <f t="shared" ref="D53:E53" si="2">(+D$35+D$37)*D$41/D$42*D45*D49</f>
        <v>121017128.7735849</v>
      </c>
      <c r="E53" s="293">
        <f t="shared" si="2"/>
        <v>161356171.6981132</v>
      </c>
      <c r="F53" s="293" t="e">
        <f>SUM(C53:E53)</f>
        <v>#REF!</v>
      </c>
    </row>
    <row r="54" spans="1:7" ht="14" x14ac:dyDescent="0.4">
      <c r="A54" s="344"/>
      <c r="B54" s="290" t="s">
        <v>26</v>
      </c>
      <c r="C54" s="509" t="e">
        <f>(+C$35+C$37)*C$41/C$42*C46*C50</f>
        <v>#REF!</v>
      </c>
      <c r="D54" s="509">
        <f t="shared" ref="D54:E54" si="3">(+D$35+D$37)*D$41/D$42*D46*D50</f>
        <v>186474894.33962265</v>
      </c>
      <c r="E54" s="509">
        <f t="shared" si="3"/>
        <v>248633192.45283017</v>
      </c>
      <c r="F54" s="294" t="e">
        <f>SUM(C54:E54)</f>
        <v>#REF!</v>
      </c>
    </row>
    <row r="55" spans="1:7" x14ac:dyDescent="0.25">
      <c r="A55" s="344"/>
      <c r="B55" s="317" t="s">
        <v>13</v>
      </c>
      <c r="C55" s="335" t="e">
        <f>+C54+C53</f>
        <v>#REF!</v>
      </c>
      <c r="D55" s="335">
        <f>+D54+D53</f>
        <v>307492023.11320758</v>
      </c>
      <c r="E55" s="336">
        <f>+E54+E53</f>
        <v>409989364.1509434</v>
      </c>
      <c r="F55" s="335" t="e">
        <f>+F54+F53</f>
        <v>#REF!</v>
      </c>
    </row>
    <row r="56" spans="1:7" x14ac:dyDescent="0.25">
      <c r="B56" s="317"/>
      <c r="C56" s="338"/>
      <c r="D56" s="338"/>
      <c r="E56" s="338"/>
      <c r="F56" s="338"/>
    </row>
    <row r="57" spans="1:7" ht="13" x14ac:dyDescent="0.3">
      <c r="B57" s="317" t="s">
        <v>298</v>
      </c>
      <c r="C57" s="338"/>
      <c r="D57" s="338" t="s">
        <v>252</v>
      </c>
      <c r="E57" s="338"/>
      <c r="F57" s="402" t="e">
        <f>ROUND(F55/(F49+F50),2)</f>
        <v>#REF!</v>
      </c>
      <c r="G57" s="300" t="s">
        <v>319</v>
      </c>
    </row>
    <row r="58" spans="1:7" ht="13" x14ac:dyDescent="0.3">
      <c r="B58" s="317"/>
      <c r="C58" s="338"/>
      <c r="D58" s="338"/>
      <c r="E58" s="338"/>
      <c r="F58" s="402"/>
    </row>
    <row r="59" spans="1:7" x14ac:dyDescent="0.25">
      <c r="B59" s="317"/>
      <c r="C59" s="338"/>
      <c r="D59" s="338"/>
      <c r="E59" s="338"/>
      <c r="F59" s="417"/>
    </row>
    <row r="60" spans="1:7" ht="12.5" customHeight="1" x14ac:dyDescent="0.25">
      <c r="A60" s="641" t="s">
        <v>396</v>
      </c>
      <c r="B60" s="641"/>
      <c r="C60" s="641"/>
      <c r="D60" s="641"/>
      <c r="E60" s="641"/>
      <c r="F60" s="483"/>
    </row>
    <row r="61" spans="1:7" x14ac:dyDescent="0.25">
      <c r="A61" s="641"/>
      <c r="B61" s="641"/>
      <c r="C61" s="641"/>
      <c r="D61" s="641"/>
      <c r="E61" s="641"/>
      <c r="F61" s="415"/>
    </row>
    <row r="62" spans="1:7" x14ac:dyDescent="0.25">
      <c r="A62" s="300" t="s">
        <v>382</v>
      </c>
      <c r="B62" s="414"/>
      <c r="C62" s="414"/>
      <c r="D62" s="414"/>
      <c r="E62" s="414"/>
      <c r="F62" s="416"/>
    </row>
    <row r="63" spans="1:7" x14ac:dyDescent="0.25">
      <c r="D63" s="339" t="s">
        <v>252</v>
      </c>
    </row>
    <row r="64" spans="1:7" x14ac:dyDescent="0.25">
      <c r="D64" s="339" t="s">
        <v>252</v>
      </c>
    </row>
  </sheetData>
  <mergeCells count="11">
    <mergeCell ref="A60:E61"/>
    <mergeCell ref="B1:F1"/>
    <mergeCell ref="B2:F2"/>
    <mergeCell ref="G49:G50"/>
    <mergeCell ref="D8:F8"/>
    <mergeCell ref="D10:F10"/>
    <mergeCell ref="B3:F3"/>
    <mergeCell ref="A5:F5"/>
    <mergeCell ref="A25:F25"/>
    <mergeCell ref="A27:F27"/>
    <mergeCell ref="A28:F28"/>
  </mergeCells>
  <pageMargins left="0.25" right="0.25" top="0.75" bottom="0.75" header="0.5" footer="0.5"/>
  <pageSetup scale="70" orientation="portrait" r:id="rId1"/>
  <headerFooter alignWithMargins="0">
    <oddFooter xml:space="preserve">&amp;C
</oddFooter>
  </headerFooter>
  <rowBreaks count="1" manualBreakCount="1">
    <brk id="20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F60FA-511D-4F48-91FB-DD1FD1D7731C}">
  <sheetPr>
    <pageSetUpPr fitToPage="1"/>
  </sheetPr>
  <dimension ref="A1:M57"/>
  <sheetViews>
    <sheetView view="pageBreakPreview" topLeftCell="A7" zoomScale="71" zoomScaleNormal="69" zoomScaleSheetLayoutView="71" workbookViewId="0">
      <selection activeCell="D9" sqref="D9:G9"/>
    </sheetView>
  </sheetViews>
  <sheetFormatPr defaultColWidth="8.90625" defaultRowHeight="12.5" x14ac:dyDescent="0.25"/>
  <cols>
    <col min="1" max="1" width="5.6328125" style="300" customWidth="1"/>
    <col min="2" max="2" width="38.36328125" style="300" customWidth="1"/>
    <col min="3" max="4" width="13.6328125" style="300" customWidth="1"/>
    <col min="5" max="5" width="13.36328125" style="300" customWidth="1"/>
    <col min="6" max="6" width="14.36328125" style="300" customWidth="1"/>
    <col min="7" max="7" width="19.90625" style="300" customWidth="1"/>
    <col min="8" max="16384" width="8.90625" style="300"/>
  </cols>
  <sheetData>
    <row r="1" spans="1:9" ht="15.5" x14ac:dyDescent="0.35">
      <c r="A1" s="12"/>
      <c r="B1" s="638" t="s">
        <v>69</v>
      </c>
      <c r="C1" s="638"/>
      <c r="D1" s="638"/>
      <c r="E1" s="638"/>
      <c r="F1" s="638"/>
    </row>
    <row r="2" spans="1:9" ht="15.5" x14ac:dyDescent="0.35">
      <c r="A2" s="12"/>
      <c r="B2" s="638" t="s">
        <v>383</v>
      </c>
      <c r="C2" s="638"/>
      <c r="D2" s="638"/>
      <c r="E2" s="638"/>
      <c r="F2" s="638"/>
    </row>
    <row r="3" spans="1:9" ht="35" customHeight="1" x14ac:dyDescent="0.4">
      <c r="A3" s="453" t="s">
        <v>252</v>
      </c>
      <c r="B3" s="645" t="s">
        <v>374</v>
      </c>
      <c r="C3" s="638"/>
      <c r="D3" s="638"/>
      <c r="E3" s="638"/>
      <c r="F3" s="638"/>
    </row>
    <row r="4" spans="1:9" ht="4" customHeight="1" x14ac:dyDescent="0.4">
      <c r="A4" s="453"/>
      <c r="B4" s="305" t="s">
        <v>252</v>
      </c>
    </row>
    <row r="5" spans="1:9" ht="18" x14ac:dyDescent="0.4">
      <c r="A5" s="646" t="s">
        <v>426</v>
      </c>
      <c r="B5" s="646"/>
      <c r="C5" s="646"/>
      <c r="D5" s="646"/>
      <c r="E5" s="646"/>
      <c r="F5" s="646"/>
    </row>
    <row r="6" spans="1:9" ht="3.5" customHeight="1" x14ac:dyDescent="0.25">
      <c r="B6" s="300" t="s">
        <v>252</v>
      </c>
    </row>
    <row r="7" spans="1:9" ht="26" x14ac:dyDescent="0.3">
      <c r="C7" s="455" t="s">
        <v>346</v>
      </c>
      <c r="D7" s="456" t="s">
        <v>323</v>
      </c>
      <c r="E7" s="457"/>
    </row>
    <row r="8" spans="1:9" ht="26" customHeight="1" x14ac:dyDescent="0.25">
      <c r="A8" s="370">
        <v>1</v>
      </c>
      <c r="B8" s="596" t="str">
        <f>'NA-Attachment 3 - 21-22'!B8</f>
        <v>Zonal Capacity Price ($/MW-day) - JCPL Zone</v>
      </c>
      <c r="C8" s="590">
        <v>97.75</v>
      </c>
      <c r="D8" s="650" t="s">
        <v>431</v>
      </c>
      <c r="E8" s="650"/>
      <c r="F8" s="650"/>
      <c r="G8" s="650"/>
      <c r="H8" s="300" t="s">
        <v>252</v>
      </c>
    </row>
    <row r="9" spans="1:9" ht="24" customHeight="1" x14ac:dyDescent="0.25">
      <c r="A9" s="370">
        <v>2</v>
      </c>
      <c r="B9" s="597" t="s">
        <v>334</v>
      </c>
      <c r="C9" s="590">
        <v>152.06</v>
      </c>
      <c r="D9" s="650" t="s">
        <v>417</v>
      </c>
      <c r="E9" s="650"/>
      <c r="F9" s="650"/>
      <c r="G9" s="650"/>
    </row>
    <row r="10" spans="1:9" ht="14.5" customHeight="1" x14ac:dyDescent="0.25">
      <c r="A10" s="370">
        <v>3</v>
      </c>
      <c r="B10" s="598" t="s">
        <v>335</v>
      </c>
      <c r="C10" s="591">
        <f>C8-C9</f>
        <v>-54.31</v>
      </c>
      <c r="D10" s="649" t="s">
        <v>338</v>
      </c>
      <c r="E10" s="649"/>
      <c r="F10" s="649"/>
      <c r="G10" s="370"/>
    </row>
    <row r="11" spans="1:9" ht="27.5" customHeight="1" x14ac:dyDescent="0.25">
      <c r="A11" s="370">
        <f>A10+1</f>
        <v>4</v>
      </c>
      <c r="B11" s="462" t="s">
        <v>324</v>
      </c>
      <c r="C11" s="577">
        <f>'BGS PTY20 Cost Alloc'!J164</f>
        <v>4759.6348560000006</v>
      </c>
      <c r="D11" s="651" t="s">
        <v>424</v>
      </c>
      <c r="E11" s="651"/>
      <c r="F11" s="651"/>
      <c r="G11" s="651"/>
    </row>
    <row r="12" spans="1:9" ht="13" x14ac:dyDescent="0.25">
      <c r="A12" s="370">
        <f t="shared" ref="A12:A20" si="0">A11+1</f>
        <v>5</v>
      </c>
      <c r="B12" s="462" t="s">
        <v>325</v>
      </c>
      <c r="C12" s="592">
        <v>365</v>
      </c>
      <c r="D12" s="463"/>
      <c r="E12" s="463"/>
      <c r="F12" s="370"/>
      <c r="G12" s="370"/>
      <c r="I12" s="300" t="s">
        <v>352</v>
      </c>
    </row>
    <row r="13" spans="1:9" ht="13" x14ac:dyDescent="0.25">
      <c r="A13" s="370">
        <f t="shared" si="0"/>
        <v>6</v>
      </c>
      <c r="B13" s="462" t="s">
        <v>341</v>
      </c>
      <c r="C13" s="579">
        <f>C10*C11*C12</f>
        <v>-94350955.695716411</v>
      </c>
      <c r="D13" s="373" t="s">
        <v>326</v>
      </c>
      <c r="E13" s="463"/>
      <c r="F13" s="370"/>
      <c r="G13" s="370"/>
    </row>
    <row r="14" spans="1:9" ht="13" x14ac:dyDescent="0.25">
      <c r="A14" s="370">
        <f t="shared" si="0"/>
        <v>7</v>
      </c>
      <c r="B14" s="462" t="s">
        <v>327</v>
      </c>
      <c r="C14" s="593">
        <f>C39+D39</f>
        <v>35</v>
      </c>
      <c r="D14" s="463" t="s">
        <v>252</v>
      </c>
      <c r="E14" s="463"/>
      <c r="F14" s="370"/>
      <c r="G14" s="370"/>
    </row>
    <row r="15" spans="1:9" ht="13" x14ac:dyDescent="0.25">
      <c r="A15" s="370">
        <f t="shared" si="0"/>
        <v>8</v>
      </c>
      <c r="B15" s="462" t="s">
        <v>328</v>
      </c>
      <c r="C15" s="581">
        <f>E40</f>
        <v>53</v>
      </c>
      <c r="D15" s="463"/>
      <c r="E15" s="463"/>
      <c r="F15" s="370"/>
      <c r="G15" s="370"/>
    </row>
    <row r="16" spans="1:9" ht="13" x14ac:dyDescent="0.25">
      <c r="A16" s="370">
        <f t="shared" si="0"/>
        <v>9</v>
      </c>
      <c r="B16" s="462" t="s">
        <v>342</v>
      </c>
      <c r="C16" s="582">
        <f>C14/C15</f>
        <v>0.660377358490566</v>
      </c>
      <c r="D16" s="467" t="s">
        <v>329</v>
      </c>
      <c r="E16" s="463"/>
      <c r="F16" s="370"/>
      <c r="G16" s="370"/>
    </row>
    <row r="17" spans="1:7" s="468" customFormat="1" ht="13" x14ac:dyDescent="0.25">
      <c r="A17" s="468">
        <f t="shared" si="0"/>
        <v>10</v>
      </c>
      <c r="B17" s="371" t="s">
        <v>343</v>
      </c>
      <c r="C17" s="583">
        <f>C13*C16</f>
        <v>-62307234.893397629</v>
      </c>
      <c r="D17" s="467" t="s">
        <v>330</v>
      </c>
      <c r="E17" s="463"/>
      <c r="F17" s="370"/>
      <c r="G17" s="370"/>
    </row>
    <row r="18" spans="1:7" ht="26" x14ac:dyDescent="0.25">
      <c r="A18" s="370">
        <f t="shared" si="0"/>
        <v>11</v>
      </c>
      <c r="B18" s="371" t="s">
        <v>344</v>
      </c>
      <c r="C18" s="594">
        <f>F47+F48</f>
        <v>16714951</v>
      </c>
      <c r="D18" s="651" t="s">
        <v>425</v>
      </c>
      <c r="E18" s="651"/>
      <c r="F18" s="651"/>
      <c r="G18" s="651"/>
    </row>
    <row r="19" spans="1:7" ht="26" x14ac:dyDescent="0.25">
      <c r="A19" s="370">
        <f t="shared" si="0"/>
        <v>12</v>
      </c>
      <c r="B19" s="371" t="s">
        <v>345</v>
      </c>
      <c r="C19" s="585">
        <f>C18*C16</f>
        <v>11038175.188679244</v>
      </c>
      <c r="D19" s="467" t="s">
        <v>331</v>
      </c>
      <c r="E19" s="463"/>
      <c r="F19" s="370"/>
      <c r="G19" s="370"/>
    </row>
    <row r="20" spans="1:7" s="471" customFormat="1" ht="13" x14ac:dyDescent="0.25">
      <c r="A20" s="471">
        <f t="shared" si="0"/>
        <v>13</v>
      </c>
      <c r="B20" s="371" t="s">
        <v>336</v>
      </c>
      <c r="C20" s="595">
        <f>ROUND(C17/C19,2)</f>
        <v>-5.64</v>
      </c>
      <c r="D20" s="373" t="s">
        <v>332</v>
      </c>
      <c r="E20" s="463"/>
      <c r="F20" s="370"/>
      <c r="G20" s="370"/>
    </row>
    <row r="21" spans="1:7" ht="4.5" customHeight="1" x14ac:dyDescent="0.25">
      <c r="A21" s="370"/>
      <c r="B21" s="371"/>
      <c r="C21" s="372"/>
      <c r="D21" s="373"/>
      <c r="E21" s="463"/>
    </row>
    <row r="22" spans="1:7" ht="13" x14ac:dyDescent="0.25">
      <c r="A22" s="300" t="s">
        <v>322</v>
      </c>
      <c r="B22" s="371"/>
      <c r="C22" s="372"/>
      <c r="D22" s="373"/>
      <c r="E22" s="463"/>
    </row>
    <row r="23" spans="1:7" ht="13" x14ac:dyDescent="0.25">
      <c r="A23" s="370"/>
      <c r="B23" s="371"/>
      <c r="C23" s="372"/>
      <c r="D23" s="373"/>
      <c r="E23" s="463"/>
    </row>
    <row r="24" spans="1:7" ht="15.5" x14ac:dyDescent="0.35">
      <c r="A24" s="647" t="s">
        <v>287</v>
      </c>
      <c r="B24" s="647"/>
      <c r="C24" s="647"/>
      <c r="D24" s="647"/>
      <c r="E24" s="647"/>
      <c r="F24" s="647"/>
      <c r="G24" s="647"/>
    </row>
    <row r="25" spans="1:7" ht="4" customHeight="1" x14ac:dyDescent="0.25">
      <c r="A25" s="302"/>
    </row>
    <row r="26" spans="1:7" ht="15.5" x14ac:dyDescent="0.35">
      <c r="A26" s="647" t="s">
        <v>303</v>
      </c>
      <c r="B26" s="647"/>
      <c r="C26" s="647"/>
      <c r="D26" s="647"/>
      <c r="E26" s="647"/>
      <c r="F26" s="647"/>
      <c r="G26" s="647"/>
    </row>
    <row r="27" spans="1:7" ht="15.5" x14ac:dyDescent="0.35">
      <c r="A27" s="648" t="s">
        <v>427</v>
      </c>
      <c r="B27" s="648"/>
      <c r="C27" s="648"/>
      <c r="D27" s="648"/>
      <c r="E27" s="648"/>
      <c r="F27" s="648"/>
      <c r="G27" s="648"/>
    </row>
    <row r="28" spans="1:7" ht="2" customHeight="1" x14ac:dyDescent="0.3">
      <c r="B28" s="305"/>
      <c r="F28" s="306"/>
    </row>
    <row r="29" spans="1:7" ht="53.4" customHeight="1" x14ac:dyDescent="0.3">
      <c r="B29" s="305"/>
      <c r="C29" s="307" t="s">
        <v>321</v>
      </c>
      <c r="D29" s="307" t="s">
        <v>339</v>
      </c>
      <c r="E29" s="307" t="s">
        <v>340</v>
      </c>
      <c r="F29" s="307" t="s">
        <v>304</v>
      </c>
    </row>
    <row r="30" spans="1:7" ht="13" x14ac:dyDescent="0.3">
      <c r="B30" s="305"/>
      <c r="C30" s="494" t="s">
        <v>355</v>
      </c>
      <c r="D30" s="494" t="s">
        <v>356</v>
      </c>
      <c r="E30" s="495" t="s">
        <v>366</v>
      </c>
      <c r="F30" s="307"/>
    </row>
    <row r="31" spans="1:7" ht="25.5" x14ac:dyDescent="0.3">
      <c r="B31" s="308"/>
      <c r="C31" s="309" t="s">
        <v>288</v>
      </c>
      <c r="D31" s="309" t="s">
        <v>289</v>
      </c>
      <c r="E31" s="310" t="s">
        <v>290</v>
      </c>
      <c r="F31" s="309"/>
    </row>
    <row r="32" spans="1:7" x14ac:dyDescent="0.25">
      <c r="C32" s="311"/>
      <c r="D32" s="311"/>
      <c r="E32" s="311"/>
      <c r="F32" s="368"/>
    </row>
    <row r="33" spans="1:13" x14ac:dyDescent="0.25">
      <c r="A33" s="344"/>
      <c r="B33" s="312" t="s">
        <v>291</v>
      </c>
      <c r="C33" s="313">
        <f>'NA-Attachment 3 - 21-22'!D35</f>
        <v>72.430000000000007</v>
      </c>
      <c r="D33" s="313">
        <v>64.77</v>
      </c>
      <c r="E33" s="599">
        <v>59.13</v>
      </c>
      <c r="F33" s="285"/>
      <c r="G33" s="300" t="s">
        <v>252</v>
      </c>
      <c r="H33" s="315"/>
      <c r="I33" s="314"/>
      <c r="J33" s="314"/>
      <c r="K33" s="314"/>
      <c r="L33" s="314"/>
      <c r="M33" s="314"/>
    </row>
    <row r="34" spans="1:13" x14ac:dyDescent="0.25">
      <c r="A34" s="344"/>
      <c r="B34" s="312" t="str">
        <f>'NA-Attachment 3 - 21-22'!B36</f>
        <v>Capacity Proxy Price True-Up - in $/MWh</v>
      </c>
      <c r="C34" s="313">
        <f>C20</f>
        <v>-5.64</v>
      </c>
      <c r="D34" s="313">
        <f>C20</f>
        <v>-5.64</v>
      </c>
      <c r="E34" s="510"/>
      <c r="F34" s="285"/>
      <c r="G34" s="300" t="s">
        <v>252</v>
      </c>
      <c r="H34" s="315"/>
      <c r="I34" s="314"/>
      <c r="J34" s="314"/>
      <c r="K34" s="314"/>
      <c r="L34" s="314"/>
      <c r="M34" s="314"/>
    </row>
    <row r="35" spans="1:13" x14ac:dyDescent="0.25">
      <c r="A35" s="344"/>
      <c r="B35" s="316" t="s">
        <v>395</v>
      </c>
      <c r="C35" s="473">
        <f>'NA-Attachment 3 - 21-22'!D37</f>
        <v>-7.43</v>
      </c>
      <c r="D35" s="496"/>
      <c r="E35" s="497"/>
      <c r="F35" s="285"/>
      <c r="H35" s="315"/>
      <c r="I35" s="314"/>
      <c r="J35" s="314"/>
      <c r="K35" s="314"/>
      <c r="L35" s="314"/>
      <c r="M35" s="314"/>
    </row>
    <row r="36" spans="1:13" x14ac:dyDescent="0.25">
      <c r="A36" s="344"/>
      <c r="C36" s="313">
        <f>SUM(C33:C35)</f>
        <v>59.360000000000007</v>
      </c>
      <c r="D36" s="313">
        <f>SUM(D33:D35)</f>
        <v>59.129999999999995</v>
      </c>
      <c r="E36" s="313">
        <f>SUM(E33:E35)</f>
        <v>59.13</v>
      </c>
      <c r="F36" s="285"/>
      <c r="H36" s="315"/>
      <c r="I36" s="314"/>
      <c r="J36" s="314"/>
      <c r="K36" s="314"/>
      <c r="L36" s="314"/>
      <c r="M36" s="314"/>
    </row>
    <row r="37" spans="1:13" x14ac:dyDescent="0.25">
      <c r="A37" s="344"/>
      <c r="C37" s="313"/>
      <c r="D37" s="313"/>
      <c r="E37" s="313"/>
      <c r="F37" s="285"/>
      <c r="H37" s="315"/>
      <c r="I37" s="314"/>
      <c r="J37" s="314"/>
      <c r="K37" s="314"/>
      <c r="L37" s="314"/>
      <c r="M37" s="314"/>
    </row>
    <row r="38" spans="1:13" x14ac:dyDescent="0.25">
      <c r="B38" s="316" t="s">
        <v>293</v>
      </c>
      <c r="C38" s="313"/>
      <c r="D38" s="313"/>
      <c r="E38" s="313"/>
      <c r="F38" s="285"/>
      <c r="H38" s="315"/>
      <c r="I38" s="314"/>
      <c r="J38" s="314"/>
      <c r="K38" s="314"/>
      <c r="L38" s="314"/>
      <c r="M38" s="314"/>
    </row>
    <row r="39" spans="1:13" x14ac:dyDescent="0.25">
      <c r="A39" s="344"/>
      <c r="B39" s="317" t="s">
        <v>292</v>
      </c>
      <c r="C39" s="555">
        <v>15</v>
      </c>
      <c r="D39" s="555">
        <v>20</v>
      </c>
      <c r="E39" s="555">
        <v>18</v>
      </c>
      <c r="F39" s="319"/>
    </row>
    <row r="40" spans="1:13" x14ac:dyDescent="0.25">
      <c r="A40" s="344"/>
      <c r="B40" s="317" t="s">
        <v>293</v>
      </c>
      <c r="C40" s="318">
        <f>C39+D39+E39</f>
        <v>53</v>
      </c>
      <c r="D40" s="318">
        <f>C40</f>
        <v>53</v>
      </c>
      <c r="E40" s="318">
        <f>C40</f>
        <v>53</v>
      </c>
      <c r="F40" s="286"/>
    </row>
    <row r="41" spans="1:13" ht="2.5" customHeight="1" x14ac:dyDescent="0.25">
      <c r="A41" s="344"/>
      <c r="B41" s="317"/>
      <c r="C41" s="287"/>
      <c r="D41" s="287"/>
      <c r="E41" s="287"/>
      <c r="F41" s="286"/>
    </row>
    <row r="42" spans="1:13" x14ac:dyDescent="0.25">
      <c r="B42" s="316" t="s">
        <v>294</v>
      </c>
      <c r="C42" s="320"/>
      <c r="D42" s="320"/>
      <c r="E42" s="321"/>
      <c r="F42" s="321"/>
      <c r="G42" s="300" t="s">
        <v>252</v>
      </c>
    </row>
    <row r="43" spans="1:13" x14ac:dyDescent="0.25">
      <c r="A43" s="344"/>
      <c r="B43" s="289" t="s">
        <v>25</v>
      </c>
      <c r="C43" s="322">
        <f>'NA-Attachment 3 - 21-22'!C45</f>
        <v>1</v>
      </c>
      <c r="D43" s="322">
        <f>'NA-Attachment 3 - 21-22'!D45</f>
        <v>1</v>
      </c>
      <c r="E43" s="322">
        <f>'NA-Attachment 3 - 21-22'!E45</f>
        <v>1</v>
      </c>
      <c r="F43" s="324"/>
    </row>
    <row r="44" spans="1:13" x14ac:dyDescent="0.25">
      <c r="A44" s="344"/>
      <c r="B44" s="289" t="s">
        <v>26</v>
      </c>
      <c r="C44" s="322">
        <f>'NA-Attachment 3 - 21-22'!C46</f>
        <v>1</v>
      </c>
      <c r="D44" s="322">
        <f>'NA-Attachment 3 - 21-22'!D46</f>
        <v>1</v>
      </c>
      <c r="E44" s="322">
        <f>'NA-Attachment 3 - 21-22'!E46</f>
        <v>1</v>
      </c>
      <c r="F44" s="325"/>
    </row>
    <row r="45" spans="1:13" ht="3" customHeight="1" x14ac:dyDescent="0.25">
      <c r="A45" s="344"/>
      <c r="B45" s="317"/>
      <c r="C45" s="326"/>
      <c r="D45" s="326"/>
      <c r="E45" s="327"/>
      <c r="F45" s="326"/>
    </row>
    <row r="46" spans="1:13" ht="24" customHeight="1" x14ac:dyDescent="0.25">
      <c r="B46" s="328" t="s">
        <v>295</v>
      </c>
      <c r="C46" s="326"/>
      <c r="D46" s="327"/>
      <c r="E46" s="327"/>
      <c r="F46" s="326"/>
    </row>
    <row r="47" spans="1:13" x14ac:dyDescent="0.25">
      <c r="A47" s="344"/>
      <c r="B47" s="329" t="s">
        <v>296</v>
      </c>
      <c r="C47" s="330">
        <f>'BGS PTY20 Cost Alloc'!N248</f>
        <v>6578367</v>
      </c>
      <c r="D47" s="330">
        <f>C47</f>
        <v>6578367</v>
      </c>
      <c r="E47" s="330">
        <f>C47</f>
        <v>6578367</v>
      </c>
      <c r="F47" s="332">
        <f t="shared" ref="F47:F48" si="1">E47</f>
        <v>6578367</v>
      </c>
      <c r="G47" s="642"/>
    </row>
    <row r="48" spans="1:13" x14ac:dyDescent="0.25">
      <c r="A48" s="344"/>
      <c r="B48" s="329" t="s">
        <v>297</v>
      </c>
      <c r="C48" s="330">
        <f>'BGS PTY20 Cost Alloc'!N249</f>
        <v>10136584</v>
      </c>
      <c r="D48" s="330">
        <f>C48</f>
        <v>10136584</v>
      </c>
      <c r="E48" s="330">
        <f>C48</f>
        <v>10136584</v>
      </c>
      <c r="F48" s="332">
        <f t="shared" si="1"/>
        <v>10136584</v>
      </c>
      <c r="G48" s="642"/>
    </row>
    <row r="49" spans="1:8" ht="4.5" customHeight="1" x14ac:dyDescent="0.3">
      <c r="A49" s="344"/>
      <c r="B49" s="333"/>
      <c r="C49" s="326"/>
      <c r="D49" s="326"/>
      <c r="E49" s="327"/>
      <c r="F49" s="326"/>
    </row>
    <row r="50" spans="1:8" x14ac:dyDescent="0.25">
      <c r="B50" s="316" t="s">
        <v>305</v>
      </c>
      <c r="C50" s="326"/>
      <c r="D50" s="326"/>
      <c r="E50" s="327"/>
      <c r="F50" s="326"/>
    </row>
    <row r="51" spans="1:8" x14ac:dyDescent="0.25">
      <c r="A51" s="344"/>
      <c r="B51" s="289" t="s">
        <v>25</v>
      </c>
      <c r="C51" s="293">
        <f t="shared" ref="C51:E52" si="2">+(C$33+C$35)*C$39/C$40*C43*C47+(C$34)*C$39/C$40*C47</f>
        <v>110516565.59999999</v>
      </c>
      <c r="D51" s="293">
        <f t="shared" si="2"/>
        <v>146784468.19245279</v>
      </c>
      <c r="E51" s="293">
        <f t="shared" si="2"/>
        <v>132106021.37320755</v>
      </c>
      <c r="F51" s="293">
        <f>SUM(C51:E51)</f>
        <v>389407055.16566032</v>
      </c>
    </row>
    <row r="52" spans="1:8" ht="14" x14ac:dyDescent="0.4">
      <c r="A52" s="344"/>
      <c r="B52" s="290" t="s">
        <v>26</v>
      </c>
      <c r="C52" s="509">
        <f t="shared" si="2"/>
        <v>170294611.20000002</v>
      </c>
      <c r="D52" s="509">
        <f t="shared" si="2"/>
        <v>226179702.6113207</v>
      </c>
      <c r="E52" s="509">
        <f t="shared" si="2"/>
        <v>203561732.3501887</v>
      </c>
      <c r="F52" s="294">
        <f>SUM(C52:E52)</f>
        <v>600036046.16150939</v>
      </c>
    </row>
    <row r="53" spans="1:8" x14ac:dyDescent="0.25">
      <c r="A53" s="344"/>
      <c r="B53" s="317" t="s">
        <v>13</v>
      </c>
      <c r="C53" s="335">
        <f>+C52+C51</f>
        <v>280811176.80000001</v>
      </c>
      <c r="D53" s="335">
        <f>+D52+D51</f>
        <v>372964170.80377352</v>
      </c>
      <c r="E53" s="336">
        <f>+E52+E51</f>
        <v>335667753.72339624</v>
      </c>
      <c r="F53" s="335">
        <f>+F52+F51</f>
        <v>989443101.32716966</v>
      </c>
      <c r="H53" s="337"/>
    </row>
    <row r="54" spans="1:8" ht="4.5" customHeight="1" x14ac:dyDescent="0.25">
      <c r="B54" s="317"/>
      <c r="C54" s="338"/>
      <c r="D54" s="338"/>
      <c r="E54" s="338"/>
      <c r="F54" s="338"/>
    </row>
    <row r="55" spans="1:8" ht="13" x14ac:dyDescent="0.3">
      <c r="B55" s="317" t="s">
        <v>298</v>
      </c>
      <c r="C55" s="338"/>
      <c r="D55" s="338" t="s">
        <v>252</v>
      </c>
      <c r="E55" s="338"/>
      <c r="F55" s="402">
        <f>ROUND(F53/(F47+F48),2)</f>
        <v>59.2</v>
      </c>
      <c r="G55" s="300" t="s">
        <v>333</v>
      </c>
    </row>
    <row r="56" spans="1:8" ht="3.5" customHeight="1" x14ac:dyDescent="0.3">
      <c r="B56" s="317"/>
      <c r="C56" s="338"/>
      <c r="D56" s="338"/>
      <c r="E56" s="338"/>
      <c r="F56" s="402"/>
    </row>
    <row r="57" spans="1:8" x14ac:dyDescent="0.25">
      <c r="A57" s="300" t="s">
        <v>419</v>
      </c>
    </row>
  </sheetData>
  <mergeCells count="13">
    <mergeCell ref="B1:F1"/>
    <mergeCell ref="B2:F2"/>
    <mergeCell ref="G47:G48"/>
    <mergeCell ref="D10:F10"/>
    <mergeCell ref="B3:F3"/>
    <mergeCell ref="A5:F5"/>
    <mergeCell ref="A24:G24"/>
    <mergeCell ref="A26:G26"/>
    <mergeCell ref="A27:G27"/>
    <mergeCell ref="D8:G8"/>
    <mergeCell ref="D9:G9"/>
    <mergeCell ref="D18:G18"/>
    <mergeCell ref="D11:G11"/>
  </mergeCells>
  <pageMargins left="0.7" right="0.7" top="0.75" bottom="0.75" header="0.3" footer="0.3"/>
  <pageSetup scale="77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F0611-E7BD-4170-99CF-01C616A71A3C}">
  <sheetPr>
    <pageSetUpPr fitToPage="1"/>
  </sheetPr>
  <dimension ref="A1:G60"/>
  <sheetViews>
    <sheetView view="pageBreakPreview" zoomScale="70" zoomScaleNormal="98" zoomScaleSheetLayoutView="70" workbookViewId="0">
      <selection activeCell="B31" sqref="B31"/>
    </sheetView>
  </sheetViews>
  <sheetFormatPr defaultColWidth="8.90625" defaultRowHeight="12.5" x14ac:dyDescent="0.25"/>
  <cols>
    <col min="1" max="1" width="5.6328125" style="300" customWidth="1"/>
    <col min="2" max="2" width="39" style="300" customWidth="1"/>
    <col min="3" max="3" width="14.90625" style="300" customWidth="1"/>
    <col min="4" max="4" width="15.08984375" style="300" customWidth="1"/>
    <col min="5" max="5" width="12.453125" style="300" customWidth="1"/>
    <col min="6" max="6" width="14.08984375" style="300" bestFit="1" customWidth="1"/>
    <col min="7" max="7" width="23.81640625" style="300" customWidth="1"/>
    <col min="8" max="16384" width="8.90625" style="300"/>
  </cols>
  <sheetData>
    <row r="1" spans="1:7" ht="15.5" x14ac:dyDescent="0.35">
      <c r="A1" s="12"/>
      <c r="B1" s="638" t="s">
        <v>69</v>
      </c>
      <c r="C1" s="638"/>
      <c r="D1" s="638"/>
      <c r="E1" s="638"/>
      <c r="F1" s="638"/>
    </row>
    <row r="2" spans="1:7" ht="15.5" x14ac:dyDescent="0.35">
      <c r="A2" s="12"/>
      <c r="B2" s="638" t="s">
        <v>384</v>
      </c>
      <c r="C2" s="638"/>
      <c r="D2" s="638"/>
      <c r="E2" s="638"/>
      <c r="F2" s="638"/>
    </row>
    <row r="3" spans="1:7" ht="33" customHeight="1" x14ac:dyDescent="0.35">
      <c r="A3" s="12"/>
      <c r="B3" s="645" t="s">
        <v>374</v>
      </c>
      <c r="C3" s="638"/>
      <c r="D3" s="638"/>
      <c r="E3" s="638"/>
      <c r="F3" s="638"/>
    </row>
    <row r="4" spans="1:7" ht="15.5" x14ac:dyDescent="0.35">
      <c r="A4" s="12"/>
      <c r="B4" s="499"/>
      <c r="C4" s="499"/>
      <c r="D4" s="499"/>
      <c r="E4" s="499"/>
      <c r="F4" s="499"/>
    </row>
    <row r="5" spans="1:7" ht="18.5" customHeight="1" x14ac:dyDescent="0.4">
      <c r="A5" s="646" t="s">
        <v>375</v>
      </c>
      <c r="B5" s="646"/>
      <c r="C5" s="646"/>
      <c r="D5" s="646"/>
      <c r="E5" s="646"/>
      <c r="F5" s="646"/>
    </row>
    <row r="7" spans="1:7" ht="57" x14ac:dyDescent="0.3">
      <c r="C7" s="455" t="s">
        <v>432</v>
      </c>
      <c r="D7" s="455" t="s">
        <v>433</v>
      </c>
      <c r="E7" s="456" t="s">
        <v>323</v>
      </c>
      <c r="F7" s="457"/>
    </row>
    <row r="8" spans="1:7" ht="28" customHeight="1" x14ac:dyDescent="0.25">
      <c r="A8" s="370">
        <v>1</v>
      </c>
      <c r="B8" s="371" t="str">
        <f>'Attachment 3 - 22-23'!B8</f>
        <v>Zonal Capacity Price ($/MW-day) - JCPL Zone</v>
      </c>
      <c r="C8" s="571">
        <v>155</v>
      </c>
      <c r="D8" s="571">
        <v>155</v>
      </c>
      <c r="E8" s="650" t="s">
        <v>435</v>
      </c>
      <c r="F8" s="650"/>
      <c r="G8" s="650"/>
    </row>
    <row r="9" spans="1:7" ht="27" customHeight="1" x14ac:dyDescent="0.25">
      <c r="A9" s="370">
        <v>2</v>
      </c>
      <c r="B9" s="589" t="s">
        <v>334</v>
      </c>
      <c r="C9" s="587">
        <v>146.51</v>
      </c>
      <c r="D9" s="600">
        <v>118.12</v>
      </c>
      <c r="E9" s="650" t="s">
        <v>420</v>
      </c>
      <c r="F9" s="650"/>
      <c r="G9" s="650"/>
    </row>
    <row r="10" spans="1:7" ht="14.5" customHeight="1" x14ac:dyDescent="0.25">
      <c r="A10" s="370">
        <v>3</v>
      </c>
      <c r="B10" s="462" t="s">
        <v>335</v>
      </c>
      <c r="C10" s="576">
        <f>C8-C9</f>
        <v>8.4900000000000091</v>
      </c>
      <c r="D10" s="576">
        <f>D8-D9</f>
        <v>36.879999999999995</v>
      </c>
      <c r="E10" s="588" t="s">
        <v>337</v>
      </c>
      <c r="F10" s="588"/>
      <c r="G10" s="588"/>
    </row>
    <row r="11" spans="1:7" ht="29" customHeight="1" x14ac:dyDescent="0.25">
      <c r="A11" s="370">
        <f>A10+1</f>
        <v>4</v>
      </c>
      <c r="B11" s="462" t="s">
        <v>324</v>
      </c>
      <c r="C11" s="577">
        <f>'Attachment 3 - 22-23'!C11</f>
        <v>4759.6348560000006</v>
      </c>
      <c r="D11" s="577">
        <f>C11</f>
        <v>4759.6348560000006</v>
      </c>
      <c r="E11" s="651" t="str">
        <f>'Attachment 3 - 22-23'!D11</f>
        <v xml:space="preserve">Table #10 of the 2022 BGS Auction Cost and Bid Factor Tables </v>
      </c>
      <c r="F11" s="651"/>
      <c r="G11" s="651"/>
    </row>
    <row r="12" spans="1:7" ht="13" x14ac:dyDescent="0.25">
      <c r="A12" s="370">
        <f t="shared" ref="A12:A20" si="0">A11+1</f>
        <v>5</v>
      </c>
      <c r="B12" s="462" t="s">
        <v>325</v>
      </c>
      <c r="C12" s="578">
        <v>366</v>
      </c>
      <c r="D12" s="578">
        <f>C12</f>
        <v>366</v>
      </c>
      <c r="E12" s="463"/>
      <c r="F12" s="463"/>
      <c r="G12" s="370"/>
    </row>
    <row r="13" spans="1:7" ht="13" x14ac:dyDescent="0.25">
      <c r="A13" s="370">
        <f t="shared" si="0"/>
        <v>6</v>
      </c>
      <c r="B13" s="462" t="s">
        <v>341</v>
      </c>
      <c r="C13" s="579">
        <f>C10*C11*C12</f>
        <v>14789803.773443058</v>
      </c>
      <c r="D13" s="579">
        <f>D10*D11*D12</f>
        <v>64245932.057076477</v>
      </c>
      <c r="E13" s="373" t="s">
        <v>326</v>
      </c>
      <c r="F13" s="463"/>
      <c r="G13" s="370"/>
    </row>
    <row r="14" spans="1:7" ht="13" x14ac:dyDescent="0.25">
      <c r="A14" s="370">
        <f t="shared" si="0"/>
        <v>7</v>
      </c>
      <c r="B14" s="462" t="s">
        <v>327</v>
      </c>
      <c r="C14" s="580">
        <v>15</v>
      </c>
      <c r="D14" s="580">
        <v>15</v>
      </c>
      <c r="E14" s="463"/>
      <c r="F14" s="463"/>
      <c r="G14" s="370"/>
    </row>
    <row r="15" spans="1:7" ht="13" x14ac:dyDescent="0.25">
      <c r="A15" s="370">
        <f t="shared" si="0"/>
        <v>8</v>
      </c>
      <c r="B15" s="462" t="s">
        <v>328</v>
      </c>
      <c r="C15" s="581">
        <f>E40</f>
        <v>53</v>
      </c>
      <c r="D15" s="581">
        <f>C15</f>
        <v>53</v>
      </c>
      <c r="E15" s="463"/>
      <c r="F15" s="463"/>
      <c r="G15" s="370"/>
    </row>
    <row r="16" spans="1:7" ht="13" x14ac:dyDescent="0.25">
      <c r="A16" s="370">
        <f t="shared" si="0"/>
        <v>9</v>
      </c>
      <c r="B16" s="462" t="s">
        <v>342</v>
      </c>
      <c r="C16" s="582">
        <f>C14/C15</f>
        <v>0.28301886792452829</v>
      </c>
      <c r="D16" s="582">
        <f>D14/D15</f>
        <v>0.28301886792452829</v>
      </c>
      <c r="E16" s="467" t="s">
        <v>329</v>
      </c>
      <c r="F16" s="463"/>
      <c r="G16" s="370"/>
    </row>
    <row r="17" spans="1:7" s="468" customFormat="1" ht="18" customHeight="1" x14ac:dyDescent="0.25">
      <c r="A17" s="468">
        <f t="shared" si="0"/>
        <v>10</v>
      </c>
      <c r="B17" s="371" t="s">
        <v>343</v>
      </c>
      <c r="C17" s="583">
        <f>C13*C16</f>
        <v>4185793.5207857708</v>
      </c>
      <c r="D17" s="583">
        <f>D13*D16</f>
        <v>18182810.959549945</v>
      </c>
      <c r="E17" s="467" t="s">
        <v>330</v>
      </c>
      <c r="F17" s="463"/>
      <c r="G17" s="370"/>
    </row>
    <row r="18" spans="1:7" ht="26" x14ac:dyDescent="0.25">
      <c r="A18" s="370">
        <f t="shared" si="0"/>
        <v>11</v>
      </c>
      <c r="B18" s="371" t="s">
        <v>344</v>
      </c>
      <c r="C18" s="584">
        <f>F47+F48</f>
        <v>16714951</v>
      </c>
      <c r="D18" s="584">
        <f>C18</f>
        <v>16714951</v>
      </c>
      <c r="E18" s="651" t="s">
        <v>412</v>
      </c>
      <c r="F18" s="651"/>
      <c r="G18" s="651"/>
    </row>
    <row r="19" spans="1:7" ht="26" x14ac:dyDescent="0.25">
      <c r="A19" s="370">
        <f t="shared" si="0"/>
        <v>12</v>
      </c>
      <c r="B19" s="371" t="s">
        <v>345</v>
      </c>
      <c r="C19" s="585">
        <f>C18*C16</f>
        <v>4730646.5094339624</v>
      </c>
      <c r="D19" s="585">
        <f>D18*D16</f>
        <v>4730646.5094339624</v>
      </c>
      <c r="E19" s="467" t="s">
        <v>331</v>
      </c>
      <c r="F19" s="463"/>
      <c r="G19" s="370"/>
    </row>
    <row r="20" spans="1:7" s="471" customFormat="1" ht="18" customHeight="1" x14ac:dyDescent="0.25">
      <c r="A20" s="471">
        <f t="shared" si="0"/>
        <v>13</v>
      </c>
      <c r="B20" s="371" t="s">
        <v>336</v>
      </c>
      <c r="C20" s="586">
        <f>ROUND(C17/C19,2)</f>
        <v>0.88</v>
      </c>
      <c r="D20" s="586">
        <f>ROUND(D17/D19,2)</f>
        <v>3.84</v>
      </c>
      <c r="E20" s="373" t="s">
        <v>332</v>
      </c>
      <c r="F20" s="463"/>
      <c r="G20" s="370"/>
    </row>
    <row r="21" spans="1:7" ht="2" customHeight="1" x14ac:dyDescent="0.25">
      <c r="A21" s="370"/>
      <c r="B21" s="371"/>
      <c r="C21" s="372"/>
      <c r="D21" s="373"/>
      <c r="E21" s="463"/>
    </row>
    <row r="22" spans="1:7" ht="13" x14ac:dyDescent="0.25">
      <c r="A22" s="300" t="s">
        <v>322</v>
      </c>
      <c r="B22" s="371"/>
      <c r="C22" s="372"/>
      <c r="D22" s="373"/>
      <c r="E22" s="463"/>
    </row>
    <row r="23" spans="1:7" ht="13" customHeight="1" x14ac:dyDescent="0.25">
      <c r="A23" s="652" t="s">
        <v>428</v>
      </c>
      <c r="B23" s="652"/>
      <c r="C23" s="652"/>
      <c r="D23" s="652"/>
      <c r="E23" s="652"/>
      <c r="F23" s="652"/>
      <c r="G23" s="652"/>
    </row>
    <row r="24" spans="1:7" ht="13" customHeight="1" x14ac:dyDescent="0.25">
      <c r="A24" s="652"/>
      <c r="B24" s="652"/>
      <c r="C24" s="652"/>
      <c r="D24" s="652"/>
      <c r="E24" s="652"/>
      <c r="F24" s="652"/>
      <c r="G24" s="652"/>
    </row>
    <row r="25" spans="1:7" x14ac:dyDescent="0.25">
      <c r="A25" s="301"/>
      <c r="B25" s="401"/>
      <c r="C25" s="401"/>
      <c r="D25" s="401"/>
      <c r="E25" s="401"/>
      <c r="F25" s="401"/>
    </row>
    <row r="26" spans="1:7" ht="15.5" x14ac:dyDescent="0.35">
      <c r="A26" s="647" t="s">
        <v>287</v>
      </c>
      <c r="B26" s="647"/>
      <c r="C26" s="647"/>
      <c r="D26" s="647"/>
      <c r="E26" s="647"/>
      <c r="F26" s="647"/>
      <c r="G26" s="647"/>
    </row>
    <row r="27" spans="1:7" ht="3" customHeight="1" x14ac:dyDescent="0.25">
      <c r="A27" s="302"/>
    </row>
    <row r="28" spans="1:7" ht="15.5" x14ac:dyDescent="0.35">
      <c r="A28" s="647" t="s">
        <v>303</v>
      </c>
      <c r="B28" s="647"/>
      <c r="C28" s="647"/>
      <c r="D28" s="647"/>
      <c r="E28" s="647"/>
      <c r="F28" s="647"/>
      <c r="G28" s="647"/>
    </row>
    <row r="29" spans="1:7" ht="15.5" x14ac:dyDescent="0.35">
      <c r="A29" s="648" t="s">
        <v>387</v>
      </c>
      <c r="B29" s="648"/>
      <c r="C29" s="648"/>
      <c r="D29" s="648"/>
      <c r="E29" s="648"/>
      <c r="F29" s="648"/>
      <c r="G29" s="648"/>
    </row>
    <row r="30" spans="1:7" ht="4" customHeight="1" x14ac:dyDescent="0.25">
      <c r="F30" s="306"/>
    </row>
    <row r="31" spans="1:7" ht="46" customHeight="1" x14ac:dyDescent="0.3">
      <c r="B31" s="305"/>
      <c r="C31" s="307" t="s">
        <v>339</v>
      </c>
      <c r="D31" s="307" t="s">
        <v>340</v>
      </c>
      <c r="E31" s="307" t="s">
        <v>367</v>
      </c>
      <c r="F31" s="307" t="s">
        <v>304</v>
      </c>
    </row>
    <row r="32" spans="1:7" ht="13" x14ac:dyDescent="0.3">
      <c r="B32" s="305"/>
      <c r="C32" s="495" t="s">
        <v>356</v>
      </c>
      <c r="D32" s="494" t="s">
        <v>366</v>
      </c>
      <c r="E32" s="495" t="s">
        <v>368</v>
      </c>
      <c r="F32" s="307"/>
    </row>
    <row r="33" spans="1:7" ht="25.5" x14ac:dyDescent="0.3">
      <c r="B33" s="308"/>
      <c r="C33" s="309" t="s">
        <v>288</v>
      </c>
      <c r="D33" s="309" t="s">
        <v>289</v>
      </c>
      <c r="E33" s="310" t="s">
        <v>290</v>
      </c>
      <c r="F33" s="309"/>
    </row>
    <row r="34" spans="1:7" x14ac:dyDescent="0.25">
      <c r="C34" s="311"/>
      <c r="D34" s="311"/>
      <c r="E34" s="311"/>
      <c r="F34" s="368"/>
    </row>
    <row r="35" spans="1:7" x14ac:dyDescent="0.25">
      <c r="A35" s="344"/>
      <c r="B35" s="312" t="s">
        <v>291</v>
      </c>
      <c r="C35" s="313">
        <f>'Attachment 3 - 22-23'!D33</f>
        <v>64.77</v>
      </c>
      <c r="D35" s="313">
        <f>C35</f>
        <v>64.77</v>
      </c>
      <c r="E35" s="498">
        <f>D35</f>
        <v>64.77</v>
      </c>
      <c r="F35" s="285"/>
      <c r="G35" s="300" t="s">
        <v>252</v>
      </c>
    </row>
    <row r="36" spans="1:7" x14ac:dyDescent="0.25">
      <c r="A36" s="344"/>
      <c r="B36" s="316" t="str">
        <f>'NA-Attachment 3 - 21-22'!B36</f>
        <v>Capacity Proxy Price True-Up - in $/MWh</v>
      </c>
      <c r="C36" s="473">
        <f>C20</f>
        <v>0.88</v>
      </c>
      <c r="D36" s="496">
        <f>D20</f>
        <v>3.84</v>
      </c>
      <c r="E36" s="511"/>
      <c r="F36" s="285"/>
      <c r="G36" s="300" t="s">
        <v>252</v>
      </c>
    </row>
    <row r="37" spans="1:7" ht="14" customHeight="1" x14ac:dyDescent="0.25">
      <c r="A37" s="344"/>
      <c r="C37" s="313">
        <f>C35+C36</f>
        <v>65.649999999999991</v>
      </c>
      <c r="D37" s="313">
        <f t="shared" ref="D37:E37" si="1">D35+D36</f>
        <v>68.61</v>
      </c>
      <c r="E37" s="313">
        <f t="shared" si="1"/>
        <v>64.77</v>
      </c>
      <c r="F37" s="285"/>
    </row>
    <row r="38" spans="1:7" x14ac:dyDescent="0.25">
      <c r="B38" s="316" t="s">
        <v>293</v>
      </c>
      <c r="C38" s="313"/>
      <c r="D38" s="313"/>
      <c r="E38" s="313"/>
      <c r="F38" s="285"/>
    </row>
    <row r="39" spans="1:7" x14ac:dyDescent="0.25">
      <c r="A39" s="344"/>
      <c r="B39" s="317" t="s">
        <v>292</v>
      </c>
      <c r="C39" s="555">
        <v>20</v>
      </c>
      <c r="D39" s="555">
        <v>18</v>
      </c>
      <c r="E39" s="555">
        <v>15</v>
      </c>
      <c r="F39" s="319"/>
    </row>
    <row r="40" spans="1:7" x14ac:dyDescent="0.25">
      <c r="A40" s="344"/>
      <c r="B40" s="317" t="s">
        <v>293</v>
      </c>
      <c r="C40" s="318">
        <f>C39+D39+E39</f>
        <v>53</v>
      </c>
      <c r="D40" s="318">
        <f>C40</f>
        <v>53</v>
      </c>
      <c r="E40" s="318">
        <f>C40</f>
        <v>53</v>
      </c>
      <c r="F40" s="286"/>
    </row>
    <row r="41" spans="1:7" ht="2.5" customHeight="1" x14ac:dyDescent="0.25">
      <c r="A41" s="344"/>
      <c r="B41" s="317"/>
      <c r="C41" s="287"/>
      <c r="D41" s="287"/>
      <c r="E41" s="287"/>
      <c r="F41" s="286"/>
    </row>
    <row r="42" spans="1:7" x14ac:dyDescent="0.25">
      <c r="B42" s="316" t="s">
        <v>294</v>
      </c>
      <c r="C42" s="320"/>
      <c r="D42" s="320"/>
      <c r="E42" s="321"/>
      <c r="F42" s="321"/>
      <c r="G42" s="300" t="s">
        <v>252</v>
      </c>
    </row>
    <row r="43" spans="1:7" x14ac:dyDescent="0.25">
      <c r="A43" s="344"/>
      <c r="B43" s="289" t="s">
        <v>25</v>
      </c>
      <c r="C43" s="322">
        <f>'NA-Attachment 3 - 21-22'!C45</f>
        <v>1</v>
      </c>
      <c r="D43" s="322">
        <f>'NA-Attachment 3 - 21-22'!D45</f>
        <v>1</v>
      </c>
      <c r="E43" s="322">
        <f>'NA-Attachment 3 - 21-22'!E45</f>
        <v>1</v>
      </c>
      <c r="F43" s="324"/>
    </row>
    <row r="44" spans="1:7" x14ac:dyDescent="0.25">
      <c r="A44" s="344"/>
      <c r="B44" s="289" t="s">
        <v>26</v>
      </c>
      <c r="C44" s="322">
        <f>'NA-Attachment 3 - 21-22'!C46</f>
        <v>1</v>
      </c>
      <c r="D44" s="322">
        <f>'NA-Attachment 3 - 21-22'!D46</f>
        <v>1</v>
      </c>
      <c r="E44" s="322">
        <f>'NA-Attachment 3 - 21-22'!E46</f>
        <v>1</v>
      </c>
      <c r="F44" s="325"/>
    </row>
    <row r="45" spans="1:7" ht="6" customHeight="1" x14ac:dyDescent="0.25">
      <c r="A45" s="344"/>
      <c r="B45" s="317"/>
      <c r="C45" s="326"/>
      <c r="D45" s="326"/>
      <c r="E45" s="327"/>
      <c r="F45" s="326"/>
    </row>
    <row r="46" spans="1:7" ht="25.5" customHeight="1" x14ac:dyDescent="0.25">
      <c r="B46" s="328" t="s">
        <v>295</v>
      </c>
      <c r="C46" s="326"/>
      <c r="D46" s="327"/>
      <c r="E46" s="327"/>
      <c r="F46" s="326"/>
    </row>
    <row r="47" spans="1:7" x14ac:dyDescent="0.25">
      <c r="A47" s="344"/>
      <c r="B47" s="329" t="s">
        <v>296</v>
      </c>
      <c r="C47" s="330">
        <f>'Attachment 3 - 22-23'!C47</f>
        <v>6578367</v>
      </c>
      <c r="D47" s="330">
        <f>C47</f>
        <v>6578367</v>
      </c>
      <c r="E47" s="330">
        <f>C47</f>
        <v>6578367</v>
      </c>
      <c r="F47" s="332">
        <f t="shared" ref="F47:F48" si="2">E47</f>
        <v>6578367</v>
      </c>
      <c r="G47" s="642" t="s">
        <v>252</v>
      </c>
    </row>
    <row r="48" spans="1:7" x14ac:dyDescent="0.25">
      <c r="A48" s="344"/>
      <c r="B48" s="329" t="s">
        <v>297</v>
      </c>
      <c r="C48" s="330">
        <f>'Attachment 3 - 22-23'!C48</f>
        <v>10136584</v>
      </c>
      <c r="D48" s="330">
        <f>C48</f>
        <v>10136584</v>
      </c>
      <c r="E48" s="330">
        <f>C48</f>
        <v>10136584</v>
      </c>
      <c r="F48" s="332">
        <f t="shared" si="2"/>
        <v>10136584</v>
      </c>
      <c r="G48" s="642"/>
    </row>
    <row r="49" spans="1:7" ht="3.5" customHeight="1" x14ac:dyDescent="0.3">
      <c r="A49" s="344"/>
      <c r="B49" s="333"/>
      <c r="C49" s="326"/>
      <c r="D49" s="326"/>
      <c r="E49" s="327"/>
      <c r="F49" s="326"/>
    </row>
    <row r="50" spans="1:7" x14ac:dyDescent="0.25">
      <c r="B50" s="316" t="s">
        <v>305</v>
      </c>
      <c r="C50" s="326"/>
      <c r="D50" s="326"/>
      <c r="E50" s="327"/>
      <c r="F50" s="326"/>
    </row>
    <row r="51" spans="1:7" x14ac:dyDescent="0.25">
      <c r="A51" s="344"/>
      <c r="B51" s="289" t="s">
        <v>25</v>
      </c>
      <c r="C51" s="293">
        <f t="shared" ref="C51:C52" si="3">+C$35*C$39/C$40*C43*C47+C$36*C$39/C$40*C47</f>
        <v>162969733.41509432</v>
      </c>
      <c r="D51" s="293">
        <f t="shared" ref="D51:E51" si="4">+D$35*D$39/D$40*D43*D47+D$36*D$39/D$40*D47</f>
        <v>153285880.71056604</v>
      </c>
      <c r="E51" s="293">
        <f t="shared" si="4"/>
        <v>120588914.31792451</v>
      </c>
      <c r="F51" s="293">
        <f>SUM(C51:E51)</f>
        <v>436844528.44358486</v>
      </c>
    </row>
    <row r="52" spans="1:7" ht="14" x14ac:dyDescent="0.4">
      <c r="A52" s="344"/>
      <c r="B52" s="290" t="s">
        <v>26</v>
      </c>
      <c r="C52" s="294">
        <f t="shared" si="3"/>
        <v>251119524.37735847</v>
      </c>
      <c r="D52" s="294">
        <f t="shared" ref="D52:E52" si="5">+D$35*D$39/D$40*D44*D48+D$36*D$39/D$40*D48</f>
        <v>236197707.70415092</v>
      </c>
      <c r="E52" s="294">
        <f t="shared" si="5"/>
        <v>185815060.09811318</v>
      </c>
      <c r="F52" s="294">
        <f>SUM(C52:E52)</f>
        <v>673132292.17962253</v>
      </c>
    </row>
    <row r="53" spans="1:7" x14ac:dyDescent="0.25">
      <c r="A53" s="344"/>
      <c r="B53" s="317" t="s">
        <v>13</v>
      </c>
      <c r="C53" s="335">
        <f>+C52+C51</f>
        <v>414089257.79245281</v>
      </c>
      <c r="D53" s="335">
        <f>+D52+D51</f>
        <v>389483588.41471696</v>
      </c>
      <c r="E53" s="336">
        <f>+E52+E51</f>
        <v>306403974.41603768</v>
      </c>
      <c r="F53" s="335">
        <f>+F52+F51</f>
        <v>1109976820.6232073</v>
      </c>
    </row>
    <row r="54" spans="1:7" x14ac:dyDescent="0.25">
      <c r="B54" s="317"/>
      <c r="C54" s="338"/>
      <c r="D54" s="338"/>
      <c r="E54" s="338"/>
      <c r="F54" s="338"/>
    </row>
    <row r="55" spans="1:7" ht="13" x14ac:dyDescent="0.3">
      <c r="B55" s="317" t="s">
        <v>298</v>
      </c>
      <c r="C55" s="338"/>
      <c r="D55" s="338" t="s">
        <v>252</v>
      </c>
      <c r="E55" s="338"/>
      <c r="F55" s="402">
        <f>ROUND(F53/(F47+F48),2)</f>
        <v>66.41</v>
      </c>
      <c r="G55" s="300" t="s">
        <v>333</v>
      </c>
    </row>
    <row r="56" spans="1:7" ht="13" x14ac:dyDescent="0.3">
      <c r="B56" s="317"/>
      <c r="C56" s="338"/>
      <c r="D56" s="338"/>
      <c r="E56" s="338"/>
      <c r="F56" s="402"/>
    </row>
    <row r="57" spans="1:7" ht="13" x14ac:dyDescent="0.3">
      <c r="B57" s="317"/>
      <c r="C57" s="338"/>
      <c r="D57" s="338"/>
      <c r="E57" s="338"/>
      <c r="F57" s="402"/>
    </row>
    <row r="58" spans="1:7" x14ac:dyDescent="0.25">
      <c r="B58" s="317"/>
    </row>
    <row r="59" spans="1:7" x14ac:dyDescent="0.25">
      <c r="A59" s="512" t="s">
        <v>252</v>
      </c>
      <c r="B59" s="512"/>
      <c r="C59" s="512"/>
      <c r="D59" s="512"/>
      <c r="E59" s="512"/>
      <c r="F59" s="512"/>
      <c r="G59" s="471"/>
    </row>
    <row r="60" spans="1:7" ht="16" customHeight="1" x14ac:dyDescent="0.25">
      <c r="A60" s="512"/>
      <c r="B60" s="512"/>
      <c r="C60" s="512"/>
      <c r="D60" s="512"/>
      <c r="E60" s="512"/>
      <c r="F60" s="512"/>
    </row>
  </sheetData>
  <mergeCells count="13">
    <mergeCell ref="G47:G48"/>
    <mergeCell ref="A28:G28"/>
    <mergeCell ref="A29:G29"/>
    <mergeCell ref="B1:F1"/>
    <mergeCell ref="B2:F2"/>
    <mergeCell ref="B3:F3"/>
    <mergeCell ref="A5:F5"/>
    <mergeCell ref="A26:G26"/>
    <mergeCell ref="E9:G9"/>
    <mergeCell ref="E18:G18"/>
    <mergeCell ref="E11:G11"/>
    <mergeCell ref="A23:G24"/>
    <mergeCell ref="E8:G8"/>
  </mergeCells>
  <pageMargins left="0.7" right="0.7" top="0.75" bottom="0.75" header="0.3" footer="0.3"/>
  <pageSetup scale="73" orientation="portrait" r:id="rId1"/>
  <headerFooter alignWithMargins="0">
    <oddFooter xml:space="preserve">&amp;C
</oddFooter>
  </headerFooter>
  <rowBreaks count="1" manualBreakCount="1">
    <brk id="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85D6-78C7-4ED7-874D-ED2498794D80}">
  <sheetPr>
    <pageSetUpPr fitToPage="1"/>
  </sheetPr>
  <dimension ref="A1:P58"/>
  <sheetViews>
    <sheetView view="pageBreakPreview" topLeftCell="A22" zoomScale="64" zoomScaleNormal="71" zoomScaleSheetLayoutView="64" workbookViewId="0">
      <selection activeCell="G65" sqref="G65"/>
    </sheetView>
  </sheetViews>
  <sheetFormatPr defaultColWidth="8.90625" defaultRowHeight="12.5" x14ac:dyDescent="0.25"/>
  <cols>
    <col min="1" max="1" width="5.6328125" style="300" customWidth="1"/>
    <col min="2" max="2" width="39" style="300" customWidth="1"/>
    <col min="3" max="3" width="14.08984375" style="300" customWidth="1"/>
    <col min="4" max="4" width="12.6328125" style="300" customWidth="1"/>
    <col min="5" max="5" width="12.453125" style="300" customWidth="1"/>
    <col min="6" max="6" width="13.54296875" style="300" bestFit="1" customWidth="1"/>
    <col min="7" max="7" width="23.90625" style="300" customWidth="1"/>
    <col min="8" max="8" width="20.7265625" style="300" customWidth="1"/>
    <col min="9" max="16384" width="8.90625" style="300"/>
  </cols>
  <sheetData>
    <row r="1" spans="1:16" ht="15.5" x14ac:dyDescent="0.35">
      <c r="A1" s="12"/>
      <c r="B1" s="638" t="s">
        <v>69</v>
      </c>
      <c r="C1" s="638"/>
      <c r="D1" s="638"/>
      <c r="E1" s="638"/>
      <c r="F1" s="638"/>
    </row>
    <row r="2" spans="1:16" ht="15.5" x14ac:dyDescent="0.35">
      <c r="A2" s="12"/>
      <c r="B2" s="638" t="s">
        <v>386</v>
      </c>
      <c r="C2" s="638"/>
      <c r="D2" s="638"/>
      <c r="E2" s="638"/>
      <c r="F2" s="638"/>
    </row>
    <row r="3" spans="1:16" ht="33" customHeight="1" x14ac:dyDescent="0.35">
      <c r="A3" s="12"/>
      <c r="B3" s="645" t="s">
        <v>374</v>
      </c>
      <c r="C3" s="638"/>
      <c r="D3" s="638"/>
      <c r="E3" s="638"/>
      <c r="F3" s="638"/>
    </row>
    <row r="4" spans="1:16" ht="15.5" x14ac:dyDescent="0.35">
      <c r="A4" s="12"/>
      <c r="B4" s="554"/>
      <c r="C4" s="554"/>
      <c r="D4" s="554"/>
      <c r="E4" s="554"/>
      <c r="F4" s="554"/>
    </row>
    <row r="5" spans="1:16" ht="18" x14ac:dyDescent="0.4">
      <c r="A5" s="646" t="s">
        <v>413</v>
      </c>
      <c r="B5" s="646"/>
      <c r="C5" s="646"/>
      <c r="D5" s="646"/>
      <c r="E5" s="646"/>
      <c r="F5" s="646"/>
    </row>
    <row r="7" spans="1:16" ht="26" x14ac:dyDescent="0.3">
      <c r="C7" s="455" t="s">
        <v>430</v>
      </c>
      <c r="D7" s="456" t="s">
        <v>323</v>
      </c>
      <c r="E7" s="457"/>
      <c r="H7" s="300" t="s">
        <v>252</v>
      </c>
    </row>
    <row r="8" spans="1:16" ht="24.5" customHeight="1" x14ac:dyDescent="0.25">
      <c r="A8" s="370">
        <v>1</v>
      </c>
      <c r="B8" s="469" t="str">
        <f>'Attachment 3 - 22-23'!B8</f>
        <v>Zonal Capacity Price ($/MW-day) - JCPL Zone</v>
      </c>
      <c r="C8" s="571">
        <v>155</v>
      </c>
      <c r="D8" s="572" t="s">
        <v>421</v>
      </c>
      <c r="E8" s="573"/>
      <c r="F8" s="573"/>
      <c r="G8" s="573"/>
    </row>
    <row r="9" spans="1:16" ht="14.5" customHeight="1" x14ac:dyDescent="0.25">
      <c r="A9" s="370">
        <v>2</v>
      </c>
      <c r="B9" s="551" t="s">
        <v>334</v>
      </c>
      <c r="C9" s="575">
        <v>87.98</v>
      </c>
      <c r="D9" s="574" t="s">
        <v>422</v>
      </c>
      <c r="E9" s="574"/>
      <c r="F9" s="574"/>
      <c r="G9" s="370"/>
    </row>
    <row r="10" spans="1:16" ht="14.5" customHeight="1" x14ac:dyDescent="0.25">
      <c r="A10" s="370">
        <v>3</v>
      </c>
      <c r="B10" s="550" t="s">
        <v>335</v>
      </c>
      <c r="C10" s="576">
        <f>C8-C9</f>
        <v>67.02</v>
      </c>
      <c r="D10" s="649" t="s">
        <v>337</v>
      </c>
      <c r="E10" s="649"/>
      <c r="F10" s="649"/>
      <c r="G10" s="370"/>
    </row>
    <row r="11" spans="1:16" ht="15.5" customHeight="1" x14ac:dyDescent="0.25">
      <c r="A11" s="370">
        <f>A10+1</f>
        <v>4</v>
      </c>
      <c r="B11" s="462" t="s">
        <v>324</v>
      </c>
      <c r="C11" s="577">
        <f>'Attachment 3 - 22-23'!C11</f>
        <v>4759.6348560000006</v>
      </c>
      <c r="D11" s="651" t="str">
        <f>'Attachment 3 - 22-23'!D11</f>
        <v xml:space="preserve">Table #10 of the 2022 BGS Auction Cost and Bid Factor Tables </v>
      </c>
      <c r="E11" s="651"/>
      <c r="F11" s="651"/>
      <c r="G11" s="651"/>
    </row>
    <row r="12" spans="1:16" ht="13" x14ac:dyDescent="0.25">
      <c r="A12" s="370">
        <f t="shared" ref="A12:A20" si="0">A11+1</f>
        <v>5</v>
      </c>
      <c r="B12" s="462" t="s">
        <v>325</v>
      </c>
      <c r="C12" s="578">
        <v>365</v>
      </c>
      <c r="D12" s="463"/>
      <c r="E12" s="463"/>
      <c r="F12" s="370"/>
      <c r="G12" s="370"/>
    </row>
    <row r="13" spans="1:16" ht="13" x14ac:dyDescent="0.25">
      <c r="A13" s="370">
        <f t="shared" si="0"/>
        <v>6</v>
      </c>
      <c r="B13" s="462" t="s">
        <v>341</v>
      </c>
      <c r="C13" s="579">
        <f>C10*C11*C12</f>
        <v>116431615.73792879</v>
      </c>
      <c r="D13" s="373" t="s">
        <v>326</v>
      </c>
      <c r="E13" s="463"/>
      <c r="F13" s="370"/>
      <c r="G13" s="370"/>
      <c r="I13" s="344"/>
      <c r="O13" s="344"/>
    </row>
    <row r="14" spans="1:16" ht="13" x14ac:dyDescent="0.25">
      <c r="A14" s="370">
        <f t="shared" si="0"/>
        <v>7</v>
      </c>
      <c r="B14" s="462" t="s">
        <v>327</v>
      </c>
      <c r="C14" s="580">
        <v>20</v>
      </c>
      <c r="D14" s="463"/>
      <c r="E14" s="463"/>
      <c r="F14" s="370"/>
      <c r="G14" s="370"/>
      <c r="I14" s="570"/>
      <c r="J14" s="485"/>
      <c r="O14" s="344"/>
      <c r="P14" s="485"/>
    </row>
    <row r="15" spans="1:16" ht="13" x14ac:dyDescent="0.25">
      <c r="A15" s="370">
        <f t="shared" si="0"/>
        <v>8</v>
      </c>
      <c r="B15" s="462" t="s">
        <v>328</v>
      </c>
      <c r="C15" s="581">
        <f>E38</f>
        <v>53</v>
      </c>
      <c r="D15" s="463"/>
      <c r="E15" s="463"/>
      <c r="F15" s="370"/>
      <c r="G15" s="370"/>
      <c r="J15" s="485"/>
      <c r="P15" s="485"/>
    </row>
    <row r="16" spans="1:16" ht="18" customHeight="1" x14ac:dyDescent="0.25">
      <c r="A16" s="370">
        <f t="shared" si="0"/>
        <v>9</v>
      </c>
      <c r="B16" s="462" t="s">
        <v>342</v>
      </c>
      <c r="C16" s="582">
        <f>C14/C15</f>
        <v>0.37735849056603776</v>
      </c>
      <c r="D16" s="467" t="s">
        <v>329</v>
      </c>
      <c r="E16" s="463"/>
      <c r="F16" s="370"/>
      <c r="G16" s="370"/>
      <c r="J16" s="485"/>
      <c r="P16" s="485"/>
    </row>
    <row r="17" spans="1:7" s="468" customFormat="1" ht="18" customHeight="1" x14ac:dyDescent="0.25">
      <c r="A17" s="468">
        <f t="shared" si="0"/>
        <v>10</v>
      </c>
      <c r="B17" s="469" t="s">
        <v>343</v>
      </c>
      <c r="C17" s="583">
        <f>C13*C16</f>
        <v>43936458.769029737</v>
      </c>
      <c r="D17" s="467" t="s">
        <v>330</v>
      </c>
      <c r="E17" s="463"/>
      <c r="F17" s="370"/>
      <c r="G17" s="370"/>
    </row>
    <row r="18" spans="1:7" ht="26" x14ac:dyDescent="0.25">
      <c r="A18" s="370">
        <f t="shared" si="0"/>
        <v>11</v>
      </c>
      <c r="B18" s="371" t="s">
        <v>344</v>
      </c>
      <c r="C18" s="584">
        <f>F45+F46</f>
        <v>16714951</v>
      </c>
      <c r="D18" s="651" t="s">
        <v>412</v>
      </c>
      <c r="E18" s="651"/>
      <c r="F18" s="651"/>
      <c r="G18" s="651"/>
    </row>
    <row r="19" spans="1:7" ht="26" x14ac:dyDescent="0.25">
      <c r="A19" s="370">
        <f t="shared" si="0"/>
        <v>12</v>
      </c>
      <c r="B19" s="371" t="s">
        <v>345</v>
      </c>
      <c r="C19" s="585">
        <f>C18*C16</f>
        <v>6307528.6792452838</v>
      </c>
      <c r="D19" s="467" t="s">
        <v>331</v>
      </c>
      <c r="E19" s="463"/>
      <c r="F19" s="370"/>
      <c r="G19" s="370"/>
    </row>
    <row r="20" spans="1:7" s="471" customFormat="1" ht="18" customHeight="1" x14ac:dyDescent="0.3">
      <c r="A20" s="471">
        <f t="shared" si="0"/>
        <v>13</v>
      </c>
      <c r="B20" s="458" t="s">
        <v>336</v>
      </c>
      <c r="C20" s="586">
        <f>ROUND(C17/C19,2)</f>
        <v>6.97</v>
      </c>
      <c r="D20" s="373" t="s">
        <v>332</v>
      </c>
      <c r="E20" s="463"/>
      <c r="F20" s="370"/>
      <c r="G20" s="370"/>
    </row>
    <row r="21" spans="1:7" ht="13" x14ac:dyDescent="0.25">
      <c r="A21" s="370"/>
      <c r="B21" s="371"/>
      <c r="C21" s="372"/>
      <c r="D21" s="373"/>
      <c r="E21" s="463"/>
    </row>
    <row r="22" spans="1:7" ht="13" x14ac:dyDescent="0.25">
      <c r="A22" s="300" t="s">
        <v>322</v>
      </c>
      <c r="B22" s="371"/>
      <c r="C22" s="372"/>
      <c r="D22" s="373"/>
      <c r="E22" s="463"/>
    </row>
    <row r="23" spans="1:7" x14ac:dyDescent="0.25">
      <c r="A23" s="652" t="s">
        <v>429</v>
      </c>
      <c r="B23" s="652"/>
      <c r="C23" s="652"/>
      <c r="D23" s="652"/>
      <c r="E23" s="652"/>
      <c r="F23" s="652"/>
      <c r="G23" s="652"/>
    </row>
    <row r="24" spans="1:7" x14ac:dyDescent="0.25">
      <c r="A24" s="652"/>
      <c r="B24" s="652"/>
      <c r="C24" s="652"/>
      <c r="D24" s="652"/>
      <c r="E24" s="652"/>
      <c r="F24" s="652"/>
      <c r="G24" s="652"/>
    </row>
    <row r="25" spans="1:7" x14ac:dyDescent="0.25">
      <c r="A25" s="302"/>
    </row>
    <row r="26" spans="1:7" ht="15.5" x14ac:dyDescent="0.35">
      <c r="A26" s="647" t="s">
        <v>303</v>
      </c>
      <c r="B26" s="647"/>
      <c r="C26" s="647"/>
      <c r="D26" s="647"/>
      <c r="E26" s="647"/>
      <c r="F26" s="647"/>
      <c r="G26" s="647"/>
    </row>
    <row r="27" spans="1:7" ht="15.5" x14ac:dyDescent="0.35">
      <c r="A27" s="648" t="s">
        <v>436</v>
      </c>
      <c r="B27" s="648"/>
      <c r="C27" s="648"/>
      <c r="D27" s="648"/>
      <c r="E27" s="648"/>
      <c r="F27" s="648"/>
      <c r="G27" s="648"/>
    </row>
    <row r="28" spans="1:7" x14ac:dyDescent="0.25">
      <c r="F28" s="306"/>
    </row>
    <row r="29" spans="1:7" ht="53.4" customHeight="1" x14ac:dyDescent="0.3">
      <c r="B29" s="305"/>
      <c r="C29" s="307" t="s">
        <v>340</v>
      </c>
      <c r="D29" s="307" t="s">
        <v>367</v>
      </c>
      <c r="E29" s="307" t="s">
        <v>414</v>
      </c>
      <c r="F29" s="307" t="s">
        <v>304</v>
      </c>
    </row>
    <row r="30" spans="1:7" ht="13" x14ac:dyDescent="0.3">
      <c r="B30" s="305"/>
      <c r="C30" s="494" t="s">
        <v>366</v>
      </c>
      <c r="D30" s="495" t="s">
        <v>368</v>
      </c>
      <c r="E30" s="495" t="s">
        <v>415</v>
      </c>
      <c r="F30" s="307"/>
    </row>
    <row r="31" spans="1:7" ht="25.5" x14ac:dyDescent="0.3">
      <c r="B31" s="308"/>
      <c r="C31" s="309" t="s">
        <v>288</v>
      </c>
      <c r="D31" s="309" t="s">
        <v>289</v>
      </c>
      <c r="E31" s="310" t="s">
        <v>290</v>
      </c>
      <c r="F31" s="309"/>
    </row>
    <row r="32" spans="1:7" x14ac:dyDescent="0.25">
      <c r="C32" s="311"/>
      <c r="D32" s="311"/>
      <c r="E32" s="311"/>
      <c r="F32" s="368"/>
    </row>
    <row r="33" spans="1:13" x14ac:dyDescent="0.25">
      <c r="A33" s="344"/>
      <c r="B33" s="312" t="s">
        <v>291</v>
      </c>
      <c r="C33" s="313">
        <f>'Attachment 3 - 22-23'!E33</f>
        <v>59.13</v>
      </c>
      <c r="D33" s="313">
        <f>C33</f>
        <v>59.13</v>
      </c>
      <c r="E33" s="498">
        <f>D33</f>
        <v>59.13</v>
      </c>
      <c r="F33" s="285"/>
      <c r="G33" s="300" t="s">
        <v>252</v>
      </c>
      <c r="H33" s="315"/>
      <c r="I33" s="314"/>
      <c r="J33" s="314"/>
      <c r="K33" s="314"/>
      <c r="L33" s="314"/>
      <c r="M33" s="314"/>
    </row>
    <row r="34" spans="1:13" x14ac:dyDescent="0.25">
      <c r="A34" s="344"/>
      <c r="B34" s="316" t="str">
        <f>'NA-Attachment 3 - 21-22'!B36</f>
        <v>Capacity Proxy Price True-Up - in $/MWh</v>
      </c>
      <c r="C34" s="473">
        <f>C20</f>
        <v>6.97</v>
      </c>
      <c r="D34" s="496"/>
      <c r="E34" s="511"/>
      <c r="F34" s="285"/>
      <c r="G34" s="300" t="s">
        <v>252</v>
      </c>
      <c r="H34" s="315"/>
      <c r="I34" s="314"/>
      <c r="J34" s="314"/>
      <c r="K34" s="314"/>
      <c r="L34" s="314"/>
      <c r="M34" s="314"/>
    </row>
    <row r="35" spans="1:13" x14ac:dyDescent="0.25">
      <c r="A35" s="344"/>
      <c r="C35" s="313">
        <f>C33+C34</f>
        <v>66.100000000000009</v>
      </c>
      <c r="D35" s="313">
        <f t="shared" ref="D35:E35" si="1">D33+D34</f>
        <v>59.13</v>
      </c>
      <c r="E35" s="313">
        <f t="shared" si="1"/>
        <v>59.13</v>
      </c>
      <c r="F35" s="285"/>
      <c r="H35" s="315"/>
      <c r="I35" s="314"/>
      <c r="J35" s="314"/>
      <c r="K35" s="314"/>
      <c r="L35" s="314"/>
      <c r="M35" s="314"/>
    </row>
    <row r="36" spans="1:13" x14ac:dyDescent="0.25">
      <c r="B36" s="316" t="s">
        <v>293</v>
      </c>
      <c r="C36" s="313"/>
      <c r="D36" s="313"/>
      <c r="E36" s="313"/>
      <c r="F36" s="285"/>
      <c r="H36" s="315"/>
      <c r="I36" s="314"/>
      <c r="J36" s="314"/>
      <c r="K36" s="314"/>
      <c r="L36" s="314"/>
      <c r="M36" s="314"/>
    </row>
    <row r="37" spans="1:13" x14ac:dyDescent="0.25">
      <c r="A37" s="344"/>
      <c r="B37" s="317" t="s">
        <v>292</v>
      </c>
      <c r="C37" s="555">
        <v>18</v>
      </c>
      <c r="D37" s="555">
        <v>15</v>
      </c>
      <c r="E37" s="555">
        <v>20</v>
      </c>
      <c r="F37" s="319"/>
    </row>
    <row r="38" spans="1:13" x14ac:dyDescent="0.25">
      <c r="A38" s="344"/>
      <c r="B38" s="317" t="s">
        <v>293</v>
      </c>
      <c r="C38" s="318">
        <f>C37+D37+E37</f>
        <v>53</v>
      </c>
      <c r="D38" s="318">
        <f>C38</f>
        <v>53</v>
      </c>
      <c r="E38" s="318">
        <f>C38</f>
        <v>53</v>
      </c>
      <c r="F38" s="286"/>
    </row>
    <row r="39" spans="1:13" x14ac:dyDescent="0.25">
      <c r="A39" s="344"/>
      <c r="B39" s="317"/>
      <c r="C39" s="287"/>
      <c r="D39" s="287"/>
      <c r="E39" s="287"/>
      <c r="F39" s="286"/>
    </row>
    <row r="40" spans="1:13" x14ac:dyDescent="0.25">
      <c r="B40" s="316" t="s">
        <v>294</v>
      </c>
      <c r="C40" s="320"/>
      <c r="D40" s="320"/>
      <c r="E40" s="321"/>
      <c r="F40" s="321"/>
      <c r="G40" s="300" t="s">
        <v>252</v>
      </c>
    </row>
    <row r="41" spans="1:13" x14ac:dyDescent="0.25">
      <c r="A41" s="344"/>
      <c r="B41" s="289" t="s">
        <v>25</v>
      </c>
      <c r="C41" s="322">
        <f>'NA-Attachment 3 - 21-22'!C45</f>
        <v>1</v>
      </c>
      <c r="D41" s="322">
        <f>'NA-Attachment 3 - 21-22'!D45</f>
        <v>1</v>
      </c>
      <c r="E41" s="322">
        <f>'NA-Attachment 3 - 21-22'!E45</f>
        <v>1</v>
      </c>
      <c r="F41" s="324"/>
    </row>
    <row r="42" spans="1:13" x14ac:dyDescent="0.25">
      <c r="A42" s="344"/>
      <c r="B42" s="289" t="s">
        <v>26</v>
      </c>
      <c r="C42" s="322">
        <f>'NA-Attachment 3 - 21-22'!C46</f>
        <v>1</v>
      </c>
      <c r="D42" s="322">
        <f>'NA-Attachment 3 - 21-22'!D46</f>
        <v>1</v>
      </c>
      <c r="E42" s="322">
        <f>'NA-Attachment 3 - 21-22'!E46</f>
        <v>1</v>
      </c>
      <c r="F42" s="325"/>
    </row>
    <row r="43" spans="1:13" x14ac:dyDescent="0.25">
      <c r="A43" s="344"/>
      <c r="B43" s="317"/>
      <c r="C43" s="326"/>
      <c r="D43" s="326"/>
      <c r="E43" s="327"/>
      <c r="F43" s="326"/>
    </row>
    <row r="44" spans="1:13" ht="25.5" customHeight="1" x14ac:dyDescent="0.25">
      <c r="B44" s="328" t="s">
        <v>295</v>
      </c>
      <c r="C44" s="326"/>
      <c r="D44" s="327"/>
      <c r="E44" s="327"/>
      <c r="F44" s="326"/>
    </row>
    <row r="45" spans="1:13" x14ac:dyDescent="0.25">
      <c r="A45" s="344"/>
      <c r="B45" s="329" t="s">
        <v>296</v>
      </c>
      <c r="C45" s="330">
        <f>'Attachment 3 - 22-23'!C47</f>
        <v>6578367</v>
      </c>
      <c r="D45" s="330">
        <f>C45</f>
        <v>6578367</v>
      </c>
      <c r="E45" s="330">
        <f>D45</f>
        <v>6578367</v>
      </c>
      <c r="F45" s="332">
        <f t="shared" ref="F45:F46" si="2">E45</f>
        <v>6578367</v>
      </c>
      <c r="G45" s="642" t="s">
        <v>252</v>
      </c>
    </row>
    <row r="46" spans="1:13" x14ac:dyDescent="0.25">
      <c r="A46" s="344"/>
      <c r="B46" s="329" t="s">
        <v>297</v>
      </c>
      <c r="C46" s="330">
        <f>'Attachment 3 - 22-23'!C48</f>
        <v>10136584</v>
      </c>
      <c r="D46" s="330">
        <f>C46</f>
        <v>10136584</v>
      </c>
      <c r="E46" s="330">
        <f>D46</f>
        <v>10136584</v>
      </c>
      <c r="F46" s="332">
        <f t="shared" si="2"/>
        <v>10136584</v>
      </c>
      <c r="G46" s="642"/>
    </row>
    <row r="47" spans="1:13" ht="13" x14ac:dyDescent="0.3">
      <c r="A47" s="344"/>
      <c r="B47" s="333"/>
      <c r="C47" s="326"/>
      <c r="D47" s="326"/>
      <c r="E47" s="327"/>
      <c r="F47" s="326"/>
    </row>
    <row r="48" spans="1:13" x14ac:dyDescent="0.25">
      <c r="B48" s="316" t="s">
        <v>305</v>
      </c>
      <c r="C48" s="326"/>
      <c r="D48" s="326"/>
      <c r="E48" s="327"/>
      <c r="F48" s="326"/>
    </row>
    <row r="49" spans="1:8" x14ac:dyDescent="0.25">
      <c r="A49" s="344"/>
      <c r="B49" s="289" t="s">
        <v>25</v>
      </c>
      <c r="C49" s="293">
        <f t="shared" ref="C49:E50" si="3">+C$33*C$37/C$38*C41*C45+C$34*C$37/C$38*C45</f>
        <v>147678133.14339623</v>
      </c>
      <c r="D49" s="293">
        <f t="shared" si="3"/>
        <v>110088351.14433962</v>
      </c>
      <c r="E49" s="293">
        <f t="shared" si="3"/>
        <v>146784468.19245285</v>
      </c>
      <c r="F49" s="293">
        <f>SUM(C49:E49)</f>
        <v>404550952.48018873</v>
      </c>
    </row>
    <row r="50" spans="1:8" ht="14" x14ac:dyDescent="0.4">
      <c r="A50" s="344"/>
      <c r="B50" s="290" t="s">
        <v>26</v>
      </c>
      <c r="C50" s="294">
        <f t="shared" si="3"/>
        <v>227556747.98490569</v>
      </c>
      <c r="D50" s="294">
        <f t="shared" si="3"/>
        <v>169634776.95849055</v>
      </c>
      <c r="E50" s="294">
        <f t="shared" si="3"/>
        <v>226179702.61132079</v>
      </c>
      <c r="F50" s="294">
        <f>SUM(C50:E50)</f>
        <v>623371227.55471706</v>
      </c>
    </row>
    <row r="51" spans="1:8" x14ac:dyDescent="0.25">
      <c r="A51" s="344"/>
      <c r="B51" s="317" t="s">
        <v>13</v>
      </c>
      <c r="C51" s="335">
        <f>+C50+C49</f>
        <v>375234881.12830192</v>
      </c>
      <c r="D51" s="335">
        <f>+D50+D49</f>
        <v>279723128.10283017</v>
      </c>
      <c r="E51" s="336">
        <f>+E50+E49</f>
        <v>372964170.80377364</v>
      </c>
      <c r="F51" s="335">
        <f>+F50+F49</f>
        <v>1027922180.0349058</v>
      </c>
      <c r="H51" s="337"/>
    </row>
    <row r="52" spans="1:8" x14ac:dyDescent="0.25">
      <c r="B52" s="317"/>
      <c r="C52" s="338"/>
      <c r="D52" s="338"/>
      <c r="E52" s="338"/>
      <c r="F52" s="338"/>
    </row>
    <row r="53" spans="1:8" ht="13" x14ac:dyDescent="0.3">
      <c r="B53" s="317" t="s">
        <v>298</v>
      </c>
      <c r="C53" s="338"/>
      <c r="D53" s="338" t="s">
        <v>252</v>
      </c>
      <c r="E53" s="338"/>
      <c r="F53" s="402">
        <f>ROUND(F51/(F45+F46),2)</f>
        <v>61.5</v>
      </c>
      <c r="G53" s="300" t="s">
        <v>333</v>
      </c>
    </row>
    <row r="54" spans="1:8" ht="13" x14ac:dyDescent="0.3">
      <c r="B54" s="317"/>
      <c r="C54" s="338"/>
      <c r="D54" s="338"/>
      <c r="E54" s="338"/>
      <c r="F54" s="402"/>
    </row>
    <row r="55" spans="1:8" ht="13" x14ac:dyDescent="0.3">
      <c r="B55" s="317"/>
      <c r="C55" s="338"/>
      <c r="D55" s="338"/>
      <c r="E55" s="338"/>
      <c r="F55" s="402"/>
    </row>
    <row r="56" spans="1:8" x14ac:dyDescent="0.25">
      <c r="B56" s="317"/>
    </row>
    <row r="57" spans="1:8" x14ac:dyDescent="0.25">
      <c r="A57" s="512" t="s">
        <v>252</v>
      </c>
      <c r="B57" s="512"/>
      <c r="C57" s="512"/>
      <c r="D57" s="512"/>
      <c r="E57" s="512"/>
      <c r="F57" s="512"/>
      <c r="G57" s="471"/>
    </row>
    <row r="58" spans="1:8" ht="16" customHeight="1" x14ac:dyDescent="0.25">
      <c r="A58" s="512"/>
      <c r="B58" s="512"/>
      <c r="C58" s="512"/>
      <c r="D58" s="512"/>
      <c r="E58" s="512"/>
      <c r="F58" s="512"/>
    </row>
  </sheetData>
  <mergeCells count="11">
    <mergeCell ref="A26:G26"/>
    <mergeCell ref="A27:G27"/>
    <mergeCell ref="G45:G46"/>
    <mergeCell ref="B1:F1"/>
    <mergeCell ref="B2:F2"/>
    <mergeCell ref="B3:F3"/>
    <mergeCell ref="A5:F5"/>
    <mergeCell ref="D10:F10"/>
    <mergeCell ref="D18:G18"/>
    <mergeCell ref="D11:G11"/>
    <mergeCell ref="A23:G24"/>
  </mergeCells>
  <pageMargins left="0.7" right="0.7" top="0.75" bottom="0.75" header="0.3" footer="0.3"/>
  <pageSetup scale="76" orientation="portrait" r:id="rId1"/>
  <headerFooter alignWithMargins="0"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BF67F-9DB1-4E46-878D-66241BE537B9}">
  <dimension ref="A1:E18"/>
  <sheetViews>
    <sheetView view="pageBreakPreview" zoomScale="84" zoomScaleNormal="87" zoomScaleSheetLayoutView="84" workbookViewId="0">
      <selection activeCell="E166" sqref="E166"/>
    </sheetView>
  </sheetViews>
  <sheetFormatPr defaultRowHeight="12.5" x14ac:dyDescent="0.25"/>
  <cols>
    <col min="2" max="2" width="47.36328125" bestFit="1" customWidth="1"/>
    <col min="3" max="3" width="22.26953125" customWidth="1"/>
    <col min="4" max="4" width="3.90625" customWidth="1"/>
  </cols>
  <sheetData>
    <row r="1" spans="1:5" ht="15.5" x14ac:dyDescent="0.35">
      <c r="A1" s="638" t="s">
        <v>69</v>
      </c>
      <c r="B1" s="638"/>
      <c r="C1" s="638"/>
      <c r="D1" s="638"/>
    </row>
    <row r="2" spans="1:5" ht="15.5" x14ac:dyDescent="0.35">
      <c r="A2" s="638" t="s">
        <v>388</v>
      </c>
      <c r="B2" s="638"/>
      <c r="C2" s="638"/>
      <c r="D2" s="638"/>
    </row>
    <row r="3" spans="1:5" ht="15.5" x14ac:dyDescent="0.35">
      <c r="A3" s="537"/>
      <c r="B3" s="537"/>
      <c r="C3" s="537"/>
      <c r="D3" s="537"/>
    </row>
    <row r="4" spans="1:5" ht="15.5" x14ac:dyDescent="0.35">
      <c r="A4" s="308" t="s">
        <v>418</v>
      </c>
      <c r="B4" s="546"/>
      <c r="C4" s="547"/>
    </row>
    <row r="5" spans="1:5" x14ac:dyDescent="0.25">
      <c r="A5" s="300"/>
      <c r="B5" s="343"/>
      <c r="C5" s="300"/>
    </row>
    <row r="6" spans="1:5" ht="26.5" x14ac:dyDescent="0.35">
      <c r="A6" s="300"/>
      <c r="B6" s="418"/>
      <c r="C6" s="549" t="s">
        <v>321</v>
      </c>
    </row>
    <row r="7" spans="1:5" ht="13" x14ac:dyDescent="0.3">
      <c r="A7" s="300"/>
      <c r="C7" s="548" t="s">
        <v>355</v>
      </c>
    </row>
    <row r="8" spans="1:5" ht="13" x14ac:dyDescent="0.3">
      <c r="A8" s="5" t="s">
        <v>357</v>
      </c>
      <c r="C8" s="489"/>
    </row>
    <row r="9" spans="1:5" ht="13" x14ac:dyDescent="0.3">
      <c r="A9" s="484">
        <v>1</v>
      </c>
      <c r="B9" s="1" t="s">
        <v>327</v>
      </c>
      <c r="C9" s="569">
        <v>15</v>
      </c>
    </row>
    <row r="10" spans="1:5" ht="13" x14ac:dyDescent="0.3">
      <c r="A10" s="484">
        <v>2</v>
      </c>
      <c r="B10" s="1" t="s">
        <v>328</v>
      </c>
      <c r="C10" s="569">
        <v>53</v>
      </c>
    </row>
    <row r="11" spans="1:5" ht="13" x14ac:dyDescent="0.3">
      <c r="A11" s="484">
        <v>3</v>
      </c>
      <c r="B11" s="1" t="s">
        <v>358</v>
      </c>
      <c r="C11" s="490">
        <f>C9/C10</f>
        <v>0.28301886792452829</v>
      </c>
    </row>
    <row r="12" spans="1:5" ht="13" x14ac:dyDescent="0.3">
      <c r="A12" s="484">
        <v>4</v>
      </c>
      <c r="B12" s="1" t="s">
        <v>365</v>
      </c>
      <c r="C12" s="538">
        <v>4918</v>
      </c>
      <c r="E12" s="295"/>
    </row>
    <row r="13" spans="1:5" ht="13" x14ac:dyDescent="0.3">
      <c r="A13" s="484">
        <v>5</v>
      </c>
      <c r="B13" s="1" t="s">
        <v>363</v>
      </c>
      <c r="C13" s="292">
        <f>C11*C12</f>
        <v>1391.8867924528302</v>
      </c>
    </row>
    <row r="14" spans="1:5" ht="13" x14ac:dyDescent="0.3">
      <c r="A14" s="484">
        <v>6</v>
      </c>
      <c r="B14" s="1" t="s">
        <v>359</v>
      </c>
      <c r="C14" s="492">
        <v>25811.805814663781</v>
      </c>
      <c r="E14" s="295"/>
    </row>
    <row r="15" spans="1:5" ht="13" x14ac:dyDescent="0.3">
      <c r="A15" s="484">
        <v>7</v>
      </c>
      <c r="B15" s="1" t="s">
        <v>360</v>
      </c>
      <c r="C15" s="291">
        <f>C13*C14</f>
        <v>35927111.602787681</v>
      </c>
    </row>
    <row r="16" spans="1:5" ht="13" x14ac:dyDescent="0.3">
      <c r="A16" s="484">
        <v>8</v>
      </c>
      <c r="B16" s="1" t="s">
        <v>361</v>
      </c>
      <c r="C16" s="491">
        <f>6756405+10326528</f>
        <v>17082933</v>
      </c>
      <c r="E16" s="295"/>
    </row>
    <row r="17" spans="1:3" ht="13" x14ac:dyDescent="0.3">
      <c r="A17" s="484">
        <v>9</v>
      </c>
      <c r="B17" s="1" t="s">
        <v>362</v>
      </c>
      <c r="C17" s="482">
        <f>C11*C16</f>
        <v>4834792.3584905658</v>
      </c>
    </row>
    <row r="18" spans="1:3" ht="13" x14ac:dyDescent="0.3">
      <c r="A18" s="484">
        <v>10</v>
      </c>
      <c r="B18" s="1" t="s">
        <v>364</v>
      </c>
      <c r="C18" s="493">
        <f>ROUND(C15/C17,2)</f>
        <v>7.43</v>
      </c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BGS PTY18 Cost Alloc</vt:lpstr>
      <vt:lpstr>BGS PTY19 Cost Alloc</vt:lpstr>
      <vt:lpstr>BGS PTY20 Cost Alloc</vt:lpstr>
      <vt:lpstr>Composite Cost Allocation</vt:lpstr>
      <vt:lpstr>NA-Attachment 3 - 21-22</vt:lpstr>
      <vt:lpstr>Attachment 3 - 22-23</vt:lpstr>
      <vt:lpstr>Attachment 3 - 23-24</vt:lpstr>
      <vt:lpstr>Attachment 3 - 24-25</vt:lpstr>
      <vt:lpstr>Attachment 4 - Transmission</vt:lpstr>
      <vt:lpstr>'Attachment 3 - 22-23'!Print_Area</vt:lpstr>
      <vt:lpstr>'Attachment 3 - 23-24'!Print_Area</vt:lpstr>
      <vt:lpstr>'Attachment 3 - 24-25'!Print_Area</vt:lpstr>
      <vt:lpstr>'Attachment 4 - Transmission'!Print_Area</vt:lpstr>
      <vt:lpstr>'BGS PTY18 Cost Alloc'!Print_Area</vt:lpstr>
      <vt:lpstr>'BGS PTY19 Cost Alloc'!Print_Area</vt:lpstr>
      <vt:lpstr>'BGS PTY20 Cost Alloc'!Print_Area</vt:lpstr>
      <vt:lpstr>'Composite Cost Allocation'!Print_Area</vt:lpstr>
      <vt:lpstr>'NA-Attachment 3 - 21-22'!Print_Area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of BGS prices for year 5 - forwards based</dc:title>
  <dc:subject>6/21 1:10 PM</dc:subject>
  <dc:creator>Robert W. Taylor</dc:creator>
  <cp:lastModifiedBy>Peng, Yongmei</cp:lastModifiedBy>
  <cp:lastPrinted>2021-06-18T21:10:18Z</cp:lastPrinted>
  <dcterms:created xsi:type="dcterms:W3CDTF">2002-02-27T17:48:59Z</dcterms:created>
  <dcterms:modified xsi:type="dcterms:W3CDTF">2021-11-15T19:55:08Z</dcterms:modified>
</cp:coreProperties>
</file>