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.morrison\Desktop\"/>
    </mc:Choice>
  </mc:AlternateContent>
  <xr:revisionPtr revIDLastSave="0" documentId="8_{BEF10BD6-46E4-4E90-B7DD-FB0C9C4B7640}" xr6:coauthVersionLast="47" xr6:coauthVersionMax="47" xr10:uidLastSave="{00000000-0000-0000-0000-000000000000}"/>
  <bookViews>
    <workbookView xWindow="48672" yWindow="2592" windowWidth="23220" windowHeight="13560" xr2:uid="{4F29D6D3-97FF-445D-AB83-820A90FC754B}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9" i="3" l="1"/>
  <c r="U271" i="3"/>
  <c r="R271" i="3"/>
  <c r="J271" i="3"/>
  <c r="K271" i="3"/>
  <c r="U270" i="3"/>
  <c r="R270" i="3"/>
  <c r="J270" i="3"/>
  <c r="K270" i="3"/>
  <c r="M270" i="3" s="1"/>
  <c r="U269" i="3"/>
  <c r="R269" i="3"/>
  <c r="O269" i="3"/>
  <c r="J269" i="3"/>
  <c r="K269" i="3"/>
  <c r="M269" i="3" s="1"/>
  <c r="U268" i="3"/>
  <c r="R268" i="3"/>
  <c r="O268" i="3"/>
  <c r="J268" i="3"/>
  <c r="K268" i="3"/>
  <c r="M268" i="3" s="1"/>
  <c r="U267" i="3"/>
  <c r="R267" i="3"/>
  <c r="J267" i="3"/>
  <c r="K267" i="3"/>
  <c r="M267" i="3" s="1"/>
  <c r="U266" i="3"/>
  <c r="R266" i="3"/>
  <c r="O266" i="3"/>
  <c r="J266" i="3"/>
  <c r="K266" i="3"/>
  <c r="M266" i="3" s="1"/>
  <c r="U265" i="3"/>
  <c r="R265" i="3"/>
  <c r="J265" i="3"/>
  <c r="K265" i="3"/>
  <c r="M265" i="3" s="1"/>
  <c r="U264" i="3"/>
  <c r="R264" i="3"/>
  <c r="O264" i="3"/>
  <c r="J264" i="3"/>
  <c r="K264" i="3"/>
  <c r="M264" i="3" s="1"/>
  <c r="U263" i="3"/>
  <c r="R263" i="3"/>
  <c r="O263" i="3"/>
  <c r="J263" i="3"/>
  <c r="K263" i="3"/>
  <c r="M263" i="3" s="1"/>
  <c r="U262" i="3"/>
  <c r="R262" i="3"/>
  <c r="J262" i="3"/>
  <c r="K262" i="3"/>
  <c r="M262" i="3" s="1"/>
  <c r="U261" i="3"/>
  <c r="R261" i="3"/>
  <c r="O261" i="3"/>
  <c r="J261" i="3"/>
  <c r="K261" i="3"/>
  <c r="M261" i="3" s="1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R260" i="3"/>
  <c r="R273" i="3" s="1"/>
  <c r="J260" i="3"/>
  <c r="J273" i="3" s="1"/>
  <c r="D280" i="3" s="1"/>
  <c r="H273" i="3"/>
  <c r="K260" i="3"/>
  <c r="F252" i="3"/>
  <c r="E253" i="3"/>
  <c r="D253" i="3"/>
  <c r="F245" i="3"/>
  <c r="D246" i="3"/>
  <c r="E246" i="3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C209" i="3"/>
  <c r="I209" i="3" s="1"/>
  <c r="D195" i="3"/>
  <c r="D194" i="3"/>
  <c r="D196" i="3" s="1"/>
  <c r="D190" i="3"/>
  <c r="D184" i="3"/>
  <c r="H167" i="3"/>
  <c r="G167" i="3"/>
  <c r="F167" i="3"/>
  <c r="E167" i="3"/>
  <c r="D167" i="3"/>
  <c r="C167" i="3"/>
  <c r="I141" i="3"/>
  <c r="I118" i="3"/>
  <c r="H118" i="3"/>
  <c r="G118" i="3"/>
  <c r="F118" i="3"/>
  <c r="E118" i="3"/>
  <c r="D118" i="3"/>
  <c r="C118" i="3"/>
  <c r="D104" i="3"/>
  <c r="D105" i="3" s="1"/>
  <c r="D103" i="3"/>
  <c r="D100" i="3"/>
  <c r="D95" i="3"/>
  <c r="I78" i="3"/>
  <c r="H78" i="3"/>
  <c r="G78" i="3"/>
  <c r="F78" i="3"/>
  <c r="E78" i="3"/>
  <c r="D78" i="3"/>
  <c r="C78" i="3"/>
  <c r="I55" i="3"/>
  <c r="I208" i="3" s="1"/>
  <c r="H55" i="3"/>
  <c r="H208" i="3" s="1"/>
  <c r="G55" i="3"/>
  <c r="G208" i="3" s="1"/>
  <c r="F55" i="3"/>
  <c r="F208" i="3" s="1"/>
  <c r="E55" i="3"/>
  <c r="E208" i="3" s="1"/>
  <c r="D55" i="3"/>
  <c r="D208" i="3" s="1"/>
  <c r="C55" i="3"/>
  <c r="C208" i="3" s="1"/>
  <c r="H40" i="3"/>
  <c r="H39" i="3"/>
  <c r="J37" i="3"/>
  <c r="I37" i="3"/>
  <c r="H37" i="3"/>
  <c r="D33" i="3"/>
  <c r="C33" i="3"/>
  <c r="H12" i="3"/>
  <c r="G12" i="3"/>
  <c r="F12" i="3"/>
  <c r="E12" i="3"/>
  <c r="D12" i="3"/>
  <c r="C12" i="3"/>
  <c r="D44" i="2"/>
  <c r="I42" i="2"/>
  <c r="D41" i="2"/>
  <c r="D25" i="2"/>
  <c r="D24" i="2"/>
  <c r="F14" i="2"/>
  <c r="E14" i="2"/>
  <c r="F12" i="2"/>
  <c r="E12" i="2"/>
  <c r="D12" i="2"/>
  <c r="D14" i="2"/>
  <c r="G9" i="2"/>
  <c r="E6" i="2"/>
  <c r="D6" i="2"/>
  <c r="I586" i="1"/>
  <c r="H586" i="1"/>
  <c r="G586" i="1"/>
  <c r="F586" i="1"/>
  <c r="E586" i="1"/>
  <c r="D586" i="1"/>
  <c r="C586" i="1"/>
  <c r="I575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211" i="3"/>
  <c r="H210" i="3"/>
  <c r="I538" i="1"/>
  <c r="H209" i="3"/>
  <c r="G209" i="3"/>
  <c r="F209" i="3"/>
  <c r="E209" i="3"/>
  <c r="D209" i="3"/>
  <c r="I537" i="1"/>
  <c r="H537" i="1"/>
  <c r="I513" i="1"/>
  <c r="I491" i="1"/>
  <c r="H491" i="1"/>
  <c r="G491" i="1"/>
  <c r="G537" i="1" s="1"/>
  <c r="F491" i="1"/>
  <c r="F537" i="1" s="1"/>
  <c r="E491" i="1"/>
  <c r="E537" i="1" s="1"/>
  <c r="D491" i="1"/>
  <c r="D537" i="1" s="1"/>
  <c r="C491" i="1"/>
  <c r="C537" i="1" s="1"/>
  <c r="C474" i="1"/>
  <c r="C473" i="1"/>
  <c r="C468" i="1"/>
  <c r="C467" i="1"/>
  <c r="M466" i="1"/>
  <c r="L49" i="3"/>
  <c r="L48" i="3"/>
  <c r="L50" i="3" s="1"/>
  <c r="F461" i="1"/>
  <c r="P457" i="1"/>
  <c r="Q456" i="1"/>
  <c r="Q455" i="1"/>
  <c r="Q454" i="1"/>
  <c r="Q453" i="1"/>
  <c r="Q452" i="1"/>
  <c r="R451" i="1"/>
  <c r="R450" i="1"/>
  <c r="R449" i="1"/>
  <c r="I420" i="1"/>
  <c r="I419" i="1"/>
  <c r="I418" i="1"/>
  <c r="I417" i="1"/>
  <c r="E417" i="1"/>
  <c r="J417" i="1" s="1"/>
  <c r="D417" i="1"/>
  <c r="I416" i="1"/>
  <c r="D415" i="1"/>
  <c r="J414" i="1"/>
  <c r="D416" i="1"/>
  <c r="E416" i="1" s="1"/>
  <c r="J416" i="1" s="1"/>
  <c r="E414" i="1"/>
  <c r="I412" i="1"/>
  <c r="I411" i="1"/>
  <c r="I410" i="1"/>
  <c r="I409" i="1"/>
  <c r="I383" i="1"/>
  <c r="H383" i="1"/>
  <c r="G383" i="1"/>
  <c r="F383" i="1"/>
  <c r="E383" i="1"/>
  <c r="D383" i="1"/>
  <c r="C383" i="1"/>
  <c r="I361" i="1"/>
  <c r="H361" i="1"/>
  <c r="G361" i="1"/>
  <c r="F361" i="1"/>
  <c r="E361" i="1"/>
  <c r="D361" i="1"/>
  <c r="C361" i="1"/>
  <c r="I350" i="1"/>
  <c r="C346" i="1"/>
  <c r="D346" i="1" s="1"/>
  <c r="H325" i="1"/>
  <c r="G325" i="1"/>
  <c r="F325" i="1"/>
  <c r="E325" i="1"/>
  <c r="D325" i="1"/>
  <c r="C325" i="1"/>
  <c r="J296" i="1"/>
  <c r="J350" i="1" s="1"/>
  <c r="I296" i="1"/>
  <c r="C292" i="1"/>
  <c r="H271" i="1"/>
  <c r="G271" i="1"/>
  <c r="F271" i="1"/>
  <c r="E271" i="1"/>
  <c r="D271" i="1"/>
  <c r="C271" i="1"/>
  <c r="D253" i="1"/>
  <c r="C253" i="1"/>
  <c r="H231" i="1"/>
  <c r="G231" i="1"/>
  <c r="F231" i="1"/>
  <c r="E231" i="1"/>
  <c r="D231" i="1"/>
  <c r="C231" i="1"/>
  <c r="R213" i="1"/>
  <c r="V214" i="1"/>
  <c r="S214" i="1"/>
  <c r="R214" i="1"/>
  <c r="Q214" i="1"/>
  <c r="V213" i="1"/>
  <c r="Q213" i="1"/>
  <c r="L211" i="1"/>
  <c r="G206" i="1"/>
  <c r="H263" i="1" s="1"/>
  <c r="C196" i="1"/>
  <c r="H179" i="1"/>
  <c r="G179" i="1"/>
  <c r="F179" i="1"/>
  <c r="E179" i="1"/>
  <c r="D179" i="1"/>
  <c r="C179" i="1"/>
  <c r="H165" i="1"/>
  <c r="G165" i="1"/>
  <c r="F165" i="1"/>
  <c r="E165" i="1"/>
  <c r="D165" i="1"/>
  <c r="C165" i="1"/>
  <c r="C154" i="1"/>
  <c r="H146" i="1"/>
  <c r="E167" i="1"/>
  <c r="I141" i="1"/>
  <c r="I139" i="1"/>
  <c r="H137" i="1"/>
  <c r="G137" i="1"/>
  <c r="F137" i="1"/>
  <c r="E137" i="1"/>
  <c r="D137" i="1"/>
  <c r="C137" i="1"/>
  <c r="I122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H76" i="1"/>
  <c r="G76" i="1"/>
  <c r="F76" i="1"/>
  <c r="E76" i="1"/>
  <c r="D76" i="1"/>
  <c r="C76" i="1"/>
  <c r="S68" i="1"/>
  <c r="S60" i="1"/>
  <c r="S84" i="1" s="1"/>
  <c r="E56" i="1"/>
  <c r="I55" i="1"/>
  <c r="I54" i="1"/>
  <c r="I53" i="1"/>
  <c r="I52" i="1"/>
  <c r="O48" i="1"/>
  <c r="P48" i="1"/>
  <c r="I50" i="1"/>
  <c r="Q48" i="1"/>
  <c r="N48" i="1"/>
  <c r="M48" i="1"/>
  <c r="L48" i="1"/>
  <c r="R48" i="1" s="1"/>
  <c r="I48" i="1"/>
  <c r="I47" i="1"/>
  <c r="I45" i="1"/>
  <c r="S62" i="1"/>
  <c r="C56" i="1"/>
  <c r="P44" i="1"/>
  <c r="O44" i="1"/>
  <c r="M44" i="1"/>
  <c r="Q42" i="1"/>
  <c r="P42" i="1"/>
  <c r="O42" i="1"/>
  <c r="N42" i="1"/>
  <c r="M42" i="1"/>
  <c r="L42" i="1"/>
  <c r="H42" i="1"/>
  <c r="G42" i="1"/>
  <c r="F42" i="1"/>
  <c r="E42" i="1"/>
  <c r="D42" i="1"/>
  <c r="C42" i="1"/>
  <c r="R37" i="1"/>
  <c r="M37" i="1"/>
  <c r="R36" i="1"/>
  <c r="M36" i="1"/>
  <c r="R35" i="1"/>
  <c r="M35" i="1"/>
  <c r="R34" i="1"/>
  <c r="M34" i="1"/>
  <c r="R33" i="1"/>
  <c r="M33" i="1"/>
  <c r="R32" i="1"/>
  <c r="M32" i="1"/>
  <c r="R31" i="1"/>
  <c r="M31" i="1"/>
  <c r="R30" i="1"/>
  <c r="M30" i="1"/>
  <c r="R29" i="1"/>
  <c r="M29" i="1"/>
  <c r="R28" i="1"/>
  <c r="M28" i="1"/>
  <c r="R27" i="1"/>
  <c r="M27" i="1"/>
  <c r="R26" i="1"/>
  <c r="Q24" i="1"/>
  <c r="P24" i="1"/>
  <c r="O24" i="1"/>
  <c r="N24" i="1"/>
  <c r="M24" i="1"/>
  <c r="L24" i="1"/>
  <c r="H24" i="1"/>
  <c r="G24" i="1"/>
  <c r="F24" i="1"/>
  <c r="E24" i="1"/>
  <c r="D24" i="1"/>
  <c r="C24" i="1"/>
  <c r="Q19" i="1"/>
  <c r="O19" i="1"/>
  <c r="N19" i="1"/>
  <c r="M19" i="1"/>
  <c r="G19" i="1"/>
  <c r="P19" i="1" s="1"/>
  <c r="L19" i="1"/>
  <c r="Q18" i="1"/>
  <c r="N18" i="1"/>
  <c r="M18" i="1"/>
  <c r="G18" i="1"/>
  <c r="P18" i="1" s="1"/>
  <c r="L18" i="1"/>
  <c r="Q17" i="1"/>
  <c r="O17" i="1"/>
  <c r="N17" i="1"/>
  <c r="M17" i="1"/>
  <c r="G17" i="1"/>
  <c r="P17" i="1" s="1"/>
  <c r="L17" i="1"/>
  <c r="Q16" i="1"/>
  <c r="N16" i="1"/>
  <c r="M16" i="1"/>
  <c r="O16" i="1"/>
  <c r="L16" i="1"/>
  <c r="Q15" i="1"/>
  <c r="O15" i="1"/>
  <c r="N15" i="1"/>
  <c r="M15" i="1"/>
  <c r="G15" i="1"/>
  <c r="P15" i="1" s="1"/>
  <c r="L15" i="1"/>
  <c r="Q14" i="1"/>
  <c r="N14" i="1"/>
  <c r="M14" i="1"/>
  <c r="O14" i="1"/>
  <c r="L14" i="1"/>
  <c r="Q13" i="1"/>
  <c r="O13" i="1"/>
  <c r="N13" i="1"/>
  <c r="M13" i="1"/>
  <c r="G13" i="1"/>
  <c r="Q12" i="1"/>
  <c r="N12" i="1"/>
  <c r="M12" i="1"/>
  <c r="O12" i="1"/>
  <c r="V78" i="1"/>
  <c r="Q11" i="1"/>
  <c r="O11" i="1"/>
  <c r="N11" i="1"/>
  <c r="M11" i="1"/>
  <c r="G11" i="1"/>
  <c r="P11" i="1" s="1"/>
  <c r="L11" i="1"/>
  <c r="Q10" i="1"/>
  <c r="N10" i="1"/>
  <c r="M10" i="1"/>
  <c r="O10" i="1"/>
  <c r="L10" i="1"/>
  <c r="Q9" i="1"/>
  <c r="O9" i="1"/>
  <c r="N9" i="1"/>
  <c r="M9" i="1"/>
  <c r="G9" i="1"/>
  <c r="P9" i="1" s="1"/>
  <c r="L9" i="1"/>
  <c r="Q8" i="1"/>
  <c r="N8" i="1"/>
  <c r="M8" i="1"/>
  <c r="G8" i="1"/>
  <c r="Q6" i="1"/>
  <c r="P6" i="1"/>
  <c r="O6" i="1"/>
  <c r="N6" i="1"/>
  <c r="M6" i="1"/>
  <c r="L6" i="1"/>
  <c r="E145" i="1"/>
  <c r="P8" i="1" l="1"/>
  <c r="P13" i="1"/>
  <c r="M46" i="1"/>
  <c r="V66" i="1"/>
  <c r="V77" i="1" s="1"/>
  <c r="V79" i="1" s="1"/>
  <c r="R50" i="1"/>
  <c r="V68" i="1" s="1"/>
  <c r="G16" i="1"/>
  <c r="P16" i="1" s="1"/>
  <c r="D419" i="1"/>
  <c r="E419" i="1" s="1"/>
  <c r="J419" i="1" s="1"/>
  <c r="D411" i="1"/>
  <c r="D420" i="1"/>
  <c r="E420" i="1" s="1"/>
  <c r="J420" i="1" s="1"/>
  <c r="D412" i="1"/>
  <c r="E412" i="1" s="1"/>
  <c r="J412" i="1" s="1"/>
  <c r="D410" i="1"/>
  <c r="E410" i="1" s="1"/>
  <c r="J410" i="1" s="1"/>
  <c r="E409" i="1"/>
  <c r="J409" i="1" s="1"/>
  <c r="E41" i="2"/>
  <c r="D447" i="1"/>
  <c r="K273" i="3"/>
  <c r="M260" i="3"/>
  <c r="M273" i="3" s="1"/>
  <c r="D281" i="3" s="1"/>
  <c r="E281" i="3" s="1"/>
  <c r="B1" i="1"/>
  <c r="L8" i="1"/>
  <c r="L12" i="1"/>
  <c r="B41" i="1"/>
  <c r="F56" i="1"/>
  <c r="I46" i="1"/>
  <c r="I49" i="1"/>
  <c r="E447" i="1"/>
  <c r="G12" i="1"/>
  <c r="P12" i="1" s="1"/>
  <c r="E415" i="1"/>
  <c r="J415" i="1" s="1"/>
  <c r="I415" i="1"/>
  <c r="S78" i="1"/>
  <c r="Q44" i="1"/>
  <c r="S75" i="1"/>
  <c r="S71" i="1"/>
  <c r="D413" i="1"/>
  <c r="E413" i="1" s="1"/>
  <c r="J413" i="1" s="1"/>
  <c r="L53" i="1"/>
  <c r="L52" i="1"/>
  <c r="M45" i="1"/>
  <c r="N44" i="1"/>
  <c r="O271" i="3"/>
  <c r="M271" i="3"/>
  <c r="V74" i="1"/>
  <c r="V87" i="1" s="1"/>
  <c r="M23" i="1"/>
  <c r="S67" i="1"/>
  <c r="I51" i="1"/>
  <c r="S63" i="1"/>
  <c r="T63" i="1" s="1"/>
  <c r="B136" i="1"/>
  <c r="C158" i="1"/>
  <c r="I413" i="1"/>
  <c r="G461" i="1"/>
  <c r="G10" i="1"/>
  <c r="P10" i="1" s="1"/>
  <c r="G14" i="1"/>
  <c r="P14" i="1" s="1"/>
  <c r="R45" i="1"/>
  <c r="V63" i="1" s="1"/>
  <c r="M26" i="1"/>
  <c r="S64" i="1" s="1"/>
  <c r="M49" i="1"/>
  <c r="M50" i="1" s="1"/>
  <c r="D3" i="1"/>
  <c r="S74" i="1"/>
  <c r="O8" i="1"/>
  <c r="O18" i="1"/>
  <c r="R49" i="1"/>
  <c r="V67" i="1" s="1"/>
  <c r="V92" i="1" s="1"/>
  <c r="I44" i="1"/>
  <c r="I56" i="1" s="1"/>
  <c r="S77" i="1"/>
  <c r="S66" i="1"/>
  <c r="S73" i="1"/>
  <c r="S79" i="1"/>
  <c r="R457" i="1"/>
  <c r="A2" i="3"/>
  <c r="A2" i="2"/>
  <c r="L136" i="1"/>
  <c r="C472" i="1"/>
  <c r="E144" i="1"/>
  <c r="E147" i="1" s="1"/>
  <c r="L137" i="1"/>
  <c r="G56" i="1"/>
  <c r="D418" i="1"/>
  <c r="E418" i="1" s="1"/>
  <c r="J418" i="1" s="1"/>
  <c r="L4" i="1"/>
  <c r="L13" i="1"/>
  <c r="L44" i="1"/>
  <c r="R44" i="1" s="1"/>
  <c r="G167" i="1"/>
  <c r="F167" i="1"/>
  <c r="E411" i="1"/>
  <c r="J411" i="1" s="1"/>
  <c r="D56" i="1"/>
  <c r="D167" i="1" s="1"/>
  <c r="D29" i="2"/>
  <c r="F16" i="2"/>
  <c r="E16" i="2"/>
  <c r="E30" i="2"/>
  <c r="D30" i="2"/>
  <c r="F15" i="2"/>
  <c r="E15" i="2"/>
  <c r="D15" i="2"/>
  <c r="G15" i="2" s="1"/>
  <c r="E29" i="2"/>
  <c r="D16" i="2"/>
  <c r="G16" i="2" s="1"/>
  <c r="S213" i="1"/>
  <c r="D449" i="1"/>
  <c r="C451" i="1"/>
  <c r="D451" i="1" s="1"/>
  <c r="Q457" i="1"/>
  <c r="S457" i="1" s="1"/>
  <c r="H56" i="1"/>
  <c r="I414" i="1"/>
  <c r="C598" i="1"/>
  <c r="G93" i="3"/>
  <c r="D26" i="2"/>
  <c r="U273" i="3"/>
  <c r="D283" i="3" s="1"/>
  <c r="O267" i="3"/>
  <c r="C167" i="1"/>
  <c r="H167" i="1" s="1"/>
  <c r="L217" i="1"/>
  <c r="C466" i="1"/>
  <c r="O262" i="3"/>
  <c r="O270" i="3"/>
  <c r="O260" i="3"/>
  <c r="O265" i="3"/>
  <c r="D273" i="3"/>
  <c r="D285" i="3" s="1"/>
  <c r="F244" i="3"/>
  <c r="F246" i="3" s="1"/>
  <c r="F251" i="3"/>
  <c r="F253" i="3" s="1"/>
  <c r="E279" i="3"/>
  <c r="K429" i="1" l="1"/>
  <c r="G459" i="1"/>
  <c r="E31" i="2"/>
  <c r="T67" i="1"/>
  <c r="F451" i="1"/>
  <c r="G17" i="2"/>
  <c r="D31" i="2"/>
  <c r="L138" i="1"/>
  <c r="L133" i="1"/>
  <c r="S87" i="1"/>
  <c r="T74" i="1"/>
  <c r="T78" i="1"/>
  <c r="S92" i="1"/>
  <c r="F449" i="1"/>
  <c r="V62" i="1"/>
  <c r="V73" i="1" s="1"/>
  <c r="V75" i="1" s="1"/>
  <c r="R46" i="1"/>
  <c r="V64" i="1" s="1"/>
  <c r="K428" i="1"/>
  <c r="F459" i="1"/>
  <c r="C599" i="1"/>
  <c r="C600" i="1" s="1"/>
  <c r="F425" i="1"/>
  <c r="E280" i="3"/>
  <c r="O273" i="3"/>
  <c r="E283" i="3"/>
  <c r="G41" i="2"/>
  <c r="C464" i="1" l="1"/>
  <c r="D149" i="1"/>
  <c r="C465" i="1"/>
  <c r="D150" i="1"/>
  <c r="G94" i="3"/>
  <c r="H461" i="1"/>
  <c r="D161" i="1" s="1"/>
  <c r="C469" i="1" s="1"/>
  <c r="D47" i="2"/>
  <c r="H438" i="1"/>
  <c r="D72" i="1" s="1"/>
  <c r="H436" i="1"/>
  <c r="D70" i="1" s="1"/>
  <c r="H434" i="1"/>
  <c r="D68" i="1" s="1"/>
  <c r="G431" i="1"/>
  <c r="C65" i="1" s="1"/>
  <c r="H432" i="1"/>
  <c r="D66" i="1" s="1"/>
  <c r="H428" i="1"/>
  <c r="G438" i="1"/>
  <c r="C72" i="1" s="1"/>
  <c r="H433" i="1"/>
  <c r="H435" i="1"/>
  <c r="D69" i="1" s="1"/>
  <c r="G433" i="1"/>
  <c r="H431" i="1"/>
  <c r="D65" i="1" s="1"/>
  <c r="G428" i="1"/>
  <c r="H439" i="1"/>
  <c r="D73" i="1" s="1"/>
  <c r="G437" i="1"/>
  <c r="C71" i="1" s="1"/>
  <c r="H429" i="1"/>
  <c r="D63" i="1" s="1"/>
  <c r="G435" i="1"/>
  <c r="C69" i="1" s="1"/>
  <c r="H430" i="1"/>
  <c r="D64" i="1" s="1"/>
  <c r="G430" i="1"/>
  <c r="C64" i="1" s="1"/>
  <c r="G434" i="1"/>
  <c r="C68" i="1" s="1"/>
  <c r="H437" i="1"/>
  <c r="D71" i="1" s="1"/>
  <c r="G432" i="1"/>
  <c r="C66" i="1" s="1"/>
  <c r="G439" i="1"/>
  <c r="C73" i="1" s="1"/>
  <c r="G436" i="1"/>
  <c r="C70" i="1" s="1"/>
  <c r="G429" i="1"/>
  <c r="C63" i="1" s="1"/>
  <c r="E47" i="2"/>
  <c r="N273" i="3"/>
  <c r="D282" i="3"/>
  <c r="G47" i="2" l="1"/>
  <c r="R429" i="1"/>
  <c r="D62" i="1"/>
  <c r="R432" i="1"/>
  <c r="F172" i="1"/>
  <c r="I150" i="1"/>
  <c r="L214" i="1"/>
  <c r="G172" i="1"/>
  <c r="E172" i="1"/>
  <c r="D172" i="1"/>
  <c r="P214" i="1"/>
  <c r="M214" i="1" s="1"/>
  <c r="C172" i="1"/>
  <c r="H172" i="1" s="1"/>
  <c r="G171" i="1"/>
  <c r="E170" i="1"/>
  <c r="I149" i="1"/>
  <c r="C170" i="1"/>
  <c r="H170" i="1" s="1"/>
  <c r="F171" i="1"/>
  <c r="E171" i="1"/>
  <c r="D170" i="1"/>
  <c r="P213" i="1"/>
  <c r="L213" i="1"/>
  <c r="G170" i="1"/>
  <c r="F170" i="1"/>
  <c r="C171" i="1"/>
  <c r="H171" i="1" s="1"/>
  <c r="D171" i="1"/>
  <c r="E282" i="3"/>
  <c r="E284" i="3" s="1"/>
  <c r="D284" i="3"/>
  <c r="D286" i="3" s="1"/>
  <c r="E42" i="2" s="1"/>
  <c r="Q432" i="1"/>
  <c r="S432" i="1" s="1"/>
  <c r="Q429" i="1"/>
  <c r="C62" i="1"/>
  <c r="Q428" i="1"/>
  <c r="C67" i="1"/>
  <c r="R428" i="1"/>
  <c r="D67" i="1"/>
  <c r="Q430" i="1" l="1"/>
  <c r="F90" i="1"/>
  <c r="F108" i="1" s="1"/>
  <c r="D90" i="1"/>
  <c r="E90" i="1"/>
  <c r="E108" i="1" s="1"/>
  <c r="H90" i="1"/>
  <c r="H108" i="1" s="1"/>
  <c r="G90" i="1"/>
  <c r="G108" i="1" s="1"/>
  <c r="C90" i="1"/>
  <c r="E89" i="1"/>
  <c r="E107" i="1" s="1"/>
  <c r="E88" i="1"/>
  <c r="F89" i="1"/>
  <c r="F107" i="1" s="1"/>
  <c r="G88" i="1"/>
  <c r="F88" i="1"/>
  <c r="C89" i="1"/>
  <c r="G89" i="1"/>
  <c r="G107" i="1" s="1"/>
  <c r="C88" i="1"/>
  <c r="D89" i="1"/>
  <c r="H89" i="1"/>
  <c r="H107" i="1" s="1"/>
  <c r="D88" i="1"/>
  <c r="H88" i="1"/>
  <c r="E92" i="1"/>
  <c r="E110" i="1" s="1"/>
  <c r="E128" i="1" s="1"/>
  <c r="E188" i="1" s="1"/>
  <c r="F92" i="1"/>
  <c r="F110" i="1" s="1"/>
  <c r="F128" i="1" s="1"/>
  <c r="F188" i="1" s="1"/>
  <c r="E93" i="1"/>
  <c r="E111" i="1" s="1"/>
  <c r="G93" i="1"/>
  <c r="G111" i="1" s="1"/>
  <c r="G92" i="1"/>
  <c r="G110" i="1" s="1"/>
  <c r="G128" i="1" s="1"/>
  <c r="G188" i="1" s="1"/>
  <c r="C92" i="1"/>
  <c r="C110" i="1" s="1"/>
  <c r="C128" i="1" s="1"/>
  <c r="F93" i="1"/>
  <c r="F111" i="1" s="1"/>
  <c r="D92" i="1"/>
  <c r="D110" i="1" s="1"/>
  <c r="D128" i="1" s="1"/>
  <c r="D188" i="1" s="1"/>
  <c r="H92" i="1"/>
  <c r="H110" i="1" s="1"/>
  <c r="H128" i="1" s="1"/>
  <c r="C202" i="1" s="1"/>
  <c r="C93" i="1"/>
  <c r="D93" i="1"/>
  <c r="H93" i="1"/>
  <c r="H111" i="1" s="1"/>
  <c r="M213" i="1"/>
  <c r="P217" i="1"/>
  <c r="R430" i="1"/>
  <c r="C98" i="3"/>
  <c r="E98" i="3" s="1"/>
  <c r="C189" i="3"/>
  <c r="E45" i="2"/>
  <c r="K42" i="2"/>
  <c r="C99" i="3"/>
  <c r="C188" i="3"/>
  <c r="E188" i="3" s="1"/>
  <c r="E46" i="2"/>
  <c r="I260" i="1"/>
  <c r="I299" i="1" s="1"/>
  <c r="I353" i="1" s="1"/>
  <c r="N214" i="1"/>
  <c r="H214" i="1"/>
  <c r="H94" i="1"/>
  <c r="H112" i="1" s="1"/>
  <c r="D94" i="1"/>
  <c r="E94" i="1"/>
  <c r="E112" i="1" s="1"/>
  <c r="C94" i="1"/>
  <c r="G94" i="1"/>
  <c r="G112" i="1" s="1"/>
  <c r="F94" i="1"/>
  <c r="F112" i="1" s="1"/>
  <c r="C112" i="1" l="1"/>
  <c r="E96" i="1"/>
  <c r="E106" i="1"/>
  <c r="C100" i="3"/>
  <c r="E99" i="3"/>
  <c r="E100" i="3" s="1"/>
  <c r="H213" i="1"/>
  <c r="I259" i="1"/>
  <c r="I298" i="1" s="1"/>
  <c r="I352" i="1" s="1"/>
  <c r="N213" i="1"/>
  <c r="Z213" i="1" s="1"/>
  <c r="AA213" i="1" s="1"/>
  <c r="G364" i="1"/>
  <c r="G280" i="1"/>
  <c r="D107" i="1"/>
  <c r="S93" i="1"/>
  <c r="S94" i="1" s="1"/>
  <c r="D125" i="1" s="1"/>
  <c r="D182" i="1" s="1"/>
  <c r="I128" i="1"/>
  <c r="C188" i="1"/>
  <c r="H188" i="1"/>
  <c r="D112" i="1"/>
  <c r="C106" i="1"/>
  <c r="C96" i="1"/>
  <c r="C108" i="1"/>
  <c r="E189" i="3"/>
  <c r="E190" i="3" s="1"/>
  <c r="C190" i="3"/>
  <c r="D111" i="1"/>
  <c r="S88" i="1"/>
  <c r="S89" i="1" s="1"/>
  <c r="D130" i="1" s="1"/>
  <c r="D190" i="1" s="1"/>
  <c r="H72" i="3"/>
  <c r="H203" i="1"/>
  <c r="C111" i="1"/>
  <c r="V88" i="1"/>
  <c r="V89" i="1" s="1"/>
  <c r="I130" i="1" s="1"/>
  <c r="H190" i="1" s="1"/>
  <c r="C107" i="1"/>
  <c r="V93" i="1"/>
  <c r="V94" i="1" s="1"/>
  <c r="I126" i="1" s="1"/>
  <c r="H183" i="1" s="1"/>
  <c r="F364" i="1"/>
  <c r="F280" i="1"/>
  <c r="I214" i="1"/>
  <c r="C214" i="1" s="1"/>
  <c r="D259" i="1" s="1"/>
  <c r="J260" i="1"/>
  <c r="J299" i="1" s="1"/>
  <c r="J353" i="1" s="1"/>
  <c r="C298" i="1"/>
  <c r="E280" i="1"/>
  <c r="E364" i="1"/>
  <c r="F96" i="1"/>
  <c r="F106" i="1"/>
  <c r="D280" i="1"/>
  <c r="D386" i="1" s="1"/>
  <c r="D364" i="1"/>
  <c r="G96" i="1"/>
  <c r="G106" i="1"/>
  <c r="D108" i="1"/>
  <c r="H508" i="1"/>
  <c r="I40" i="3"/>
  <c r="H106" i="1"/>
  <c r="H96" i="1"/>
  <c r="D106" i="1"/>
  <c r="D96" i="1"/>
  <c r="D126" i="1" l="1"/>
  <c r="D183" i="1" s="1"/>
  <c r="C98" i="1"/>
  <c r="D282" i="1"/>
  <c r="H275" i="1"/>
  <c r="H282" i="1"/>
  <c r="F124" i="1"/>
  <c r="F114" i="1"/>
  <c r="D129" i="1"/>
  <c r="D189" i="1" s="1"/>
  <c r="G386" i="1"/>
  <c r="H114" i="1"/>
  <c r="H124" i="1"/>
  <c r="C124" i="1"/>
  <c r="C114" i="1"/>
  <c r="I124" i="1"/>
  <c r="I125" i="1"/>
  <c r="H182" i="1" s="1"/>
  <c r="E124" i="1"/>
  <c r="E114" i="1"/>
  <c r="H386" i="1"/>
  <c r="C309" i="1"/>
  <c r="D352" i="1" s="1"/>
  <c r="D39" i="3" s="1"/>
  <c r="J40" i="3"/>
  <c r="H509" i="1"/>
  <c r="H531" i="1" s="1"/>
  <c r="I364" i="1"/>
  <c r="H280" i="1"/>
  <c r="I386" i="1" s="1"/>
  <c r="D274" i="1"/>
  <c r="D275" i="1"/>
  <c r="H73" i="3"/>
  <c r="I203" i="1"/>
  <c r="C280" i="1"/>
  <c r="C364" i="1"/>
  <c r="H530" i="1"/>
  <c r="H561" i="1"/>
  <c r="G124" i="1"/>
  <c r="G114" i="1"/>
  <c r="E386" i="1"/>
  <c r="F386" i="1"/>
  <c r="I129" i="1"/>
  <c r="H189" i="1" s="1"/>
  <c r="J259" i="1"/>
  <c r="J298" i="1" s="1"/>
  <c r="J352" i="1" s="1"/>
  <c r="I213" i="1"/>
  <c r="H64" i="3"/>
  <c r="H202" i="1"/>
  <c r="D114" i="1"/>
  <c r="D124" i="1"/>
  <c r="I39" i="3"/>
  <c r="H500" i="1"/>
  <c r="C116" i="1" l="1"/>
  <c r="C133" i="1" s="1"/>
  <c r="C132" i="1"/>
  <c r="C192" i="1" s="1"/>
  <c r="C181" i="1"/>
  <c r="F132" i="1"/>
  <c r="F192" i="1" s="1"/>
  <c r="F181" i="1"/>
  <c r="G181" i="1"/>
  <c r="G132" i="1"/>
  <c r="G192" i="1" s="1"/>
  <c r="H132" i="1"/>
  <c r="C206" i="1" s="1"/>
  <c r="C198" i="1"/>
  <c r="H522" i="1"/>
  <c r="H554" i="1"/>
  <c r="H65" i="3"/>
  <c r="I202" i="1"/>
  <c r="J39" i="3"/>
  <c r="H501" i="1"/>
  <c r="H523" i="1" s="1"/>
  <c r="D132" i="1"/>
  <c r="D192" i="1" s="1"/>
  <c r="D181" i="1"/>
  <c r="H281" i="1"/>
  <c r="C373" i="1"/>
  <c r="E181" i="1"/>
  <c r="E132" i="1"/>
  <c r="E192" i="1" s="1"/>
  <c r="H274" i="1"/>
  <c r="D281" i="1"/>
  <c r="C386" i="1"/>
  <c r="H181" i="1"/>
  <c r="I132" i="1"/>
  <c r="H192" i="1" s="1"/>
  <c r="F284" i="1" l="1"/>
  <c r="C210" i="1"/>
  <c r="D255" i="1" s="1"/>
  <c r="C294" i="1"/>
  <c r="D284" i="1"/>
  <c r="F363" i="1"/>
  <c r="F273" i="1"/>
  <c r="C218" i="1"/>
  <c r="C221" i="1" s="1"/>
  <c r="C302" i="1"/>
  <c r="C313" i="1" s="1"/>
  <c r="E378" i="1"/>
  <c r="C395" i="1"/>
  <c r="H284" i="1"/>
  <c r="C184" i="1"/>
  <c r="C273" i="1"/>
  <c r="I363" i="1"/>
  <c r="H273" i="1"/>
  <c r="I385" i="1" s="1"/>
  <c r="E284" i="1"/>
  <c r="D273" i="1"/>
  <c r="D385" i="1" s="1"/>
  <c r="D363" i="1"/>
  <c r="C284" i="1"/>
  <c r="E363" i="1"/>
  <c r="E273" i="1"/>
  <c r="G284" i="1"/>
  <c r="G363" i="1"/>
  <c r="G273" i="1"/>
  <c r="D223" i="1" l="1"/>
  <c r="J378" i="1" s="1"/>
  <c r="D222" i="1"/>
  <c r="C238" i="1"/>
  <c r="C185" i="1"/>
  <c r="C239" i="1" s="1"/>
  <c r="E385" i="1"/>
  <c r="C305" i="1"/>
  <c r="D348" i="1" s="1"/>
  <c r="D35" i="3" s="1"/>
  <c r="H385" i="1"/>
  <c r="G385" i="1"/>
  <c r="D387" i="1"/>
  <c r="D391" i="1" s="1"/>
  <c r="G365" i="1"/>
  <c r="G369" i="1" s="1"/>
  <c r="H365" i="1"/>
  <c r="H369" i="1" s="1"/>
  <c r="D365" i="1"/>
  <c r="D369" i="1" s="1"/>
  <c r="I387" i="1"/>
  <c r="I391" i="1" s="1"/>
  <c r="C316" i="1"/>
  <c r="I365" i="1"/>
  <c r="I369" i="1" s="1"/>
  <c r="F385" i="1"/>
  <c r="E365" i="1"/>
  <c r="E369" i="1" s="1"/>
  <c r="C276" i="1"/>
  <c r="E400" i="1"/>
  <c r="F365" i="1"/>
  <c r="F369" i="1" s="1"/>
  <c r="C263" i="1" l="1"/>
  <c r="I390" i="1"/>
  <c r="D368" i="1"/>
  <c r="C363" i="1"/>
  <c r="C372" i="1" s="1"/>
  <c r="F21" i="2"/>
  <c r="F30" i="2" s="1"/>
  <c r="G30" i="2" s="1"/>
  <c r="C570" i="1"/>
  <c r="C255" i="1"/>
  <c r="I368" i="1"/>
  <c r="D317" i="1"/>
  <c r="D318" i="1"/>
  <c r="M468" i="1" s="1"/>
  <c r="H368" i="1"/>
  <c r="G387" i="1"/>
  <c r="G391" i="1" s="1"/>
  <c r="E387" i="1"/>
  <c r="E391" i="1" s="1"/>
  <c r="F387" i="1"/>
  <c r="F391" i="1" s="1"/>
  <c r="C277" i="1"/>
  <c r="C333" i="1" s="1"/>
  <c r="C20" i="3" s="1"/>
  <c r="C332" i="1"/>
  <c r="C19" i="3" s="1"/>
  <c r="F368" i="1"/>
  <c r="E368" i="1"/>
  <c r="G368" i="1"/>
  <c r="C568" i="1"/>
  <c r="D484" i="1"/>
  <c r="E242" i="1"/>
  <c r="G242" i="1"/>
  <c r="F242" i="1"/>
  <c r="D244" i="1"/>
  <c r="C242" i="1"/>
  <c r="D235" i="1"/>
  <c r="H235" i="1"/>
  <c r="C259" i="1"/>
  <c r="H244" i="1"/>
  <c r="D234" i="1"/>
  <c r="D243" i="1"/>
  <c r="H243" i="1"/>
  <c r="H234" i="1"/>
  <c r="F246" i="1"/>
  <c r="G233" i="1"/>
  <c r="H246" i="1"/>
  <c r="E246" i="1"/>
  <c r="C233" i="1"/>
  <c r="F233" i="1"/>
  <c r="D246" i="1"/>
  <c r="C246" i="1"/>
  <c r="G246" i="1"/>
  <c r="E233" i="1"/>
  <c r="H387" i="1"/>
  <c r="H391" i="1" s="1"/>
  <c r="D390" i="1"/>
  <c r="C365" i="1" l="1"/>
  <c r="C369" i="1" s="1"/>
  <c r="J400" i="1"/>
  <c r="C348" i="1"/>
  <c r="C35" i="3" s="1"/>
  <c r="L52" i="3"/>
  <c r="L55" i="3" s="1"/>
  <c r="L53" i="3" s="1"/>
  <c r="L54" i="3" s="1"/>
  <c r="F390" i="1"/>
  <c r="F486" i="1"/>
  <c r="E390" i="1"/>
  <c r="H390" i="1"/>
  <c r="C385" i="1"/>
  <c r="G390" i="1"/>
  <c r="F488" i="1"/>
  <c r="M469" i="1"/>
  <c r="M470" i="1" s="1"/>
  <c r="D485" i="1" s="1"/>
  <c r="D486" i="1" s="1"/>
  <c r="E336" i="1"/>
  <c r="F336" i="1"/>
  <c r="G336" i="1"/>
  <c r="H338" i="1"/>
  <c r="D338" i="1"/>
  <c r="C352" i="1"/>
  <c r="D328" i="1"/>
  <c r="D329" i="1"/>
  <c r="H329" i="1"/>
  <c r="C336" i="1"/>
  <c r="D337" i="1"/>
  <c r="H328" i="1"/>
  <c r="H337" i="1"/>
  <c r="C356" i="1"/>
  <c r="C43" i="3" s="1"/>
  <c r="F327" i="1"/>
  <c r="H340" i="1"/>
  <c r="H27" i="3" s="1"/>
  <c r="F340" i="1"/>
  <c r="F27" i="3" s="1"/>
  <c r="D340" i="1"/>
  <c r="D27" i="3" s="1"/>
  <c r="G340" i="1"/>
  <c r="G27" i="3" s="1"/>
  <c r="G327" i="1"/>
  <c r="C340" i="1"/>
  <c r="C27" i="3" s="1"/>
  <c r="E340" i="1"/>
  <c r="E27" i="3" s="1"/>
  <c r="E327" i="1"/>
  <c r="C327" i="1"/>
  <c r="C14" i="3" s="1"/>
  <c r="C572" i="1"/>
  <c r="E377" i="1"/>
  <c r="J377" i="1" s="1"/>
  <c r="C374" i="1"/>
  <c r="C378" i="1" s="1"/>
  <c r="C183" i="3"/>
  <c r="D35" i="2"/>
  <c r="C94" i="3"/>
  <c r="C368" i="1" l="1"/>
  <c r="C387" i="1"/>
  <c r="C391" i="1" s="1"/>
  <c r="C394" i="1"/>
  <c r="C396" i="1" s="1"/>
  <c r="C400" i="1" s="1"/>
  <c r="C377" i="1"/>
  <c r="C497" i="1"/>
  <c r="C493" i="1"/>
  <c r="C496" i="1"/>
  <c r="H493" i="1"/>
  <c r="D24" i="3"/>
  <c r="D505" i="1"/>
  <c r="D16" i="3"/>
  <c r="D495" i="1"/>
  <c r="E183" i="3"/>
  <c r="C195" i="3"/>
  <c r="E23" i="3"/>
  <c r="E504" i="1"/>
  <c r="E14" i="3"/>
  <c r="E493" i="1"/>
  <c r="F14" i="3"/>
  <c r="F493" i="1"/>
  <c r="D15" i="3"/>
  <c r="D494" i="1"/>
  <c r="F20" i="2"/>
  <c r="F29" i="2" s="1"/>
  <c r="C569" i="1"/>
  <c r="C571" i="1" s="1"/>
  <c r="I495" i="1"/>
  <c r="H16" i="3"/>
  <c r="C39" i="3"/>
  <c r="H504" i="1"/>
  <c r="E399" i="1"/>
  <c r="J399" i="1" s="1"/>
  <c r="G23" i="3"/>
  <c r="G504" i="1"/>
  <c r="E94" i="3"/>
  <c r="C104" i="3"/>
  <c r="I505" i="1"/>
  <c r="H24" i="3"/>
  <c r="D25" i="3"/>
  <c r="D506" i="1"/>
  <c r="G589" i="1"/>
  <c r="F589" i="1"/>
  <c r="D589" i="1"/>
  <c r="C589" i="1"/>
  <c r="I589" i="1"/>
  <c r="H589" i="1"/>
  <c r="E589" i="1"/>
  <c r="G14" i="3"/>
  <c r="G493" i="1"/>
  <c r="H15" i="3"/>
  <c r="I494" i="1"/>
  <c r="H25" i="3"/>
  <c r="I506" i="1"/>
  <c r="C23" i="3"/>
  <c r="C504" i="1"/>
  <c r="F23" i="3"/>
  <c r="F504" i="1"/>
  <c r="C399" i="1" l="1"/>
  <c r="C390" i="1"/>
  <c r="D548" i="1"/>
  <c r="D577" i="1"/>
  <c r="D516" i="1"/>
  <c r="C594" i="1"/>
  <c r="D549" i="1"/>
  <c r="D517" i="1"/>
  <c r="G547" i="1"/>
  <c r="G515" i="1"/>
  <c r="G577" i="1"/>
  <c r="I549" i="1"/>
  <c r="I517" i="1"/>
  <c r="D559" i="1"/>
  <c r="D528" i="1"/>
  <c r="F588" i="1"/>
  <c r="F590" i="1" s="1"/>
  <c r="E588" i="1"/>
  <c r="E590" i="1" s="1"/>
  <c r="C588" i="1"/>
  <c r="I588" i="1"/>
  <c r="I590" i="1" s="1"/>
  <c r="H588" i="1"/>
  <c r="H590" i="1" s="1"/>
  <c r="G588" i="1"/>
  <c r="G590" i="1" s="1"/>
  <c r="D588" i="1"/>
  <c r="D590" i="1" s="1"/>
  <c r="E578" i="1"/>
  <c r="E526" i="1"/>
  <c r="E557" i="1"/>
  <c r="D527" i="1"/>
  <c r="D578" i="1"/>
  <c r="D558" i="1"/>
  <c r="F547" i="1"/>
  <c r="F515" i="1"/>
  <c r="F577" i="1"/>
  <c r="E577" i="1"/>
  <c r="E547" i="1"/>
  <c r="E515" i="1"/>
  <c r="F578" i="1"/>
  <c r="F557" i="1"/>
  <c r="F526" i="1"/>
  <c r="G526" i="1"/>
  <c r="G578" i="1"/>
  <c r="G579" i="1" s="1"/>
  <c r="G557" i="1"/>
  <c r="C578" i="1"/>
  <c r="C557" i="1"/>
  <c r="C526" i="1"/>
  <c r="F31" i="2"/>
  <c r="G29" i="2"/>
  <c r="H515" i="1"/>
  <c r="H547" i="1"/>
  <c r="I559" i="1"/>
  <c r="I528" i="1"/>
  <c r="I527" i="1"/>
  <c r="I578" i="1"/>
  <c r="I558" i="1"/>
  <c r="C550" i="1"/>
  <c r="C518" i="1"/>
  <c r="H557" i="1"/>
  <c r="H579" i="1"/>
  <c r="H526" i="1"/>
  <c r="E195" i="3"/>
  <c r="D202" i="3" s="1"/>
  <c r="C547" i="1"/>
  <c r="C577" i="1"/>
  <c r="I516" i="1"/>
  <c r="I548" i="1"/>
  <c r="I577" i="1"/>
  <c r="E104" i="3"/>
  <c r="D110" i="3" s="1"/>
  <c r="C551" i="1"/>
  <c r="C519" i="1"/>
  <c r="C582" i="1" l="1"/>
  <c r="D579" i="1"/>
  <c r="F579" i="1"/>
  <c r="C593" i="1"/>
  <c r="C603" i="1" s="1"/>
  <c r="C590" i="1"/>
  <c r="I579" i="1"/>
  <c r="E579" i="1"/>
  <c r="C595" i="1"/>
  <c r="C604" i="1"/>
  <c r="C583" i="1"/>
  <c r="C584" i="1" s="1"/>
  <c r="C579" i="1"/>
  <c r="C93" i="3"/>
  <c r="C182" i="3"/>
  <c r="D34" i="2"/>
  <c r="G31" i="2"/>
  <c r="D36" i="2" s="1"/>
  <c r="D42" i="2" s="1"/>
  <c r="D45" i="2" l="1"/>
  <c r="D46" i="2"/>
  <c r="G46" i="2" s="1"/>
  <c r="G48" i="2" s="1"/>
  <c r="D48" i="3" s="1"/>
  <c r="D50" i="3" s="1"/>
  <c r="C194" i="3"/>
  <c r="E182" i="3"/>
  <c r="E184" i="3" s="1"/>
  <c r="C184" i="3"/>
  <c r="E93" i="3"/>
  <c r="E95" i="3" s="1"/>
  <c r="C103" i="3"/>
  <c r="C95" i="3"/>
  <c r="C608" i="1"/>
  <c r="C605" i="1"/>
  <c r="C609" i="1"/>
  <c r="C61" i="3" l="1"/>
  <c r="C60" i="3"/>
  <c r="C57" i="3"/>
  <c r="H57" i="3"/>
  <c r="C68" i="3"/>
  <c r="E57" i="3"/>
  <c r="E68" i="3"/>
  <c r="I70" i="3"/>
  <c r="D69" i="3"/>
  <c r="G68" i="3"/>
  <c r="F68" i="3"/>
  <c r="G57" i="3"/>
  <c r="I69" i="3"/>
  <c r="I58" i="3"/>
  <c r="D58" i="3"/>
  <c r="I59" i="3"/>
  <c r="D59" i="3"/>
  <c r="D70" i="3"/>
  <c r="H68" i="3"/>
  <c r="F57" i="3"/>
  <c r="E103" i="3"/>
  <c r="C105" i="3"/>
  <c r="E194" i="3"/>
  <c r="C196" i="3"/>
  <c r="C610" i="1"/>
  <c r="E81" i="3" l="1"/>
  <c r="D80" i="3"/>
  <c r="E80" i="3"/>
  <c r="D81" i="3"/>
  <c r="D82" i="3" s="1"/>
  <c r="D201" i="3"/>
  <c r="E196" i="3"/>
  <c r="I81" i="3"/>
  <c r="C81" i="3"/>
  <c r="I80" i="3"/>
  <c r="E105" i="3"/>
  <c r="D109" i="3"/>
  <c r="F80" i="3"/>
  <c r="G80" i="3"/>
  <c r="H80" i="3"/>
  <c r="H81" i="3"/>
  <c r="F81" i="3"/>
  <c r="C80" i="3"/>
  <c r="G81" i="3"/>
  <c r="F82" i="3" l="1"/>
  <c r="I82" i="3"/>
  <c r="C86" i="3"/>
  <c r="C82" i="3"/>
  <c r="H82" i="3"/>
  <c r="D111" i="3"/>
  <c r="G82" i="3"/>
  <c r="D203" i="3"/>
  <c r="C85" i="3"/>
  <c r="C109" i="3" s="1"/>
  <c r="E109" i="3" s="1"/>
  <c r="G109" i="3" s="1"/>
  <c r="E82" i="3"/>
  <c r="H128" i="3" l="1"/>
  <c r="H129" i="3"/>
  <c r="H121" i="3"/>
  <c r="I122" i="3"/>
  <c r="D123" i="3"/>
  <c r="C125" i="3"/>
  <c r="I123" i="3"/>
  <c r="C121" i="3"/>
  <c r="D122" i="3"/>
  <c r="C124" i="3"/>
  <c r="E121" i="3"/>
  <c r="F121" i="3"/>
  <c r="G121" i="3"/>
  <c r="C87" i="3"/>
  <c r="C110" i="3"/>
  <c r="U123" i="3" l="1"/>
  <c r="AC123" i="3" s="1"/>
  <c r="D145" i="3"/>
  <c r="D220" i="3"/>
  <c r="I145" i="3"/>
  <c r="I220" i="3"/>
  <c r="F169" i="3"/>
  <c r="F218" i="3"/>
  <c r="F143" i="3"/>
  <c r="W121" i="3"/>
  <c r="AE121" i="3" s="1"/>
  <c r="I219" i="3"/>
  <c r="I144" i="3"/>
  <c r="T121" i="3"/>
  <c r="AB121" i="3" s="1"/>
  <c r="C218" i="3"/>
  <c r="C169" i="3"/>
  <c r="G218" i="3"/>
  <c r="G143" i="3"/>
  <c r="X121" i="3"/>
  <c r="AF121" i="3" s="1"/>
  <c r="G169" i="3"/>
  <c r="H218" i="3"/>
  <c r="H143" i="3"/>
  <c r="Y121" i="3"/>
  <c r="AG121" i="3" s="1"/>
  <c r="H169" i="3"/>
  <c r="C222" i="3"/>
  <c r="C147" i="3"/>
  <c r="T125" i="3"/>
  <c r="AB125" i="3" s="1"/>
  <c r="E218" i="3"/>
  <c r="E143" i="3"/>
  <c r="V121" i="3"/>
  <c r="AD121" i="3" s="1"/>
  <c r="E169" i="3"/>
  <c r="C146" i="3"/>
  <c r="C221" i="3"/>
  <c r="T124" i="3"/>
  <c r="AB124" i="3" s="1"/>
  <c r="H226" i="3"/>
  <c r="H151" i="3"/>
  <c r="C111" i="3"/>
  <c r="E110" i="3"/>
  <c r="D169" i="3"/>
  <c r="D144" i="3"/>
  <c r="U122" i="3"/>
  <c r="AC122" i="3" s="1"/>
  <c r="D219" i="3"/>
  <c r="Y128" i="3"/>
  <c r="AG128" i="3" s="1"/>
  <c r="H225" i="3"/>
  <c r="H150" i="3"/>
  <c r="C174" i="3" l="1"/>
  <c r="C201" i="3" s="1"/>
  <c r="E201" i="3" s="1"/>
  <c r="G110" i="3"/>
  <c r="E111" i="3"/>
  <c r="H136" i="3" l="1"/>
  <c r="H137" i="3"/>
  <c r="D133" i="3"/>
  <c r="E132" i="3"/>
  <c r="D134" i="3"/>
  <c r="G132" i="3"/>
  <c r="F132" i="3"/>
  <c r="I133" i="3"/>
  <c r="H132" i="3"/>
  <c r="I134" i="3"/>
  <c r="C132" i="3"/>
  <c r="E170" i="3" l="1"/>
  <c r="E171" i="3" s="1"/>
  <c r="V131" i="3"/>
  <c r="AD131" i="3" s="1"/>
  <c r="E229" i="3"/>
  <c r="E154" i="3"/>
  <c r="D230" i="3"/>
  <c r="U132" i="3"/>
  <c r="AC132" i="3" s="1"/>
  <c r="D155" i="3"/>
  <c r="D170" i="3"/>
  <c r="D171" i="3" s="1"/>
  <c r="I230" i="3"/>
  <c r="I155" i="3"/>
  <c r="G170" i="3"/>
  <c r="G171" i="3" s="1"/>
  <c r="G154" i="3"/>
  <c r="X131" i="3"/>
  <c r="AF131" i="3" s="1"/>
  <c r="G229" i="3"/>
  <c r="C229" i="3"/>
  <c r="C170" i="3"/>
  <c r="C154" i="3"/>
  <c r="T131" i="3"/>
  <c r="AB131" i="3" s="1"/>
  <c r="H234" i="3"/>
  <c r="H159" i="3"/>
  <c r="F170" i="3"/>
  <c r="F171" i="3" s="1"/>
  <c r="F154" i="3"/>
  <c r="F229" i="3"/>
  <c r="W131" i="3"/>
  <c r="AE131" i="3" s="1"/>
  <c r="D231" i="3"/>
  <c r="U133" i="3"/>
  <c r="AC133" i="3" s="1"/>
  <c r="D156" i="3"/>
  <c r="I156" i="3"/>
  <c r="I231" i="3"/>
  <c r="H154" i="3"/>
  <c r="Y131" i="3"/>
  <c r="AG131" i="3" s="1"/>
  <c r="H170" i="3"/>
  <c r="H171" i="3" s="1"/>
  <c r="H229" i="3"/>
  <c r="H233" i="3"/>
  <c r="Y135" i="3"/>
  <c r="AG135" i="3" s="1"/>
  <c r="H158" i="3"/>
  <c r="C171" i="3" l="1"/>
  <c r="C175" i="3"/>
  <c r="C202" i="3" l="1"/>
  <c r="C176" i="3"/>
  <c r="C203" i="3" l="1"/>
  <c r="E202" i="3"/>
  <c r="E203" i="3" s="1"/>
</calcChain>
</file>

<file path=xl/sharedStrings.xml><?xml version="1.0" encoding="utf-8"?>
<sst xmlns="http://schemas.openxmlformats.org/spreadsheetml/2006/main" count="1130" uniqueCount="406">
  <si>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</si>
  <si>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</si>
  <si>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</si>
  <si>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</si>
  <si>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</si>
  <si>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</si>
  <si>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</si>
  <si>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</si>
  <si>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</si>
  <si>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</si>
  <si>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</si>
  <si>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</si>
  <si>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</si>
  <si>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</si>
  <si>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</si>
  <si>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</si>
  <si>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</si>
  <si>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</si>
  <si>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</si>
  <si>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</si>
  <si>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</si>
  <si>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</si>
  <si>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</si>
  <si>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</si>
  <si>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</si>
  <si>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</si>
  <si>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</si>
  <si>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</si>
  <si>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</si>
  <si>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</si>
  <si>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SC1 TOD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</si>
  <si>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</si>
  <si>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</si>
  <si>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</si>
  <si>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</si>
  <si>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</si>
  <si>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</si>
  <si>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</si>
  <si>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</si>
  <si>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</si>
  <si>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</si>
  <si>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</si>
  <si>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</si>
  <si>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</si>
  <si>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</si>
  <si>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</si>
  <si>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</si>
  <si>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</si>
  <si>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</si>
  <si>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</si>
  <si>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</si>
  <si>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</si>
  <si>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</si>
  <si>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</si>
  <si>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</si>
  <si>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</si>
  <si>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</si>
  <si>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</si>
  <si>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</si>
  <si>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</si>
  <si>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</si>
  <si>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</si>
  <si>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</si>
  <si>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</si>
  <si>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</si>
  <si>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</si>
  <si>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</si>
  <si>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</si>
  <si>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</si>
  <si>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</si>
  <si>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</si>
  <si>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</si>
  <si>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</si>
  <si>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</si>
  <si>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</si>
  <si>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</si>
  <si>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</si>
  <si>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</si>
  <si>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</si>
  <si>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</si>
  <si>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</si>
  <si>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</si>
  <si>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</si>
  <si>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</si>
  <si>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</si>
  <si>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</si>
  <si>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</si>
  <si>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</si>
  <si>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</si>
  <si>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</si>
  <si>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</si>
  <si>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</si>
  <si>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</si>
  <si>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</si>
  <si>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</si>
  <si>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</si>
  <si>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</si>
  <si>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</si>
  <si>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</si>
  <si>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</si>
  <si>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</si>
  <si>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</si>
  <si>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</si>
  <si>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</si>
  <si>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</si>
  <si>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</si>
  <si>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</si>
  <si>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</si>
  <si>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</si>
  <si>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</si>
  <si>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</si>
  <si>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</si>
  <si>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</si>
  <si>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</si>
  <si>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</si>
  <si>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</si>
  <si>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</si>
  <si>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</si>
  <si>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</si>
  <si>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</si>
  <si>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</si>
  <si>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</si>
  <si>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</si>
  <si>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</si>
  <si>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</si>
  <si>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</si>
  <si>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</si>
  <si>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</si>
  <si>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</si>
  <si>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</si>
  <si>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</si>
  <si>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</si>
  <si>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</si>
  <si>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</si>
  <si>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</si>
  <si>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</si>
  <si>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</si>
  <si>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</si>
  <si>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</si>
  <si>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</si>
  <si>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</si>
  <si>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</si>
  <si>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</si>
  <si>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</si>
  <si>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</si>
  <si>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</si>
  <si>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</si>
  <si>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</si>
  <si>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</si>
  <si>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</si>
  <si>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</si>
  <si>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</si>
  <si>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</si>
  <si>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</si>
  <si>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</si>
  <si>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</si>
  <si>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</si>
  <si>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</si>
  <si>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</si>
  <si>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</si>
  <si>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</si>
  <si>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</si>
  <si>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</si>
  <si>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</si>
  <si>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</si>
  <si>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</si>
  <si>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</si>
  <si>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</si>
  <si>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</si>
  <si>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</si>
  <si>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</si>
  <si>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</si>
  <si>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</si>
  <si>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</si>
  <si>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</si>
  <si>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</si>
  <si>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</si>
  <si>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</si>
  <si>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</si>
  <si>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</si>
  <si>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</si>
  <si>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</si>
  <si>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</si>
  <si>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</si>
  <si>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</si>
  <si>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</si>
  <si>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</si>
  <si>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</si>
  <si>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</si>
  <si>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</si>
  <si>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</si>
  <si>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</si>
  <si>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</si>
  <si>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</si>
  <si>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</si>
  <si>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</si>
  <si>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</si>
  <si>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</si>
  <si>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</si>
  <si>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</si>
  <si>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</si>
  <si>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</si>
  <si>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</si>
  <si>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</si>
  <si>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</si>
  <si>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</si>
  <si>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</si>
  <si>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</si>
  <si>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</si>
  <si>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</si>
  <si>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</si>
  <si>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</si>
  <si>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</si>
  <si>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</si>
  <si>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</si>
  <si>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</si>
  <si>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</si>
  <si>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</si>
  <si>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</si>
  <si>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</si>
  <si>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</si>
  <si>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</si>
  <si>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</si>
  <si>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</si>
  <si>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</si>
  <si>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</si>
  <si>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</si>
  <si>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</si>
  <si>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</si>
  <si>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</si>
  <si>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</si>
  <si>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</si>
  <si>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</si>
  <si>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</si>
  <si>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</si>
  <si>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</si>
  <si>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</si>
  <si>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</si>
  <si>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</si>
  <si>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</si>
  <si>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</si>
  <si>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</si>
  <si>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</si>
  <si>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</si>
  <si>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</si>
  <si>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</si>
  <si>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</si>
  <si>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</si>
  <si>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</si>
  <si>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</si>
  <si>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</si>
  <si>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</si>
  <si>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</si>
  <si>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</si>
  <si>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</si>
  <si>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>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</si>
  <si>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</si>
  <si>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</si>
  <si>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</si>
  <si>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</si>
  <si>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</si>
  <si>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</si>
  <si>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</si>
  <si>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</si>
  <si>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</si>
  <si>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</si>
  <si>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</si>
  <si>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</si>
  <si>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</si>
  <si>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</si>
  <si>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</si>
  <si>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</si>
  <si>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</si>
  <si>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</si>
  <si>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</si>
  <si>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</si>
  <si>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</si>
  <si>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</si>
  <si>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</si>
  <si>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</si>
  <si>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</si>
  <si>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</si>
  <si>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</si>
  <si>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</si>
  <si>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</si>
  <si>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</si>
  <si>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</si>
  <si>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</si>
  <si>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</si>
  <si>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</si>
  <si>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</si>
  <si>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</si>
  <si>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</si>
  <si>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</si>
  <si>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</si>
  <si>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</si>
  <si>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</si>
  <si>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</si>
  <si>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</si>
  <si>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</si>
  <si>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</si>
  <si>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</si>
  <si>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</si>
  <si>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</si>
  <si>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</si>
  <si>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</si>
  <si>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</si>
  <si>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2024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</si>
  <si>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</si>
  <si>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</si>
  <si>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</si>
  <si>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</si>
  <si>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</si>
  <si>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 xml:space="preserve">= 2(a) + 2(b) </t>
  </si>
  <si>
    <t>Weighted Avg BGS</t>
  </si>
  <si>
    <t>= (1) / Total Tranches * (3)</t>
  </si>
  <si>
    <t>Weighted Avg Trans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</si>
  <si>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</si>
  <si>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</si>
  <si>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</si>
  <si>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</si>
  <si>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</si>
  <si>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</si>
  <si>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</si>
  <si>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</si>
  <si>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</si>
  <si>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</si>
  <si>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</si>
  <si>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(3) / 100 * (6) * (8) * 1,000</t>
  </si>
  <si>
    <t>= (1) / Total Tranches * (3) / 100* (7) * (9) * 1,000</t>
  </si>
  <si>
    <t>= (11) + (12)</t>
  </si>
  <si>
    <t>Average Cost (NJ Statewide Auction)</t>
  </si>
  <si>
    <t>= sum(line 11) / (8) / 1000 * 100  rounded to 3 decimal places</t>
  </si>
  <si>
    <t>= sum(line 12) / (9) / 1000 * 100  rounded to 3 decimal places</t>
  </si>
  <si>
    <t>= sum(line 13) / (10)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</si>
  <si>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</si>
  <si>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</si>
  <si>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</si>
  <si>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</si>
  <si>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</si>
  <si>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</si>
  <si>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Transmission</t>
  </si>
  <si>
    <t>= (19) - (20)</t>
  </si>
  <si>
    <t>= (17) / Total Tranches * (18)</t>
  </si>
  <si>
    <t>= (17) / Total Tranches * (19)</t>
  </si>
  <si>
    <t>Weighted Avg Total Price</t>
  </si>
  <si>
    <t>= (19)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</si>
  <si>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</si>
  <si>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</si>
  <si>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</si>
  <si>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</si>
  <si>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</si>
  <si>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</si>
  <si>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</si>
  <si>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</si>
  <si>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</si>
  <si>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</si>
  <si>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</si>
  <si>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</si>
  <si>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</si>
  <si>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</si>
  <si>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</si>
  <si>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</si>
  <si>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</si>
  <si>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</si>
  <si>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</si>
  <si>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</si>
  <si>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</si>
  <si>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</si>
  <si>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</si>
  <si>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</si>
  <si>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</si>
  <si>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</si>
  <si>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</si>
  <si>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</si>
  <si>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</si>
  <si>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</si>
  <si>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</si>
  <si>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</si>
  <si>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</si>
  <si>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</si>
  <si>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</si>
  <si>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</si>
  <si>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</si>
  <si>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</si>
  <si>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</si>
  <si>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</si>
  <si>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</si>
  <si>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</si>
  <si>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</si>
  <si>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</si>
  <si>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</si>
  <si>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</si>
  <si>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</si>
  <si>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</si>
  <si>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</si>
  <si>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</si>
  <si>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</si>
  <si>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</si>
  <si>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</si>
  <si>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</si>
  <si>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</si>
  <si>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</si>
  <si>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</si>
  <si>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2024 to May 2025 Forwards @ PJM West as of June 01, 2023</t>
  </si>
  <si>
    <t>Based on Jun 2024 to May 2025 Forwards @ NYISO Zone G and Lower Hudson Valley (LHV) as of June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</si>
</sst>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#,##0.000_);\(#,##0.000\)"/>
    <numFmt numFmtId="179" formatCode="_(* #,##0.000000_);_(* \(#,##0.000000\);_(* &quot;-&quot;??_);_(@_)"/>
    <numFmt numFmtId="180" formatCode="0.00_);\(0.00\)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1" fontId="4" fillId="0" borderId="0" xfId="1" applyNumberFormat="1" applyFont="1" applyFill="1"/>
    <xf numFmtId="10" fontId="1" fillId="0" borderId="0" xfId="3" quotePrefix="1" applyNumberFormat="1" applyFont="1" applyFill="1"/>
    <xf numFmtId="164" fontId="1" fillId="0" borderId="0" xfId="3" quotePrefix="1" applyNumberFormat="1" applyFont="1" applyFill="1"/>
    <xf numFmtId="9" fontId="1" fillId="0" borderId="0" xfId="3" quotePrefix="1" applyFont="1" applyFill="1"/>
    <xf numFmtId="10" fontId="1" fillId="0" borderId="0" xfId="3" applyNumberFormat="1" applyFont="1" applyFill="1"/>
    <xf numFmtId="9" fontId="1" fillId="0" borderId="0" xfId="3" applyFont="1" applyFill="1"/>
    <xf numFmtId="9" fontId="7" fillId="0" borderId="0" xfId="3" applyFont="1" applyFill="1"/>
    <xf numFmtId="9" fontId="1" fillId="0" borderId="0" xfId="3" quotePrefix="1" applyFont="1" applyFill="1" applyAlignment="1">
      <alignment horizontal="center"/>
    </xf>
    <xf numFmtId="164" fontId="1" fillId="0" borderId="0" xfId="3" quotePrefix="1" applyNumberFormat="1" applyFont="1" applyFill="1" applyAlignment="1">
      <alignment horizontal="right"/>
    </xf>
    <xf numFmtId="44" fontId="1" fillId="0" borderId="0" xfId="2" quotePrefix="1" applyFont="1" applyFill="1"/>
    <xf numFmtId="166" fontId="1" fillId="0" borderId="0" xfId="2" applyNumberFormat="1" applyFont="1" applyFill="1" applyBorder="1"/>
    <xf numFmtId="44" fontId="1" fillId="0" borderId="0" xfId="2" applyFont="1" applyFill="1"/>
    <xf numFmtId="166" fontId="1" fillId="0" borderId="0" xfId="2" quotePrefix="1" applyNumberFormat="1" applyFont="1" applyFill="1"/>
    <xf numFmtId="166" fontId="1" fillId="0" borderId="0" xfId="2" applyNumberFormat="1" applyFont="1" applyFill="1"/>
    <xf numFmtId="43" fontId="1" fillId="0" borderId="0" xfId="1" applyFont="1" applyFill="1"/>
    <xf numFmtId="7" fontId="1" fillId="0" borderId="0" xfId="2" applyNumberFormat="1" applyFont="1" applyFill="1"/>
    <xf numFmtId="44" fontId="1" fillId="0" borderId="0" xfId="2" quotePrefix="1" applyFont="1" applyFill="1" applyAlignment="1">
      <alignment horizontal="left"/>
    </xf>
    <xf numFmtId="171" fontId="1" fillId="0" borderId="0" xfId="2" quotePrefix="1" applyNumberFormat="1" applyFont="1" applyFill="1"/>
    <xf numFmtId="171" fontId="12" fillId="0" borderId="0" xfId="2" quotePrefix="1" applyNumberFormat="1" applyFont="1" applyFill="1"/>
    <xf numFmtId="44" fontId="12" fillId="0" borderId="0" xfId="2" applyFont="1" applyFill="1"/>
    <xf numFmtId="166" fontId="1" fillId="0" borderId="0" xfId="2" quotePrefix="1" applyNumberFormat="1" applyFont="1" applyFill="1" applyAlignment="1">
      <alignment horizontal="left"/>
    </xf>
    <xf numFmtId="173" fontId="4" fillId="0" borderId="0" xfId="1" quotePrefix="1" applyNumberFormat="1" applyFont="1" applyFill="1" applyBorder="1"/>
    <xf numFmtId="43" fontId="1" fillId="0" borderId="0" xfId="1" quotePrefix="1" applyFont="1" applyFill="1" applyBorder="1"/>
    <xf numFmtId="43" fontId="1" fillId="0" borderId="0" xfId="1" quotePrefix="1" applyFont="1" applyFill="1"/>
    <xf numFmtId="43" fontId="4" fillId="0" borderId="0" xfId="1" quotePrefix="1" applyFont="1" applyFill="1" applyBorder="1"/>
    <xf numFmtId="44" fontId="4" fillId="0" borderId="0" xfId="2" quotePrefix="1" applyFont="1" applyFill="1" applyBorder="1"/>
    <xf numFmtId="173" fontId="1" fillId="0" borderId="0" xfId="1" quotePrefix="1" applyNumberFormat="1" applyFont="1" applyFill="1" applyBorder="1"/>
    <xf numFmtId="174" fontId="4" fillId="0" borderId="0" xfId="1" quotePrefix="1" applyNumberFormat="1" applyFont="1" applyFill="1"/>
    <xf numFmtId="173" fontId="1" fillId="0" borderId="0" xfId="1" quotePrefix="1" applyNumberFormat="1" applyFont="1" applyFill="1"/>
    <xf numFmtId="43" fontId="4" fillId="0" borderId="0" xfId="1" quotePrefix="1" applyFont="1" applyFill="1"/>
    <xf numFmtId="173" fontId="4" fillId="0" borderId="0" xfId="1" quotePrefix="1" applyNumberFormat="1" applyFont="1" applyFill="1"/>
    <xf numFmtId="166" fontId="1" fillId="0" borderId="0" xfId="3" applyNumberFormat="1" applyFont="1" applyFill="1"/>
    <xf numFmtId="174" fontId="4" fillId="0" borderId="0" xfId="1" applyNumberFormat="1" applyFont="1" applyFill="1"/>
    <xf numFmtId="43" fontId="4" fillId="0" borderId="0" xfId="1" applyFont="1" applyFill="1"/>
    <xf numFmtId="9" fontId="1" fillId="0" borderId="0" xfId="1" applyNumberFormat="1" applyFont="1" applyFill="1"/>
    <xf numFmtId="164" fontId="10" fillId="0" borderId="0" xfId="3" applyNumberFormat="1" applyFont="1" applyFill="1"/>
    <xf numFmtId="43" fontId="1" fillId="0" borderId="0" xfId="2" applyNumberFormat="1" applyFont="1" applyFill="1"/>
    <xf numFmtId="7" fontId="1" fillId="0" borderId="0" xfId="3" applyNumberFormat="1" applyFont="1" applyFill="1"/>
    <xf numFmtId="169" fontId="1" fillId="0" borderId="0" xfId="1" applyNumberFormat="1" applyFont="1" applyFill="1"/>
    <xf numFmtId="179" fontId="1" fillId="0" borderId="0" xfId="1" quotePrefix="1" applyNumberFormat="1" applyFont="1" applyFill="1"/>
    <xf numFmtId="174" fontId="1" fillId="0" borderId="0" xfId="1" quotePrefix="1" applyNumberFormat="1" applyFont="1" applyFill="1"/>
    <xf numFmtId="166" fontId="10" fillId="0" borderId="0" xfId="2" applyNumberFormat="1" applyFont="1" applyFill="1"/>
    <xf numFmtId="166" fontId="10" fillId="0" borderId="0" xfId="2" quotePrefix="1" applyNumberFormat="1" applyFont="1" applyFill="1"/>
    <xf numFmtId="177" fontId="8" fillId="0" borderId="0" xfId="3" applyNumberFormat="1" applyFont="1" applyFill="1"/>
    <xf numFmtId="43" fontId="19" fillId="0" borderId="0" xfId="1" applyFont="1" applyFill="1" applyAlignment="1">
      <alignment horizontal="right"/>
    </xf>
    <xf numFmtId="169" fontId="1" fillId="0" borderId="0" xfId="1" applyNumberFormat="1" applyFont="1" applyFill="1" applyBorder="1" applyAlignment="1">
      <alignment horizontal="right"/>
    </xf>
    <xf numFmtId="169" fontId="1" fillId="0" borderId="9" xfId="1" applyNumberFormat="1" applyFont="1" applyFill="1" applyBorder="1" applyAlignment="1">
      <alignment horizontal="right"/>
    </xf>
    <xf numFmtId="169" fontId="4" fillId="0" borderId="19" xfId="1" applyNumberFormat="1" applyFont="1" applyFill="1" applyBorder="1" applyAlignment="1">
      <alignment horizontal="right"/>
    </xf>
    <xf numFmtId="43" fontId="1" fillId="0" borderId="8" xfId="1" quotePrefix="1" applyFont="1" applyFill="1" applyBorder="1"/>
    <xf numFmtId="0" fontId="1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quotePrefix="1" applyFont="1" applyFill="1"/>
    <xf numFmtId="39" fontId="1" fillId="0" borderId="0" xfId="0" quotePrefix="1" applyNumberFormat="1" applyFont="1" applyFill="1"/>
    <xf numFmtId="0" fontId="7" fillId="0" borderId="0" xfId="0" applyFont="1" applyFill="1"/>
    <xf numFmtId="0" fontId="4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7" fillId="0" borderId="0" xfId="0" quotePrefix="1" applyFont="1" applyFill="1"/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" fontId="1" fillId="0" borderId="0" xfId="0" applyNumberFormat="1" applyFont="1" applyFill="1"/>
    <xf numFmtId="10" fontId="1" fillId="0" borderId="0" xfId="0" applyNumberFormat="1" applyFont="1" applyFill="1"/>
    <xf numFmtId="0" fontId="7" fillId="0" borderId="0" xfId="0" quotePrefix="1" applyFont="1" applyFill="1" applyAlignment="1">
      <alignment horizontal="center" wrapText="1"/>
    </xf>
    <xf numFmtId="17" fontId="4" fillId="0" borderId="0" xfId="0" applyNumberFormat="1" applyFont="1" applyFill="1"/>
    <xf numFmtId="0" fontId="4" fillId="0" borderId="0" xfId="0" applyFont="1" applyFill="1"/>
    <xf numFmtId="17" fontId="7" fillId="0" borderId="0" xfId="0" quotePrefix="1" applyNumberFormat="1" applyFont="1" applyFill="1" applyAlignment="1">
      <alignment horizontal="left"/>
    </xf>
    <xf numFmtId="0" fontId="9" fillId="0" borderId="0" xfId="0" applyFont="1" applyFill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 applyAlignment="1">
      <alignment horizontal="right"/>
    </xf>
    <xf numFmtId="3" fontId="1" fillId="0" borderId="0" xfId="0" quotePrefix="1" applyNumberFormat="1" applyFont="1" applyFill="1"/>
    <xf numFmtId="0" fontId="1" fillId="0" borderId="0" xfId="0" quotePrefix="1" applyFont="1" applyFill="1" applyAlignment="1">
      <alignment horizontal="right"/>
    </xf>
    <xf numFmtId="3" fontId="10" fillId="0" borderId="0" xfId="0" applyNumberFormat="1" applyFont="1" applyFill="1"/>
    <xf numFmtId="17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8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4" xfId="0" applyFont="1" applyFill="1" applyBorder="1"/>
    <xf numFmtId="0" fontId="4" fillId="0" borderId="5" xfId="0" applyFont="1" applyFill="1" applyBorder="1" applyAlignment="1">
      <alignment horizontal="center"/>
    </xf>
    <xf numFmtId="3" fontId="1" fillId="0" borderId="4" xfId="0" applyNumberFormat="1" applyFont="1" applyFill="1" applyBorder="1"/>
    <xf numFmtId="4" fontId="1" fillId="0" borderId="0" xfId="0" applyNumberFormat="1" applyFont="1" applyFill="1"/>
    <xf numFmtId="3" fontId="1" fillId="0" borderId="0" xfId="0" quotePrefix="1" applyNumberFormat="1" applyFont="1" applyFill="1" applyAlignment="1">
      <alignment horizontal="right"/>
    </xf>
    <xf numFmtId="165" fontId="1" fillId="0" borderId="0" xfId="0" applyNumberFormat="1" applyFont="1" applyFill="1"/>
    <xf numFmtId="0" fontId="8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9" fillId="0" borderId="0" xfId="0" applyFont="1" applyFill="1"/>
    <xf numFmtId="17" fontId="1" fillId="0" borderId="0" xfId="0" applyNumberFormat="1" applyFont="1" applyFill="1" applyAlignment="1">
      <alignment horizontal="right"/>
    </xf>
    <xf numFmtId="44" fontId="1" fillId="0" borderId="0" xfId="0" applyNumberFormat="1" applyFont="1" applyFill="1"/>
    <xf numFmtId="166" fontId="1" fillId="0" borderId="0" xfId="0" applyNumberFormat="1" applyFont="1" applyFill="1"/>
    <xf numFmtId="39" fontId="1" fillId="0" borderId="0" xfId="0" applyNumberFormat="1" applyFont="1" applyFill="1"/>
    <xf numFmtId="14" fontId="1" fillId="0" borderId="0" xfId="0" applyNumberFormat="1" applyFont="1" applyFill="1"/>
    <xf numFmtId="167" fontId="1" fillId="0" borderId="0" xfId="0" applyNumberFormat="1" applyFont="1" applyFill="1"/>
    <xf numFmtId="168" fontId="1" fillId="0" borderId="0" xfId="0" applyNumberFormat="1" applyFont="1" applyFill="1"/>
    <xf numFmtId="168" fontId="4" fillId="0" borderId="0" xfId="0" applyNumberFormat="1" applyFont="1" applyFill="1"/>
    <xf numFmtId="169" fontId="1" fillId="0" borderId="0" xfId="0" applyNumberFormat="1" applyFont="1" applyFill="1"/>
    <xf numFmtId="168" fontId="1" fillId="0" borderId="0" xfId="0" applyNumberFormat="1" applyFont="1" applyFill="1" applyAlignment="1">
      <alignment horizontal="right"/>
    </xf>
    <xf numFmtId="0" fontId="1" fillId="0" borderId="0" xfId="0" quotePrefix="1" applyFont="1" applyFill="1"/>
    <xf numFmtId="43" fontId="1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70" fontId="1" fillId="0" borderId="0" xfId="0" applyNumberFormat="1" applyFont="1" applyFill="1"/>
    <xf numFmtId="7" fontId="1" fillId="0" borderId="0" xfId="0" applyNumberFormat="1" applyFont="1" applyFill="1"/>
    <xf numFmtId="5" fontId="1" fillId="0" borderId="0" xfId="0" applyNumberFormat="1" applyFont="1" applyFill="1"/>
    <xf numFmtId="0" fontId="10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right"/>
    </xf>
    <xf numFmtId="171" fontId="1" fillId="0" borderId="0" xfId="0" applyNumberFormat="1" applyFont="1" applyFill="1"/>
    <xf numFmtId="0" fontId="10" fillId="0" borderId="0" xfId="0" applyFont="1" applyFill="1" applyAlignment="1">
      <alignment horizontal="left"/>
    </xf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/>
    <xf numFmtId="17" fontId="10" fillId="0" borderId="0" xfId="0" applyNumberFormat="1" applyFont="1" applyFill="1" applyAlignment="1">
      <alignment horizontal="left"/>
    </xf>
    <xf numFmtId="0" fontId="10" fillId="0" borderId="4" xfId="0" quotePrefix="1" applyFont="1" applyFill="1" applyBorder="1" applyAlignment="1">
      <alignment horizontal="left"/>
    </xf>
    <xf numFmtId="0" fontId="13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9" fontId="12" fillId="0" borderId="0" xfId="0" applyNumberFormat="1" applyFont="1" applyFill="1"/>
    <xf numFmtId="3" fontId="12" fillId="0" borderId="0" xfId="0" quotePrefix="1" applyNumberFormat="1" applyFont="1" applyFill="1"/>
    <xf numFmtId="3" fontId="12" fillId="0" borderId="0" xfId="0" applyNumberFormat="1" applyFont="1" applyFill="1"/>
    <xf numFmtId="4" fontId="12" fillId="0" borderId="0" xfId="0" applyNumberFormat="1" applyFont="1" applyFill="1"/>
    <xf numFmtId="0" fontId="13" fillId="0" borderId="0" xfId="0" applyFont="1" applyFill="1" applyAlignment="1">
      <alignment horizontal="left"/>
    </xf>
    <xf numFmtId="0" fontId="12" fillId="0" borderId="0" xfId="0" quotePrefix="1" applyFont="1" applyFill="1"/>
    <xf numFmtId="44" fontId="12" fillId="0" borderId="0" xfId="0" applyNumberFormat="1" applyFont="1" applyFill="1"/>
    <xf numFmtId="166" fontId="1" fillId="0" borderId="6" xfId="0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3" fontId="1" fillId="0" borderId="9" xfId="0" applyNumberFormat="1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72" fontId="1" fillId="0" borderId="0" xfId="0" applyNumberFormat="1" applyFont="1" applyFill="1"/>
    <xf numFmtId="0" fontId="4" fillId="0" borderId="0" xfId="0" quotePrefix="1" applyFont="1" applyFill="1" applyAlignment="1">
      <alignment horizontal="right"/>
    </xf>
    <xf numFmtId="0" fontId="4" fillId="0" borderId="4" xfId="0" applyFont="1" applyFill="1" applyBorder="1"/>
    <xf numFmtId="171" fontId="4" fillId="0" borderId="0" xfId="0" applyNumberFormat="1" applyFont="1" applyFill="1"/>
    <xf numFmtId="17" fontId="1" fillId="0" borderId="0" xfId="0" quotePrefix="1" applyNumberFormat="1" applyFont="1" applyFill="1" applyAlignment="1">
      <alignment horizontal="right"/>
    </xf>
    <xf numFmtId="44" fontId="4" fillId="0" borderId="0" xfId="0" applyNumberFormat="1" applyFont="1" applyFill="1"/>
    <xf numFmtId="0" fontId="1" fillId="0" borderId="4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left"/>
    </xf>
    <xf numFmtId="17" fontId="10" fillId="0" borderId="0" xfId="0" quotePrefix="1" applyNumberFormat="1" applyFont="1" applyFill="1" applyAlignment="1">
      <alignment horizontal="left"/>
    </xf>
    <xf numFmtId="0" fontId="9" fillId="0" borderId="0" xfId="0" quotePrefix="1" applyFont="1" applyFill="1" applyAlignment="1">
      <alignment horizontal="right"/>
    </xf>
    <xf numFmtId="173" fontId="4" fillId="0" borderId="0" xfId="0" applyNumberFormat="1" applyFont="1" applyFill="1"/>
    <xf numFmtId="173" fontId="1" fillId="0" borderId="0" xfId="0" applyNumberFormat="1" applyFont="1" applyFill="1"/>
    <xf numFmtId="166" fontId="1" fillId="0" borderId="0" xfId="0" quotePrefix="1" applyNumberFormat="1" applyFont="1" applyFill="1" applyAlignment="1">
      <alignment horizontal="left"/>
    </xf>
    <xf numFmtId="0" fontId="1" fillId="0" borderId="9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9" fillId="0" borderId="5" xfId="0" applyFont="1" applyFill="1" applyBorder="1" applyAlignment="1">
      <alignment horizontal="right"/>
    </xf>
    <xf numFmtId="175" fontId="1" fillId="0" borderId="0" xfId="0" applyNumberFormat="1" applyFont="1" applyFill="1"/>
    <xf numFmtId="4" fontId="1" fillId="0" borderId="5" xfId="0" applyNumberFormat="1" applyFont="1" applyFill="1" applyBorder="1"/>
    <xf numFmtId="164" fontId="1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7" fontId="1" fillId="0" borderId="0" xfId="0" applyNumberFormat="1" applyFont="1" applyFill="1" applyAlignment="1">
      <alignment horizontal="right"/>
    </xf>
    <xf numFmtId="0" fontId="15" fillId="0" borderId="6" xfId="0" applyFont="1" applyFill="1" applyBorder="1"/>
    <xf numFmtId="2" fontId="1" fillId="0" borderId="12" xfId="0" applyNumberFormat="1" applyFont="1" applyFill="1" applyBorder="1"/>
    <xf numFmtId="0" fontId="15" fillId="0" borderId="8" xfId="0" applyFont="1" applyFill="1" applyBorder="1"/>
    <xf numFmtId="2" fontId="1" fillId="0" borderId="0" xfId="0" applyNumberFormat="1" applyFont="1" applyFill="1"/>
    <xf numFmtId="176" fontId="1" fillId="0" borderId="0" xfId="0" applyNumberFormat="1" applyFont="1" applyFill="1"/>
    <xf numFmtId="0" fontId="15" fillId="0" borderId="10" xfId="0" applyFont="1" applyFill="1" applyBorder="1"/>
    <xf numFmtId="2" fontId="1" fillId="0" borderId="13" xfId="0" applyNumberFormat="1" applyFont="1" applyFill="1" applyBorder="1"/>
    <xf numFmtId="0" fontId="1" fillId="0" borderId="11" xfId="0" applyFont="1" applyFill="1" applyBorder="1"/>
    <xf numFmtId="0" fontId="15" fillId="0" borderId="0" xfId="0" applyFont="1" applyFill="1"/>
    <xf numFmtId="0" fontId="4" fillId="0" borderId="14" xfId="0" applyFont="1" applyFill="1" applyBorder="1" applyAlignment="1">
      <alignment horizontal="left"/>
    </xf>
    <xf numFmtId="0" fontId="1" fillId="0" borderId="14" xfId="0" applyFont="1" applyFill="1" applyBorder="1"/>
    <xf numFmtId="44" fontId="8" fillId="0" borderId="0" xfId="0" quotePrefix="1" applyNumberFormat="1" applyFont="1" applyFill="1"/>
    <xf numFmtId="44" fontId="10" fillId="0" borderId="0" xfId="0" applyNumberFormat="1" applyFont="1" applyFill="1"/>
    <xf numFmtId="44" fontId="15" fillId="0" borderId="0" xfId="0" applyNumberFormat="1" applyFont="1" applyFill="1"/>
    <xf numFmtId="176" fontId="1" fillId="0" borderId="0" xfId="0" applyNumberFormat="1" applyFont="1" applyFill="1" applyAlignment="1">
      <alignment horizontal="left"/>
    </xf>
    <xf numFmtId="0" fontId="10" fillId="0" borderId="0" xfId="0" applyFont="1" applyFill="1"/>
    <xf numFmtId="177" fontId="1" fillId="0" borderId="0" xfId="0" applyNumberFormat="1" applyFont="1" applyFill="1"/>
    <xf numFmtId="178" fontId="1" fillId="0" borderId="0" xfId="0" applyNumberFormat="1" applyFont="1" applyFill="1"/>
    <xf numFmtId="170" fontId="1" fillId="0" borderId="0" xfId="0" quotePrefix="1" applyNumberFormat="1" applyFont="1" applyFill="1" applyAlignment="1">
      <alignment horizontal="right"/>
    </xf>
    <xf numFmtId="2" fontId="1" fillId="0" borderId="0" xfId="0" quotePrefix="1" applyNumberFormat="1" applyFont="1" applyFill="1" applyAlignment="1">
      <alignment horizontal="right"/>
    </xf>
    <xf numFmtId="166" fontId="10" fillId="0" borderId="0" xfId="0" applyNumberFormat="1" applyFont="1" applyFill="1"/>
    <xf numFmtId="166" fontId="4" fillId="0" borderId="0" xfId="0" applyNumberFormat="1" applyFont="1" applyFill="1"/>
    <xf numFmtId="166" fontId="10" fillId="0" borderId="0" xfId="0" quotePrefix="1" applyNumberFormat="1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5" fillId="0" borderId="0" xfId="0" quotePrefix="1" applyFont="1" applyFill="1" applyAlignment="1">
      <alignment horizontal="left"/>
    </xf>
    <xf numFmtId="170" fontId="15" fillId="0" borderId="0" xfId="0" applyNumberFormat="1" applyFont="1" applyFill="1"/>
    <xf numFmtId="170" fontId="18" fillId="0" borderId="0" xfId="0" applyNumberFormat="1" applyFont="1" applyFill="1"/>
    <xf numFmtId="9" fontId="15" fillId="0" borderId="0" xfId="3" applyFont="1" applyFill="1" applyAlignment="1">
      <alignment horizontal="right"/>
    </xf>
    <xf numFmtId="175" fontId="15" fillId="0" borderId="0" xfId="0" applyNumberFormat="1" applyFont="1" applyFill="1"/>
    <xf numFmtId="0" fontId="15" fillId="0" borderId="0" xfId="0" applyFont="1" applyFill="1" applyAlignment="1">
      <alignment horizontal="right"/>
    </xf>
    <xf numFmtId="3" fontId="15" fillId="0" borderId="0" xfId="0" applyNumberFormat="1" applyFont="1" applyFill="1"/>
    <xf numFmtId="3" fontId="17" fillId="0" borderId="0" xfId="0" applyNumberFormat="1" applyFont="1" applyFill="1"/>
    <xf numFmtId="0" fontId="17" fillId="0" borderId="0" xfId="0" quotePrefix="1" applyFont="1" applyFill="1" applyAlignment="1">
      <alignment horizontal="left"/>
    </xf>
    <xf numFmtId="0" fontId="17" fillId="0" borderId="0" xfId="0" quotePrefix="1" applyFont="1" applyFill="1" applyAlignment="1">
      <alignment horizontal="right"/>
    </xf>
    <xf numFmtId="0" fontId="18" fillId="0" borderId="0" xfId="0" applyFont="1" applyFill="1"/>
    <xf numFmtId="170" fontId="18" fillId="0" borderId="15" xfId="0" applyNumberFormat="1" applyFont="1" applyFill="1" applyBorder="1"/>
    <xf numFmtId="0" fontId="15" fillId="0" borderId="0" xfId="0" applyFont="1" applyFill="1" applyAlignment="1">
      <alignment horizontal="left"/>
    </xf>
    <xf numFmtId="44" fontId="1" fillId="0" borderId="0" xfId="0" quotePrefix="1" applyNumberFormat="1" applyFont="1" applyFill="1"/>
    <xf numFmtId="166" fontId="19" fillId="0" borderId="0" xfId="0" applyNumberFormat="1" applyFont="1" applyFill="1"/>
    <xf numFmtId="178" fontId="1" fillId="0" borderId="0" xfId="0" quotePrefix="1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9" fillId="0" borderId="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9" fontId="1" fillId="0" borderId="12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39" fontId="9" fillId="0" borderId="0" xfId="0" applyNumberFormat="1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" fillId="0" borderId="13" xfId="0" applyFont="1" applyFill="1" applyBorder="1"/>
    <xf numFmtId="39" fontId="1" fillId="0" borderId="13" xfId="0" applyNumberFormat="1" applyFont="1" applyFill="1" applyBorder="1"/>
    <xf numFmtId="0" fontId="20" fillId="0" borderId="0" xfId="0" applyFont="1" applyFill="1"/>
    <xf numFmtId="0" fontId="2" fillId="0" borderId="9" xfId="0" applyFont="1" applyFill="1" applyBorder="1"/>
    <xf numFmtId="0" fontId="20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9" xfId="0" applyFont="1" applyFill="1" applyBorder="1"/>
    <xf numFmtId="2" fontId="1" fillId="0" borderId="2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/>
    <xf numFmtId="3" fontId="1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38" fontId="1" fillId="0" borderId="0" xfId="0" applyNumberFormat="1" applyFont="1" applyFill="1" applyAlignment="1">
      <alignment horizontal="center"/>
    </xf>
    <xf numFmtId="37" fontId="1" fillId="0" borderId="20" xfId="0" applyNumberFormat="1" applyFont="1" applyFill="1" applyBorder="1" applyAlignment="1">
      <alignment horizontal="center"/>
    </xf>
    <xf numFmtId="38" fontId="1" fillId="0" borderId="20" xfId="0" applyNumberFormat="1" applyFont="1" applyFill="1" applyBorder="1" applyAlignment="1">
      <alignment horizontal="center"/>
    </xf>
    <xf numFmtId="0" fontId="4" fillId="0" borderId="13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/>
    <xf numFmtId="0" fontId="4" fillId="0" borderId="17" xfId="0" applyFont="1" applyFill="1" applyBorder="1" applyAlignment="1">
      <alignment horizontal="center"/>
    </xf>
    <xf numFmtId="0" fontId="1" fillId="0" borderId="18" xfId="0" applyFont="1" applyFill="1" applyBorder="1"/>
    <xf numFmtId="37" fontId="1" fillId="0" borderId="15" xfId="0" applyNumberFormat="1" applyFont="1" applyFill="1" applyBorder="1" applyAlignment="1">
      <alignment horizontal="center"/>
    </xf>
    <xf numFmtId="37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7" fontId="1" fillId="0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9" fillId="0" borderId="0" xfId="0" quotePrefix="1" applyFont="1" applyFill="1" applyAlignment="1">
      <alignment horizontal="left"/>
    </xf>
    <xf numFmtId="37" fontId="1" fillId="0" borderId="0" xfId="0" applyNumberFormat="1" applyFont="1" applyFill="1"/>
    <xf numFmtId="180" fontId="1" fillId="0" borderId="0" xfId="0" applyNumberFormat="1" applyFont="1" applyFill="1"/>
    <xf numFmtId="37" fontId="10" fillId="0" borderId="0" xfId="0" applyNumberFormat="1" applyFont="1" applyFill="1"/>
    <xf numFmtId="180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JJanocha/NJ%20Restructuring/2000%20Rates/Rate%20Design/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%20JERSEY%20DEFERRAL%20RECOVERY%20CASE%202002/DEFERRAL%20CASE/Work%20Papers/Janocha%20Work%20Papers/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/2004%204Bs/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ra-dcfs\WORK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August%202003%20Rate%20Change/BPU%20Deferral%20Order/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2004%20May%20Board%20Retreat/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2004%20NNC%20SBC%20Rate%20Update/Update%20for%20June%20Actuals/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JerseyDeferrals/1999%20Deferrals/oct99/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Chantale.LaCasse%20Group/Stored/BGS/Starting%20Prices%20-%202016/RSCP%20Starting%20Price/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 refreshError="1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917F-E894-4F73-9519-A91375F795BA}">
  <sheetPr codeName="Sheet3">
    <tabColor rgb="FF7030A0"/>
  </sheetPr>
  <dimension ref="A1:AA610"/>
  <sheetViews>
    <sheetView tabSelected="1" zoomScaleNormal="100" workbookViewId="0"/>
  </sheetViews>
  <sheetFormatPr defaultColWidth="9.1328125" defaultRowHeight="13" x14ac:dyDescent="0.6"/>
  <cols>
    <col min="1" max="1" width="10.7265625" style="50" customWidth="1"/>
    <col min="2" max="2" width="27.86328125" style="52" customWidth="1"/>
    <col min="3" max="3" width="16.40625" style="52" customWidth="1"/>
    <col min="4" max="4" width="16.1328125" style="52" customWidth="1"/>
    <col min="5" max="5" width="12.7265625" style="52" customWidth="1"/>
    <col min="6" max="7" width="13.40625" style="52" customWidth="1"/>
    <col min="8" max="8" width="12.7265625" style="52" customWidth="1"/>
    <col min="9" max="9" width="14.86328125" style="52" customWidth="1"/>
    <col min="10" max="10" width="12.7265625" style="52" customWidth="1"/>
    <col min="11" max="11" width="17.26953125" style="52" customWidth="1"/>
    <col min="12" max="12" width="15.26953125" style="52" bestFit="1" customWidth="1"/>
    <col min="13" max="13" width="13.40625" style="52" customWidth="1"/>
    <col min="14" max="14" width="12" style="52" customWidth="1"/>
    <col min="15" max="15" width="11.1328125" style="52" customWidth="1"/>
    <col min="16" max="16" width="12.26953125" style="52" customWidth="1"/>
    <col min="17" max="17" width="13" style="52" customWidth="1"/>
    <col min="18" max="18" width="10" style="52" bestFit="1" customWidth="1"/>
    <col min="19" max="19" width="10.7265625" style="52" customWidth="1"/>
    <col min="20" max="22" width="11.7265625" style="52" customWidth="1"/>
    <col min="23" max="23" width="9.1328125" style="52"/>
    <col min="24" max="24" width="11.1328125" style="52" bestFit="1" customWidth="1"/>
    <col min="25" max="25" width="9.1328125" style="52"/>
    <col min="26" max="26" width="13.26953125" style="52" bestFit="1" customWidth="1"/>
    <col min="27" max="27" width="15.26953125" style="52" customWidth="1"/>
    <col min="28" max="28" width="13.54296875" style="52" customWidth="1"/>
    <col min="29" max="16384" width="9.1328125" style="52"/>
  </cols>
  <sheetData>
    <row r="1" spans="1:26" ht="15.5" x14ac:dyDescent="0.7">
      <c r="B1" s="51" t="str">
        <f>"Development of BGS Cost and Bid Factors for Rates Effective June 1, " &amp;M1</f>
        <v>Development of BGS Cost and Bid Factors for Rates Effective June 1, 2024</v>
      </c>
      <c r="G1" s="53"/>
      <c r="M1" s="1">
        <v>2024</v>
      </c>
      <c r="N1" s="52" t="s">
        <v>0</v>
      </c>
    </row>
    <row r="2" spans="1:26" ht="15.25" x14ac:dyDescent="0.65">
      <c r="A2" s="54"/>
      <c r="I2" s="55"/>
    </row>
    <row r="3" spans="1:26" x14ac:dyDescent="0.6">
      <c r="D3" s="56" t="str">
        <f>"Based on " &amp;M1-1  &amp;" Load Profile Information"</f>
        <v>Based on 2023 Load Profile Information</v>
      </c>
    </row>
    <row r="4" spans="1:26" x14ac:dyDescent="0.6">
      <c r="A4" s="57" t="s">
        <v>1</v>
      </c>
      <c r="B4" s="58" t="s">
        <v>2</v>
      </c>
      <c r="C4" s="59"/>
      <c r="D4" s="60" t="s">
        <v>3</v>
      </c>
      <c r="K4" s="58"/>
      <c r="L4" s="61" t="str">
        <f>"'% usage during Off-Peak period (from "&amp;M1-1&amp;" profiles)"</f>
        <v>'% usage during Off-Peak period (from 2023 profiles)</v>
      </c>
    </row>
    <row r="5" spans="1:26" ht="26" x14ac:dyDescent="0.6">
      <c r="A5" s="62"/>
      <c r="C5" s="63" t="s">
        <v>4</v>
      </c>
      <c r="D5" s="63" t="s">
        <v>4</v>
      </c>
      <c r="E5" s="63" t="s">
        <v>4</v>
      </c>
      <c r="F5" s="60" t="s">
        <v>5</v>
      </c>
      <c r="G5" s="64"/>
      <c r="H5" s="63" t="s">
        <v>4</v>
      </c>
      <c r="I5" s="63"/>
      <c r="J5" s="63"/>
      <c r="K5" s="60"/>
      <c r="L5" s="63" t="s">
        <v>4</v>
      </c>
      <c r="M5" s="63" t="s">
        <v>4</v>
      </c>
      <c r="N5" s="63" t="s">
        <v>4</v>
      </c>
      <c r="O5" s="60" t="s">
        <v>6</v>
      </c>
      <c r="P5" s="64"/>
      <c r="Q5" s="63" t="s">
        <v>4</v>
      </c>
      <c r="R5" s="63"/>
    </row>
    <row r="6" spans="1:26" x14ac:dyDescent="0.6">
      <c r="A6" s="62"/>
      <c r="B6" s="65"/>
      <c r="C6" s="66" t="s">
        <v>7</v>
      </c>
      <c r="D6" s="66" t="s">
        <v>8</v>
      </c>
      <c r="E6" s="66" t="s">
        <v>9</v>
      </c>
      <c r="F6" s="66" t="s">
        <v>10</v>
      </c>
      <c r="G6" s="66" t="s">
        <v>11</v>
      </c>
      <c r="H6" s="66" t="s">
        <v>12</v>
      </c>
      <c r="I6" s="67"/>
      <c r="J6" s="67"/>
      <c r="K6" s="68"/>
      <c r="L6" s="67" t="str">
        <f t="shared" ref="L6:Q6" si="0">+C6</f>
        <v>SC1</v>
      </c>
      <c r="M6" s="67" t="str">
        <f t="shared" si="0"/>
        <v>SC3</v>
      </c>
      <c r="N6" s="67" t="str">
        <f t="shared" si="0"/>
        <v>SC2 ND</v>
      </c>
      <c r="O6" s="67" t="str">
        <f t="shared" si="0"/>
        <v>SC4</v>
      </c>
      <c r="P6" s="67" t="str">
        <f t="shared" si="0"/>
        <v>SC6</v>
      </c>
      <c r="Q6" s="67" t="str">
        <f t="shared" si="0"/>
        <v>SC2 Dem</v>
      </c>
      <c r="R6" s="67"/>
    </row>
    <row r="7" spans="1:26" x14ac:dyDescent="0.6">
      <c r="A7" s="62"/>
    </row>
    <row r="8" spans="1:26" x14ac:dyDescent="0.6">
      <c r="A8" s="62"/>
      <c r="B8" s="69" t="s">
        <v>13</v>
      </c>
      <c r="C8" s="2">
        <v>0.42637719303301941</v>
      </c>
      <c r="D8" s="2">
        <v>0.46199293900109512</v>
      </c>
      <c r="E8" s="2">
        <v>0.46141448572852328</v>
      </c>
      <c r="F8" s="2">
        <v>0.53468980059905624</v>
      </c>
      <c r="G8" s="2">
        <f>F8</f>
        <v>0.53468980059905624</v>
      </c>
      <c r="H8" s="2">
        <v>0.50461958827275333</v>
      </c>
      <c r="I8" s="3"/>
      <c r="J8" s="3"/>
      <c r="K8" s="4"/>
      <c r="L8" s="3">
        <f t="shared" ref="L8:Q19" si="1">1-C8</f>
        <v>0.57362280696698065</v>
      </c>
      <c r="M8" s="3">
        <f t="shared" si="1"/>
        <v>0.53800706099890494</v>
      </c>
      <c r="N8" s="3">
        <f t="shared" si="1"/>
        <v>0.53858551427147672</v>
      </c>
      <c r="O8" s="3">
        <f t="shared" si="1"/>
        <v>0.46531019940094376</v>
      </c>
      <c r="P8" s="3">
        <f t="shared" si="1"/>
        <v>0.46531019940094376</v>
      </c>
      <c r="Q8" s="3">
        <f t="shared" si="1"/>
        <v>0.49538041172724667</v>
      </c>
      <c r="R8" s="4"/>
      <c r="S8" s="70"/>
      <c r="T8" s="70"/>
      <c r="U8" s="70"/>
      <c r="V8" s="70"/>
      <c r="W8" s="70"/>
      <c r="X8" s="70"/>
      <c r="Y8" s="70"/>
      <c r="Z8" s="70"/>
    </row>
    <row r="9" spans="1:26" x14ac:dyDescent="0.6">
      <c r="A9" s="62"/>
      <c r="B9" s="69" t="s">
        <v>14</v>
      </c>
      <c r="C9" s="2">
        <v>0.4419337152792962</v>
      </c>
      <c r="D9" s="2">
        <v>0.48359546289192518</v>
      </c>
      <c r="E9" s="2">
        <v>0.46321305197094503</v>
      </c>
      <c r="F9" s="2">
        <v>0.54828849458910012</v>
      </c>
      <c r="G9" s="2">
        <f t="shared" ref="G9:G19" si="2">F9</f>
        <v>0.54828849458910012</v>
      </c>
      <c r="H9" s="2">
        <v>0.51940348092291899</v>
      </c>
      <c r="I9" s="3"/>
      <c r="J9" s="3"/>
      <c r="K9" s="4"/>
      <c r="L9" s="3">
        <f t="shared" si="1"/>
        <v>0.55806628472070385</v>
      </c>
      <c r="M9" s="3">
        <f t="shared" si="1"/>
        <v>0.51640453710807477</v>
      </c>
      <c r="N9" s="3">
        <f t="shared" si="1"/>
        <v>0.53678694802905502</v>
      </c>
      <c r="O9" s="3">
        <f t="shared" si="1"/>
        <v>0.45171150541089988</v>
      </c>
      <c r="P9" s="3">
        <f t="shared" si="1"/>
        <v>0.45171150541089988</v>
      </c>
      <c r="Q9" s="3">
        <f t="shared" si="1"/>
        <v>0.48059651907708101</v>
      </c>
      <c r="R9" s="4"/>
      <c r="S9" s="70"/>
      <c r="T9" s="70"/>
      <c r="U9" s="70"/>
      <c r="V9" s="70"/>
      <c r="W9" s="70"/>
      <c r="X9" s="70"/>
      <c r="Y9" s="70"/>
      <c r="Z9" s="70"/>
    </row>
    <row r="10" spans="1:26" x14ac:dyDescent="0.6">
      <c r="A10" s="62"/>
      <c r="B10" s="69" t="s">
        <v>15</v>
      </c>
      <c r="C10" s="2">
        <v>0.46324014101442468</v>
      </c>
      <c r="D10" s="2">
        <v>0.50403832817702843</v>
      </c>
      <c r="E10" s="2">
        <v>0.48651453763775043</v>
      </c>
      <c r="F10" s="2">
        <v>0.56564276219045762</v>
      </c>
      <c r="G10" s="2">
        <f t="shared" si="2"/>
        <v>0.56564276219045762</v>
      </c>
      <c r="H10" s="2">
        <v>0.54299944704827574</v>
      </c>
      <c r="I10" s="3"/>
      <c r="J10" s="3"/>
      <c r="K10" s="4"/>
      <c r="L10" s="3">
        <f t="shared" si="1"/>
        <v>0.53675985898557532</v>
      </c>
      <c r="M10" s="3">
        <f t="shared" si="1"/>
        <v>0.49596167182297157</v>
      </c>
      <c r="N10" s="3">
        <f t="shared" si="1"/>
        <v>0.51348546236224957</v>
      </c>
      <c r="O10" s="3">
        <f t="shared" si="1"/>
        <v>0.43435723780954238</v>
      </c>
      <c r="P10" s="3">
        <f t="shared" si="1"/>
        <v>0.43435723780954238</v>
      </c>
      <c r="Q10" s="3">
        <f t="shared" si="1"/>
        <v>0.45700055295172426</v>
      </c>
      <c r="R10" s="4"/>
      <c r="S10" s="70"/>
      <c r="T10" s="70"/>
      <c r="U10" s="70"/>
      <c r="V10" s="70"/>
      <c r="W10" s="70"/>
      <c r="X10" s="70"/>
      <c r="Y10" s="70"/>
      <c r="Z10" s="70"/>
    </row>
    <row r="11" spans="1:26" x14ac:dyDescent="0.6">
      <c r="A11" s="62"/>
      <c r="B11" s="69" t="s">
        <v>16</v>
      </c>
      <c r="C11" s="2">
        <v>0.43620314493603973</v>
      </c>
      <c r="D11" s="2">
        <v>0.47581514762605559</v>
      </c>
      <c r="E11" s="2">
        <v>0.45800746864120812</v>
      </c>
      <c r="F11" s="2">
        <v>0.53886739922792248</v>
      </c>
      <c r="G11" s="2">
        <f t="shared" si="2"/>
        <v>0.53886739922792248</v>
      </c>
      <c r="H11" s="2">
        <v>0.51658052315987002</v>
      </c>
      <c r="I11" s="3"/>
      <c r="J11" s="3"/>
      <c r="K11" s="4"/>
      <c r="L11" s="3">
        <f t="shared" si="1"/>
        <v>0.56379685506396027</v>
      </c>
      <c r="M11" s="3">
        <f t="shared" si="1"/>
        <v>0.52418485237394441</v>
      </c>
      <c r="N11" s="3">
        <f t="shared" si="1"/>
        <v>0.54199253135879188</v>
      </c>
      <c r="O11" s="3">
        <f t="shared" si="1"/>
        <v>0.46113260077207752</v>
      </c>
      <c r="P11" s="3">
        <f t="shared" si="1"/>
        <v>0.46113260077207752</v>
      </c>
      <c r="Q11" s="3">
        <f t="shared" si="1"/>
        <v>0.48341947684012998</v>
      </c>
      <c r="R11" s="4"/>
      <c r="S11" s="70"/>
      <c r="T11" s="70"/>
      <c r="U11" s="70"/>
      <c r="V11" s="70"/>
      <c r="W11" s="70"/>
      <c r="X11" s="70"/>
      <c r="Y11" s="70"/>
      <c r="Z11" s="70"/>
    </row>
    <row r="12" spans="1:26" x14ac:dyDescent="0.6">
      <c r="A12" s="62"/>
      <c r="B12" s="69" t="s">
        <v>17</v>
      </c>
      <c r="C12" s="2">
        <v>0.41011930012679348</v>
      </c>
      <c r="D12" s="2">
        <v>0.48449591363083033</v>
      </c>
      <c r="E12" s="2">
        <v>0.45770280819879711</v>
      </c>
      <c r="F12" s="2">
        <v>0.52400285752837805</v>
      </c>
      <c r="G12" s="2">
        <f t="shared" si="2"/>
        <v>0.52400285752837805</v>
      </c>
      <c r="H12" s="2">
        <v>0.50843005719314027</v>
      </c>
      <c r="I12" s="3"/>
      <c r="J12" s="3"/>
      <c r="K12" s="4"/>
      <c r="L12" s="3">
        <f t="shared" si="1"/>
        <v>0.58988069987320646</v>
      </c>
      <c r="M12" s="3">
        <f t="shared" si="1"/>
        <v>0.51550408636916967</v>
      </c>
      <c r="N12" s="3">
        <f t="shared" si="1"/>
        <v>0.54229719180120295</v>
      </c>
      <c r="O12" s="3">
        <f t="shared" si="1"/>
        <v>0.47599714247162195</v>
      </c>
      <c r="P12" s="3">
        <f t="shared" si="1"/>
        <v>0.47599714247162195</v>
      </c>
      <c r="Q12" s="3">
        <f t="shared" si="1"/>
        <v>0.49156994280685973</v>
      </c>
      <c r="R12" s="4"/>
      <c r="S12" s="70"/>
      <c r="T12" s="70"/>
      <c r="U12" s="70"/>
      <c r="V12" s="70"/>
      <c r="W12" s="70"/>
      <c r="X12" s="70"/>
      <c r="Y12" s="70"/>
      <c r="Z12" s="70"/>
    </row>
    <row r="13" spans="1:26" x14ac:dyDescent="0.6">
      <c r="A13" s="62"/>
      <c r="B13" s="69" t="s">
        <v>18</v>
      </c>
      <c r="C13" s="2">
        <v>0.46195367970965251</v>
      </c>
      <c r="D13" s="2">
        <v>0.5413254744671937</v>
      </c>
      <c r="E13" s="2">
        <v>0.51683373579064873</v>
      </c>
      <c r="F13" s="2">
        <v>0.56235935536965465</v>
      </c>
      <c r="G13" s="2">
        <f t="shared" si="2"/>
        <v>0.56235935536965465</v>
      </c>
      <c r="H13" s="2">
        <v>0.56231131888392083</v>
      </c>
      <c r="I13" s="3"/>
      <c r="J13" s="3"/>
      <c r="K13" s="4"/>
      <c r="L13" s="3">
        <f t="shared" si="1"/>
        <v>0.53804632029034749</v>
      </c>
      <c r="M13" s="3">
        <f t="shared" si="1"/>
        <v>0.4586745255328063</v>
      </c>
      <c r="N13" s="3">
        <f t="shared" si="1"/>
        <v>0.48316626420935127</v>
      </c>
      <c r="O13" s="3">
        <f t="shared" si="1"/>
        <v>0.43764064463034535</v>
      </c>
      <c r="P13" s="3">
        <f t="shared" si="1"/>
        <v>0.43764064463034535</v>
      </c>
      <c r="Q13" s="3">
        <f t="shared" si="1"/>
        <v>0.43768868111607917</v>
      </c>
      <c r="R13" s="4"/>
      <c r="S13" s="70"/>
      <c r="T13" s="70"/>
      <c r="U13" s="70"/>
      <c r="V13" s="70"/>
      <c r="W13" s="70"/>
      <c r="X13" s="70"/>
      <c r="Y13" s="70"/>
      <c r="Z13" s="70"/>
    </row>
    <row r="14" spans="1:26" x14ac:dyDescent="0.6">
      <c r="A14" s="62"/>
      <c r="B14" s="69" t="s">
        <v>19</v>
      </c>
      <c r="C14" s="2">
        <v>0.41661082263869204</v>
      </c>
      <c r="D14" s="2">
        <v>0.48820174855116444</v>
      </c>
      <c r="E14" s="2">
        <v>0.46155388001066638</v>
      </c>
      <c r="F14" s="2">
        <v>0.49031934289897389</v>
      </c>
      <c r="G14" s="2">
        <f t="shared" si="2"/>
        <v>0.49031934289897389</v>
      </c>
      <c r="H14" s="2">
        <v>0.4979144792609197</v>
      </c>
      <c r="I14" s="3"/>
      <c r="J14" s="3"/>
      <c r="K14" s="4"/>
      <c r="L14" s="3">
        <f t="shared" si="1"/>
        <v>0.58338917736130802</v>
      </c>
      <c r="M14" s="3">
        <f t="shared" si="1"/>
        <v>0.51179825144883551</v>
      </c>
      <c r="N14" s="3">
        <f t="shared" si="1"/>
        <v>0.53844611998933356</v>
      </c>
      <c r="O14" s="3">
        <f t="shared" si="1"/>
        <v>0.50968065710102617</v>
      </c>
      <c r="P14" s="3">
        <f t="shared" si="1"/>
        <v>0.50968065710102617</v>
      </c>
      <c r="Q14" s="3">
        <f t="shared" si="1"/>
        <v>0.5020855207390803</v>
      </c>
      <c r="R14" s="4"/>
      <c r="S14" s="70"/>
      <c r="T14" s="70"/>
      <c r="U14" s="70"/>
      <c r="V14" s="70"/>
      <c r="W14" s="70"/>
      <c r="X14" s="70"/>
      <c r="Y14" s="70"/>
      <c r="Z14" s="70"/>
    </row>
    <row r="15" spans="1:26" x14ac:dyDescent="0.6">
      <c r="A15" s="62"/>
      <c r="B15" s="69" t="s">
        <v>20</v>
      </c>
      <c r="C15" s="2">
        <v>0.47569982769865998</v>
      </c>
      <c r="D15" s="2">
        <v>0.55883400283176388</v>
      </c>
      <c r="E15" s="2">
        <v>0.52713595839207938</v>
      </c>
      <c r="F15" s="2">
        <v>0.56318686041908184</v>
      </c>
      <c r="G15" s="2">
        <f t="shared" si="2"/>
        <v>0.56318686041908184</v>
      </c>
      <c r="H15" s="2">
        <v>0.56646003544468204</v>
      </c>
      <c r="I15" s="3"/>
      <c r="J15" s="3"/>
      <c r="K15" s="4"/>
      <c r="L15" s="3">
        <f t="shared" si="1"/>
        <v>0.52430017230134007</v>
      </c>
      <c r="M15" s="3">
        <f t="shared" si="1"/>
        <v>0.44116599716823612</v>
      </c>
      <c r="N15" s="3">
        <f t="shared" si="1"/>
        <v>0.47286404160792062</v>
      </c>
      <c r="O15" s="3">
        <f t="shared" si="1"/>
        <v>0.43681313958091816</v>
      </c>
      <c r="P15" s="3">
        <f t="shared" si="1"/>
        <v>0.43681313958091816</v>
      </c>
      <c r="Q15" s="3">
        <f t="shared" si="1"/>
        <v>0.43353996455531796</v>
      </c>
      <c r="R15" s="4"/>
      <c r="S15" s="70"/>
      <c r="T15" s="70"/>
      <c r="U15" s="70"/>
      <c r="V15" s="70"/>
      <c r="W15" s="70"/>
      <c r="X15" s="70"/>
      <c r="Y15" s="70"/>
      <c r="Z15" s="70"/>
    </row>
    <row r="16" spans="1:26" x14ac:dyDescent="0.6">
      <c r="A16" s="62"/>
      <c r="B16" s="69" t="s">
        <v>21</v>
      </c>
      <c r="C16" s="2">
        <v>0.41862927769943126</v>
      </c>
      <c r="D16" s="2">
        <v>0.5059308888912325</v>
      </c>
      <c r="E16" s="2">
        <v>0.47591659295651101</v>
      </c>
      <c r="F16" s="2">
        <v>0.53026018076771908</v>
      </c>
      <c r="G16" s="2">
        <f t="shared" si="2"/>
        <v>0.53026018076771908</v>
      </c>
      <c r="H16" s="2">
        <v>0.52300156068221326</v>
      </c>
      <c r="I16" s="3"/>
      <c r="J16" s="3"/>
      <c r="K16" s="4"/>
      <c r="L16" s="3">
        <f t="shared" si="1"/>
        <v>0.58137072230056874</v>
      </c>
      <c r="M16" s="3">
        <f t="shared" si="1"/>
        <v>0.4940691111087675</v>
      </c>
      <c r="N16" s="3">
        <f t="shared" si="1"/>
        <v>0.52408340704348899</v>
      </c>
      <c r="O16" s="3">
        <f t="shared" si="1"/>
        <v>0.46973981923228092</v>
      </c>
      <c r="P16" s="3">
        <f t="shared" si="1"/>
        <v>0.46973981923228092</v>
      </c>
      <c r="Q16" s="3">
        <f t="shared" si="1"/>
        <v>0.47699843931778674</v>
      </c>
      <c r="R16" s="4"/>
      <c r="S16" s="70"/>
      <c r="T16" s="70"/>
      <c r="U16" s="70"/>
      <c r="V16" s="70"/>
      <c r="W16" s="70"/>
      <c r="X16" s="70"/>
      <c r="Y16" s="70"/>
      <c r="Z16" s="70"/>
    </row>
    <row r="17" spans="1:26" x14ac:dyDescent="0.6">
      <c r="A17" s="62"/>
      <c r="B17" s="69" t="s">
        <v>22</v>
      </c>
      <c r="C17" s="2">
        <v>0.43467990867564976</v>
      </c>
      <c r="D17" s="2">
        <v>0.48828061815711032</v>
      </c>
      <c r="E17" s="2">
        <v>0.4734703767471492</v>
      </c>
      <c r="F17" s="5">
        <v>0.51822405267373495</v>
      </c>
      <c r="G17" s="2">
        <f t="shared" si="2"/>
        <v>0.51822405267373495</v>
      </c>
      <c r="H17" s="2">
        <v>0.51209943225847288</v>
      </c>
      <c r="I17" s="3"/>
      <c r="J17" s="3"/>
      <c r="K17" s="4"/>
      <c r="L17" s="3">
        <f t="shared" si="1"/>
        <v>0.56532009132435024</v>
      </c>
      <c r="M17" s="3">
        <f t="shared" si="1"/>
        <v>0.51171938184288968</v>
      </c>
      <c r="N17" s="3">
        <f t="shared" si="1"/>
        <v>0.5265296232528508</v>
      </c>
      <c r="O17" s="3">
        <f t="shared" si="1"/>
        <v>0.48177594732626505</v>
      </c>
      <c r="P17" s="3">
        <f t="shared" si="1"/>
        <v>0.48177594732626505</v>
      </c>
      <c r="Q17" s="3">
        <f t="shared" si="1"/>
        <v>0.48790056774152712</v>
      </c>
      <c r="R17" s="4"/>
      <c r="S17" s="70"/>
      <c r="T17" s="70"/>
      <c r="U17" s="70"/>
      <c r="V17" s="70"/>
      <c r="W17" s="70"/>
      <c r="X17" s="70"/>
      <c r="Y17" s="70"/>
      <c r="Z17" s="70"/>
    </row>
    <row r="18" spans="1:26" x14ac:dyDescent="0.6">
      <c r="A18" s="62"/>
      <c r="B18" s="69" t="s">
        <v>23</v>
      </c>
      <c r="C18" s="2">
        <v>0.4408687403134155</v>
      </c>
      <c r="D18" s="2">
        <v>0.47671365895066059</v>
      </c>
      <c r="E18" s="2">
        <v>0.4650058662290088</v>
      </c>
      <c r="F18" s="2">
        <v>0.53066297599316858</v>
      </c>
      <c r="G18" s="2">
        <f t="shared" si="2"/>
        <v>0.53066297599316858</v>
      </c>
      <c r="H18" s="2">
        <v>0.51217029911492751</v>
      </c>
      <c r="I18" s="3"/>
      <c r="J18" s="3"/>
      <c r="K18" s="4"/>
      <c r="L18" s="3">
        <f t="shared" si="1"/>
        <v>0.5591312596865845</v>
      </c>
      <c r="M18" s="3">
        <f t="shared" si="1"/>
        <v>0.52328634104933935</v>
      </c>
      <c r="N18" s="3">
        <f t="shared" si="1"/>
        <v>0.53499413377099114</v>
      </c>
      <c r="O18" s="3">
        <f t="shared" si="1"/>
        <v>0.46933702400683142</v>
      </c>
      <c r="P18" s="3">
        <f t="shared" si="1"/>
        <v>0.46933702400683142</v>
      </c>
      <c r="Q18" s="3">
        <f t="shared" si="1"/>
        <v>0.48782970088507249</v>
      </c>
      <c r="R18" s="4"/>
      <c r="S18" s="70"/>
      <c r="T18" s="70"/>
      <c r="U18" s="70"/>
      <c r="V18" s="70"/>
      <c r="W18" s="70"/>
      <c r="X18" s="70"/>
      <c r="Y18" s="70"/>
      <c r="Z18" s="70"/>
    </row>
    <row r="19" spans="1:26" x14ac:dyDescent="0.6">
      <c r="A19" s="62"/>
      <c r="B19" s="69" t="s">
        <v>24</v>
      </c>
      <c r="C19" s="2">
        <v>0.42099046266478146</v>
      </c>
      <c r="D19" s="2">
        <v>0.46834259565794251</v>
      </c>
      <c r="E19" s="2">
        <v>0.45277622460483957</v>
      </c>
      <c r="F19" s="2">
        <v>0.52590753130353474</v>
      </c>
      <c r="G19" s="2">
        <f t="shared" si="2"/>
        <v>0.52590753130353474</v>
      </c>
      <c r="H19" s="2">
        <v>0.4959301055984594</v>
      </c>
      <c r="I19" s="3"/>
      <c r="J19" s="3"/>
      <c r="K19" s="4"/>
      <c r="L19" s="3">
        <f t="shared" si="1"/>
        <v>0.57900953733521854</v>
      </c>
      <c r="M19" s="3">
        <f t="shared" si="1"/>
        <v>0.53165740434205744</v>
      </c>
      <c r="N19" s="3">
        <f t="shared" si="1"/>
        <v>0.54722377539516043</v>
      </c>
      <c r="O19" s="3">
        <f t="shared" si="1"/>
        <v>0.47409246869646526</v>
      </c>
      <c r="P19" s="3">
        <f t="shared" si="1"/>
        <v>0.47409246869646526</v>
      </c>
      <c r="Q19" s="3">
        <f t="shared" si="1"/>
        <v>0.5040698944015406</v>
      </c>
      <c r="R19" s="4"/>
      <c r="S19" s="70"/>
      <c r="T19" s="70"/>
      <c r="U19" s="70"/>
      <c r="V19" s="70"/>
      <c r="W19" s="70"/>
      <c r="X19" s="70"/>
      <c r="Y19" s="70"/>
      <c r="Z19" s="70"/>
    </row>
    <row r="20" spans="1:26" x14ac:dyDescent="0.6">
      <c r="A20" s="62"/>
      <c r="B20" s="69"/>
      <c r="C20" s="4"/>
      <c r="D20" s="4"/>
      <c r="E20" s="4"/>
      <c r="F20" s="6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6" x14ac:dyDescent="0.6">
      <c r="A21" s="62"/>
      <c r="B21" s="69"/>
      <c r="C21" s="4"/>
      <c r="D21" s="4"/>
      <c r="E21" s="4"/>
      <c r="F21" s="6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6" x14ac:dyDescent="0.6">
      <c r="A22" s="57" t="s">
        <v>25</v>
      </c>
      <c r="B22" s="61" t="s">
        <v>26</v>
      </c>
      <c r="C22" s="4"/>
      <c r="D22" s="4"/>
      <c r="E22" s="7" t="s">
        <v>27</v>
      </c>
      <c r="F22" s="6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6" ht="39" x14ac:dyDescent="0.6">
      <c r="A23" s="62"/>
      <c r="C23" s="63" t="s">
        <v>28</v>
      </c>
      <c r="D23" s="63"/>
      <c r="E23" s="63" t="s">
        <v>28</v>
      </c>
      <c r="F23" s="63" t="s">
        <v>28</v>
      </c>
      <c r="G23" s="63" t="s">
        <v>28</v>
      </c>
      <c r="H23" s="63" t="s">
        <v>28</v>
      </c>
      <c r="I23" s="63"/>
      <c r="J23" s="63"/>
      <c r="K23" s="60"/>
      <c r="L23" s="63" t="s">
        <v>28</v>
      </c>
      <c r="M23" s="71" t="str">
        <f>M1-2&amp;" Forecasted Billed Sales"</f>
        <v>2022 Forecasted Billed Sales</v>
      </c>
      <c r="N23" s="63" t="s">
        <v>28</v>
      </c>
      <c r="O23" s="63" t="s">
        <v>28</v>
      </c>
      <c r="P23" s="63" t="s">
        <v>28</v>
      </c>
      <c r="Q23" s="63" t="s">
        <v>28</v>
      </c>
      <c r="R23" s="71"/>
    </row>
    <row r="24" spans="1:26" x14ac:dyDescent="0.6">
      <c r="A24" s="62"/>
      <c r="B24" s="65" t="s">
        <v>29</v>
      </c>
      <c r="C24" s="66" t="str">
        <f>+C6</f>
        <v>SC1</v>
      </c>
      <c r="D24" s="66" t="str">
        <f t="shared" ref="D24:H24" si="3">+D6</f>
        <v>SC3</v>
      </c>
      <c r="E24" s="66" t="str">
        <f t="shared" si="3"/>
        <v>SC2 ND</v>
      </c>
      <c r="F24" s="66" t="str">
        <f t="shared" si="3"/>
        <v>SC4</v>
      </c>
      <c r="G24" s="66" t="str">
        <f t="shared" si="3"/>
        <v>SC6</v>
      </c>
      <c r="H24" s="66" t="str">
        <f t="shared" si="3"/>
        <v>SC2 Dem</v>
      </c>
      <c r="I24" s="66" t="s">
        <v>30</v>
      </c>
      <c r="J24" s="67"/>
      <c r="K24" s="68"/>
      <c r="L24" s="67" t="str">
        <f t="shared" ref="L24:Q24" si="4">+C6</f>
        <v>SC1</v>
      </c>
      <c r="M24" s="67" t="str">
        <f t="shared" si="4"/>
        <v>SC3</v>
      </c>
      <c r="N24" s="67" t="str">
        <f t="shared" si="4"/>
        <v>SC2 ND</v>
      </c>
      <c r="O24" s="67" t="str">
        <f t="shared" si="4"/>
        <v>SC4</v>
      </c>
      <c r="P24" s="67" t="str">
        <f t="shared" si="4"/>
        <v>SC6</v>
      </c>
      <c r="Q24" s="67" t="str">
        <f t="shared" si="4"/>
        <v>SC2 Dem</v>
      </c>
      <c r="R24" s="67" t="s">
        <v>30</v>
      </c>
    </row>
    <row r="25" spans="1:26" x14ac:dyDescent="0.6">
      <c r="A25" s="62"/>
    </row>
    <row r="26" spans="1:26" x14ac:dyDescent="0.6">
      <c r="A26" s="62"/>
      <c r="B26" s="69" t="s">
        <v>13</v>
      </c>
      <c r="C26" s="8" t="s">
        <v>31</v>
      </c>
      <c r="D26" s="9">
        <v>0.32595656670113754</v>
      </c>
      <c r="E26" s="8" t="s">
        <v>31</v>
      </c>
      <c r="F26" s="8" t="s">
        <v>31</v>
      </c>
      <c r="G26" s="8" t="s">
        <v>31</v>
      </c>
      <c r="H26" s="8" t="s">
        <v>31</v>
      </c>
      <c r="I26" s="9">
        <v>0.23233717476007615</v>
      </c>
      <c r="J26" s="3"/>
      <c r="K26" s="4"/>
      <c r="L26" s="4"/>
      <c r="M26" s="3">
        <f t="shared" ref="M26:M37" si="5">1-D26</f>
        <v>0.67404343329886252</v>
      </c>
      <c r="N26" s="4"/>
      <c r="O26" s="4"/>
      <c r="P26" s="4"/>
      <c r="Q26" s="4"/>
      <c r="R26" s="3">
        <f>1-I26</f>
        <v>0.7676628252399238</v>
      </c>
    </row>
    <row r="27" spans="1:26" x14ac:dyDescent="0.6">
      <c r="A27" s="62"/>
      <c r="B27" s="69" t="s">
        <v>14</v>
      </c>
      <c r="C27" s="8" t="s">
        <v>31</v>
      </c>
      <c r="D27" s="9">
        <v>0.35905680600214362</v>
      </c>
      <c r="E27" s="8" t="s">
        <v>31</v>
      </c>
      <c r="F27" s="8" t="s">
        <v>31</v>
      </c>
      <c r="G27" s="8" t="s">
        <v>31</v>
      </c>
      <c r="H27" s="8" t="s">
        <v>31</v>
      </c>
      <c r="I27" s="9">
        <v>0.24400519211966873</v>
      </c>
      <c r="J27" s="3"/>
      <c r="K27" s="4"/>
      <c r="L27" s="4"/>
      <c r="M27" s="3">
        <f t="shared" si="5"/>
        <v>0.64094319399785638</v>
      </c>
      <c r="N27" s="4"/>
      <c r="O27" s="4"/>
      <c r="P27" s="4"/>
      <c r="Q27" s="4"/>
      <c r="R27" s="3">
        <f t="shared" ref="R27:R37" si="6">1-I27</f>
        <v>0.75599480788033124</v>
      </c>
    </row>
    <row r="28" spans="1:26" x14ac:dyDescent="0.6">
      <c r="A28" s="62"/>
      <c r="B28" s="69" t="s">
        <v>15</v>
      </c>
      <c r="C28" s="8" t="s">
        <v>31</v>
      </c>
      <c r="D28" s="9">
        <v>0.33603912305798594</v>
      </c>
      <c r="E28" s="8" t="s">
        <v>31</v>
      </c>
      <c r="F28" s="8" t="s">
        <v>31</v>
      </c>
      <c r="G28" s="8" t="s">
        <v>31</v>
      </c>
      <c r="H28" s="8" t="s">
        <v>31</v>
      </c>
      <c r="I28" s="9">
        <v>0.23361763465989074</v>
      </c>
      <c r="J28" s="3"/>
      <c r="K28" s="4"/>
      <c r="L28" s="4"/>
      <c r="M28" s="3">
        <f t="shared" si="5"/>
        <v>0.663960876942014</v>
      </c>
      <c r="N28" s="4"/>
      <c r="O28" s="4"/>
      <c r="P28" s="4"/>
      <c r="Q28" s="4"/>
      <c r="R28" s="3">
        <f t="shared" si="6"/>
        <v>0.76638236534010928</v>
      </c>
    </row>
    <row r="29" spans="1:26" x14ac:dyDescent="0.6">
      <c r="A29" s="62"/>
      <c r="B29" s="69" t="s">
        <v>16</v>
      </c>
      <c r="C29" s="8" t="s">
        <v>31</v>
      </c>
      <c r="D29" s="9">
        <v>0.34774089442139233</v>
      </c>
      <c r="E29" s="8" t="s">
        <v>31</v>
      </c>
      <c r="F29" s="8" t="s">
        <v>31</v>
      </c>
      <c r="G29" s="8" t="s">
        <v>31</v>
      </c>
      <c r="H29" s="8" t="s">
        <v>31</v>
      </c>
      <c r="I29" s="9">
        <v>0.22673527607328028</v>
      </c>
      <c r="J29" s="3"/>
      <c r="K29" s="4"/>
      <c r="L29" s="4"/>
      <c r="M29" s="3">
        <f t="shared" si="5"/>
        <v>0.65225910557860767</v>
      </c>
      <c r="N29" s="4"/>
      <c r="O29" s="4"/>
      <c r="P29" s="4"/>
      <c r="Q29" s="4"/>
      <c r="R29" s="3">
        <f t="shared" si="6"/>
        <v>0.77326472392671974</v>
      </c>
    </row>
    <row r="30" spans="1:26" x14ac:dyDescent="0.6">
      <c r="A30" s="62"/>
      <c r="B30" s="69" t="s">
        <v>17</v>
      </c>
      <c r="C30" s="8" t="s">
        <v>31</v>
      </c>
      <c r="D30" s="9">
        <v>0.35975147030923921</v>
      </c>
      <c r="E30" s="8" t="s">
        <v>31</v>
      </c>
      <c r="F30" s="8" t="s">
        <v>31</v>
      </c>
      <c r="G30" s="8" t="s">
        <v>31</v>
      </c>
      <c r="H30" s="8" t="s">
        <v>31</v>
      </c>
      <c r="I30" s="9">
        <v>0.26512836359132674</v>
      </c>
      <c r="J30" s="3"/>
      <c r="K30" s="4"/>
      <c r="L30" s="4"/>
      <c r="M30" s="3">
        <f t="shared" si="5"/>
        <v>0.64024852969076074</v>
      </c>
      <c r="N30" s="4"/>
      <c r="O30" s="4"/>
      <c r="P30" s="4"/>
      <c r="Q30" s="4"/>
      <c r="R30" s="3">
        <f t="shared" si="6"/>
        <v>0.73487163640867326</v>
      </c>
    </row>
    <row r="31" spans="1:26" x14ac:dyDescent="0.6">
      <c r="A31" s="62"/>
      <c r="B31" s="69" t="s">
        <v>18</v>
      </c>
      <c r="C31" s="8" t="s">
        <v>31</v>
      </c>
      <c r="D31" s="9">
        <v>0.39489624951669028</v>
      </c>
      <c r="E31" s="8" t="s">
        <v>31</v>
      </c>
      <c r="F31" s="8" t="s">
        <v>31</v>
      </c>
      <c r="G31" s="8" t="s">
        <v>31</v>
      </c>
      <c r="H31" s="8" t="s">
        <v>31</v>
      </c>
      <c r="I31" s="9">
        <v>0.3046792367494443</v>
      </c>
      <c r="J31" s="3"/>
      <c r="K31" s="4"/>
      <c r="L31" s="4"/>
      <c r="M31" s="3">
        <f t="shared" si="5"/>
        <v>0.60510375048330967</v>
      </c>
      <c r="N31" s="4"/>
      <c r="O31" s="4"/>
      <c r="P31" s="4"/>
      <c r="Q31" s="4"/>
      <c r="R31" s="3">
        <f t="shared" si="6"/>
        <v>0.6953207632505557</v>
      </c>
    </row>
    <row r="32" spans="1:26" x14ac:dyDescent="0.6">
      <c r="A32" s="62"/>
      <c r="B32" s="69" t="s">
        <v>19</v>
      </c>
      <c r="C32" s="8" t="s">
        <v>31</v>
      </c>
      <c r="D32" s="9">
        <v>0.4169343227378447</v>
      </c>
      <c r="E32" s="8" t="s">
        <v>31</v>
      </c>
      <c r="F32" s="8" t="s">
        <v>31</v>
      </c>
      <c r="G32" s="8" t="s">
        <v>31</v>
      </c>
      <c r="H32" s="8" t="s">
        <v>31</v>
      </c>
      <c r="I32" s="9">
        <v>0.31394108115367292</v>
      </c>
      <c r="J32" s="3"/>
      <c r="K32" s="4"/>
      <c r="L32" s="4"/>
      <c r="M32" s="3">
        <f t="shared" si="5"/>
        <v>0.5830656772621553</v>
      </c>
      <c r="N32" s="4"/>
      <c r="O32" s="4"/>
      <c r="P32" s="4"/>
      <c r="Q32" s="4"/>
      <c r="R32" s="3">
        <f t="shared" si="6"/>
        <v>0.68605891884632708</v>
      </c>
    </row>
    <row r="33" spans="1:19" x14ac:dyDescent="0.6">
      <c r="A33" s="62"/>
      <c r="B33" s="69" t="s">
        <v>20</v>
      </c>
      <c r="C33" s="8" t="s">
        <v>31</v>
      </c>
      <c r="D33" s="9">
        <v>0.42892105024624588</v>
      </c>
      <c r="E33" s="8" t="s">
        <v>31</v>
      </c>
      <c r="F33" s="8" t="s">
        <v>31</v>
      </c>
      <c r="G33" s="8" t="s">
        <v>31</v>
      </c>
      <c r="H33" s="8" t="s">
        <v>31</v>
      </c>
      <c r="I33" s="9">
        <v>0.31835902075449962</v>
      </c>
      <c r="J33" s="3"/>
      <c r="K33" s="4"/>
      <c r="L33" s="4"/>
      <c r="M33" s="3">
        <f t="shared" si="5"/>
        <v>0.57107894975375406</v>
      </c>
      <c r="N33" s="4"/>
      <c r="O33" s="4"/>
      <c r="P33" s="4"/>
      <c r="Q33" s="4"/>
      <c r="R33" s="3">
        <f t="shared" si="6"/>
        <v>0.68164097924550038</v>
      </c>
    </row>
    <row r="34" spans="1:19" x14ac:dyDescent="0.6">
      <c r="A34" s="62"/>
      <c r="B34" s="69" t="s">
        <v>21</v>
      </c>
      <c r="C34" s="8" t="s">
        <v>31</v>
      </c>
      <c r="D34" s="9">
        <v>0.41815557337610265</v>
      </c>
      <c r="E34" s="8" t="s">
        <v>31</v>
      </c>
      <c r="F34" s="8" t="s">
        <v>31</v>
      </c>
      <c r="G34" s="8" t="s">
        <v>31</v>
      </c>
      <c r="H34" s="8" t="s">
        <v>31</v>
      </c>
      <c r="I34" s="9">
        <v>0.29385621903041503</v>
      </c>
      <c r="J34" s="3"/>
      <c r="K34" s="4"/>
      <c r="L34" s="4"/>
      <c r="M34" s="3">
        <f t="shared" si="5"/>
        <v>0.58184442662389735</v>
      </c>
      <c r="N34" s="4"/>
      <c r="O34" s="4"/>
      <c r="P34" s="4"/>
      <c r="Q34" s="4"/>
      <c r="R34" s="3">
        <f t="shared" si="6"/>
        <v>0.70614378096958497</v>
      </c>
    </row>
    <row r="35" spans="1:19" x14ac:dyDescent="0.6">
      <c r="A35" s="62"/>
      <c r="B35" s="69" t="s">
        <v>22</v>
      </c>
      <c r="C35" s="8" t="s">
        <v>31</v>
      </c>
      <c r="D35" s="9">
        <v>0.39968445963712856</v>
      </c>
      <c r="E35" s="8" t="s">
        <v>31</v>
      </c>
      <c r="F35" s="8" t="s">
        <v>31</v>
      </c>
      <c r="G35" s="8" t="s">
        <v>31</v>
      </c>
      <c r="H35" s="8" t="s">
        <v>31</v>
      </c>
      <c r="I35" s="9">
        <v>0.24085108196240684</v>
      </c>
      <c r="J35" s="3"/>
      <c r="K35" s="4"/>
      <c r="L35" s="4"/>
      <c r="M35" s="3">
        <f t="shared" si="5"/>
        <v>0.60031554036287149</v>
      </c>
      <c r="N35" s="4"/>
      <c r="O35" s="4"/>
      <c r="P35" s="4"/>
      <c r="Q35" s="4"/>
      <c r="R35" s="3">
        <f t="shared" si="6"/>
        <v>0.75914891803759321</v>
      </c>
    </row>
    <row r="36" spans="1:19" x14ac:dyDescent="0.6">
      <c r="A36" s="62"/>
      <c r="B36" s="69" t="s">
        <v>23</v>
      </c>
      <c r="C36" s="8" t="s">
        <v>31</v>
      </c>
      <c r="D36" s="9">
        <v>0.37566715186802524</v>
      </c>
      <c r="E36" s="8" t="s">
        <v>31</v>
      </c>
      <c r="F36" s="8" t="s">
        <v>31</v>
      </c>
      <c r="G36" s="8" t="s">
        <v>31</v>
      </c>
      <c r="H36" s="8" t="s">
        <v>31</v>
      </c>
      <c r="I36" s="9">
        <v>0.2595146172472958</v>
      </c>
      <c r="J36" s="3"/>
      <c r="K36" s="4"/>
      <c r="L36" s="4"/>
      <c r="M36" s="3">
        <f t="shared" si="5"/>
        <v>0.62433284813197476</v>
      </c>
      <c r="N36" s="4"/>
      <c r="O36" s="4"/>
      <c r="P36" s="4"/>
      <c r="Q36" s="4"/>
      <c r="R36" s="3">
        <f t="shared" si="6"/>
        <v>0.74048538275270426</v>
      </c>
    </row>
    <row r="37" spans="1:19" x14ac:dyDescent="0.6">
      <c r="A37" s="62"/>
      <c r="B37" s="69" t="s">
        <v>24</v>
      </c>
      <c r="C37" s="8" t="s">
        <v>31</v>
      </c>
      <c r="D37" s="9">
        <v>0.35755115297174406</v>
      </c>
      <c r="E37" s="8" t="s">
        <v>31</v>
      </c>
      <c r="F37" s="8" t="s">
        <v>31</v>
      </c>
      <c r="G37" s="8" t="s">
        <v>31</v>
      </c>
      <c r="H37" s="8" t="s">
        <v>31</v>
      </c>
      <c r="I37" s="9">
        <v>0.24645308496691076</v>
      </c>
      <c r="J37" s="3"/>
      <c r="K37" s="4"/>
      <c r="L37" s="4"/>
      <c r="M37" s="3">
        <f t="shared" si="5"/>
        <v>0.64244884702825589</v>
      </c>
      <c r="N37" s="4"/>
      <c r="O37" s="4"/>
      <c r="P37" s="4"/>
      <c r="Q37" s="4"/>
      <c r="R37" s="3">
        <f t="shared" si="6"/>
        <v>0.75354691503308924</v>
      </c>
    </row>
    <row r="38" spans="1:19" x14ac:dyDescent="0.6">
      <c r="A38" s="62"/>
      <c r="B38" s="69"/>
      <c r="C38" s="4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R38" s="4"/>
      <c r="S38" s="4"/>
    </row>
    <row r="39" spans="1:19" x14ac:dyDescent="0.6">
      <c r="A39" s="62"/>
      <c r="B39" s="69"/>
      <c r="C39" s="4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6">
      <c r="A40" s="57" t="s">
        <v>32</v>
      </c>
      <c r="B40" s="72" t="s">
        <v>33</v>
      </c>
      <c r="L40" s="73" t="s">
        <v>34</v>
      </c>
    </row>
    <row r="41" spans="1:19" x14ac:dyDescent="0.6">
      <c r="A41" s="62"/>
      <c r="B41" s="74" t="str">
        <f>"Calendar month billed sales forecasted for " &amp;M1</f>
        <v>Calendar month billed sales forecasted for 2024</v>
      </c>
    </row>
    <row r="42" spans="1:19" x14ac:dyDescent="0.6">
      <c r="A42" s="62"/>
      <c r="B42" s="60" t="s">
        <v>35</v>
      </c>
      <c r="C42" s="75" t="str">
        <f>+C6</f>
        <v>SC1</v>
      </c>
      <c r="D42" s="75" t="str">
        <f t="shared" ref="D42:H42" si="7">+D6</f>
        <v>SC3</v>
      </c>
      <c r="E42" s="75" t="str">
        <f t="shared" si="7"/>
        <v>SC2 ND</v>
      </c>
      <c r="F42" s="75" t="str">
        <f t="shared" si="7"/>
        <v>SC4</v>
      </c>
      <c r="G42" s="75" t="str">
        <f t="shared" si="7"/>
        <v>SC6</v>
      </c>
      <c r="H42" s="75" t="str">
        <f t="shared" si="7"/>
        <v>SC2 Dem</v>
      </c>
      <c r="I42" s="75" t="s">
        <v>36</v>
      </c>
      <c r="J42" s="67"/>
      <c r="K42" s="67"/>
      <c r="L42" s="67" t="str">
        <f t="shared" ref="L42:Q42" si="8">+C6</f>
        <v>SC1</v>
      </c>
      <c r="M42" s="67" t="str">
        <f t="shared" si="8"/>
        <v>SC3</v>
      </c>
      <c r="N42" s="67" t="str">
        <f t="shared" si="8"/>
        <v>SC2 ND</v>
      </c>
      <c r="O42" s="67" t="str">
        <f t="shared" si="8"/>
        <v>SC4</v>
      </c>
      <c r="P42" s="67" t="str">
        <f t="shared" si="8"/>
        <v>SC6</v>
      </c>
      <c r="Q42" s="67" t="str">
        <f t="shared" si="8"/>
        <v>SC2 Dem</v>
      </c>
      <c r="R42" s="67" t="s">
        <v>30</v>
      </c>
    </row>
    <row r="43" spans="1:19" x14ac:dyDescent="0.6">
      <c r="A43" s="62"/>
    </row>
    <row r="44" spans="1:19" x14ac:dyDescent="0.6">
      <c r="A44" s="62"/>
      <c r="B44" s="69" t="s">
        <v>13</v>
      </c>
      <c r="C44" s="76">
        <v>57248.5</v>
      </c>
      <c r="D44" s="76">
        <v>33</v>
      </c>
      <c r="E44" s="76">
        <v>1609</v>
      </c>
      <c r="F44" s="76">
        <v>670.5</v>
      </c>
      <c r="G44" s="76">
        <v>476</v>
      </c>
      <c r="H44" s="76">
        <v>30651.948499999999</v>
      </c>
      <c r="I44" s="76">
        <f t="shared" ref="I44:I55" si="9">SUM(C44:H44)</f>
        <v>90688.948499999999</v>
      </c>
      <c r="J44" s="76"/>
      <c r="K44" s="77" t="s">
        <v>37</v>
      </c>
      <c r="L44" s="78">
        <f t="shared" ref="L44:Q44" si="10">SUM(C44:C48,C53:C55)</f>
        <v>394237</v>
      </c>
      <c r="M44" s="76">
        <f t="shared" si="10"/>
        <v>207</v>
      </c>
      <c r="N44" s="76">
        <f t="shared" si="10"/>
        <v>11290</v>
      </c>
      <c r="O44" s="76">
        <f t="shared" si="10"/>
        <v>4569.5</v>
      </c>
      <c r="P44" s="76">
        <f t="shared" si="10"/>
        <v>3560</v>
      </c>
      <c r="Q44" s="76">
        <f t="shared" si="10"/>
        <v>216903.73999999996</v>
      </c>
      <c r="R44" s="76">
        <f>L44</f>
        <v>394237</v>
      </c>
    </row>
    <row r="45" spans="1:19" x14ac:dyDescent="0.6">
      <c r="A45" s="62"/>
      <c r="B45" s="69" t="s">
        <v>14</v>
      </c>
      <c r="C45" s="76">
        <v>51406.5</v>
      </c>
      <c r="D45" s="76">
        <v>29</v>
      </c>
      <c r="E45" s="76">
        <v>1858</v>
      </c>
      <c r="F45" s="76">
        <v>580</v>
      </c>
      <c r="G45" s="76">
        <v>423</v>
      </c>
      <c r="H45" s="76">
        <v>27057.8285</v>
      </c>
      <c r="I45" s="76">
        <f t="shared" si="9"/>
        <v>81354.328500000003</v>
      </c>
      <c r="J45" s="76"/>
      <c r="K45" s="77" t="s">
        <v>38</v>
      </c>
      <c r="L45" s="78"/>
      <c r="M45" s="76">
        <f>SUMPRODUCT(D26:D30,D44:D48)+SUMPRODUCT(D35:D37,D53:D55)</f>
        <v>73.574839173497253</v>
      </c>
      <c r="R45" s="76">
        <f>SUMPRODUCT(I26:I30,C44:C48)+SUMPRODUCT(I35:I37,C53:C55)</f>
        <v>95867.175932897313</v>
      </c>
    </row>
    <row r="46" spans="1:19" x14ac:dyDescent="0.6">
      <c r="A46" s="62"/>
      <c r="B46" s="69" t="s">
        <v>15</v>
      </c>
      <c r="C46" s="76">
        <v>47197</v>
      </c>
      <c r="D46" s="76">
        <v>25</v>
      </c>
      <c r="E46" s="76">
        <v>2085</v>
      </c>
      <c r="F46" s="76">
        <v>552.5</v>
      </c>
      <c r="G46" s="76">
        <v>378.5</v>
      </c>
      <c r="H46" s="76">
        <v>25666.701499999999</v>
      </c>
      <c r="I46" s="76">
        <f t="shared" si="9"/>
        <v>75904.701499999996</v>
      </c>
      <c r="J46" s="76"/>
      <c r="K46" s="77" t="s">
        <v>39</v>
      </c>
      <c r="L46" s="78"/>
      <c r="M46" s="76">
        <f>+M44-M45</f>
        <v>133.42516082650275</v>
      </c>
      <c r="R46" s="76">
        <f>R44-R45</f>
        <v>298369.82406710269</v>
      </c>
    </row>
    <row r="47" spans="1:19" x14ac:dyDescent="0.6">
      <c r="A47" s="62"/>
      <c r="B47" s="69" t="s">
        <v>16</v>
      </c>
      <c r="C47" s="76">
        <v>43980.5</v>
      </c>
      <c r="D47" s="76">
        <v>26</v>
      </c>
      <c r="E47" s="76">
        <v>1248</v>
      </c>
      <c r="F47" s="76">
        <v>457</v>
      </c>
      <c r="G47" s="76">
        <v>391</v>
      </c>
      <c r="H47" s="76">
        <v>28356.905999999999</v>
      </c>
      <c r="I47" s="76">
        <f t="shared" si="9"/>
        <v>74459.406000000003</v>
      </c>
      <c r="J47" s="76"/>
    </row>
    <row r="48" spans="1:19" x14ac:dyDescent="0.6">
      <c r="A48" s="62"/>
      <c r="B48" s="69" t="s">
        <v>17</v>
      </c>
      <c r="C48" s="76">
        <v>44145.5</v>
      </c>
      <c r="D48" s="76">
        <v>21</v>
      </c>
      <c r="E48" s="76">
        <v>970</v>
      </c>
      <c r="F48" s="76">
        <v>414</v>
      </c>
      <c r="G48" s="76">
        <v>380</v>
      </c>
      <c r="H48" s="76">
        <v>24380.7745</v>
      </c>
      <c r="I48" s="76">
        <f t="shared" si="9"/>
        <v>70311.2745</v>
      </c>
      <c r="J48" s="76"/>
      <c r="K48" s="77" t="s">
        <v>40</v>
      </c>
      <c r="L48" s="78">
        <f>SUM(C49:C52)</f>
        <v>304518</v>
      </c>
      <c r="M48" s="76">
        <f>+SUM(D49:D52)</f>
        <v>130</v>
      </c>
      <c r="N48" s="76">
        <f>+SUM(E49:E52)</f>
        <v>4321</v>
      </c>
      <c r="O48" s="76">
        <f>+SUM(F49:F52)</f>
        <v>1756</v>
      </c>
      <c r="P48" s="76">
        <f>+SUM(G49:G52)</f>
        <v>1426.5</v>
      </c>
      <c r="Q48" s="76">
        <f>+SUM(H49:H52)</f>
        <v>121673.55799999999</v>
      </c>
      <c r="R48" s="76">
        <f>L48</f>
        <v>304518</v>
      </c>
    </row>
    <row r="49" spans="1:23" x14ac:dyDescent="0.6">
      <c r="A49" s="62"/>
      <c r="B49" s="69" t="s">
        <v>18</v>
      </c>
      <c r="C49" s="76">
        <v>59018</v>
      </c>
      <c r="D49" s="76">
        <v>28</v>
      </c>
      <c r="E49" s="76">
        <v>950</v>
      </c>
      <c r="F49" s="76">
        <v>378</v>
      </c>
      <c r="G49" s="76">
        <v>341</v>
      </c>
      <c r="H49" s="76">
        <v>26345.171999999999</v>
      </c>
      <c r="I49" s="76">
        <f t="shared" si="9"/>
        <v>87060.171999999991</v>
      </c>
      <c r="J49" s="76"/>
      <c r="K49" s="77" t="s">
        <v>38</v>
      </c>
      <c r="L49" s="78"/>
      <c r="M49" s="76">
        <f>+SUMPRODUCT(D31:D34,D49:D52)</f>
        <v>54.054998116454186</v>
      </c>
      <c r="R49" s="76">
        <f>+SUMPRODUCT(I31:I34,C49:C52)</f>
        <v>93940.42386386577</v>
      </c>
    </row>
    <row r="50" spans="1:23" x14ac:dyDescent="0.6">
      <c r="A50" s="62"/>
      <c r="B50" s="69" t="s">
        <v>19</v>
      </c>
      <c r="C50" s="76">
        <v>81819</v>
      </c>
      <c r="D50" s="76">
        <v>34</v>
      </c>
      <c r="E50" s="76">
        <v>1121</v>
      </c>
      <c r="F50" s="76">
        <v>408</v>
      </c>
      <c r="G50" s="76">
        <v>337</v>
      </c>
      <c r="H50" s="76">
        <v>30122.819</v>
      </c>
      <c r="I50" s="76">
        <f t="shared" si="9"/>
        <v>113841.819</v>
      </c>
      <c r="J50" s="76"/>
      <c r="K50" s="77" t="s">
        <v>39</v>
      </c>
      <c r="L50" s="78"/>
      <c r="M50" s="76">
        <f>+M48-M49</f>
        <v>75.945001883545814</v>
      </c>
      <c r="R50" s="76">
        <f>R48-R49</f>
        <v>210577.57613613422</v>
      </c>
    </row>
    <row r="51" spans="1:23" x14ac:dyDescent="0.6">
      <c r="A51" s="62"/>
      <c r="B51" s="69" t="s">
        <v>20</v>
      </c>
      <c r="C51" s="76">
        <v>88718</v>
      </c>
      <c r="D51" s="76">
        <v>36</v>
      </c>
      <c r="E51" s="76">
        <v>1173</v>
      </c>
      <c r="F51" s="76">
        <v>461.5</v>
      </c>
      <c r="G51" s="76">
        <v>342</v>
      </c>
      <c r="H51" s="76">
        <v>33304.167499999996</v>
      </c>
      <c r="I51" s="76">
        <f t="shared" si="9"/>
        <v>124034.6675</v>
      </c>
      <c r="J51" s="76"/>
    </row>
    <row r="52" spans="1:23" x14ac:dyDescent="0.6">
      <c r="A52" s="62"/>
      <c r="B52" s="69" t="s">
        <v>21</v>
      </c>
      <c r="C52" s="76">
        <v>74963</v>
      </c>
      <c r="D52" s="76">
        <v>32</v>
      </c>
      <c r="E52" s="76">
        <v>1077</v>
      </c>
      <c r="F52" s="76">
        <v>508.5</v>
      </c>
      <c r="G52" s="76">
        <v>406.5</v>
      </c>
      <c r="H52" s="76">
        <v>31901.3995</v>
      </c>
      <c r="I52" s="76">
        <f t="shared" si="9"/>
        <v>108888.3995</v>
      </c>
      <c r="J52" s="76"/>
      <c r="K52" s="77" t="s">
        <v>41</v>
      </c>
      <c r="L52" s="78">
        <f>ROUND(L48*E156,0)</f>
        <v>130851</v>
      </c>
    </row>
    <row r="53" spans="1:23" x14ac:dyDescent="0.6">
      <c r="A53" s="62"/>
      <c r="B53" s="69" t="s">
        <v>22</v>
      </c>
      <c r="C53" s="76">
        <v>52252.5</v>
      </c>
      <c r="D53" s="76">
        <v>22</v>
      </c>
      <c r="E53" s="76">
        <v>1024</v>
      </c>
      <c r="F53" s="76">
        <v>585.5</v>
      </c>
      <c r="G53" s="76">
        <v>479</v>
      </c>
      <c r="H53" s="76">
        <v>28193.386999999999</v>
      </c>
      <c r="I53" s="76">
        <f t="shared" si="9"/>
        <v>82556.387000000002</v>
      </c>
      <c r="J53" s="76"/>
      <c r="K53" s="79" t="s">
        <v>42</v>
      </c>
      <c r="L53" s="78">
        <f>L48-L52</f>
        <v>173667</v>
      </c>
    </row>
    <row r="54" spans="1:23" x14ac:dyDescent="0.6">
      <c r="A54" s="62"/>
      <c r="B54" s="69" t="s">
        <v>23</v>
      </c>
      <c r="C54" s="76">
        <v>44519</v>
      </c>
      <c r="D54" s="76">
        <v>21</v>
      </c>
      <c r="E54" s="76">
        <v>991</v>
      </c>
      <c r="F54" s="76">
        <v>630.5</v>
      </c>
      <c r="G54" s="76">
        <v>519</v>
      </c>
      <c r="H54" s="76">
        <v>25207.398000000001</v>
      </c>
      <c r="I54" s="76">
        <f t="shared" si="9"/>
        <v>71887.898000000001</v>
      </c>
      <c r="J54" s="76"/>
      <c r="K54" s="79" t="s">
        <v>43</v>
      </c>
      <c r="L54" s="78"/>
    </row>
    <row r="55" spans="1:23" x14ac:dyDescent="0.6">
      <c r="A55" s="62"/>
      <c r="B55" s="69" t="s">
        <v>24</v>
      </c>
      <c r="C55" s="80">
        <v>53487.5</v>
      </c>
      <c r="D55" s="80">
        <v>30</v>
      </c>
      <c r="E55" s="80">
        <v>1505</v>
      </c>
      <c r="F55" s="80">
        <v>679.5</v>
      </c>
      <c r="G55" s="80">
        <v>513.5</v>
      </c>
      <c r="H55" s="80">
        <v>27388.796000000002</v>
      </c>
      <c r="I55" s="80">
        <f t="shared" si="9"/>
        <v>83604.296000000002</v>
      </c>
      <c r="J55" s="76"/>
      <c r="M55" s="78"/>
    </row>
    <row r="56" spans="1:23" x14ac:dyDescent="0.6">
      <c r="A56" s="62"/>
      <c r="B56" s="81" t="s">
        <v>36</v>
      </c>
      <c r="C56" s="76">
        <f>SUM(C44:C55)</f>
        <v>698755</v>
      </c>
      <c r="D56" s="76">
        <f t="shared" ref="D56:H56" si="11">SUM(D44:D55)</f>
        <v>337</v>
      </c>
      <c r="E56" s="76">
        <f t="shared" si="11"/>
        <v>15611</v>
      </c>
      <c r="F56" s="76">
        <f>SUM(F44:F55)</f>
        <v>6325.5</v>
      </c>
      <c r="G56" s="76">
        <f>SUM(G44:G55)</f>
        <v>4986.5</v>
      </c>
      <c r="H56" s="76">
        <f t="shared" si="11"/>
        <v>338577.29799999995</v>
      </c>
      <c r="I56" s="76">
        <f>SUM(I44:I55)</f>
        <v>1064592.298</v>
      </c>
      <c r="J56" s="76"/>
      <c r="M56" s="78"/>
    </row>
    <row r="57" spans="1:23" x14ac:dyDescent="0.6">
      <c r="A57" s="62"/>
      <c r="B57" s="69"/>
      <c r="N57" s="78"/>
      <c r="O57" s="73" t="s">
        <v>44</v>
      </c>
    </row>
    <row r="58" spans="1:23" x14ac:dyDescent="0.6">
      <c r="A58" s="62"/>
      <c r="O58" s="82"/>
      <c r="P58" s="83"/>
      <c r="Q58" s="83"/>
      <c r="R58" s="83"/>
      <c r="S58" s="83"/>
      <c r="T58" s="83"/>
      <c r="U58" s="83"/>
      <c r="V58" s="83"/>
      <c r="W58" s="84"/>
    </row>
    <row r="59" spans="1:23" x14ac:dyDescent="0.6">
      <c r="A59" s="57" t="s">
        <v>45</v>
      </c>
      <c r="B59" s="73" t="s">
        <v>46</v>
      </c>
      <c r="G59" s="85"/>
      <c r="H59" s="73"/>
      <c r="N59" s="78"/>
      <c r="O59" s="86"/>
      <c r="P59" s="52" t="s">
        <v>47</v>
      </c>
      <c r="W59" s="87"/>
    </row>
    <row r="60" spans="1:23" x14ac:dyDescent="0.6">
      <c r="A60" s="62"/>
      <c r="B60" s="56" t="s">
        <v>48</v>
      </c>
      <c r="N60" s="78"/>
      <c r="O60" s="88"/>
      <c r="P60" s="67"/>
      <c r="Q60" s="67"/>
      <c r="R60" s="67"/>
      <c r="S60" s="66" t="str">
        <f>D6</f>
        <v>SC3</v>
      </c>
      <c r="T60" s="66"/>
      <c r="U60" s="66"/>
      <c r="V60" s="66" t="s">
        <v>30</v>
      </c>
      <c r="W60" s="89"/>
    </row>
    <row r="61" spans="1:23" x14ac:dyDescent="0.6">
      <c r="A61" s="62"/>
      <c r="C61" s="75" t="s">
        <v>49</v>
      </c>
      <c r="D61" s="75" t="s">
        <v>50</v>
      </c>
      <c r="G61" s="67"/>
      <c r="H61" s="67"/>
      <c r="I61" s="67"/>
      <c r="N61" s="78"/>
      <c r="O61" s="90"/>
      <c r="W61" s="87"/>
    </row>
    <row r="62" spans="1:23" x14ac:dyDescent="0.6">
      <c r="A62" s="62"/>
      <c r="B62" s="69" t="s">
        <v>13</v>
      </c>
      <c r="C62" s="91">
        <f t="shared" ref="C62:D73" si="12">G428</f>
        <v>72.03</v>
      </c>
      <c r="D62" s="91">
        <f t="shared" si="12"/>
        <v>62.23</v>
      </c>
      <c r="H62" s="67"/>
      <c r="I62" s="67"/>
      <c r="O62" s="88"/>
      <c r="P62" s="76"/>
      <c r="Q62" s="77" t="s">
        <v>37</v>
      </c>
      <c r="R62" s="76"/>
      <c r="S62" s="92">
        <f>SUM(D44:D48,D53:D55)</f>
        <v>207</v>
      </c>
      <c r="T62" s="76"/>
      <c r="U62" s="92"/>
      <c r="V62" s="76">
        <f>R44</f>
        <v>394237</v>
      </c>
      <c r="W62" s="87"/>
    </row>
    <row r="63" spans="1:23" x14ac:dyDescent="0.6">
      <c r="A63" s="62"/>
      <c r="B63" s="69" t="s">
        <v>14</v>
      </c>
      <c r="C63" s="91">
        <f t="shared" si="12"/>
        <v>68.83</v>
      </c>
      <c r="D63" s="91">
        <f t="shared" si="12"/>
        <v>59.53</v>
      </c>
      <c r="H63" s="67"/>
      <c r="I63" s="67"/>
      <c r="O63" s="88"/>
      <c r="P63" s="76"/>
      <c r="Q63" s="77" t="s">
        <v>38</v>
      </c>
      <c r="S63" s="92">
        <f>SUMPRODUCT(D26:D30,D44:D48)+SUMPRODUCT(D35:D37,D53:D55)</f>
        <v>73.574839173497253</v>
      </c>
      <c r="T63" s="52">
        <f>S63/S62</f>
        <v>0.35543400566906885</v>
      </c>
      <c r="U63" s="92"/>
      <c r="V63" s="76">
        <f>R45</f>
        <v>95867.175932897313</v>
      </c>
      <c r="W63" s="87"/>
    </row>
    <row r="64" spans="1:23" x14ac:dyDescent="0.6">
      <c r="A64" s="62"/>
      <c r="B64" s="69" t="s">
        <v>15</v>
      </c>
      <c r="C64" s="91">
        <f t="shared" si="12"/>
        <v>46.84</v>
      </c>
      <c r="D64" s="91">
        <f t="shared" si="12"/>
        <v>40.590000000000003</v>
      </c>
      <c r="H64" s="67"/>
      <c r="I64" s="67"/>
      <c r="M64" s="67"/>
      <c r="N64" s="67"/>
      <c r="O64" s="88"/>
      <c r="P64" s="76"/>
      <c r="Q64" s="77" t="s">
        <v>39</v>
      </c>
      <c r="S64" s="92">
        <f>SUMPRODUCT(M26:M30,D44:D48)+SUMPRODUCT(M35:M37,D53:D55)</f>
        <v>133.42516082650275</v>
      </c>
      <c r="U64" s="92"/>
      <c r="V64" s="76">
        <f>R46</f>
        <v>298369.82406710269</v>
      </c>
      <c r="W64" s="87"/>
    </row>
    <row r="65" spans="1:23" x14ac:dyDescent="0.6">
      <c r="A65" s="62"/>
      <c r="B65" s="69" t="s">
        <v>16</v>
      </c>
      <c r="C65" s="91">
        <f t="shared" si="12"/>
        <v>41.53</v>
      </c>
      <c r="D65" s="91">
        <f t="shared" si="12"/>
        <v>34.68</v>
      </c>
      <c r="H65" s="67"/>
      <c r="I65" s="67"/>
      <c r="O65" s="90"/>
      <c r="W65" s="87"/>
    </row>
    <row r="66" spans="1:23" x14ac:dyDescent="0.6">
      <c r="A66" s="62"/>
      <c r="B66" s="69" t="s">
        <v>17</v>
      </c>
      <c r="C66" s="91">
        <f t="shared" si="12"/>
        <v>42.7</v>
      </c>
      <c r="D66" s="91">
        <f t="shared" si="12"/>
        <v>35.93</v>
      </c>
      <c r="H66" s="67"/>
      <c r="I66" s="67"/>
      <c r="N66" s="78"/>
      <c r="O66" s="88"/>
      <c r="P66" s="76"/>
      <c r="Q66" s="77" t="s">
        <v>40</v>
      </c>
      <c r="R66" s="76"/>
      <c r="S66" s="92">
        <f>+SUM(D49:D52)</f>
        <v>130</v>
      </c>
      <c r="T66" s="76"/>
      <c r="U66" s="92"/>
      <c r="V66" s="76">
        <f>R48</f>
        <v>304518</v>
      </c>
      <c r="W66" s="87"/>
    </row>
    <row r="67" spans="1:23" x14ac:dyDescent="0.6">
      <c r="A67" s="62"/>
      <c r="B67" s="69" t="s">
        <v>18</v>
      </c>
      <c r="C67" s="91">
        <f t="shared" si="12"/>
        <v>39.549999999999997</v>
      </c>
      <c r="D67" s="91">
        <f t="shared" si="12"/>
        <v>27.18</v>
      </c>
      <c r="H67" s="67"/>
      <c r="I67" s="67"/>
      <c r="N67" s="78"/>
      <c r="O67" s="88"/>
      <c r="P67" s="76"/>
      <c r="Q67" s="77" t="s">
        <v>38</v>
      </c>
      <c r="S67" s="92">
        <f>+SUMPRODUCT(D31:D34,D49:D52)</f>
        <v>54.054998116454186</v>
      </c>
      <c r="T67" s="93">
        <f>S67/S66</f>
        <v>0.41580767781887834</v>
      </c>
      <c r="U67" s="92"/>
      <c r="V67" s="76">
        <f>R49</f>
        <v>93940.42386386577</v>
      </c>
      <c r="W67" s="87"/>
    </row>
    <row r="68" spans="1:23" x14ac:dyDescent="0.6">
      <c r="A68" s="62"/>
      <c r="B68" s="69" t="s">
        <v>19</v>
      </c>
      <c r="C68" s="91">
        <f t="shared" si="12"/>
        <v>55.27</v>
      </c>
      <c r="D68" s="91">
        <f t="shared" si="12"/>
        <v>37.11</v>
      </c>
      <c r="H68" s="67"/>
      <c r="I68" s="67"/>
      <c r="N68" s="78"/>
      <c r="O68" s="88"/>
      <c r="P68" s="76"/>
      <c r="Q68" s="77" t="s">
        <v>39</v>
      </c>
      <c r="S68" s="92">
        <f>SUMPRODUCT(M31:M34,D49:D52)</f>
        <v>75.945001883545814</v>
      </c>
      <c r="U68" s="92"/>
      <c r="V68" s="76">
        <f>R50</f>
        <v>210577.57613613422</v>
      </c>
      <c r="W68" s="87"/>
    </row>
    <row r="69" spans="1:23" x14ac:dyDescent="0.6">
      <c r="A69" s="62"/>
      <c r="B69" s="69" t="s">
        <v>20</v>
      </c>
      <c r="C69" s="91">
        <f t="shared" si="12"/>
        <v>49.13</v>
      </c>
      <c r="D69" s="91">
        <f t="shared" si="12"/>
        <v>33.39</v>
      </c>
      <c r="H69" s="67"/>
      <c r="I69" s="67"/>
      <c r="O69" s="88"/>
      <c r="W69" s="87"/>
    </row>
    <row r="70" spans="1:23" x14ac:dyDescent="0.6">
      <c r="A70" s="62"/>
      <c r="B70" s="69" t="s">
        <v>21</v>
      </c>
      <c r="C70" s="91">
        <f t="shared" si="12"/>
        <v>38.92</v>
      </c>
      <c r="D70" s="91">
        <f t="shared" si="12"/>
        <v>26.35</v>
      </c>
      <c r="H70" s="67"/>
      <c r="I70" s="67"/>
      <c r="N70" s="78"/>
      <c r="O70" s="86"/>
      <c r="P70" s="52" t="s">
        <v>51</v>
      </c>
      <c r="W70" s="87"/>
    </row>
    <row r="71" spans="1:23" x14ac:dyDescent="0.6">
      <c r="A71" s="62"/>
      <c r="B71" s="69" t="s">
        <v>22</v>
      </c>
      <c r="C71" s="91">
        <f t="shared" si="12"/>
        <v>36.36</v>
      </c>
      <c r="D71" s="91">
        <f t="shared" si="12"/>
        <v>30.66</v>
      </c>
      <c r="H71" s="67"/>
      <c r="I71" s="67"/>
      <c r="N71" s="78"/>
      <c r="O71" s="88"/>
      <c r="P71" s="67"/>
      <c r="Q71" s="67"/>
      <c r="R71" s="67"/>
      <c r="S71" s="67" t="str">
        <f>S60</f>
        <v>SC3</v>
      </c>
      <c r="T71" s="67"/>
      <c r="U71" s="67"/>
      <c r="V71" s="67"/>
      <c r="W71" s="87"/>
    </row>
    <row r="72" spans="1:23" x14ac:dyDescent="0.6">
      <c r="A72" s="62"/>
      <c r="B72" s="69" t="s">
        <v>23</v>
      </c>
      <c r="C72" s="91">
        <f t="shared" si="12"/>
        <v>39.76</v>
      </c>
      <c r="D72" s="91">
        <f t="shared" si="12"/>
        <v>33.56</v>
      </c>
      <c r="H72" s="67"/>
      <c r="I72" s="67"/>
      <c r="N72" s="78"/>
      <c r="O72" s="90"/>
      <c r="W72" s="87"/>
    </row>
    <row r="73" spans="1:23" x14ac:dyDescent="0.6">
      <c r="A73" s="62"/>
      <c r="B73" s="69" t="s">
        <v>24</v>
      </c>
      <c r="C73" s="91">
        <f t="shared" si="12"/>
        <v>52.71</v>
      </c>
      <c r="D73" s="91">
        <f t="shared" si="12"/>
        <v>45.06</v>
      </c>
      <c r="H73" s="67"/>
      <c r="I73" s="67"/>
      <c r="O73" s="88"/>
      <c r="P73" s="76"/>
      <c r="Q73" s="77" t="s">
        <v>37</v>
      </c>
      <c r="R73" s="76"/>
      <c r="S73" s="92">
        <f>SUM(D44:D48,D53:D55)</f>
        <v>207</v>
      </c>
      <c r="T73" s="76"/>
      <c r="U73" s="92"/>
      <c r="V73" s="76">
        <f>V62</f>
        <v>394237</v>
      </c>
      <c r="W73" s="87"/>
    </row>
    <row r="74" spans="1:23" x14ac:dyDescent="0.6">
      <c r="A74" s="62"/>
      <c r="B74" s="69"/>
      <c r="C74" s="91"/>
      <c r="D74" s="91"/>
      <c r="G74" s="6"/>
      <c r="M74" s="67"/>
      <c r="N74" s="67"/>
      <c r="O74" s="88"/>
      <c r="P74" s="76"/>
      <c r="Q74" s="77" t="s">
        <v>38</v>
      </c>
      <c r="S74" s="92">
        <f>SUMPRODUCT(D8:D12,D44:D48)+SUMPRODUCT(D17:D19,D53:D55)</f>
        <v>99.220039947011131</v>
      </c>
      <c r="T74" s="52">
        <f>S74/S73</f>
        <v>0.47932386447831465</v>
      </c>
      <c r="U74" s="92"/>
      <c r="V74" s="76">
        <f>SUMPRODUCT(C8:C12,C44:C48)+SUMPRODUCT(C17:C19,C53:C55)</f>
        <v>171138.49393479046</v>
      </c>
      <c r="W74" s="87"/>
    </row>
    <row r="75" spans="1:23" x14ac:dyDescent="0.6">
      <c r="A75" s="62"/>
      <c r="B75" s="69"/>
      <c r="C75" s="91"/>
      <c r="D75" s="91"/>
      <c r="I75" s="6"/>
      <c r="O75" s="88"/>
      <c r="P75" s="76"/>
      <c r="Q75" s="77" t="s">
        <v>39</v>
      </c>
      <c r="S75" s="92">
        <f>SUMPRODUCT(M8:M12,D44:D48)+SUMPRODUCT(M17:M19,D53:D55)</f>
        <v>107.77996005298887</v>
      </c>
      <c r="U75" s="92"/>
      <c r="V75" s="76">
        <f>V73-V74</f>
        <v>223098.50606520954</v>
      </c>
      <c r="W75" s="87"/>
    </row>
    <row r="76" spans="1:23" x14ac:dyDescent="0.6">
      <c r="A76" s="94" t="s">
        <v>52</v>
      </c>
      <c r="B76" s="72" t="s">
        <v>53</v>
      </c>
      <c r="C76" s="75" t="str">
        <f t="shared" ref="C76:H76" si="13">+C6</f>
        <v>SC1</v>
      </c>
      <c r="D76" s="75" t="str">
        <f t="shared" si="13"/>
        <v>SC3</v>
      </c>
      <c r="E76" s="75" t="str">
        <f t="shared" si="13"/>
        <v>SC2 ND</v>
      </c>
      <c r="F76" s="75" t="str">
        <f t="shared" si="13"/>
        <v>SC4</v>
      </c>
      <c r="G76" s="75" t="str">
        <f t="shared" si="13"/>
        <v>SC6</v>
      </c>
      <c r="H76" s="75" t="str">
        <f t="shared" si="13"/>
        <v>SC2 Dem</v>
      </c>
      <c r="J76" s="67"/>
      <c r="N76" s="78"/>
      <c r="O76" s="90"/>
      <c r="W76" s="87"/>
    </row>
    <row r="77" spans="1:23" x14ac:dyDescent="0.6">
      <c r="A77" s="62"/>
      <c r="C77" s="95"/>
      <c r="D77" s="95"/>
      <c r="E77" s="95"/>
      <c r="N77" s="78"/>
      <c r="O77" s="88"/>
      <c r="P77" s="67"/>
      <c r="Q77" s="77" t="s">
        <v>40</v>
      </c>
      <c r="R77" s="67"/>
      <c r="S77" s="92">
        <f>+SUM(D49:D52)</f>
        <v>130</v>
      </c>
      <c r="T77" s="67"/>
      <c r="U77" s="92"/>
      <c r="V77" s="96">
        <f>V66</f>
        <v>304518</v>
      </c>
      <c r="W77" s="87"/>
    </row>
    <row r="78" spans="1:23" x14ac:dyDescent="0.6">
      <c r="A78" s="62"/>
      <c r="B78" s="52" t="s">
        <v>54</v>
      </c>
      <c r="C78" s="93">
        <v>1.0866239975480974</v>
      </c>
      <c r="D78" s="93">
        <v>1.0866239975480974</v>
      </c>
      <c r="E78" s="93">
        <v>1.0866239975480974</v>
      </c>
      <c r="F78" s="93">
        <v>1.0828404807999878</v>
      </c>
      <c r="G78" s="93">
        <v>1.0828404807999878</v>
      </c>
      <c r="H78" s="93">
        <v>1.0866239975480974</v>
      </c>
      <c r="I78" s="93"/>
      <c r="J78" s="97"/>
      <c r="N78" s="78"/>
      <c r="O78" s="88"/>
      <c r="P78" s="76"/>
      <c r="Q78" s="77" t="s">
        <v>38</v>
      </c>
      <c r="S78" s="92">
        <f>+SUMPRODUCT(D13:D16,D49:D52)</f>
        <v>68.063785282283959</v>
      </c>
      <c r="T78" s="52">
        <f>S78/S77</f>
        <v>0.52356757909449203</v>
      </c>
      <c r="U78" s="92"/>
      <c r="V78" s="96">
        <f>+SUMPRODUCT(C12:C15,C49:C52)</f>
        <v>134621.77412168129</v>
      </c>
      <c r="W78" s="87"/>
    </row>
    <row r="79" spans="1:23" x14ac:dyDescent="0.6">
      <c r="A79" s="62"/>
      <c r="I79" s="93"/>
      <c r="J79" s="93"/>
      <c r="O79" s="88"/>
      <c r="P79" s="76"/>
      <c r="Q79" s="77" t="s">
        <v>39</v>
      </c>
      <c r="S79" s="92">
        <f>SUMPRODUCT(M13:M16,D49:D52)</f>
        <v>61.936214717716041</v>
      </c>
      <c r="U79" s="92"/>
      <c r="V79" s="76">
        <f>V77-V78</f>
        <v>169896.22587831871</v>
      </c>
      <c r="W79" s="87"/>
    </row>
    <row r="80" spans="1:23" x14ac:dyDescent="0.6">
      <c r="A80" s="62"/>
      <c r="B80" s="52" t="s">
        <v>55</v>
      </c>
      <c r="C80" s="93"/>
      <c r="I80" s="93"/>
      <c r="J80" s="93"/>
      <c r="O80" s="88"/>
      <c r="P80" s="76"/>
      <c r="Q80" s="77"/>
      <c r="S80" s="92"/>
      <c r="U80" s="92"/>
      <c r="W80" s="87"/>
    </row>
    <row r="81" spans="1:23" x14ac:dyDescent="0.6">
      <c r="A81" s="62"/>
      <c r="B81" s="52" t="s">
        <v>56</v>
      </c>
      <c r="C81" s="93">
        <v>1.0764622899784873</v>
      </c>
      <c r="D81" s="93">
        <v>1.0764622899784873</v>
      </c>
      <c r="E81" s="93">
        <v>1.0764622899784873</v>
      </c>
      <c r="F81" s="93">
        <v>1.0727141552860526</v>
      </c>
      <c r="G81" s="93">
        <v>1.0660255083227215</v>
      </c>
      <c r="H81" s="93">
        <v>1.0764622899784873</v>
      </c>
      <c r="I81" s="93"/>
      <c r="J81" s="93"/>
      <c r="O81" s="88"/>
      <c r="P81" s="76"/>
      <c r="Q81" s="77"/>
      <c r="S81" s="92"/>
      <c r="U81" s="92"/>
      <c r="W81" s="87"/>
    </row>
    <row r="82" spans="1:23" x14ac:dyDescent="0.6">
      <c r="A82" s="62"/>
      <c r="N82" s="78"/>
      <c r="O82" s="86"/>
      <c r="W82" s="87"/>
    </row>
    <row r="83" spans="1:23" x14ac:dyDescent="0.6">
      <c r="A83" s="94" t="s">
        <v>57</v>
      </c>
      <c r="B83" s="73" t="s">
        <v>58</v>
      </c>
      <c r="N83" s="78"/>
      <c r="O83" s="88"/>
      <c r="P83" s="52" t="s">
        <v>59</v>
      </c>
      <c r="W83" s="87"/>
    </row>
    <row r="84" spans="1:23" x14ac:dyDescent="0.6">
      <c r="A84" s="62"/>
      <c r="B84" s="56" t="s">
        <v>60</v>
      </c>
      <c r="N84" s="78"/>
      <c r="O84" s="90"/>
      <c r="P84" s="67"/>
      <c r="Q84" s="67"/>
      <c r="R84" s="67"/>
      <c r="S84" s="67" t="str">
        <f>S60</f>
        <v>SC3</v>
      </c>
      <c r="T84" s="67"/>
      <c r="U84" s="67"/>
      <c r="V84" s="67"/>
      <c r="W84" s="87"/>
    </row>
    <row r="85" spans="1:23" x14ac:dyDescent="0.6">
      <c r="A85" s="62"/>
      <c r="B85" s="60" t="s">
        <v>61</v>
      </c>
      <c r="O85" s="88"/>
      <c r="W85" s="87"/>
    </row>
    <row r="86" spans="1:23" x14ac:dyDescent="0.6">
      <c r="A86" s="62"/>
      <c r="B86" s="73"/>
      <c r="C86" s="75" t="str">
        <f t="shared" ref="C86:H86" si="14">+C6</f>
        <v>SC1</v>
      </c>
      <c r="D86" s="75" t="str">
        <f t="shared" si="14"/>
        <v>SC3</v>
      </c>
      <c r="E86" s="75" t="str">
        <f t="shared" si="14"/>
        <v>SC2 ND</v>
      </c>
      <c r="F86" s="75" t="str">
        <f t="shared" si="14"/>
        <v>SC4</v>
      </c>
      <c r="G86" s="75" t="str">
        <f t="shared" si="14"/>
        <v>SC6</v>
      </c>
      <c r="H86" s="75" t="str">
        <f t="shared" si="14"/>
        <v>SC2 Dem</v>
      </c>
      <c r="I86" s="67"/>
      <c r="J86" s="67"/>
      <c r="O86" s="88"/>
      <c r="P86" s="76"/>
      <c r="Q86" s="77" t="s">
        <v>62</v>
      </c>
      <c r="R86" s="76"/>
      <c r="S86" s="76"/>
      <c r="T86" s="76"/>
      <c r="U86" s="76"/>
      <c r="V86" s="76"/>
      <c r="W86" s="87"/>
    </row>
    <row r="87" spans="1:23" x14ac:dyDescent="0.6">
      <c r="A87" s="62"/>
      <c r="O87" s="88"/>
      <c r="P87" s="76"/>
      <c r="Q87" s="79" t="s">
        <v>63</v>
      </c>
      <c r="S87" s="76">
        <f>S74-S63</f>
        <v>25.645200773513878</v>
      </c>
      <c r="U87" s="76"/>
      <c r="V87" s="96">
        <f>V74-V63</f>
        <v>75271.318001893145</v>
      </c>
      <c r="W87" s="87"/>
    </row>
    <row r="88" spans="1:23" x14ac:dyDescent="0.6">
      <c r="A88" s="62"/>
      <c r="B88" s="69" t="s">
        <v>64</v>
      </c>
      <c r="C88" s="10">
        <f t="shared" ref="C88:H88" si="15">(SUMPRODUCT(C13:C16,C49:C52,$C67:$C70)*C78+SUMPRODUCT(L13:L16,C49:C52,$D67:$D70)*C78)/SUM(C49:C52)</f>
        <v>41.367744222175538</v>
      </c>
      <c r="D88" s="10">
        <f t="shared" si="15"/>
        <v>42.43778359098598</v>
      </c>
      <c r="E88" s="10">
        <f t="shared" si="15"/>
        <v>41.898709569582977</v>
      </c>
      <c r="F88" s="10">
        <f t="shared" si="15"/>
        <v>41.911441192527285</v>
      </c>
      <c r="G88" s="10">
        <f t="shared" si="15"/>
        <v>41.764394867313158</v>
      </c>
      <c r="H88" s="10">
        <f t="shared" si="15"/>
        <v>42.410230012897479</v>
      </c>
      <c r="I88" s="10"/>
      <c r="J88" s="10"/>
      <c r="O88" s="90"/>
      <c r="P88" s="76"/>
      <c r="Q88" s="77" t="s">
        <v>65</v>
      </c>
      <c r="S88" s="11">
        <f>S87*(D93-D94)</f>
        <v>201.641739190648</v>
      </c>
      <c r="U88" s="11"/>
      <c r="V88" s="96">
        <f>V87*(C93-C94)</f>
        <v>601730.65285949816</v>
      </c>
      <c r="W88" s="87"/>
    </row>
    <row r="89" spans="1:23" x14ac:dyDescent="0.6">
      <c r="A89" s="62"/>
      <c r="B89" s="98" t="s">
        <v>66</v>
      </c>
      <c r="C89" s="10">
        <f t="shared" ref="C89:H89" si="16">(SUMPRODUCT(C13:C16,C49:C52,$C67:$C70)*C78)/SUMPRODUCT(C13:C16,C49:C52)</f>
        <v>50.387727352951835</v>
      </c>
      <c r="D89" s="10">
        <f t="shared" si="16"/>
        <v>50.055807222389262</v>
      </c>
      <c r="E89" s="10">
        <f t="shared" si="16"/>
        <v>49.952120264262305</v>
      </c>
      <c r="F89" s="10">
        <f t="shared" si="16"/>
        <v>49.107134134074819</v>
      </c>
      <c r="G89" s="10">
        <f t="shared" si="16"/>
        <v>48.921423262083565</v>
      </c>
      <c r="H89" s="10">
        <f t="shared" si="16"/>
        <v>49.72549797198198</v>
      </c>
      <c r="I89" s="10"/>
      <c r="J89" s="10"/>
      <c r="O89" s="88"/>
      <c r="Q89" s="77" t="s">
        <v>67</v>
      </c>
      <c r="S89" s="99">
        <f>ROUND(S88/S73,2)</f>
        <v>0.97</v>
      </c>
      <c r="U89" s="99"/>
      <c r="V89" s="99">
        <f>ROUND(V88/V73,2)</f>
        <v>1.53</v>
      </c>
      <c r="W89" s="87"/>
    </row>
    <row r="90" spans="1:23" x14ac:dyDescent="0.6">
      <c r="A90" s="62"/>
      <c r="B90" s="98" t="s">
        <v>68</v>
      </c>
      <c r="C90" s="10">
        <f t="shared" ref="C90:H90" si="17">(SUMPRODUCT(L13:L16,C49:C52,$D67:$D70)*C78)/SUMPRODUCT(L13:L16,C49:C52)</f>
        <v>34.190650072196426</v>
      </c>
      <c r="D90" s="10">
        <f t="shared" si="17"/>
        <v>34.066081718561335</v>
      </c>
      <c r="E90" s="10">
        <f t="shared" si="17"/>
        <v>34.001909945797806</v>
      </c>
      <c r="F90" s="10">
        <f t="shared" si="17"/>
        <v>33.580993064851825</v>
      </c>
      <c r="G90" s="10">
        <f t="shared" si="17"/>
        <v>33.483759321725607</v>
      </c>
      <c r="H90" s="10">
        <f t="shared" si="17"/>
        <v>33.919038808218019</v>
      </c>
      <c r="I90" s="10"/>
      <c r="J90" s="10"/>
      <c r="O90" s="88"/>
      <c r="P90" s="67"/>
      <c r="V90" s="67"/>
      <c r="W90" s="87"/>
    </row>
    <row r="91" spans="1:23" x14ac:dyDescent="0.6">
      <c r="A91" s="62"/>
      <c r="C91" s="12"/>
      <c r="D91" s="12"/>
      <c r="E91" s="12"/>
      <c r="F91" s="12"/>
      <c r="G91" s="12"/>
      <c r="H91" s="12"/>
      <c r="I91" s="12"/>
      <c r="J91" s="12"/>
      <c r="O91" s="88"/>
      <c r="P91" s="76"/>
      <c r="Q91" s="77" t="s">
        <v>69</v>
      </c>
      <c r="R91" s="67"/>
      <c r="S91" s="100"/>
      <c r="T91" s="67"/>
      <c r="U91" s="100"/>
      <c r="W91" s="87"/>
    </row>
    <row r="92" spans="1:23" x14ac:dyDescent="0.6">
      <c r="A92" s="62"/>
      <c r="B92" s="69" t="s">
        <v>70</v>
      </c>
      <c r="C92" s="10">
        <f t="shared" ref="C92:H92" si="18">(SUMPRODUCT(C8:C12,C44:C48,$C62:$C66)*C78+SUMPRODUCT(L8:L12,C44:C48,$D62:$D66)*C78+SUMPRODUCT(C17:C19,C53:C55,$C71:$C73)*C78+SUMPRODUCT(L17:L19,C53:C55,$D71:$D73)*C78)/SUM(C44:C48,C53:C55)</f>
        <v>50.772504727958164</v>
      </c>
      <c r="D92" s="10">
        <f t="shared" si="18"/>
        <v>52.100191764508352</v>
      </c>
      <c r="E92" s="10">
        <f t="shared" si="18"/>
        <v>52.487219328774131</v>
      </c>
      <c r="F92" s="10">
        <f t="shared" si="18"/>
        <v>51.481778646783489</v>
      </c>
      <c r="G92" s="10">
        <f t="shared" si="18"/>
        <v>50.671549457466504</v>
      </c>
      <c r="H92" s="10">
        <f t="shared" si="18"/>
        <v>51.018173725288058</v>
      </c>
      <c r="I92" s="10"/>
      <c r="J92" s="10"/>
      <c r="O92" s="88"/>
      <c r="P92" s="76"/>
      <c r="Q92" s="79" t="s">
        <v>63</v>
      </c>
      <c r="S92" s="76">
        <f>S78-S67</f>
        <v>14.008787165829773</v>
      </c>
      <c r="U92" s="76"/>
      <c r="V92" s="76">
        <f>V78-V67</f>
        <v>40681.350257815517</v>
      </c>
      <c r="W92" s="87"/>
    </row>
    <row r="93" spans="1:23" x14ac:dyDescent="0.6">
      <c r="A93" s="62"/>
      <c r="B93" s="98" t="s">
        <v>66</v>
      </c>
      <c r="C93" s="10">
        <f t="shared" ref="C93" si="19">(SUMPRODUCT(C8:C12,C44:C48,$C62:$C66)*C78+SUMPRODUCT(C17:C19,C53:C55,$C71:$C73)*C78)/(SUMPRODUCT(C8:C12,C44:C48)+SUMPRODUCT(C17:C19,C53:C55))</f>
        <v>55.296393262858636</v>
      </c>
      <c r="D93" s="10">
        <f>(SUMPRODUCT(D8:D12,D44:D48,$C62:$C66)*D78+SUMPRODUCT(D17:D19,D53:D55,$C71:$C73)*D78)/(SUMPRODUCT(D8:D12,D44:D48)+SUMPRODUCT(D17:D19,D53:D55))</f>
        <v>56.194136766104556</v>
      </c>
      <c r="E93" s="10">
        <f>(SUMPRODUCT(E8:E12,E44:E48,$C62:$C66)*E78+SUMPRODUCT(E17:E19,E53:E55,$C71:$C73)*E78)/(SUMPRODUCT(E8:E12,E44:E48)+SUMPRODUCT(E17:E19,E53:E55))</f>
        <v>56.766423153522283</v>
      </c>
      <c r="F93" s="10">
        <f>(SUMPRODUCT(F8:F12,F44:F48,$C62:$C66)*F78+SUMPRODUCT(F17:F19,F53:F55,$C71:$C73)*F78)/(SUMPRODUCT(F8:F12,F44:F48)+SUMPRODUCT(F17:F19,F53:F55))</f>
        <v>55.306737004424079</v>
      </c>
      <c r="G93" s="10">
        <f>(SUMPRODUCT(G8:G12,G44:G48,$C62:$C66)*G78+SUMPRODUCT(G17:G19,G53:G55,$C71:$C73)*G78)/(SUMPRODUCT(G8:G12,G44:G48)+SUMPRODUCT(G17:G19,G53:G55))</f>
        <v>54.474772490850341</v>
      </c>
      <c r="H93" s="10">
        <f>(SUMPRODUCT(H8:H12,H44:H48,$C62:$C66)*H78+SUMPRODUCT(H17:H19,H53:H55,$C71:$C73)*H78)/(SUMPRODUCT(H8:H12,H44:H48)+SUMPRODUCT(H17:H19,H53:H55))</f>
        <v>54.86221167252279</v>
      </c>
      <c r="I93" s="10"/>
      <c r="J93" s="10"/>
      <c r="Q93" s="77" t="s">
        <v>65</v>
      </c>
      <c r="S93" s="11">
        <f>S92*(D89-D90)</f>
        <v>223.99666142316565</v>
      </c>
      <c r="U93" s="11"/>
      <c r="V93" s="96">
        <f>V92*(C89-C90)</f>
        <v>658918.9740113169</v>
      </c>
    </row>
    <row r="94" spans="1:23" x14ac:dyDescent="0.6">
      <c r="A94" s="62"/>
      <c r="B94" s="98" t="s">
        <v>68</v>
      </c>
      <c r="C94" s="10">
        <f t="shared" ref="C94:H94" si="20">(SUMPRODUCT(L8:L12,C44:C48,$D62:$D66)*C78+SUMPRODUCT(L17:L19,C53:C55,$D71:$D73)*C78)/(SUMPRODUCT(L8:L12,C44:C48)+SUMPRODUCT(L17:L19,C53:C55))</f>
        <v>47.302237336900703</v>
      </c>
      <c r="D94" s="10">
        <f t="shared" si="20"/>
        <v>48.331389230163964</v>
      </c>
      <c r="E94" s="10">
        <f t="shared" si="20"/>
        <v>48.754319863931137</v>
      </c>
      <c r="F94" s="10">
        <f t="shared" si="20"/>
        <v>47.06974354474707</v>
      </c>
      <c r="G94" s="10">
        <f t="shared" si="20"/>
        <v>46.298518082962595</v>
      </c>
      <c r="H94" s="10">
        <f t="shared" si="20"/>
        <v>46.95673647180238</v>
      </c>
      <c r="I94" s="10"/>
      <c r="J94" s="10"/>
      <c r="Q94" s="77" t="s">
        <v>67</v>
      </c>
      <c r="S94" s="99">
        <f>ROUND(S93/S77,2)</f>
        <v>1.72</v>
      </c>
      <c r="U94" s="99"/>
      <c r="V94" s="99">
        <f>ROUND(V93/V77,2)</f>
        <v>2.16</v>
      </c>
    </row>
    <row r="95" spans="1:23" x14ac:dyDescent="0.6">
      <c r="A95" s="62"/>
      <c r="C95" s="12"/>
      <c r="D95" s="12"/>
      <c r="E95" s="12"/>
      <c r="F95" s="12"/>
      <c r="G95" s="12"/>
      <c r="H95" s="12"/>
      <c r="I95" s="12"/>
      <c r="J95" s="12"/>
    </row>
    <row r="96" spans="1:23" x14ac:dyDescent="0.6">
      <c r="A96" s="62"/>
      <c r="B96" s="52" t="s">
        <v>71</v>
      </c>
      <c r="C96" s="10">
        <f t="shared" ref="C96" si="21">(C88*SUM(C49:C52)+C92*SUM(C44:C48,C53:C55))/C56</f>
        <v>46.673902414271801</v>
      </c>
      <c r="D96" s="12">
        <f>(D88*SUM(D49:D52)+D92*SUM(D44:D48,D53:D55))/D56</f>
        <v>48.372853299944822</v>
      </c>
      <c r="E96" s="12">
        <f>(E88*SUM(E49:E52)+E92*SUM(E44:E48,E53:E55))/E56</f>
        <v>49.556404475820123</v>
      </c>
      <c r="F96" s="12">
        <f>(F88*SUM(F49:F52)+F92*SUM(F44:F48,F53:F55))/F56</f>
        <v>48.824990634820182</v>
      </c>
      <c r="G96" s="12">
        <f>(G88*SUM(G49:G52)+G92*SUM(G44:G48,G53:G55))/G56</f>
        <v>48.123458407059651</v>
      </c>
      <c r="H96" s="12">
        <f>(H88*SUM(H49:H52)+H92*SUM(H44:H48,H53:H55))/H56</f>
        <v>47.924761542199839</v>
      </c>
      <c r="I96" s="12"/>
      <c r="J96" s="12"/>
    </row>
    <row r="97" spans="1:11" x14ac:dyDescent="0.6">
      <c r="A97" s="62"/>
      <c r="C97" s="10"/>
      <c r="D97" s="12"/>
      <c r="E97" s="12"/>
      <c r="F97" s="12"/>
      <c r="G97" s="12"/>
      <c r="H97" s="12"/>
      <c r="I97" s="12"/>
      <c r="J97" s="12"/>
    </row>
    <row r="98" spans="1:11" x14ac:dyDescent="0.6">
      <c r="A98" s="62"/>
      <c r="B98" s="52" t="s">
        <v>72</v>
      </c>
      <c r="C98" s="10">
        <f>SUMPRODUCT(C96:H96,C56:H56)/SUM(C56:H56)</f>
        <v>47.13409615253321</v>
      </c>
      <c r="D98" s="12"/>
      <c r="E98" s="12"/>
      <c r="F98" s="12"/>
      <c r="G98" s="12"/>
      <c r="H98" s="12"/>
      <c r="I98" s="12"/>
      <c r="J98" s="12"/>
    </row>
    <row r="99" spans="1:11" x14ac:dyDescent="0.6">
      <c r="A99" s="62"/>
      <c r="C99" s="10"/>
      <c r="D99" s="12"/>
      <c r="E99" s="12"/>
      <c r="F99" s="12"/>
      <c r="G99" s="12"/>
      <c r="H99" s="12"/>
      <c r="I99" s="12"/>
      <c r="J99" s="12"/>
      <c r="K99" s="12"/>
    </row>
    <row r="100" spans="1:11" x14ac:dyDescent="0.6">
      <c r="A100" s="6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x14ac:dyDescent="0.6">
      <c r="A101" s="94" t="s">
        <v>73</v>
      </c>
      <c r="B101" s="73" t="s">
        <v>74</v>
      </c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x14ac:dyDescent="0.6">
      <c r="A102" s="62"/>
      <c r="B102" s="60" t="s">
        <v>60</v>
      </c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x14ac:dyDescent="0.6">
      <c r="A103" s="62"/>
      <c r="B103" s="60" t="s">
        <v>75</v>
      </c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x14ac:dyDescent="0.6">
      <c r="A104" s="62"/>
      <c r="B104" s="73"/>
      <c r="C104" s="75" t="str">
        <f t="shared" ref="C104:H104" si="22">+C6</f>
        <v>SC1</v>
      </c>
      <c r="D104" s="75" t="str">
        <f t="shared" si="22"/>
        <v>SC3</v>
      </c>
      <c r="E104" s="75" t="str">
        <f t="shared" si="22"/>
        <v>SC2 ND</v>
      </c>
      <c r="F104" s="75" t="str">
        <f t="shared" si="22"/>
        <v>SC4</v>
      </c>
      <c r="G104" s="75" t="str">
        <f t="shared" si="22"/>
        <v>SC6</v>
      </c>
      <c r="H104" s="75" t="str">
        <f t="shared" si="22"/>
        <v>SC2 Dem</v>
      </c>
      <c r="I104" s="67"/>
      <c r="J104" s="67"/>
    </row>
    <row r="105" spans="1:11" x14ac:dyDescent="0.6">
      <c r="A105" s="62"/>
      <c r="C105" s="100"/>
    </row>
    <row r="106" spans="1:11" x14ac:dyDescent="0.6">
      <c r="A106" s="62"/>
      <c r="B106" s="69" t="s">
        <v>64</v>
      </c>
      <c r="C106" s="13">
        <f t="shared" ref="C106" si="23">SUM(C49:C52)*C88/1000</f>
        <v>12597.22273504845</v>
      </c>
      <c r="D106" s="13">
        <f>SUM(D49:D52)*D88/1000</f>
        <v>5.5169118668281776</v>
      </c>
      <c r="E106" s="13">
        <f>SUM(E49:E52)*E88/1000</f>
        <v>181.04432405016803</v>
      </c>
      <c r="F106" s="13">
        <f>SUM(F49:F52)*F88/1000</f>
        <v>73.596490734077918</v>
      </c>
      <c r="G106" s="13">
        <f>SUM(G49:G52)*G88/1000</f>
        <v>59.576909278222224</v>
      </c>
      <c r="H106" s="13">
        <f>SUM(H49:H52)*H88/1000</f>
        <v>5160.2035812676213</v>
      </c>
      <c r="I106" s="13"/>
      <c r="J106" s="13"/>
    </row>
    <row r="107" spans="1:11" x14ac:dyDescent="0.6">
      <c r="A107" s="62"/>
      <c r="B107" s="98" t="s">
        <v>66</v>
      </c>
      <c r="C107" s="13">
        <f t="shared" ref="C107" si="24">SUMPRODUCT(C49:C52,C13:C16)*C89/1000</f>
        <v>6799.0733830934732</v>
      </c>
      <c r="D107" s="13">
        <f>SUMPRODUCT(D49:D52,D13:D16)*D89/1000</f>
        <v>3.4069877149161014</v>
      </c>
      <c r="E107" s="13">
        <f>SUMPRODUCT(E49:E52,E13:E16)*E89/1000</f>
        <v>106.86190143806338</v>
      </c>
      <c r="F107" s="13">
        <f>SUMPRODUCT(F49:F52,F13:F16)*F89/1000</f>
        <v>46.267276730489669</v>
      </c>
      <c r="G107" s="13">
        <f>SUMPRODUCT(G49:G52,G13:G16)*G89/1000</f>
        <v>37.432854596649968</v>
      </c>
      <c r="H107" s="13">
        <f>SUMPRODUCT(H49:H52,H13:H16)*H89/1000</f>
        <v>3250.1946848605262</v>
      </c>
      <c r="I107" s="13"/>
      <c r="J107" s="13"/>
    </row>
    <row r="108" spans="1:11" x14ac:dyDescent="0.6">
      <c r="A108" s="62"/>
      <c r="B108" s="98" t="s">
        <v>68</v>
      </c>
      <c r="C108" s="13">
        <f t="shared" ref="C108:H108" si="25">SUMPRODUCT(C49:C52,L13:L16)*C90/1000</f>
        <v>5798.1493519549776</v>
      </c>
      <c r="D108" s="13">
        <f t="shared" si="25"/>
        <v>2.1099241519120762</v>
      </c>
      <c r="E108" s="13">
        <f t="shared" si="25"/>
        <v>74.182422612104673</v>
      </c>
      <c r="F108" s="13">
        <f t="shared" si="25"/>
        <v>27.329214003588248</v>
      </c>
      <c r="G108" s="13">
        <f t="shared" si="25"/>
        <v>22.144054681572257</v>
      </c>
      <c r="H108" s="13">
        <f t="shared" si="25"/>
        <v>1910.0088964070958</v>
      </c>
      <c r="I108" s="13"/>
      <c r="J108" s="13"/>
    </row>
    <row r="109" spans="1:11" x14ac:dyDescent="0.6">
      <c r="A109" s="62"/>
      <c r="C109" s="14"/>
      <c r="D109" s="14"/>
      <c r="E109" s="14"/>
      <c r="F109" s="14"/>
      <c r="G109" s="14"/>
      <c r="H109" s="14"/>
      <c r="I109" s="14"/>
      <c r="J109" s="14"/>
    </row>
    <row r="110" spans="1:11" x14ac:dyDescent="0.6">
      <c r="A110" s="62"/>
      <c r="B110" s="69" t="s">
        <v>70</v>
      </c>
      <c r="C110" s="14">
        <f t="shared" ref="C110" si="26">SUM(C44:C48,C53:C55)*C92/1000</f>
        <v>20016.399946436042</v>
      </c>
      <c r="D110" s="14">
        <f>SUM(D44:D48,D53:D55)*D92/1000</f>
        <v>10.784739695253229</v>
      </c>
      <c r="E110" s="14">
        <f>SUM(E44:E48,E53:E55)*E92/1000</f>
        <v>592.58070622185994</v>
      </c>
      <c r="F110" s="14">
        <f>SUM(F44:F48,F53:F55)*F92/1000</f>
        <v>235.24598752647714</v>
      </c>
      <c r="G110" s="14">
        <f>SUM(G44:G48,G53:G55)*G92/1000</f>
        <v>180.39071606858076</v>
      </c>
      <c r="H110" s="14">
        <f>SUM(H44:H48,H53:H55)*H92/1000</f>
        <v>11066.032688984711</v>
      </c>
      <c r="I110" s="14"/>
      <c r="J110" s="14"/>
    </row>
    <row r="111" spans="1:11" x14ac:dyDescent="0.6">
      <c r="A111" s="62"/>
      <c r="B111" s="98" t="s">
        <v>66</v>
      </c>
      <c r="C111" s="13">
        <f t="shared" ref="C111" si="27">(SUMPRODUCT(C44:C48,C8:C12)+SUMPRODUCT(C53:C55,C17:C19))*C93/1000</f>
        <v>9463.3414630315219</v>
      </c>
      <c r="D111" s="13">
        <f>(SUMPRODUCT(D44:D48,D8:D12)+SUMPRODUCT(D53:D55,D17:D19))*D93/1000</f>
        <v>5.5755844947207009</v>
      </c>
      <c r="E111" s="13">
        <f>(SUMPRODUCT(E44:E48,E8:E12)+SUMPRODUCT(E53:E55,E17:E19))*E93/1000</f>
        <v>298.59685302664172</v>
      </c>
      <c r="F111" s="13">
        <f>(SUMPRODUCT(F44:F48,F8:F12)+SUMPRODUCT(F53:F55,F17:F19))*F93/1000</f>
        <v>135.36829415619758</v>
      </c>
      <c r="G111" s="13">
        <f>(SUMPRODUCT(G44:G48,G8:G12)+SUMPRODUCT(G53:G55,G17:G19))*G93/1000</f>
        <v>103.72265383648379</v>
      </c>
      <c r="H111" s="13">
        <f>(SUMPRODUCT(H44:H48,H8:H12)+SUMPRODUCT(H53:H55,H17:H19))*H93/1000</f>
        <v>6113.5310084000312</v>
      </c>
      <c r="I111" s="13"/>
      <c r="J111" s="13"/>
    </row>
    <row r="112" spans="1:11" x14ac:dyDescent="0.6">
      <c r="A112" s="62"/>
      <c r="B112" s="98" t="s">
        <v>68</v>
      </c>
      <c r="C112" s="13">
        <f t="shared" ref="C112:H112" si="28">+(SUMPRODUCT(C44:C48,L8:L12)+SUMPRODUCT(C53:C55,L17:L19))*C94/1000</f>
        <v>10553.058483404524</v>
      </c>
      <c r="D112" s="13">
        <f t="shared" si="28"/>
        <v>5.2091552005325283</v>
      </c>
      <c r="E112" s="13">
        <f t="shared" si="28"/>
        <v>293.98385319521827</v>
      </c>
      <c r="F112" s="13">
        <f t="shared" si="28"/>
        <v>99.877693370279587</v>
      </c>
      <c r="G112" s="13">
        <f t="shared" si="28"/>
        <v>76.668062232096958</v>
      </c>
      <c r="H112" s="13">
        <f t="shared" si="28"/>
        <v>4952.501680584679</v>
      </c>
      <c r="I112" s="13"/>
      <c r="J112" s="13"/>
    </row>
    <row r="113" spans="1:10" x14ac:dyDescent="0.6">
      <c r="A113" s="62"/>
      <c r="C113" s="12"/>
      <c r="D113" s="12"/>
      <c r="E113" s="12"/>
      <c r="F113" s="12"/>
      <c r="G113" s="12"/>
      <c r="H113" s="12"/>
      <c r="I113" s="12"/>
      <c r="J113" s="12"/>
    </row>
    <row r="114" spans="1:10" x14ac:dyDescent="0.6">
      <c r="A114" s="62"/>
      <c r="B114" s="52" t="s">
        <v>71</v>
      </c>
      <c r="C114" s="14">
        <f>+C106+C110</f>
        <v>32613.622681484492</v>
      </c>
      <c r="D114" s="14">
        <f t="shared" ref="D114:H114" si="29">+D106+D110</f>
        <v>16.301651562081407</v>
      </c>
      <c r="E114" s="14">
        <f t="shared" si="29"/>
        <v>773.62503027202797</v>
      </c>
      <c r="F114" s="14">
        <f t="shared" si="29"/>
        <v>308.84247826055503</v>
      </c>
      <c r="G114" s="14">
        <f t="shared" si="29"/>
        <v>239.96762534680298</v>
      </c>
      <c r="H114" s="14">
        <f t="shared" si="29"/>
        <v>16226.236270252331</v>
      </c>
      <c r="I114" s="14"/>
      <c r="J114" s="14"/>
    </row>
    <row r="115" spans="1:10" x14ac:dyDescent="0.6">
      <c r="A115" s="62"/>
    </row>
    <row r="116" spans="1:10" x14ac:dyDescent="0.6">
      <c r="A116" s="62"/>
      <c r="B116" s="52" t="s">
        <v>72</v>
      </c>
      <c r="C116" s="13">
        <f>SUM(C114:H114)</f>
        <v>50178.595737178293</v>
      </c>
      <c r="D116" s="101"/>
      <c r="E116" s="10"/>
    </row>
    <row r="117" spans="1:10" x14ac:dyDescent="0.6">
      <c r="A117" s="62"/>
    </row>
    <row r="118" spans="1:10" x14ac:dyDescent="0.6">
      <c r="A118" s="62"/>
    </row>
    <row r="119" spans="1:10" x14ac:dyDescent="0.6">
      <c r="A119" s="94" t="s">
        <v>76</v>
      </c>
      <c r="B119" s="61" t="s">
        <v>77</v>
      </c>
      <c r="C119" s="12"/>
    </row>
    <row r="120" spans="1:10" x14ac:dyDescent="0.6">
      <c r="A120" s="62"/>
      <c r="B120" s="56" t="s">
        <v>78</v>
      </c>
      <c r="C120" s="12"/>
    </row>
    <row r="121" spans="1:10" x14ac:dyDescent="0.6">
      <c r="A121" s="62"/>
      <c r="B121" s="60"/>
      <c r="C121" s="12"/>
    </row>
    <row r="122" spans="1:10" x14ac:dyDescent="0.6">
      <c r="A122" s="62"/>
      <c r="B122" s="73"/>
      <c r="C122" s="75" t="str">
        <f t="shared" ref="C122:H122" si="30">+C6</f>
        <v>SC1</v>
      </c>
      <c r="D122" s="75" t="str">
        <f t="shared" si="30"/>
        <v>SC3</v>
      </c>
      <c r="E122" s="75" t="str">
        <f t="shared" si="30"/>
        <v>SC2 ND</v>
      </c>
      <c r="F122" s="75" t="str">
        <f t="shared" si="30"/>
        <v>SC4</v>
      </c>
      <c r="G122" s="75" t="str">
        <f t="shared" si="30"/>
        <v>SC6</v>
      </c>
      <c r="H122" s="75" t="str">
        <f t="shared" si="30"/>
        <v>SC2 Dem</v>
      </c>
      <c r="I122" s="75" t="str">
        <f>$I$24</f>
        <v>SC1 TOD</v>
      </c>
      <c r="J122" s="67"/>
    </row>
    <row r="123" spans="1:10" x14ac:dyDescent="0.6">
      <c r="A123" s="62"/>
      <c r="C123" s="100"/>
    </row>
    <row r="124" spans="1:10" x14ac:dyDescent="0.6">
      <c r="A124" s="62"/>
      <c r="B124" s="69" t="s">
        <v>64</v>
      </c>
      <c r="C124" s="10">
        <f t="shared" ref="C124" si="31">+C106/SUM(C49:C52)*1000</f>
        <v>41.367744222175531</v>
      </c>
      <c r="D124" s="10">
        <f>+D106/SUM(D49:D52)*1000</f>
        <v>42.43778359098598</v>
      </c>
      <c r="E124" s="10">
        <f>+E106/SUM(E49:E52)*1000</f>
        <v>41.898709569582969</v>
      </c>
      <c r="F124" s="10">
        <f>+F106/SUM(F49:F52)*1000</f>
        <v>41.911441192527285</v>
      </c>
      <c r="G124" s="10">
        <f>+G106/SUM(G49:G52)*1000</f>
        <v>41.764394867313165</v>
      </c>
      <c r="H124" s="10">
        <f>+H106/SUM(H49:H52)*1000</f>
        <v>42.410230012897472</v>
      </c>
      <c r="I124" s="10">
        <f>+C106/SUM(C49:C52)*1000</f>
        <v>41.367744222175531</v>
      </c>
      <c r="J124" s="10"/>
    </row>
    <row r="125" spans="1:10" x14ac:dyDescent="0.6">
      <c r="A125" s="62"/>
      <c r="B125" s="98" t="s">
        <v>79</v>
      </c>
      <c r="C125" s="13"/>
      <c r="D125" s="10">
        <f>D89+S94</f>
        <v>51.775807222389261</v>
      </c>
      <c r="E125" s="13"/>
      <c r="F125" s="13"/>
      <c r="G125" s="13"/>
      <c r="H125" s="13"/>
      <c r="I125" s="10">
        <f>C89+V94</f>
        <v>52.547727352951838</v>
      </c>
      <c r="J125" s="10"/>
    </row>
    <row r="126" spans="1:10" x14ac:dyDescent="0.6">
      <c r="A126" s="62"/>
      <c r="B126" s="98" t="s">
        <v>80</v>
      </c>
      <c r="C126" s="13"/>
      <c r="D126" s="10">
        <f>D90+S94</f>
        <v>35.786081718561334</v>
      </c>
      <c r="E126" s="13"/>
      <c r="F126" s="13"/>
      <c r="G126" s="13"/>
      <c r="H126" s="13"/>
      <c r="I126" s="10">
        <f>C90+V94</f>
        <v>36.35065007219643</v>
      </c>
      <c r="J126" s="10"/>
    </row>
    <row r="127" spans="1:10" x14ac:dyDescent="0.6">
      <c r="A127" s="62"/>
      <c r="C127" s="14"/>
      <c r="D127" s="14"/>
      <c r="E127" s="14"/>
      <c r="F127" s="14"/>
      <c r="G127" s="14"/>
      <c r="H127" s="14"/>
      <c r="I127" s="14"/>
      <c r="J127" s="14"/>
    </row>
    <row r="128" spans="1:10" x14ac:dyDescent="0.6">
      <c r="A128" s="62"/>
      <c r="B128" s="69" t="s">
        <v>70</v>
      </c>
      <c r="C128" s="12">
        <f t="shared" ref="C128" si="32">+C110/SUM(C44:C48,C53:C55)*1000</f>
        <v>50.772504727958164</v>
      </c>
      <c r="D128" s="12">
        <f>+D110/SUM(D44:D48,D53:D55)*1000</f>
        <v>52.100191764508359</v>
      </c>
      <c r="E128" s="12">
        <f>+E110/SUM(E44:E48,E53:E55)*1000</f>
        <v>52.487219328774131</v>
      </c>
      <c r="F128" s="12">
        <f>+F110/SUM(F44:F48,F53:F55)*1000</f>
        <v>51.481778646783489</v>
      </c>
      <c r="G128" s="12">
        <f>+G110/SUM(G44:G48,G53:G55)*1000</f>
        <v>50.671549457466504</v>
      </c>
      <c r="H128" s="12">
        <f>+H110/SUM(H44:H48,H53:H55)*1000</f>
        <v>51.018173725288058</v>
      </c>
      <c r="I128" s="12">
        <f>C128</f>
        <v>50.772504727958164</v>
      </c>
      <c r="J128" s="12"/>
    </row>
    <row r="129" spans="1:21" x14ac:dyDescent="0.6">
      <c r="A129" s="62"/>
      <c r="B129" s="98" t="s">
        <v>79</v>
      </c>
      <c r="C129" s="13"/>
      <c r="D129" s="10">
        <f>D93+S89</f>
        <v>57.164136766104555</v>
      </c>
      <c r="E129" s="13"/>
      <c r="F129" s="13"/>
      <c r="G129" s="13"/>
      <c r="H129" s="13"/>
      <c r="I129" s="10">
        <f>C93+V89</f>
        <v>56.826393262858637</v>
      </c>
      <c r="J129" s="10"/>
    </row>
    <row r="130" spans="1:21" x14ac:dyDescent="0.6">
      <c r="A130" s="62"/>
      <c r="B130" s="98" t="s">
        <v>80</v>
      </c>
      <c r="C130" s="13"/>
      <c r="D130" s="10">
        <f>D94+S89</f>
        <v>49.301389230163963</v>
      </c>
      <c r="E130" s="13"/>
      <c r="F130" s="13"/>
      <c r="G130" s="13"/>
      <c r="H130" s="13"/>
      <c r="I130" s="10">
        <f>C94+V89</f>
        <v>48.832237336900704</v>
      </c>
      <c r="J130" s="10"/>
    </row>
    <row r="131" spans="1:21" x14ac:dyDescent="0.6">
      <c r="A131" s="62"/>
      <c r="C131" s="12"/>
      <c r="D131" s="12"/>
      <c r="E131" s="12"/>
      <c r="F131" s="12"/>
      <c r="G131" s="12"/>
      <c r="H131" s="12"/>
      <c r="I131" s="12"/>
      <c r="J131" s="12"/>
    </row>
    <row r="132" spans="1:21" x14ac:dyDescent="0.6">
      <c r="A132" s="62"/>
      <c r="B132" s="52" t="s">
        <v>81</v>
      </c>
      <c r="C132" s="10">
        <f t="shared" ref="C132:H132" si="33">(C124*SUM(C49:C52)+C128*SUM(C44:C48,C53:C55))/C56</f>
        <v>46.673902414271801</v>
      </c>
      <c r="D132" s="10">
        <f t="shared" si="33"/>
        <v>48.372853299944829</v>
      </c>
      <c r="E132" s="10">
        <f t="shared" si="33"/>
        <v>49.556404475820123</v>
      </c>
      <c r="F132" s="10">
        <f t="shared" si="33"/>
        <v>48.824990634820182</v>
      </c>
      <c r="G132" s="10">
        <f t="shared" si="33"/>
        <v>48.123458407059658</v>
      </c>
      <c r="H132" s="10">
        <f t="shared" si="33"/>
        <v>47.924761542199839</v>
      </c>
      <c r="I132" s="10">
        <f>(I124*SUM(C49:C52)+I128*SUM(C44:C48,C53:C55))/C56</f>
        <v>46.673902414271801</v>
      </c>
      <c r="J132" s="10"/>
      <c r="L132" s="52">
        <v>42644</v>
      </c>
    </row>
    <row r="133" spans="1:21" x14ac:dyDescent="0.6">
      <c r="A133" s="62"/>
      <c r="B133" s="52" t="s">
        <v>82</v>
      </c>
      <c r="C133" s="10">
        <f>+C116/SUM(C56:H56)*1000</f>
        <v>47.134096152533218</v>
      </c>
      <c r="L133" s="52">
        <f>L136-L132</f>
        <v>3165</v>
      </c>
    </row>
    <row r="134" spans="1:21" x14ac:dyDescent="0.6">
      <c r="A134" s="62"/>
    </row>
    <row r="135" spans="1:21" x14ac:dyDescent="0.6">
      <c r="A135" s="94" t="s">
        <v>83</v>
      </c>
      <c r="B135" s="61" t="s">
        <v>84</v>
      </c>
    </row>
    <row r="136" spans="1:21" x14ac:dyDescent="0.6">
      <c r="A136" s="62"/>
      <c r="B136" s="56" t="str">
        <f>"Obligations - annual average forecasted for " &amp;M1-1 &amp;"; costs are market estimates"</f>
        <v>Obligations - annual average forecasted for 2023; costs are market estimates</v>
      </c>
      <c r="L136" s="102">
        <f>(DATE($M$1+1,6,1))</f>
        <v>45809</v>
      </c>
    </row>
    <row r="137" spans="1:21" x14ac:dyDescent="0.6">
      <c r="A137" s="62"/>
      <c r="B137" s="60" t="s">
        <v>85</v>
      </c>
      <c r="C137" s="75" t="str">
        <f t="shared" ref="C137:H137" si="34">+C6</f>
        <v>SC1</v>
      </c>
      <c r="D137" s="75" t="str">
        <f t="shared" si="34"/>
        <v>SC3</v>
      </c>
      <c r="E137" s="75" t="str">
        <f t="shared" si="34"/>
        <v>SC2 ND</v>
      </c>
      <c r="F137" s="75" t="str">
        <f t="shared" si="34"/>
        <v>SC4</v>
      </c>
      <c r="G137" s="75" t="str">
        <f t="shared" si="34"/>
        <v>SC6</v>
      </c>
      <c r="H137" s="75" t="str">
        <f t="shared" si="34"/>
        <v>SC2 Dem</v>
      </c>
      <c r="I137" s="75" t="s">
        <v>86</v>
      </c>
      <c r="J137" s="67"/>
      <c r="L137" s="102">
        <f>(DATE($M$1,10,1))</f>
        <v>45566</v>
      </c>
    </row>
    <row r="138" spans="1:21" x14ac:dyDescent="0.6">
      <c r="A138" s="62"/>
      <c r="L138" s="52">
        <f>L136-L137</f>
        <v>243</v>
      </c>
    </row>
    <row r="139" spans="1:21" x14ac:dyDescent="0.6">
      <c r="A139" s="62"/>
      <c r="B139" s="52" t="s">
        <v>87</v>
      </c>
      <c r="C139" s="103">
        <v>296.54900000000004</v>
      </c>
      <c r="D139" s="103">
        <v>0.113</v>
      </c>
      <c r="E139" s="103">
        <v>2.7810000000000001</v>
      </c>
      <c r="F139" s="104">
        <v>0</v>
      </c>
      <c r="G139" s="104">
        <v>0</v>
      </c>
      <c r="H139" s="103">
        <v>81.882000000000005</v>
      </c>
      <c r="I139" s="103">
        <f>SUM(C139:H139)</f>
        <v>381.32500000000005</v>
      </c>
      <c r="J139" s="105" t="b">
        <v>1</v>
      </c>
      <c r="K139" s="103"/>
      <c r="L139" s="103"/>
      <c r="M139" s="103"/>
      <c r="N139" s="103"/>
      <c r="O139" s="103"/>
      <c r="P139" s="103"/>
      <c r="Q139" s="103"/>
      <c r="R139" s="91"/>
      <c r="S139" s="91"/>
      <c r="T139" s="91"/>
      <c r="U139" s="91"/>
    </row>
    <row r="140" spans="1:21" x14ac:dyDescent="0.6">
      <c r="A140" s="62"/>
      <c r="C140" s="103"/>
      <c r="D140" s="103"/>
      <c r="E140" s="103"/>
      <c r="F140" s="103"/>
      <c r="G140" s="103"/>
      <c r="H140" s="103"/>
      <c r="I140" s="103"/>
    </row>
    <row r="141" spans="1:21" x14ac:dyDescent="0.6">
      <c r="A141" s="62"/>
      <c r="B141" s="52" t="s">
        <v>88</v>
      </c>
      <c r="C141" s="103">
        <v>285.911</v>
      </c>
      <c r="D141" s="103">
        <v>0.106</v>
      </c>
      <c r="E141" s="103">
        <v>2.7440000000000002</v>
      </c>
      <c r="F141" s="104">
        <v>0</v>
      </c>
      <c r="G141" s="104">
        <v>0</v>
      </c>
      <c r="H141" s="103">
        <v>80.269000000000005</v>
      </c>
      <c r="I141" s="103">
        <f>SUM(C141:H141)</f>
        <v>369.03000000000003</v>
      </c>
      <c r="J141" s="105" t="b">
        <v>1</v>
      </c>
      <c r="K141" s="103"/>
      <c r="L141" s="103"/>
      <c r="P141" s="103"/>
      <c r="Q141" s="103"/>
      <c r="R141" s="91"/>
      <c r="S141" s="91"/>
      <c r="T141" s="91"/>
      <c r="U141" s="91"/>
    </row>
    <row r="142" spans="1:21" x14ac:dyDescent="0.6">
      <c r="A142" s="62"/>
      <c r="C142" s="104"/>
      <c r="D142" s="104"/>
      <c r="E142" s="104"/>
      <c r="F142" s="104"/>
      <c r="G142" s="104"/>
      <c r="H142" s="104"/>
      <c r="I142" s="104"/>
      <c r="J142" s="104"/>
    </row>
    <row r="143" spans="1:21" x14ac:dyDescent="0.6">
      <c r="A143" s="62"/>
      <c r="B143" s="52" t="s">
        <v>89</v>
      </c>
      <c r="F143" s="104"/>
      <c r="G143" s="104"/>
      <c r="H143" s="104"/>
      <c r="I143" s="104"/>
      <c r="J143" s="104"/>
    </row>
    <row r="144" spans="1:21" x14ac:dyDescent="0.6">
      <c r="A144" s="62"/>
      <c r="D144" s="77" t="s">
        <v>90</v>
      </c>
      <c r="E144" s="106">
        <f>(DATE($M$1,10,1))-(DATE($M$1,6,1))</f>
        <v>122</v>
      </c>
      <c r="G144" s="77" t="s">
        <v>91</v>
      </c>
      <c r="H144" s="52">
        <v>4</v>
      </c>
      <c r="I144" s="104"/>
      <c r="J144" s="104"/>
      <c r="K144" s="107"/>
      <c r="L144" s="15"/>
    </row>
    <row r="145" spans="1:12" x14ac:dyDescent="0.6">
      <c r="A145" s="62"/>
      <c r="D145" s="79" t="s">
        <v>92</v>
      </c>
      <c r="E145" s="106">
        <f>(DATE($M$1+1,6,1))-(DATE($M$1,10,1))</f>
        <v>243</v>
      </c>
      <c r="G145" s="79" t="s">
        <v>93</v>
      </c>
      <c r="H145" s="52">
        <v>8</v>
      </c>
      <c r="I145" s="104"/>
      <c r="J145" s="104"/>
      <c r="K145" s="107"/>
      <c r="L145" s="15"/>
    </row>
    <row r="146" spans="1:12" x14ac:dyDescent="0.6">
      <c r="A146" s="62"/>
      <c r="G146" s="77" t="s">
        <v>94</v>
      </c>
      <c r="H146" s="52">
        <f>+H144+H145</f>
        <v>12</v>
      </c>
      <c r="I146" s="104"/>
      <c r="J146" s="104"/>
      <c r="K146" s="104"/>
    </row>
    <row r="147" spans="1:12" x14ac:dyDescent="0.6">
      <c r="A147" s="62"/>
      <c r="B147" s="52" t="s">
        <v>95</v>
      </c>
      <c r="C147" s="14">
        <v>52405</v>
      </c>
      <c r="D147" s="108" t="s">
        <v>96</v>
      </c>
      <c r="E147" s="109">
        <f>C147/SUM(E144:E145)</f>
        <v>143.57534246575344</v>
      </c>
      <c r="F147" s="109"/>
    </row>
    <row r="148" spans="1:12" x14ac:dyDescent="0.6">
      <c r="A148" s="62"/>
    </row>
    <row r="149" spans="1:12" x14ac:dyDescent="0.6">
      <c r="A149" s="62"/>
      <c r="B149" s="52" t="s">
        <v>97</v>
      </c>
      <c r="C149" s="52" t="s">
        <v>98</v>
      </c>
      <c r="D149" s="16">
        <f>F449</f>
        <v>68.510000000000005</v>
      </c>
      <c r="E149" s="108" t="s">
        <v>99</v>
      </c>
      <c r="G149" s="79" t="s">
        <v>100</v>
      </c>
      <c r="H149" s="77" t="s">
        <v>101</v>
      </c>
      <c r="I149" s="12">
        <f>+D149*365/1000</f>
        <v>25.006150000000002</v>
      </c>
      <c r="J149" s="52" t="s">
        <v>102</v>
      </c>
    </row>
    <row r="150" spans="1:12" x14ac:dyDescent="0.6">
      <c r="A150" s="62"/>
      <c r="B150" s="110" t="s">
        <v>103</v>
      </c>
      <c r="C150" s="52" t="s">
        <v>104</v>
      </c>
      <c r="D150" s="16">
        <f>F451</f>
        <v>58.18</v>
      </c>
      <c r="E150" s="108" t="s">
        <v>99</v>
      </c>
      <c r="H150" s="77" t="s">
        <v>105</v>
      </c>
      <c r="I150" s="12">
        <f>+D150*365/1000</f>
        <v>21.235700000000001</v>
      </c>
      <c r="J150" s="52" t="s">
        <v>102</v>
      </c>
      <c r="L150" s="102"/>
    </row>
    <row r="151" spans="1:12" x14ac:dyDescent="0.6">
      <c r="A151" s="62"/>
      <c r="D151" s="16"/>
      <c r="E151" s="108"/>
      <c r="H151" s="77"/>
      <c r="I151" s="12"/>
      <c r="L151" s="102"/>
    </row>
    <row r="152" spans="1:12" x14ac:dyDescent="0.6">
      <c r="A152" s="62"/>
      <c r="B152" s="110" t="s">
        <v>106</v>
      </c>
      <c r="L152" s="15"/>
    </row>
    <row r="153" spans="1:12" x14ac:dyDescent="0.6">
      <c r="A153" s="62"/>
      <c r="B153" s="56" t="s">
        <v>107</v>
      </c>
    </row>
    <row r="154" spans="1:12" x14ac:dyDescent="0.6">
      <c r="A154" s="62"/>
      <c r="B154" s="60"/>
      <c r="C154" s="111" t="str">
        <f>" ---------- "&amp;C6&amp;" ----------"</f>
        <v xml:space="preserve"> ---------- SC1 ----------</v>
      </c>
      <c r="D154" s="112"/>
      <c r="E154" s="112"/>
      <c r="H154" s="111"/>
      <c r="I154" s="112"/>
      <c r="J154" s="112"/>
    </row>
    <row r="155" spans="1:12" x14ac:dyDescent="0.6">
      <c r="A155" s="62"/>
      <c r="C155" s="77" t="s">
        <v>108</v>
      </c>
      <c r="D155" s="77"/>
      <c r="E155" s="77" t="s">
        <v>109</v>
      </c>
      <c r="H155" s="111"/>
      <c r="I155" s="112"/>
      <c r="J155" s="112"/>
    </row>
    <row r="156" spans="1:12" x14ac:dyDescent="0.6">
      <c r="A156" s="62"/>
      <c r="B156" s="79" t="s">
        <v>110</v>
      </c>
      <c r="C156" s="113">
        <v>5.6639999999999997</v>
      </c>
      <c r="D156" s="52" t="s">
        <v>111</v>
      </c>
      <c r="E156" s="70">
        <v>0.42970000000000003</v>
      </c>
      <c r="H156" s="111"/>
      <c r="I156" s="112"/>
      <c r="J156" s="112"/>
    </row>
    <row r="157" spans="1:12" x14ac:dyDescent="0.6">
      <c r="A157" s="62"/>
      <c r="B157" s="79" t="s">
        <v>112</v>
      </c>
      <c r="C157" s="113">
        <v>11.840999999999999</v>
      </c>
      <c r="D157" s="52" t="s">
        <v>111</v>
      </c>
      <c r="E157" s="70">
        <v>0.57030000000000003</v>
      </c>
      <c r="H157" s="111"/>
      <c r="I157" s="112"/>
      <c r="J157" s="112"/>
    </row>
    <row r="158" spans="1:12" x14ac:dyDescent="0.6">
      <c r="A158" s="62"/>
      <c r="B158" s="77" t="s">
        <v>113</v>
      </c>
      <c r="C158" s="113">
        <f>+C157-C156</f>
        <v>6.1769999999999996</v>
      </c>
      <c r="D158" s="52" t="s">
        <v>111</v>
      </c>
      <c r="H158" s="111"/>
      <c r="I158" s="112"/>
      <c r="J158" s="112"/>
    </row>
    <row r="159" spans="1:12" x14ac:dyDescent="0.6">
      <c r="A159" s="52"/>
      <c r="F159" s="60"/>
    </row>
    <row r="160" spans="1:12" x14ac:dyDescent="0.6">
      <c r="A160" s="94" t="s">
        <v>114</v>
      </c>
      <c r="B160" s="73" t="s">
        <v>115</v>
      </c>
    </row>
    <row r="161" spans="1:10" x14ac:dyDescent="0.6">
      <c r="A161" s="62"/>
      <c r="B161" s="60" t="s">
        <v>116</v>
      </c>
      <c r="D161" s="114">
        <f>H461</f>
        <v>19.25</v>
      </c>
      <c r="E161" s="110" t="s">
        <v>117</v>
      </c>
      <c r="F161" s="108"/>
    </row>
    <row r="162" spans="1:10" x14ac:dyDescent="0.6">
      <c r="A162" s="62"/>
      <c r="B162" s="60"/>
      <c r="F162" s="108"/>
    </row>
    <row r="163" spans="1:10" x14ac:dyDescent="0.6">
      <c r="A163" s="94" t="s">
        <v>118</v>
      </c>
      <c r="B163" s="73" t="s">
        <v>119</v>
      </c>
    </row>
    <row r="164" spans="1:10" x14ac:dyDescent="0.6">
      <c r="A164" s="57"/>
      <c r="B164" s="73"/>
    </row>
    <row r="165" spans="1:10" x14ac:dyDescent="0.6">
      <c r="A165" s="57"/>
      <c r="B165" s="73"/>
      <c r="C165" s="75" t="str">
        <f t="shared" ref="C165" si="35">+C6</f>
        <v>SC1</v>
      </c>
      <c r="D165" s="75" t="str">
        <f>+D6</f>
        <v>SC3</v>
      </c>
      <c r="E165" s="75" t="str">
        <f>+E6</f>
        <v>SC2 ND</v>
      </c>
      <c r="F165" s="75" t="str">
        <f>+F6</f>
        <v>SC4</v>
      </c>
      <c r="G165" s="75" t="str">
        <f>+G6</f>
        <v>SC6</v>
      </c>
      <c r="H165" s="75" t="str">
        <f>$I$24</f>
        <v>SC1 TOD</v>
      </c>
    </row>
    <row r="166" spans="1:10" x14ac:dyDescent="0.6">
      <c r="A166" s="57"/>
      <c r="B166" s="73"/>
    </row>
    <row r="167" spans="1:10" x14ac:dyDescent="0.6">
      <c r="A167" s="62"/>
      <c r="B167" s="77" t="s">
        <v>120</v>
      </c>
      <c r="C167" s="10">
        <f t="shared" ref="C167" si="36">(+$C$147*C141*$H$146/12)/C56</f>
        <v>21.442660095455487</v>
      </c>
      <c r="D167" s="10">
        <f>(+$C$147*D141*$H$146/12)/D56</f>
        <v>16.483471810089021</v>
      </c>
      <c r="E167" s="10">
        <f>(+$C$147*E141*$H$146/12)/E56</f>
        <v>9.2114099032733332</v>
      </c>
      <c r="F167" s="10">
        <f>(+$C$147*F141*$H$146/12)/F56</f>
        <v>0</v>
      </c>
      <c r="G167" s="10">
        <f>(+$C$147*G141*$H$146/12)/G56</f>
        <v>0</v>
      </c>
      <c r="H167" s="10">
        <f>C167</f>
        <v>21.442660095455487</v>
      </c>
      <c r="I167" s="10"/>
      <c r="J167" s="10"/>
    </row>
    <row r="168" spans="1:10" x14ac:dyDescent="0.6">
      <c r="A168" s="62"/>
      <c r="B168" s="77"/>
      <c r="C168" s="10"/>
      <c r="D168" s="10"/>
      <c r="E168" s="10"/>
      <c r="F168" s="10"/>
      <c r="G168" s="10"/>
      <c r="H168" s="10"/>
      <c r="I168" s="10"/>
      <c r="J168" s="10"/>
    </row>
    <row r="169" spans="1:10" x14ac:dyDescent="0.6">
      <c r="A169" s="62"/>
      <c r="B169" s="77" t="s">
        <v>121</v>
      </c>
      <c r="C169" s="10"/>
      <c r="D169" s="10"/>
      <c r="E169" s="10"/>
      <c r="F169" s="10"/>
      <c r="G169" s="10"/>
      <c r="H169" s="10"/>
      <c r="I169" s="10"/>
      <c r="J169" s="10"/>
    </row>
    <row r="170" spans="1:10" x14ac:dyDescent="0.6">
      <c r="A170" s="62"/>
      <c r="B170" s="77" t="s">
        <v>122</v>
      </c>
      <c r="C170" s="10">
        <f t="shared" ref="C170" si="37">((+$D$149*$E$144*C139)+($D$150*$E$145*C139))/C56</f>
        <v>9.5472010104256864</v>
      </c>
      <c r="D170" s="10">
        <f>((+$D$149*$E$144*D139)+($D$150*$E$145*D139))/D56</f>
        <v>7.5431557270029685</v>
      </c>
      <c r="E170" s="10">
        <f>((+$D$149*$E$144*E139)+($D$150*$E$145*E139))/E56</f>
        <v>4.0075116751008908</v>
      </c>
      <c r="F170" s="10">
        <f>((+$D$149*$E$144*F139)+($D$150*$E$145*F139))/F56</f>
        <v>0</v>
      </c>
      <c r="G170" s="10">
        <f>((+$D$149*$E$144*G139)+($D$150*$E$145*G139))/G56</f>
        <v>0</v>
      </c>
      <c r="H170" s="10">
        <f>C170</f>
        <v>9.5472010104256864</v>
      </c>
      <c r="I170" s="10"/>
      <c r="J170" s="10"/>
    </row>
    <row r="171" spans="1:10" x14ac:dyDescent="0.6">
      <c r="A171" s="62"/>
      <c r="B171" s="77" t="s">
        <v>123</v>
      </c>
      <c r="C171" s="10">
        <f t="shared" ref="C171" si="38">C$139*$D149*$E144/SUM(C$49:C$52)</f>
        <v>8.1394918618275458</v>
      </c>
      <c r="D171" s="10">
        <f>D$139*$D149*$E144/SUM(D$49:D$52)</f>
        <v>7.2652220000000005</v>
      </c>
      <c r="E171" s="10">
        <f>E$139*$D149*$E144/SUM(E$49:E$52)</f>
        <v>5.3793589030317062</v>
      </c>
      <c r="F171" s="10">
        <f>F$139*$D149*$E144/SUM(F$49:F$52)</f>
        <v>0</v>
      </c>
      <c r="G171" s="10">
        <f>G$139*$D149*$E144/SUM(G$49:G$52)</f>
        <v>0</v>
      </c>
      <c r="H171" s="10">
        <f>C171</f>
        <v>8.1394918618275458</v>
      </c>
      <c r="I171" s="10"/>
      <c r="J171" s="10"/>
    </row>
    <row r="172" spans="1:10" x14ac:dyDescent="0.6">
      <c r="A172" s="62"/>
      <c r="B172" s="77" t="s">
        <v>124</v>
      </c>
      <c r="C172" s="10">
        <f t="shared" ref="C172" si="39">C$139*$D150*$E145/(SUM(C$44:C$48)+SUM(C$53:C$55))</f>
        <v>10.634548911593789</v>
      </c>
      <c r="D172" s="10">
        <f>D$139*$D150*$E145/(SUM(D$44:D$48)+SUM(D$53:D$55))</f>
        <v>7.7177034782608702</v>
      </c>
      <c r="E172" s="10">
        <f>E$139*$D150*$E145/(SUM(E$44:E$48)+SUM(E$53:E$55))</f>
        <v>3.4824672223206381</v>
      </c>
      <c r="F172" s="10">
        <f>F$139*$D150*$E145/(SUM(F$44:F$48)+SUM(F$53:F$55))</f>
        <v>0</v>
      </c>
      <c r="G172" s="10">
        <f>G$139*$D150*$E145/(SUM(G$44:G$48)+SUM(G$53:G$55))</f>
        <v>0</v>
      </c>
      <c r="H172" s="10">
        <f>C172</f>
        <v>10.634548911593789</v>
      </c>
      <c r="I172" s="10"/>
      <c r="J172" s="10"/>
    </row>
    <row r="173" spans="1:10" x14ac:dyDescent="0.6">
      <c r="A173" s="62"/>
      <c r="C173" s="100"/>
      <c r="D173" s="100"/>
      <c r="E173" s="100"/>
      <c r="F173" s="100"/>
      <c r="G173" s="100"/>
      <c r="H173" s="100"/>
      <c r="I173" s="10"/>
      <c r="J173" s="10"/>
    </row>
    <row r="174" spans="1:10" x14ac:dyDescent="0.6">
      <c r="A174" s="62"/>
      <c r="C174" s="115"/>
      <c r="D174" s="115"/>
      <c r="E174" s="115"/>
      <c r="F174" s="115"/>
      <c r="G174" s="115"/>
    </row>
    <row r="175" spans="1:10" x14ac:dyDescent="0.6">
      <c r="A175" s="94" t="s">
        <v>125</v>
      </c>
      <c r="B175" s="73" t="s">
        <v>126</v>
      </c>
    </row>
    <row r="176" spans="1:10" x14ac:dyDescent="0.6">
      <c r="A176" s="62"/>
      <c r="B176" s="73"/>
      <c r="C176" s="100"/>
      <c r="D176" s="100"/>
      <c r="E176" s="100"/>
      <c r="F176" s="100"/>
      <c r="G176" s="100"/>
    </row>
    <row r="177" spans="1:8" x14ac:dyDescent="0.6">
      <c r="A177" s="62"/>
      <c r="B177" s="61" t="s">
        <v>127</v>
      </c>
      <c r="C177" s="115"/>
      <c r="D177" s="115"/>
      <c r="E177" s="115"/>
      <c r="F177" s="115"/>
      <c r="G177" s="115"/>
    </row>
    <row r="178" spans="1:8" x14ac:dyDescent="0.6">
      <c r="A178" s="62"/>
      <c r="B178" s="60"/>
    </row>
    <row r="179" spans="1:8" x14ac:dyDescent="0.6">
      <c r="A179" s="62"/>
      <c r="C179" s="75" t="str">
        <f t="shared" ref="C179" si="40">+C6</f>
        <v>SC1</v>
      </c>
      <c r="D179" s="75" t="str">
        <f>+D6</f>
        <v>SC3</v>
      </c>
      <c r="E179" s="75" t="str">
        <f>+E6</f>
        <v>SC2 ND</v>
      </c>
      <c r="F179" s="75" t="str">
        <f>+F6</f>
        <v>SC4</v>
      </c>
      <c r="G179" s="75" t="str">
        <f>+G6</f>
        <v>SC6</v>
      </c>
      <c r="H179" s="75" t="str">
        <f>$I$24</f>
        <v>SC1 TOD</v>
      </c>
    </row>
    <row r="180" spans="1:8" x14ac:dyDescent="0.6">
      <c r="A180" s="62"/>
      <c r="C180" s="67"/>
      <c r="D180" s="10"/>
      <c r="E180" s="67"/>
      <c r="H180" s="10"/>
    </row>
    <row r="181" spans="1:8" x14ac:dyDescent="0.6">
      <c r="A181" s="62"/>
      <c r="B181" s="69" t="s">
        <v>64</v>
      </c>
      <c r="C181" s="17">
        <f t="shared" ref="C181" si="41">+C124+$D$161+C$167+C171</f>
        <v>90.199896179458577</v>
      </c>
      <c r="D181" s="10">
        <f>+D124+$D$161+D$167+D171</f>
        <v>85.436477401074995</v>
      </c>
      <c r="E181" s="10">
        <f>+E124+$D$161+E$167+E171</f>
        <v>75.739478375887998</v>
      </c>
      <c r="F181" s="10">
        <f>+F124+$D$161+F$167+F171</f>
        <v>61.161441192527285</v>
      </c>
      <c r="G181" s="10">
        <f>+G124+$D$161+G$167+G171</f>
        <v>61.014394867313165</v>
      </c>
      <c r="H181" s="10">
        <f>+I124+$D$161+C$167+C171</f>
        <v>90.199896179458577</v>
      </c>
    </row>
    <row r="182" spans="1:8" x14ac:dyDescent="0.6">
      <c r="A182" s="62"/>
      <c r="B182" s="98" t="s">
        <v>79</v>
      </c>
      <c r="C182" s="10"/>
      <c r="D182" s="17">
        <f>+D125+$D$161+D$167+(D171*M48/M49)</f>
        <v>104.98183278162924</v>
      </c>
      <c r="E182" s="10"/>
      <c r="F182" s="10"/>
      <c r="G182" s="10"/>
      <c r="H182" s="17">
        <f>+I125+$D$161+C$167+(C171*R48/R49)</f>
        <v>119.62542682583133</v>
      </c>
    </row>
    <row r="183" spans="1:8" x14ac:dyDescent="0.6">
      <c r="A183" s="62"/>
      <c r="B183" s="98" t="s">
        <v>80</v>
      </c>
      <c r="C183" s="10"/>
      <c r="D183" s="17">
        <f>+D126+$D$161+D$167</f>
        <v>71.519553528650363</v>
      </c>
      <c r="E183" s="10"/>
      <c r="F183" s="10"/>
      <c r="G183" s="10"/>
      <c r="H183" s="17">
        <f>+I126+$D$161+C$167</f>
        <v>77.043310167651924</v>
      </c>
    </row>
    <row r="184" spans="1:8" x14ac:dyDescent="0.6">
      <c r="A184" s="62"/>
      <c r="B184" s="77" t="s">
        <v>128</v>
      </c>
      <c r="C184" s="10">
        <f>(C181*SUM(C49:C52)-C158*10*E157*SUM(C49:C52))/SUM(C49:C52)</f>
        <v>54.972465179458574</v>
      </c>
      <c r="D184" s="10"/>
      <c r="E184" s="10"/>
      <c r="F184" s="10"/>
      <c r="G184" s="10"/>
      <c r="H184" s="10"/>
    </row>
    <row r="185" spans="1:8" x14ac:dyDescent="0.6">
      <c r="A185" s="62"/>
      <c r="B185" s="77" t="s">
        <v>129</v>
      </c>
      <c r="C185" s="10">
        <f>C184+C158*10</f>
        <v>116.74246517945858</v>
      </c>
      <c r="D185" s="10"/>
      <c r="E185" s="10"/>
      <c r="F185" s="10"/>
      <c r="G185" s="10"/>
      <c r="H185" s="10"/>
    </row>
    <row r="186" spans="1:8" x14ac:dyDescent="0.6">
      <c r="A186" s="62"/>
      <c r="B186" s="10"/>
      <c r="C186" s="10"/>
      <c r="D186" s="10"/>
      <c r="E186" s="10"/>
      <c r="F186" s="10"/>
      <c r="G186" s="10"/>
      <c r="H186" s="10"/>
    </row>
    <row r="187" spans="1:8" x14ac:dyDescent="0.6">
      <c r="A187" s="62"/>
      <c r="C187" s="10"/>
      <c r="D187" s="10"/>
      <c r="E187" s="10"/>
      <c r="F187" s="10"/>
      <c r="G187" s="10"/>
      <c r="H187" s="10"/>
    </row>
    <row r="188" spans="1:8" x14ac:dyDescent="0.6">
      <c r="A188" s="62"/>
      <c r="B188" s="69" t="s">
        <v>70</v>
      </c>
      <c r="C188" s="17">
        <f t="shared" ref="C188" si="42">+C128+$D$161+C$167+C172</f>
        <v>102.09971373500744</v>
      </c>
      <c r="D188" s="10">
        <f>+D128+$D$161+D$167+D172</f>
        <v>95.551367052858254</v>
      </c>
      <c r="E188" s="10">
        <f>+E128+$D$161+E$167+E172</f>
        <v>84.431096454368102</v>
      </c>
      <c r="F188" s="10">
        <f>+F128+$D$161+F$167+F172</f>
        <v>70.731778646783482</v>
      </c>
      <c r="G188" s="10">
        <f>+G128+$D$161+G$167+G172</f>
        <v>69.921549457466512</v>
      </c>
      <c r="H188" s="10">
        <f>+C128+$D$161+C$167+C172</f>
        <v>102.09971373500744</v>
      </c>
    </row>
    <row r="189" spans="1:8" x14ac:dyDescent="0.6">
      <c r="A189" s="62"/>
      <c r="B189" s="98" t="s">
        <v>79</v>
      </c>
      <c r="C189" s="10"/>
      <c r="D189" s="17">
        <f>+D129+$D$161+D$167+(D172*M44/M45)</f>
        <v>114.61107255309433</v>
      </c>
      <c r="E189" s="10"/>
      <c r="F189" s="10"/>
      <c r="G189" s="10"/>
      <c r="H189" s="17">
        <f>+I129+$D$161+C$167+(C172*R44/R45)</f>
        <v>141.25177645630737</v>
      </c>
    </row>
    <row r="190" spans="1:8" x14ac:dyDescent="0.6">
      <c r="A190" s="62"/>
      <c r="B190" s="98" t="s">
        <v>80</v>
      </c>
      <c r="C190" s="10"/>
      <c r="D190" s="17">
        <f>+D130+$D$161+D$167</f>
        <v>85.034861040252991</v>
      </c>
      <c r="E190" s="10"/>
      <c r="F190" s="10"/>
      <c r="G190" s="10"/>
      <c r="H190" s="17">
        <f>+I130+$D$161+C$167</f>
        <v>89.524897432356198</v>
      </c>
    </row>
    <row r="191" spans="1:8" x14ac:dyDescent="0.6">
      <c r="A191" s="62"/>
      <c r="C191" s="10"/>
      <c r="D191" s="10"/>
      <c r="E191" s="10"/>
      <c r="F191" s="10"/>
      <c r="G191" s="10"/>
      <c r="H191" s="10"/>
    </row>
    <row r="192" spans="1:8" x14ac:dyDescent="0.6">
      <c r="A192" s="62"/>
      <c r="B192" s="52" t="s">
        <v>130</v>
      </c>
      <c r="C192" s="17">
        <f t="shared" ref="C192" si="43">+C132+$D$161+C$167+C170</f>
        <v>96.913763520152969</v>
      </c>
      <c r="D192" s="10">
        <f>+D132+$D$161+D$167+D170</f>
        <v>91.649480837036819</v>
      </c>
      <c r="E192" s="10">
        <f>+E132+$D$161+E$167+E170</f>
        <v>82.025326054194352</v>
      </c>
      <c r="F192" s="10">
        <f>+F132+$D$161+F$167+F170</f>
        <v>68.074990634820182</v>
      </c>
      <c r="G192" s="10">
        <f>+G132+$D$161+G$167+G170</f>
        <v>67.373458407059658</v>
      </c>
      <c r="H192" s="10">
        <f>+I132+$D$161+C$167+C170</f>
        <v>96.913763520152969</v>
      </c>
    </row>
    <row r="193" spans="1:26" x14ac:dyDescent="0.6">
      <c r="A193" s="62"/>
      <c r="C193" s="10"/>
      <c r="D193" s="10"/>
      <c r="E193" s="10"/>
      <c r="F193" s="10"/>
      <c r="G193" s="10"/>
      <c r="H193" s="10"/>
    </row>
    <row r="194" spans="1:26" x14ac:dyDescent="0.6">
      <c r="A194" s="62"/>
      <c r="B194" s="61" t="s">
        <v>131</v>
      </c>
    </row>
    <row r="195" spans="1:26" x14ac:dyDescent="0.6">
      <c r="A195" s="62"/>
      <c r="B195" s="60"/>
    </row>
    <row r="196" spans="1:26" x14ac:dyDescent="0.6">
      <c r="A196" s="62"/>
      <c r="C196" s="75" t="str">
        <f>+H6</f>
        <v>SC2 Dem</v>
      </c>
      <c r="D196" s="67"/>
      <c r="F196" s="73" t="s">
        <v>132</v>
      </c>
    </row>
    <row r="197" spans="1:26" x14ac:dyDescent="0.6">
      <c r="A197" s="62"/>
      <c r="C197" s="67"/>
      <c r="E197" s="73"/>
    </row>
    <row r="198" spans="1:26" x14ac:dyDescent="0.6">
      <c r="A198" s="62"/>
      <c r="B198" s="69" t="s">
        <v>64</v>
      </c>
      <c r="C198" s="10">
        <f>+H124+$D$161</f>
        <v>61.660230012897472</v>
      </c>
      <c r="F198" s="116" t="s">
        <v>133</v>
      </c>
    </row>
    <row r="199" spans="1:26" x14ac:dyDescent="0.6">
      <c r="A199" s="62"/>
      <c r="B199" s="98"/>
      <c r="C199" s="10"/>
    </row>
    <row r="200" spans="1:26" x14ac:dyDescent="0.6">
      <c r="A200" s="62"/>
      <c r="B200" s="98"/>
      <c r="C200" s="10"/>
      <c r="G200" s="75"/>
      <c r="H200" s="117" t="s">
        <v>134</v>
      </c>
      <c r="I200" s="117" t="s">
        <v>135</v>
      </c>
    </row>
    <row r="201" spans="1:26" x14ac:dyDescent="0.6">
      <c r="A201" s="62"/>
      <c r="C201" s="10"/>
    </row>
    <row r="202" spans="1:26" x14ac:dyDescent="0.6">
      <c r="A202" s="62"/>
      <c r="B202" s="69" t="s">
        <v>70</v>
      </c>
      <c r="C202" s="10">
        <f>+H128+$D$161</f>
        <v>70.268173725288051</v>
      </c>
      <c r="F202" s="77" t="s">
        <v>98</v>
      </c>
      <c r="G202" s="18"/>
      <c r="H202" s="118">
        <f>H213</f>
        <v>1.5840000000000001</v>
      </c>
      <c r="I202" s="118">
        <f>I213</f>
        <v>1.5840000000000001</v>
      </c>
    </row>
    <row r="203" spans="1:26" x14ac:dyDescent="0.6">
      <c r="A203" s="62"/>
      <c r="B203" s="98"/>
      <c r="C203" s="10"/>
      <c r="F203" s="77" t="s">
        <v>104</v>
      </c>
      <c r="G203" s="18"/>
      <c r="H203" s="118">
        <f>H214</f>
        <v>1.4870000000000001</v>
      </c>
      <c r="I203" s="118">
        <f>I214</f>
        <v>1.4870000000000001</v>
      </c>
    </row>
    <row r="204" spans="1:26" x14ac:dyDescent="0.6">
      <c r="A204" s="62"/>
      <c r="B204" s="98"/>
      <c r="C204" s="10"/>
    </row>
    <row r="205" spans="1:26" x14ac:dyDescent="0.6">
      <c r="A205" s="62"/>
      <c r="B205" s="98"/>
      <c r="C205" s="10"/>
      <c r="F205" s="119" t="s">
        <v>136</v>
      </c>
      <c r="H205" s="108"/>
    </row>
    <row r="206" spans="1:26" x14ac:dyDescent="0.6">
      <c r="A206" s="62"/>
      <c r="B206" s="52" t="s">
        <v>137</v>
      </c>
      <c r="C206" s="10">
        <f>+H132+$D$161</f>
        <v>67.174761542199832</v>
      </c>
      <c r="F206" s="77" t="s">
        <v>138</v>
      </c>
      <c r="G206" s="12">
        <f>+C147/1000/12</f>
        <v>4.3670833333333334</v>
      </c>
      <c r="H206" s="108" t="s">
        <v>139</v>
      </c>
      <c r="P206" s="99"/>
    </row>
    <row r="207" spans="1:26" x14ac:dyDescent="0.6">
      <c r="A207" s="94" t="s">
        <v>125</v>
      </c>
      <c r="B207" s="120" t="s">
        <v>140</v>
      </c>
      <c r="C207" s="10"/>
      <c r="K207" s="121" t="s">
        <v>132</v>
      </c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</row>
    <row r="208" spans="1:26" x14ac:dyDescent="0.6">
      <c r="A208" s="94"/>
      <c r="C208" s="10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</row>
    <row r="209" spans="1:27" x14ac:dyDescent="0.6">
      <c r="A209" s="62"/>
      <c r="B209" s="123" t="s">
        <v>141</v>
      </c>
      <c r="C209" s="10"/>
      <c r="D209" s="10"/>
      <c r="F209" s="124" t="s">
        <v>133</v>
      </c>
      <c r="K209" s="125" t="s">
        <v>133</v>
      </c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</row>
    <row r="210" spans="1:27" x14ac:dyDescent="0.6">
      <c r="A210" s="62"/>
      <c r="B210" s="69" t="s">
        <v>64</v>
      </c>
      <c r="C210" s="17">
        <f>(C198*Q48+($H213*($M$223/4*H144))+($I213*($M$223/4*H144))+($G206*$H144*H141*1000))/Q48</f>
        <v>82.419132608332006</v>
      </c>
      <c r="D210" s="17"/>
      <c r="F210" s="88"/>
      <c r="K210" s="122"/>
      <c r="L210" s="122"/>
      <c r="M210" s="122"/>
      <c r="N210" s="122"/>
      <c r="O210" s="122"/>
      <c r="P210" s="122"/>
      <c r="Q210" s="122"/>
      <c r="R210" s="122"/>
      <c r="S210" s="122"/>
      <c r="T210" s="262" t="s">
        <v>142</v>
      </c>
      <c r="U210" s="262"/>
      <c r="V210" s="126"/>
      <c r="W210" s="126"/>
      <c r="X210" s="122"/>
      <c r="Y210" s="122"/>
      <c r="Z210" s="122" t="s">
        <v>143</v>
      </c>
      <c r="AA210" s="52">
        <v>3</v>
      </c>
    </row>
    <row r="211" spans="1:27" x14ac:dyDescent="0.6">
      <c r="A211" s="62"/>
      <c r="B211" s="98"/>
      <c r="C211" s="10"/>
      <c r="D211" s="10"/>
      <c r="F211" s="88"/>
      <c r="K211" s="122"/>
      <c r="L211" s="127" t="str">
        <f>H6</f>
        <v>SC2 Dem</v>
      </c>
      <c r="M211" s="128" t="s">
        <v>144</v>
      </c>
      <c r="N211" s="128" t="s">
        <v>135</v>
      </c>
      <c r="O211" s="122"/>
      <c r="P211" s="122" t="s">
        <v>145</v>
      </c>
      <c r="Q211" s="129" t="s">
        <v>144</v>
      </c>
      <c r="R211" s="129" t="s">
        <v>135</v>
      </c>
      <c r="S211" s="129" t="s">
        <v>146</v>
      </c>
      <c r="T211" s="122" t="s">
        <v>147</v>
      </c>
      <c r="U211" s="122" t="s">
        <v>148</v>
      </c>
      <c r="V211" s="122" t="s">
        <v>149</v>
      </c>
      <c r="W211" s="122" t="s">
        <v>150</v>
      </c>
      <c r="X211" s="130">
        <v>1</v>
      </c>
      <c r="Y211" s="122"/>
      <c r="Z211" s="122"/>
    </row>
    <row r="212" spans="1:27" x14ac:dyDescent="0.6">
      <c r="A212" s="62"/>
      <c r="B212" s="98"/>
      <c r="C212" s="10"/>
      <c r="D212" s="10"/>
      <c r="F212" s="88"/>
      <c r="G212" s="75"/>
      <c r="H212" s="117" t="s">
        <v>134</v>
      </c>
      <c r="I212" s="117" t="s">
        <v>135</v>
      </c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</row>
    <row r="213" spans="1:27" x14ac:dyDescent="0.6">
      <c r="A213" s="62"/>
      <c r="C213" s="10"/>
      <c r="D213" s="10"/>
      <c r="F213" s="88" t="s">
        <v>98</v>
      </c>
      <c r="G213" s="118"/>
      <c r="H213" s="118">
        <f>M213</f>
        <v>1.5840000000000001</v>
      </c>
      <c r="I213" s="118">
        <f>N213</f>
        <v>1.5840000000000001</v>
      </c>
      <c r="K213" s="129" t="s">
        <v>98</v>
      </c>
      <c r="L213" s="19">
        <f>ROUND(H139*D149*E144/$M$223,3)</f>
        <v>1.93</v>
      </c>
      <c r="M213" s="113">
        <f>ROUND((P213-V213*(1-$X$211)*R213)/S213,$AA$210)</f>
        <v>1.5840000000000001</v>
      </c>
      <c r="N213" s="113">
        <f>ROUND(M213+V213*(1-$X$211),$AA$210)</f>
        <v>1.5840000000000001</v>
      </c>
      <c r="O213" s="122"/>
      <c r="P213" s="19">
        <f>H139*D149*E144</f>
        <v>684387.77004000009</v>
      </c>
      <c r="Q213" s="131">
        <f>$M$229</f>
        <v>77444.378463187692</v>
      </c>
      <c r="R213" s="131">
        <f>$M$223</f>
        <v>354685.57153681235</v>
      </c>
      <c r="S213" s="132">
        <f>Q213+R213</f>
        <v>432129.95000000007</v>
      </c>
      <c r="T213" s="133">
        <v>0.5</v>
      </c>
      <c r="U213" s="133">
        <v>1.93</v>
      </c>
      <c r="V213" s="122">
        <f>U213-T213</f>
        <v>1.43</v>
      </c>
      <c r="W213" s="122"/>
      <c r="X213" s="122"/>
      <c r="Y213" s="122"/>
      <c r="Z213" s="99">
        <f>M213*Q213+N213*R213</f>
        <v>684493.84080000012</v>
      </c>
      <c r="AA213" s="99">
        <f>P213-Z213</f>
        <v>-106.07076000003144</v>
      </c>
    </row>
    <row r="214" spans="1:27" x14ac:dyDescent="0.6">
      <c r="A214" s="62"/>
      <c r="B214" s="69" t="s">
        <v>70</v>
      </c>
      <c r="C214" s="17">
        <f>(C202*Q44+($H214*($M$224/8*H145))+($I214*($M$224/8*H145))+($G206*$H145*H141*1000))/Q44</f>
        <v>91.642780888872778</v>
      </c>
      <c r="D214" s="17"/>
      <c r="F214" s="88" t="s">
        <v>104</v>
      </c>
      <c r="G214" s="118"/>
      <c r="H214" s="118">
        <f>M214</f>
        <v>1.4870000000000001</v>
      </c>
      <c r="I214" s="118">
        <f>N214</f>
        <v>1.4870000000000001</v>
      </c>
      <c r="K214" s="129" t="s">
        <v>104</v>
      </c>
      <c r="L214" s="19">
        <f>ROUND(H139*D150*E145/$M$224,3)</f>
        <v>1.879</v>
      </c>
      <c r="M214" s="52">
        <f>ROUND((P214-V214*(1-$X$211)*R214)/S214,$AA$210)</f>
        <v>1.4870000000000001</v>
      </c>
      <c r="N214" s="113">
        <f>ROUND(M214+V214*(1-$X$211),$AA$210)</f>
        <v>1.4870000000000001</v>
      </c>
      <c r="O214" s="122"/>
      <c r="P214" s="19">
        <f>H139*D150*E145</f>
        <v>1157626.42668</v>
      </c>
      <c r="Q214" s="131">
        <f>$M$230</f>
        <v>162700.97933905452</v>
      </c>
      <c r="R214" s="131">
        <f>$M$224</f>
        <v>615972.07066094549</v>
      </c>
      <c r="S214" s="132">
        <f>Q214+R214</f>
        <v>778673.05</v>
      </c>
      <c r="T214" s="133">
        <v>0.63</v>
      </c>
      <c r="U214" s="133">
        <v>1.48</v>
      </c>
      <c r="V214" s="122">
        <f>U214-T214</f>
        <v>0.85</v>
      </c>
      <c r="W214" s="122"/>
      <c r="X214" s="122"/>
      <c r="Y214" s="122"/>
      <c r="Z214" s="122"/>
    </row>
    <row r="215" spans="1:27" x14ac:dyDescent="0.6">
      <c r="A215" s="62"/>
      <c r="B215" s="98"/>
      <c r="C215" s="10"/>
      <c r="G215" s="115"/>
      <c r="H215" s="115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</row>
    <row r="216" spans="1:27" x14ac:dyDescent="0.6">
      <c r="A216" s="62"/>
      <c r="B216" s="98"/>
      <c r="C216" s="10"/>
      <c r="K216" s="134" t="s">
        <v>136</v>
      </c>
      <c r="L216" s="122"/>
      <c r="M216" s="135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</row>
    <row r="217" spans="1:27" x14ac:dyDescent="0.6">
      <c r="A217" s="62"/>
      <c r="B217" s="98"/>
      <c r="C217" s="10"/>
      <c r="G217" s="100"/>
      <c r="H217" s="100"/>
      <c r="K217" s="129" t="s">
        <v>138</v>
      </c>
      <c r="L217" s="20">
        <f>+C147/1000/12</f>
        <v>4.3670833333333334</v>
      </c>
      <c r="M217" s="135" t="s">
        <v>139</v>
      </c>
      <c r="N217" s="122"/>
      <c r="O217" s="122"/>
      <c r="P217" s="136">
        <f>P213+P214</f>
        <v>1842014.1967200001</v>
      </c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</row>
    <row r="218" spans="1:27" x14ac:dyDescent="0.6">
      <c r="A218" s="62"/>
      <c r="B218" s="52" t="s">
        <v>151</v>
      </c>
      <c r="C218" s="17">
        <f>(C206*H56+($H213*($M$229/4*H144)+$H214*($M$230/8*H145)+$I213*($M$223/4*H144)+$I214*($M$224/8*H145))+($G206*$H146*H141*1000))/H56</f>
        <v>85.040335066712984</v>
      </c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</row>
    <row r="219" spans="1:27" x14ac:dyDescent="0.6">
      <c r="A219" s="62"/>
      <c r="C219" s="13"/>
      <c r="D219" s="13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</row>
    <row r="220" spans="1:27" ht="13.75" thickBot="1" x14ac:dyDescent="0.75">
      <c r="A220" s="62"/>
      <c r="B220" s="73" t="s">
        <v>152</v>
      </c>
      <c r="C220" s="10"/>
      <c r="D220" s="10"/>
    </row>
    <row r="221" spans="1:27" x14ac:dyDescent="0.6">
      <c r="A221" s="62"/>
      <c r="B221" s="77" t="s">
        <v>153</v>
      </c>
      <c r="C221" s="21">
        <f>(+SUMPRODUCT(C192:G192,C56:G56)+SUMPRODUCT(C218,H56))/1000</f>
        <v>98589.6530401083</v>
      </c>
      <c r="L221" s="137" t="s">
        <v>154</v>
      </c>
      <c r="M221" s="138"/>
    </row>
    <row r="222" spans="1:27" x14ac:dyDescent="0.6">
      <c r="A222" s="62"/>
      <c r="C222" s="77" t="s">
        <v>155</v>
      </c>
      <c r="D222" s="17">
        <f>+C221/SUM(C56:H56)*1000</f>
        <v>92.607896210900734</v>
      </c>
      <c r="E222" s="52" t="s">
        <v>156</v>
      </c>
      <c r="L222" s="139"/>
      <c r="M222" s="140" t="s">
        <v>157</v>
      </c>
    </row>
    <row r="223" spans="1:27" x14ac:dyDescent="0.6">
      <c r="A223" s="62"/>
      <c r="C223" s="77" t="s">
        <v>158</v>
      </c>
      <c r="D223" s="17">
        <f>+C221/SUMPRODUCT(C56:H56,C81:H81)*1000</f>
        <v>86.035543459954738</v>
      </c>
      <c r="E223" s="52" t="s">
        <v>159</v>
      </c>
      <c r="L223" s="139" t="s">
        <v>69</v>
      </c>
      <c r="M223" s="141">
        <v>354685.57153681235</v>
      </c>
    </row>
    <row r="224" spans="1:27" ht="13.75" thickBot="1" x14ac:dyDescent="0.75">
      <c r="A224" s="62"/>
      <c r="L224" s="142" t="s">
        <v>62</v>
      </c>
      <c r="M224" s="143">
        <v>615972.07066094549</v>
      </c>
    </row>
    <row r="225" spans="1:13" x14ac:dyDescent="0.6">
      <c r="A225" s="62"/>
      <c r="E225" s="144"/>
    </row>
    <row r="226" spans="1:13" ht="13.75" thickBot="1" x14ac:dyDescent="0.75">
      <c r="A226" s="94" t="s">
        <v>160</v>
      </c>
      <c r="B226" s="73" t="s">
        <v>161</v>
      </c>
    </row>
    <row r="227" spans="1:13" x14ac:dyDescent="0.6">
      <c r="A227" s="62"/>
      <c r="B227" s="73"/>
      <c r="L227" s="137" t="s">
        <v>154</v>
      </c>
      <c r="M227" s="138"/>
    </row>
    <row r="228" spans="1:13" x14ac:dyDescent="0.6">
      <c r="A228" s="62"/>
      <c r="B228" s="73" t="s">
        <v>162</v>
      </c>
      <c r="L228" s="139"/>
      <c r="M228" s="140" t="s">
        <v>163</v>
      </c>
    </row>
    <row r="229" spans="1:13" x14ac:dyDescent="0.6">
      <c r="A229" s="62"/>
      <c r="B229" s="60" t="s">
        <v>164</v>
      </c>
      <c r="L229" s="139" t="s">
        <v>69</v>
      </c>
      <c r="M229" s="141">
        <v>77444.378463187692</v>
      </c>
    </row>
    <row r="230" spans="1:13" ht="13.75" thickBot="1" x14ac:dyDescent="0.75">
      <c r="A230" s="62"/>
      <c r="B230" s="73"/>
      <c r="L230" s="142" t="s">
        <v>62</v>
      </c>
      <c r="M230" s="143">
        <v>162700.97933905452</v>
      </c>
    </row>
    <row r="231" spans="1:13" x14ac:dyDescent="0.6">
      <c r="A231" s="62"/>
      <c r="C231" s="75" t="str">
        <f t="shared" ref="C231" si="44">+C6</f>
        <v>SC1</v>
      </c>
      <c r="D231" s="75" t="str">
        <f>+D6</f>
        <v>SC3</v>
      </c>
      <c r="E231" s="75" t="str">
        <f>+E6</f>
        <v>SC2 ND</v>
      </c>
      <c r="F231" s="75" t="str">
        <f>+F6</f>
        <v>SC4</v>
      </c>
      <c r="G231" s="75" t="str">
        <f>+G6</f>
        <v>SC6</v>
      </c>
      <c r="H231" s="75" t="str">
        <f>$I$24</f>
        <v>SC1 TOD</v>
      </c>
    </row>
    <row r="232" spans="1:13" x14ac:dyDescent="0.6">
      <c r="A232" s="62"/>
      <c r="C232" s="67"/>
      <c r="D232" s="67"/>
      <c r="E232" s="67"/>
    </row>
    <row r="233" spans="1:13" x14ac:dyDescent="0.6">
      <c r="A233" s="62"/>
      <c r="B233" s="69" t="s">
        <v>64</v>
      </c>
      <c r="C233" s="22">
        <f>ROUND(+C181/$D$223,3)</f>
        <v>1.048</v>
      </c>
      <c r="D233" s="23"/>
      <c r="E233" s="22">
        <f>ROUND(+E181/$D$223,3)</f>
        <v>0.88</v>
      </c>
      <c r="F233" s="22">
        <f>ROUND(+F181/$D$223,3)</f>
        <v>0.71099999999999997</v>
      </c>
      <c r="G233" s="22">
        <f>ROUND(+G181/$D$223,3)</f>
        <v>0.70899999999999996</v>
      </c>
      <c r="H233" s="24"/>
      <c r="I233" s="24"/>
      <c r="J233" s="24"/>
    </row>
    <row r="234" spans="1:13" x14ac:dyDescent="0.6">
      <c r="A234" s="62"/>
      <c r="B234" s="98" t="s">
        <v>79</v>
      </c>
      <c r="C234" s="23"/>
      <c r="D234" s="22">
        <f>ROUND(+D182/$D$223,3)</f>
        <v>1.22</v>
      </c>
      <c r="E234" s="23"/>
      <c r="F234" s="23"/>
      <c r="G234" s="23"/>
      <c r="H234" s="22">
        <f>ROUND(+H182/$D$223,3)</f>
        <v>1.39</v>
      </c>
      <c r="I234" s="24"/>
      <c r="J234" s="24"/>
    </row>
    <row r="235" spans="1:13" x14ac:dyDescent="0.6">
      <c r="A235" s="62"/>
      <c r="B235" s="98" t="s">
        <v>80</v>
      </c>
      <c r="C235" s="23"/>
      <c r="D235" s="22">
        <f>ROUND(+D183/$D$223,3)</f>
        <v>0.83099999999999996</v>
      </c>
      <c r="E235" s="23"/>
      <c r="F235" s="23"/>
      <c r="G235" s="23"/>
      <c r="H235" s="22">
        <f>ROUND(+H183/$D$223,3)</f>
        <v>0.89500000000000002</v>
      </c>
      <c r="I235" s="24"/>
      <c r="J235" s="24"/>
    </row>
    <row r="236" spans="1:13" x14ac:dyDescent="0.6">
      <c r="A236" s="62"/>
      <c r="B236" s="98"/>
      <c r="C236" s="23"/>
      <c r="D236" s="25"/>
      <c r="E236" s="23"/>
      <c r="F236" s="23"/>
      <c r="G236" s="23"/>
      <c r="H236" s="24"/>
      <c r="I236" s="24"/>
      <c r="J236" s="24"/>
    </row>
    <row r="237" spans="1:13" x14ac:dyDescent="0.6">
      <c r="A237" s="62"/>
      <c r="B237" s="117"/>
      <c r="D237" s="25"/>
      <c r="E237" s="23"/>
      <c r="F237" s="23"/>
      <c r="G237" s="23"/>
      <c r="H237" s="24"/>
      <c r="I237" s="24"/>
      <c r="J237" s="24"/>
    </row>
    <row r="238" spans="1:13" x14ac:dyDescent="0.6">
      <c r="A238" s="62"/>
      <c r="B238" s="145" t="s">
        <v>165</v>
      </c>
      <c r="C238" s="26">
        <f>C184-C181</f>
        <v>-35.227431000000003</v>
      </c>
      <c r="D238" s="25"/>
      <c r="E238" s="23"/>
      <c r="F238" s="23"/>
      <c r="G238" s="23"/>
      <c r="H238" s="24"/>
      <c r="I238" s="24"/>
      <c r="J238" s="24"/>
    </row>
    <row r="239" spans="1:13" x14ac:dyDescent="0.6">
      <c r="A239" s="62"/>
      <c r="B239" s="145" t="s">
        <v>166</v>
      </c>
      <c r="C239" s="26">
        <f>C185-C181</f>
        <v>26.542569</v>
      </c>
      <c r="D239" s="25"/>
      <c r="E239" s="23"/>
      <c r="F239" s="23"/>
      <c r="G239" s="23"/>
      <c r="H239" s="24"/>
      <c r="I239" s="24"/>
      <c r="J239" s="24"/>
    </row>
    <row r="240" spans="1:13" x14ac:dyDescent="0.6">
      <c r="A240" s="62"/>
      <c r="B240" s="23"/>
      <c r="C240" s="23"/>
      <c r="D240" s="25"/>
      <c r="E240" s="23"/>
      <c r="F240" s="23"/>
      <c r="G240" s="23"/>
      <c r="H240" s="24"/>
      <c r="I240" s="24"/>
      <c r="J240" s="24"/>
    </row>
    <row r="241" spans="1:10" x14ac:dyDescent="0.6">
      <c r="A241" s="62"/>
      <c r="C241" s="23"/>
      <c r="D241" s="23"/>
      <c r="E241" s="23"/>
      <c r="F241" s="23"/>
      <c r="G241" s="23"/>
      <c r="H241" s="24"/>
      <c r="I241" s="24"/>
      <c r="J241" s="24"/>
    </row>
    <row r="242" spans="1:10" x14ac:dyDescent="0.6">
      <c r="A242" s="62"/>
      <c r="B242" s="69" t="s">
        <v>70</v>
      </c>
      <c r="C242" s="22">
        <f>ROUND(+C188/$D$223,3)</f>
        <v>1.1870000000000001</v>
      </c>
      <c r="D242" s="27"/>
      <c r="E242" s="22">
        <f>ROUND(+E188/$D$223,3)</f>
        <v>0.98099999999999998</v>
      </c>
      <c r="F242" s="22">
        <f>ROUND(+F188/$D$223,3)</f>
        <v>0.82199999999999995</v>
      </c>
      <c r="G242" s="22">
        <f>ROUND(+G188/$D$223,3)</f>
        <v>0.81299999999999994</v>
      </c>
      <c r="H242" s="24"/>
      <c r="I242" s="24"/>
      <c r="J242" s="24"/>
    </row>
    <row r="243" spans="1:10" x14ac:dyDescent="0.6">
      <c r="A243" s="62"/>
      <c r="B243" s="98" t="s">
        <v>79</v>
      </c>
      <c r="C243" s="23"/>
      <c r="D243" s="22">
        <f>ROUND(+D189/$D$223,3)</f>
        <v>1.3320000000000001</v>
      </c>
      <c r="E243" s="23"/>
      <c r="F243" s="23"/>
      <c r="G243" s="23"/>
      <c r="H243" s="28">
        <f>ROUND(+H189/$D$223,3)</f>
        <v>1.6419999999999999</v>
      </c>
      <c r="I243" s="24"/>
      <c r="J243" s="24"/>
    </row>
    <row r="244" spans="1:10" x14ac:dyDescent="0.6">
      <c r="A244" s="62"/>
      <c r="B244" s="98" t="s">
        <v>80</v>
      </c>
      <c r="C244" s="23"/>
      <c r="D244" s="22">
        <f>ROUND(+D190/$D$223,3)</f>
        <v>0.98799999999999999</v>
      </c>
      <c r="E244" s="23"/>
      <c r="F244" s="23"/>
      <c r="G244" s="23"/>
      <c r="H244" s="28">
        <f>ROUND(+H190/$D$223,3)</f>
        <v>1.0409999999999999</v>
      </c>
      <c r="I244" s="24"/>
      <c r="J244" s="24"/>
    </row>
    <row r="245" spans="1:10" x14ac:dyDescent="0.6">
      <c r="A245" s="62"/>
      <c r="C245" s="24"/>
      <c r="D245" s="24"/>
      <c r="E245" s="24"/>
      <c r="F245" s="24"/>
      <c r="G245" s="24"/>
      <c r="H245" s="24"/>
      <c r="I245" s="24"/>
      <c r="J245" s="24"/>
    </row>
    <row r="246" spans="1:10" x14ac:dyDescent="0.6">
      <c r="A246" s="62"/>
      <c r="B246" s="52" t="s">
        <v>167</v>
      </c>
      <c r="C246" s="29">
        <f t="shared" ref="C246" si="45">ROUND(+C192/$D$223,3)</f>
        <v>1.1259999999999999</v>
      </c>
      <c r="D246" s="29">
        <f>ROUND(+D192/$D$223,3)</f>
        <v>1.0649999999999999</v>
      </c>
      <c r="E246" s="29">
        <f>ROUND(+E192/$D$223,3)</f>
        <v>0.95299999999999996</v>
      </c>
      <c r="F246" s="29">
        <f>ROUND(+F192/$D$223,3)</f>
        <v>0.79100000000000004</v>
      </c>
      <c r="G246" s="29">
        <f>ROUND(+G192/$D$223,3)</f>
        <v>0.78300000000000003</v>
      </c>
      <c r="H246" s="28">
        <f>ROUND(+H192/$D$223,3)</f>
        <v>1.1259999999999999</v>
      </c>
      <c r="I246" s="24"/>
      <c r="J246" s="24"/>
    </row>
    <row r="247" spans="1:10" x14ac:dyDescent="0.6">
      <c r="A247" s="62"/>
    </row>
    <row r="248" spans="1:10" x14ac:dyDescent="0.6">
      <c r="A248" s="94" t="s">
        <v>160</v>
      </c>
      <c r="B248" s="120" t="s">
        <v>140</v>
      </c>
    </row>
    <row r="249" spans="1:10" x14ac:dyDescent="0.6">
      <c r="A249" s="94"/>
      <c r="B249" s="120"/>
    </row>
    <row r="250" spans="1:10" x14ac:dyDescent="0.6">
      <c r="A250" s="62"/>
      <c r="B250" s="73" t="s">
        <v>168</v>
      </c>
    </row>
    <row r="251" spans="1:10" x14ac:dyDescent="0.6">
      <c r="A251" s="62"/>
      <c r="B251" s="60" t="s">
        <v>169</v>
      </c>
    </row>
    <row r="252" spans="1:10" x14ac:dyDescent="0.6">
      <c r="A252" s="62"/>
    </row>
    <row r="253" spans="1:10" x14ac:dyDescent="0.6">
      <c r="A253" s="62"/>
      <c r="C253" s="117" t="str">
        <f>+H6</f>
        <v>SC2 Dem</v>
      </c>
      <c r="D253" s="117" t="str">
        <f>+C253</f>
        <v>SC2 Dem</v>
      </c>
      <c r="E253" s="67"/>
      <c r="F253" s="67"/>
      <c r="G253" s="146" t="s">
        <v>132</v>
      </c>
    </row>
    <row r="254" spans="1:10" x14ac:dyDescent="0.6">
      <c r="A254" s="62"/>
      <c r="C254" s="75" t="s">
        <v>170</v>
      </c>
      <c r="D254" s="75" t="s">
        <v>171</v>
      </c>
      <c r="E254" s="67"/>
      <c r="F254" s="67"/>
      <c r="G254" s="88"/>
    </row>
    <row r="255" spans="1:10" x14ac:dyDescent="0.6">
      <c r="A255" s="62"/>
      <c r="B255" s="69" t="s">
        <v>64</v>
      </c>
      <c r="C255" s="22">
        <f>ROUND(+C210/$D$223,3)</f>
        <v>0.95799999999999996</v>
      </c>
      <c r="D255" s="147">
        <f>+C198-C210</f>
        <v>-20.758902595434535</v>
      </c>
      <c r="F255" s="99"/>
      <c r="G255" s="124" t="s">
        <v>133</v>
      </c>
    </row>
    <row r="256" spans="1:10" x14ac:dyDescent="0.6">
      <c r="A256" s="62"/>
      <c r="B256" s="148"/>
      <c r="C256" s="23"/>
      <c r="D256" s="73"/>
      <c r="E256" s="25"/>
      <c r="F256" s="149"/>
      <c r="G256" s="88"/>
    </row>
    <row r="257" spans="1:10" x14ac:dyDescent="0.6">
      <c r="A257" s="62"/>
      <c r="B257" s="98"/>
      <c r="C257" s="23"/>
      <c r="D257" s="73"/>
      <c r="E257" s="25"/>
      <c r="F257" s="149"/>
      <c r="G257" s="88"/>
      <c r="H257" s="75"/>
      <c r="I257" s="117" t="s">
        <v>134</v>
      </c>
      <c r="J257" s="117" t="s">
        <v>135</v>
      </c>
    </row>
    <row r="258" spans="1:10" x14ac:dyDescent="0.6">
      <c r="A258" s="62"/>
      <c r="C258" s="23"/>
      <c r="D258" s="73"/>
      <c r="E258" s="23"/>
      <c r="F258" s="149"/>
      <c r="G258" s="88"/>
    </row>
    <row r="259" spans="1:10" x14ac:dyDescent="0.6">
      <c r="A259" s="62"/>
      <c r="B259" s="69" t="s">
        <v>70</v>
      </c>
      <c r="C259" s="22">
        <f>ROUND(+C214/$D$223,3)</f>
        <v>1.0649999999999999</v>
      </c>
      <c r="D259" s="147">
        <f>+C202-C214</f>
        <v>-21.374607163584727</v>
      </c>
      <c r="E259" s="25"/>
      <c r="F259" s="149"/>
      <c r="G259" s="150" t="s">
        <v>98</v>
      </c>
      <c r="H259" s="18"/>
      <c r="I259" s="10">
        <f>M213</f>
        <v>1.5840000000000001</v>
      </c>
      <c r="J259" s="10">
        <f>N213</f>
        <v>1.5840000000000001</v>
      </c>
    </row>
    <row r="260" spans="1:10" x14ac:dyDescent="0.6">
      <c r="A260" s="62"/>
      <c r="B260" s="148"/>
      <c r="C260" s="23"/>
      <c r="E260" s="25"/>
      <c r="F260" s="149"/>
      <c r="G260" s="150" t="s">
        <v>104</v>
      </c>
      <c r="H260" s="18"/>
      <c r="I260" s="10">
        <f>M214</f>
        <v>1.4870000000000001</v>
      </c>
      <c r="J260" s="10">
        <f>N214</f>
        <v>1.4870000000000001</v>
      </c>
    </row>
    <row r="261" spans="1:10" x14ac:dyDescent="0.6">
      <c r="A261" s="62"/>
      <c r="B261" s="98"/>
      <c r="C261" s="23"/>
      <c r="E261" s="25"/>
      <c r="F261" s="149"/>
      <c r="G261" s="150"/>
      <c r="H261" s="10"/>
      <c r="I261" s="108"/>
    </row>
    <row r="262" spans="1:10" x14ac:dyDescent="0.6">
      <c r="A262" s="62"/>
      <c r="C262" s="24"/>
      <c r="E262" s="24"/>
      <c r="G262" s="151" t="s">
        <v>136</v>
      </c>
    </row>
    <row r="263" spans="1:10" x14ac:dyDescent="0.6">
      <c r="A263" s="62"/>
      <c r="B263" s="52" t="s">
        <v>151</v>
      </c>
      <c r="C263" s="29">
        <f>ROUND(+C218/$D$223,3)</f>
        <v>0.98799999999999999</v>
      </c>
      <c r="E263" s="24"/>
      <c r="G263" s="150" t="s">
        <v>138</v>
      </c>
      <c r="H263" s="18">
        <f>+G206</f>
        <v>4.3670833333333334</v>
      </c>
      <c r="I263" s="108" t="s">
        <v>139</v>
      </c>
    </row>
    <row r="264" spans="1:10" x14ac:dyDescent="0.6">
      <c r="A264" s="62"/>
      <c r="C264" s="24"/>
      <c r="E264" s="24"/>
    </row>
    <row r="265" spans="1:10" x14ac:dyDescent="0.6">
      <c r="A265" s="62"/>
      <c r="C265" s="24"/>
      <c r="E265" s="24"/>
    </row>
    <row r="266" spans="1:10" x14ac:dyDescent="0.6">
      <c r="A266" s="94" t="s">
        <v>172</v>
      </c>
      <c r="B266" s="61" t="s">
        <v>173</v>
      </c>
    </row>
    <row r="267" spans="1:10" x14ac:dyDescent="0.6">
      <c r="A267" s="62"/>
      <c r="B267" s="73"/>
    </row>
    <row r="268" spans="1:10" x14ac:dyDescent="0.6">
      <c r="A268" s="62"/>
      <c r="B268" s="73" t="s">
        <v>162</v>
      </c>
    </row>
    <row r="269" spans="1:10" x14ac:dyDescent="0.6">
      <c r="A269" s="62"/>
      <c r="B269" s="56" t="s">
        <v>174</v>
      </c>
    </row>
    <row r="270" spans="1:10" x14ac:dyDescent="0.6">
      <c r="A270" s="62"/>
      <c r="B270" s="60" t="s">
        <v>61</v>
      </c>
    </row>
    <row r="271" spans="1:10" x14ac:dyDescent="0.6">
      <c r="A271" s="62"/>
      <c r="C271" s="75" t="str">
        <f t="shared" ref="C271" si="46">+C6</f>
        <v>SC1</v>
      </c>
      <c r="D271" s="75" t="str">
        <f>+D6</f>
        <v>SC3</v>
      </c>
      <c r="E271" s="75" t="str">
        <f>+E6</f>
        <v>SC2 ND</v>
      </c>
      <c r="F271" s="75" t="str">
        <f>+F6</f>
        <v>SC4</v>
      </c>
      <c r="G271" s="75" t="str">
        <f>+G6</f>
        <v>SC6</v>
      </c>
      <c r="H271" s="75" t="str">
        <f>$I$24</f>
        <v>SC1 TOD</v>
      </c>
    </row>
    <row r="272" spans="1:10" x14ac:dyDescent="0.6">
      <c r="A272" s="62"/>
      <c r="C272" s="67"/>
      <c r="D272" s="10"/>
      <c r="E272" s="67"/>
    </row>
    <row r="273" spans="1:9" x14ac:dyDescent="0.6">
      <c r="A273" s="62"/>
      <c r="B273" s="69" t="s">
        <v>64</v>
      </c>
      <c r="C273" s="17">
        <f t="shared" ref="C273" si="47">C181-C$167</f>
        <v>68.757236084003097</v>
      </c>
      <c r="D273" s="17">
        <f>D181-D$167</f>
        <v>68.953005590985981</v>
      </c>
      <c r="E273" s="17">
        <f>E181-E$167</f>
        <v>66.528068472614663</v>
      </c>
      <c r="F273" s="17">
        <f>F181-F$167</f>
        <v>61.161441192527285</v>
      </c>
      <c r="G273" s="17">
        <f>G181-G$167</f>
        <v>61.014394867313165</v>
      </c>
      <c r="H273" s="10">
        <f>H181-H$167</f>
        <v>68.757236084003097</v>
      </c>
    </row>
    <row r="274" spans="1:9" x14ac:dyDescent="0.6">
      <c r="A274" s="62"/>
      <c r="B274" s="98" t="s">
        <v>79</v>
      </c>
      <c r="C274" s="10"/>
      <c r="D274" s="17">
        <f>D182-D$167</f>
        <v>88.498360971540222</v>
      </c>
      <c r="E274" s="10"/>
      <c r="F274" s="10"/>
      <c r="G274" s="10"/>
      <c r="H274" s="99">
        <f>H182-H$167</f>
        <v>98.182766730375846</v>
      </c>
    </row>
    <row r="275" spans="1:9" x14ac:dyDescent="0.6">
      <c r="A275" s="62"/>
      <c r="B275" s="98" t="s">
        <v>80</v>
      </c>
      <c r="C275" s="10"/>
      <c r="D275" s="17">
        <f>D183-D$167</f>
        <v>55.036081718561341</v>
      </c>
      <c r="E275" s="10"/>
      <c r="F275" s="10"/>
      <c r="G275" s="10"/>
      <c r="H275" s="99">
        <f>H183-H$167</f>
        <v>55.600650072196437</v>
      </c>
    </row>
    <row r="276" spans="1:9" x14ac:dyDescent="0.6">
      <c r="A276" s="62"/>
      <c r="B276" s="77" t="s">
        <v>128</v>
      </c>
      <c r="C276" s="10">
        <f>(C273*SUM(C49:C52)-C158*10*E157*SUM(C49:C52))/SUM(C49:C52)</f>
        <v>33.529805084003087</v>
      </c>
      <c r="D276" s="17"/>
      <c r="E276" s="10"/>
      <c r="F276" s="10"/>
      <c r="G276" s="10"/>
    </row>
    <row r="277" spans="1:9" x14ac:dyDescent="0.6">
      <c r="A277" s="62"/>
      <c r="B277" s="77" t="s">
        <v>129</v>
      </c>
      <c r="C277" s="10">
        <f>C276+C158*10</f>
        <v>95.299805084003083</v>
      </c>
      <c r="D277" s="17"/>
      <c r="E277" s="10"/>
      <c r="F277" s="10"/>
      <c r="G277" s="10"/>
    </row>
    <row r="278" spans="1:9" x14ac:dyDescent="0.6">
      <c r="A278" s="62"/>
      <c r="B278" s="10"/>
      <c r="C278" s="10"/>
      <c r="D278" s="17"/>
      <c r="E278" s="10"/>
      <c r="F278" s="10"/>
      <c r="G278" s="10"/>
    </row>
    <row r="279" spans="1:9" x14ac:dyDescent="0.6">
      <c r="A279" s="62"/>
      <c r="C279" s="10"/>
      <c r="D279" s="10"/>
      <c r="E279" s="10"/>
      <c r="F279" s="10"/>
      <c r="G279" s="10"/>
    </row>
    <row r="280" spans="1:9" x14ac:dyDescent="0.6">
      <c r="A280" s="62"/>
      <c r="B280" s="69" t="s">
        <v>70</v>
      </c>
      <c r="C280" s="17">
        <f t="shared" ref="C280" si="48">C188-C$167</f>
        <v>80.657053639551947</v>
      </c>
      <c r="D280" s="17">
        <f>D188-D$167</f>
        <v>79.067895242769225</v>
      </c>
      <c r="E280" s="17">
        <f>E188-E$167</f>
        <v>75.219686551094767</v>
      </c>
      <c r="F280" s="17">
        <f>F188-F$167</f>
        <v>70.731778646783482</v>
      </c>
      <c r="G280" s="17">
        <f>G188-G$167</f>
        <v>69.921549457466512</v>
      </c>
      <c r="H280" s="10">
        <f>H188-H$167</f>
        <v>80.657053639551947</v>
      </c>
    </row>
    <row r="281" spans="1:9" x14ac:dyDescent="0.6">
      <c r="A281" s="62"/>
      <c r="B281" s="98" t="s">
        <v>79</v>
      </c>
      <c r="C281" s="10"/>
      <c r="D281" s="17">
        <f>D189-D$167</f>
        <v>98.127600743005303</v>
      </c>
      <c r="E281" s="10"/>
      <c r="F281" s="10"/>
      <c r="G281" s="10"/>
      <c r="H281" s="99">
        <f>H189-H$167</f>
        <v>119.80911636085187</v>
      </c>
    </row>
    <row r="282" spans="1:9" x14ac:dyDescent="0.6">
      <c r="A282" s="62"/>
      <c r="B282" s="98" t="s">
        <v>80</v>
      </c>
      <c r="C282" s="10"/>
      <c r="D282" s="17">
        <f>D190-D$167</f>
        <v>68.551389230163977</v>
      </c>
      <c r="E282" s="10"/>
      <c r="F282" s="10"/>
      <c r="G282" s="10"/>
      <c r="H282" s="99">
        <f>H190-H$167</f>
        <v>68.082237336900704</v>
      </c>
    </row>
    <row r="283" spans="1:9" x14ac:dyDescent="0.6">
      <c r="A283" s="62"/>
      <c r="C283" s="10"/>
      <c r="D283" s="10"/>
      <c r="E283" s="10"/>
      <c r="F283" s="10"/>
      <c r="G283" s="10"/>
    </row>
    <row r="284" spans="1:9" x14ac:dyDescent="0.6">
      <c r="A284" s="62"/>
      <c r="B284" s="52" t="s">
        <v>130</v>
      </c>
      <c r="C284" s="17">
        <f t="shared" ref="C284" si="49">C192-C$167</f>
        <v>75.471103424697475</v>
      </c>
      <c r="D284" s="17">
        <f>D192-D$167</f>
        <v>75.166009026947791</v>
      </c>
      <c r="E284" s="17">
        <f>E192-E$167</f>
        <v>72.813916150921017</v>
      </c>
      <c r="F284" s="17">
        <f>F192-F$167</f>
        <v>68.074990634820182</v>
      </c>
      <c r="G284" s="17">
        <f>G192-G$167</f>
        <v>67.373458407059658</v>
      </c>
      <c r="H284" s="10">
        <f>H192-H$167</f>
        <v>75.471103424697475</v>
      </c>
    </row>
    <row r="285" spans="1:9" x14ac:dyDescent="0.6">
      <c r="A285" s="62"/>
      <c r="C285" s="10"/>
      <c r="D285" s="10"/>
      <c r="E285" s="10"/>
      <c r="F285" s="10"/>
      <c r="G285" s="10"/>
      <c r="H285" s="10"/>
      <c r="I285" s="10"/>
    </row>
    <row r="286" spans="1:9" x14ac:dyDescent="0.6">
      <c r="A286" s="94" t="s">
        <v>172</v>
      </c>
      <c r="B286" s="120" t="s">
        <v>140</v>
      </c>
      <c r="C286" s="10"/>
      <c r="D286" s="10"/>
      <c r="E286" s="10"/>
      <c r="F286" s="10"/>
      <c r="G286" s="10"/>
      <c r="H286" s="10"/>
      <c r="I286" s="10"/>
    </row>
    <row r="287" spans="1:9" x14ac:dyDescent="0.6">
      <c r="A287" s="62"/>
      <c r="C287" s="10"/>
      <c r="D287" s="10"/>
      <c r="E287" s="10"/>
      <c r="F287" s="10"/>
      <c r="G287" s="10"/>
      <c r="H287" s="10"/>
      <c r="I287" s="10"/>
    </row>
    <row r="288" spans="1:9" x14ac:dyDescent="0.6">
      <c r="A288" s="62"/>
      <c r="B288" s="73" t="s">
        <v>168</v>
      </c>
    </row>
    <row r="289" spans="1:12" x14ac:dyDescent="0.6">
      <c r="A289" s="62"/>
      <c r="B289" s="56" t="s">
        <v>175</v>
      </c>
    </row>
    <row r="290" spans="1:12" x14ac:dyDescent="0.6">
      <c r="A290" s="62"/>
      <c r="B290" s="62" t="s">
        <v>176</v>
      </c>
    </row>
    <row r="291" spans="1:12" x14ac:dyDescent="0.6">
      <c r="A291" s="62"/>
      <c r="B291" s="62"/>
    </row>
    <row r="292" spans="1:12" x14ac:dyDescent="0.6">
      <c r="A292" s="62"/>
      <c r="C292" s="75" t="str">
        <f>+H6</f>
        <v>SC2 Dem</v>
      </c>
      <c r="D292" s="67"/>
      <c r="E292" s="67"/>
      <c r="G292" s="73" t="s">
        <v>132</v>
      </c>
    </row>
    <row r="293" spans="1:12" x14ac:dyDescent="0.6">
      <c r="A293" s="62"/>
      <c r="C293" s="67"/>
      <c r="D293" s="67"/>
      <c r="F293" s="73"/>
    </row>
    <row r="294" spans="1:12" x14ac:dyDescent="0.6">
      <c r="A294" s="62"/>
      <c r="B294" s="69" t="s">
        <v>64</v>
      </c>
      <c r="C294" s="10">
        <f>C198</f>
        <v>61.660230012897472</v>
      </c>
      <c r="D294" s="10"/>
      <c r="G294" s="116" t="s">
        <v>133</v>
      </c>
    </row>
    <row r="295" spans="1:12" x14ac:dyDescent="0.6">
      <c r="A295" s="62"/>
      <c r="B295" s="98"/>
      <c r="C295" s="10"/>
      <c r="D295" s="10"/>
    </row>
    <row r="296" spans="1:12" x14ac:dyDescent="0.6">
      <c r="A296" s="62"/>
      <c r="B296" s="98"/>
      <c r="C296" s="10"/>
      <c r="D296" s="10"/>
      <c r="H296" s="75"/>
      <c r="I296" s="75" t="str">
        <f t="shared" ref="I296:J296" si="50">I257</f>
        <v>&lt; 5 kW</v>
      </c>
      <c r="J296" s="75" t="str">
        <f t="shared" si="50"/>
        <v>&gt; 5 kW</v>
      </c>
    </row>
    <row r="297" spans="1:12" x14ac:dyDescent="0.6">
      <c r="A297" s="62"/>
      <c r="C297" s="10"/>
      <c r="D297" s="10"/>
    </row>
    <row r="298" spans="1:12" x14ac:dyDescent="0.6">
      <c r="A298" s="62"/>
      <c r="B298" s="69" t="s">
        <v>70</v>
      </c>
      <c r="C298" s="10">
        <f>C202</f>
        <v>70.268173725288051</v>
      </c>
      <c r="D298" s="10"/>
      <c r="G298" s="77" t="s">
        <v>98</v>
      </c>
      <c r="H298" s="18"/>
      <c r="I298" s="18">
        <f t="shared" ref="I298:J299" si="51">I259</f>
        <v>1.5840000000000001</v>
      </c>
      <c r="J298" s="18">
        <f t="shared" si="51"/>
        <v>1.5840000000000001</v>
      </c>
    </row>
    <row r="299" spans="1:12" x14ac:dyDescent="0.6">
      <c r="A299" s="62"/>
      <c r="B299" s="98"/>
      <c r="C299" s="10"/>
      <c r="D299" s="10"/>
      <c r="G299" s="77" t="s">
        <v>104</v>
      </c>
      <c r="H299" s="18"/>
      <c r="I299" s="18">
        <f t="shared" si="51"/>
        <v>1.4870000000000001</v>
      </c>
      <c r="J299" s="18">
        <f t="shared" si="51"/>
        <v>1.4870000000000001</v>
      </c>
    </row>
    <row r="300" spans="1:12" x14ac:dyDescent="0.6">
      <c r="A300" s="62"/>
      <c r="B300" s="98"/>
      <c r="C300" s="10"/>
      <c r="D300" s="10"/>
    </row>
    <row r="301" spans="1:12" x14ac:dyDescent="0.6">
      <c r="A301" s="62"/>
      <c r="B301" s="98"/>
      <c r="C301" s="10"/>
      <c r="D301" s="10"/>
      <c r="G301" s="119"/>
      <c r="I301" s="108"/>
    </row>
    <row r="302" spans="1:12" ht="13.75" thickBot="1" x14ac:dyDescent="0.75">
      <c r="A302" s="62"/>
      <c r="B302" s="52" t="s">
        <v>137</v>
      </c>
      <c r="C302" s="10">
        <f>C206</f>
        <v>67.174761542199832</v>
      </c>
      <c r="D302" s="10"/>
      <c r="G302" s="77"/>
      <c r="H302" s="12"/>
      <c r="I302" s="108"/>
    </row>
    <row r="303" spans="1:12" x14ac:dyDescent="0.6">
      <c r="A303" s="62"/>
      <c r="C303" s="10"/>
      <c r="D303" s="10"/>
      <c r="K303" s="137" t="s">
        <v>154</v>
      </c>
      <c r="L303" s="138"/>
    </row>
    <row r="304" spans="1:12" x14ac:dyDescent="0.6">
      <c r="A304" s="62"/>
      <c r="B304" s="152" t="s">
        <v>177</v>
      </c>
      <c r="C304" s="10"/>
      <c r="D304" s="10"/>
      <c r="E304" s="99"/>
      <c r="K304" s="139"/>
      <c r="L304" s="140" t="s">
        <v>157</v>
      </c>
    </row>
    <row r="305" spans="1:14" x14ac:dyDescent="0.6">
      <c r="A305" s="62"/>
      <c r="B305" s="69" t="s">
        <v>64</v>
      </c>
      <c r="C305" s="17">
        <f>(C294*Q48+($I298*($L$305/4*H144))+($J298*($L$305/4*H144)))/Q48</f>
        <v>70.895136175735431</v>
      </c>
      <c r="D305" s="17"/>
      <c r="E305" s="114"/>
      <c r="K305" s="139" t="s">
        <v>69</v>
      </c>
      <c r="L305" s="141">
        <v>354685.57153681235</v>
      </c>
    </row>
    <row r="306" spans="1:14" ht="13.75" thickBot="1" x14ac:dyDescent="0.75">
      <c r="A306" s="62"/>
      <c r="B306" s="98"/>
      <c r="C306" s="10"/>
      <c r="D306" s="17"/>
      <c r="K306" s="142" t="s">
        <v>62</v>
      </c>
      <c r="L306" s="143">
        <v>615972.07066094549</v>
      </c>
      <c r="N306" s="17"/>
    </row>
    <row r="307" spans="1:14" x14ac:dyDescent="0.6">
      <c r="A307" s="62"/>
      <c r="B307" s="98"/>
      <c r="C307" s="10"/>
      <c r="D307" s="17"/>
      <c r="N307" s="10"/>
    </row>
    <row r="308" spans="1:14" x14ac:dyDescent="0.6">
      <c r="A308" s="62"/>
      <c r="C308" s="10"/>
      <c r="D308" s="10"/>
      <c r="N308" s="10"/>
    </row>
    <row r="309" spans="1:14" x14ac:dyDescent="0.6">
      <c r="A309" s="62"/>
      <c r="B309" s="69" t="s">
        <v>70</v>
      </c>
      <c r="C309" s="17">
        <f>(C298*Q44+($I299*($L$306/8*H145))+($J299*($L$306/8*H145)))/Q44</f>
        <v>78.713859992134587</v>
      </c>
      <c r="D309" s="17"/>
      <c r="N309" s="10"/>
    </row>
    <row r="310" spans="1:14" x14ac:dyDescent="0.6">
      <c r="A310" s="62"/>
      <c r="B310" s="98"/>
      <c r="C310" s="10"/>
      <c r="D310" s="17"/>
      <c r="N310" s="17"/>
    </row>
    <row r="311" spans="1:14" x14ac:dyDescent="0.6">
      <c r="A311" s="62"/>
      <c r="B311" s="98"/>
      <c r="C311" s="10"/>
      <c r="D311" s="17"/>
      <c r="N311" s="10"/>
    </row>
    <row r="312" spans="1:14" x14ac:dyDescent="0.6">
      <c r="A312" s="62"/>
      <c r="B312" s="98"/>
      <c r="C312" s="10"/>
      <c r="D312" s="10"/>
      <c r="N312" s="10"/>
    </row>
    <row r="313" spans="1:14" x14ac:dyDescent="0.6">
      <c r="A313" s="62"/>
      <c r="B313" s="52" t="s">
        <v>151</v>
      </c>
      <c r="C313" s="17">
        <f>(C302*H56+($I298*($L$305/4*H144)+($J298*($L$305/4*H144))+($I299*($L$306/8*H145))+($J299*($L$306/8*H145))))/H56</f>
        <v>75.90406751230735</v>
      </c>
      <c r="D313" s="17"/>
      <c r="N313" s="10"/>
    </row>
    <row r="314" spans="1:14" x14ac:dyDescent="0.6">
      <c r="A314" s="62"/>
      <c r="C314" s="13"/>
      <c r="D314" s="13"/>
      <c r="N314" s="17"/>
    </row>
    <row r="315" spans="1:14" x14ac:dyDescent="0.6">
      <c r="A315" s="62"/>
      <c r="B315" s="73" t="s">
        <v>152</v>
      </c>
      <c r="C315" s="10"/>
      <c r="D315" s="10"/>
    </row>
    <row r="316" spans="1:14" x14ac:dyDescent="0.6">
      <c r="A316" s="62"/>
      <c r="B316" s="77" t="s">
        <v>153</v>
      </c>
      <c r="C316" s="21">
        <f>(+SUMPRODUCT(C284:G284,C56:G56)+SUMPRODUCT(C313,H56))/1000</f>
        <v>80363.800052732564</v>
      </c>
    </row>
    <row r="317" spans="1:14" x14ac:dyDescent="0.6">
      <c r="A317" s="62"/>
      <c r="C317" s="77" t="s">
        <v>155</v>
      </c>
      <c r="D317" s="17">
        <f>+C316/SUM(C56:H56)*1000</f>
        <v>75.487865358135963</v>
      </c>
      <c r="E317" s="52" t="s">
        <v>156</v>
      </c>
    </row>
    <row r="318" spans="1:14" x14ac:dyDescent="0.6">
      <c r="A318" s="62"/>
      <c r="C318" s="77" t="s">
        <v>178</v>
      </c>
      <c r="D318" s="17">
        <f>+C316/SUMPRODUCT(C56:H56,C81:H81)*1000</f>
        <v>70.130515716808233</v>
      </c>
      <c r="E318" s="52" t="s">
        <v>179</v>
      </c>
    </row>
    <row r="319" spans="1:14" x14ac:dyDescent="0.6">
      <c r="A319" s="62"/>
    </row>
    <row r="320" spans="1:14" x14ac:dyDescent="0.6">
      <c r="A320" s="94" t="s">
        <v>180</v>
      </c>
      <c r="B320" s="61" t="s">
        <v>181</v>
      </c>
    </row>
    <row r="321" spans="1:10" x14ac:dyDescent="0.6">
      <c r="A321" s="62"/>
      <c r="B321" s="73"/>
    </row>
    <row r="322" spans="1:10" x14ac:dyDescent="0.6">
      <c r="A322" s="62"/>
      <c r="B322" s="73" t="s">
        <v>162</v>
      </c>
    </row>
    <row r="323" spans="1:10" x14ac:dyDescent="0.6">
      <c r="A323" s="62"/>
      <c r="B323" s="60" t="s">
        <v>164</v>
      </c>
    </row>
    <row r="324" spans="1:10" x14ac:dyDescent="0.6">
      <c r="A324" s="62"/>
      <c r="B324" s="73"/>
    </row>
    <row r="325" spans="1:10" x14ac:dyDescent="0.6">
      <c r="A325" s="62"/>
      <c r="C325" s="75" t="str">
        <f t="shared" ref="C325" si="52">+C6</f>
        <v>SC1</v>
      </c>
      <c r="D325" s="75" t="str">
        <f>+D6</f>
        <v>SC3</v>
      </c>
      <c r="E325" s="75" t="str">
        <f>+E6</f>
        <v>SC2 ND</v>
      </c>
      <c r="F325" s="75" t="str">
        <f>+F6</f>
        <v>SC4</v>
      </c>
      <c r="G325" s="75" t="str">
        <f>+G6</f>
        <v>SC6</v>
      </c>
      <c r="H325" s="75" t="str">
        <f>$I$24</f>
        <v>SC1 TOD</v>
      </c>
    </row>
    <row r="326" spans="1:10" x14ac:dyDescent="0.6">
      <c r="A326" s="62"/>
      <c r="C326" s="67"/>
      <c r="D326" s="67"/>
      <c r="E326" s="67"/>
    </row>
    <row r="327" spans="1:10" x14ac:dyDescent="0.6">
      <c r="A327" s="62"/>
      <c r="B327" s="69" t="s">
        <v>64</v>
      </c>
      <c r="C327" s="22">
        <f>ROUND(+C273/$D$318,3)</f>
        <v>0.98</v>
      </c>
      <c r="D327" s="23"/>
      <c r="E327" s="22">
        <f>ROUND(+E273/$D$318,3)</f>
        <v>0.94899999999999995</v>
      </c>
      <c r="F327" s="22">
        <f>ROUND(+F273/$D$318,3)</f>
        <v>0.872</v>
      </c>
      <c r="G327" s="22">
        <f>ROUND(+G273/$D$318,3)</f>
        <v>0.87</v>
      </c>
      <c r="H327" s="30"/>
      <c r="I327" s="24"/>
      <c r="J327" s="24"/>
    </row>
    <row r="328" spans="1:10" x14ac:dyDescent="0.6">
      <c r="A328" s="62"/>
      <c r="B328" s="98" t="s">
        <v>79</v>
      </c>
      <c r="C328" s="23"/>
      <c r="D328" s="22">
        <f>ROUND(+D274/$D$318,3)</f>
        <v>1.262</v>
      </c>
      <c r="E328" s="23"/>
      <c r="F328" s="23"/>
      <c r="G328" s="23"/>
      <c r="H328" s="31">
        <f>ROUND(+H274/$D$318,3)</f>
        <v>1.4</v>
      </c>
      <c r="I328" s="24"/>
      <c r="J328" s="24"/>
    </row>
    <row r="329" spans="1:10" x14ac:dyDescent="0.6">
      <c r="A329" s="62"/>
      <c r="B329" s="98" t="s">
        <v>80</v>
      </c>
      <c r="C329" s="23"/>
      <c r="D329" s="22">
        <f>ROUND(+D275/$D$318,3)</f>
        <v>0.78500000000000003</v>
      </c>
      <c r="E329" s="23"/>
      <c r="F329" s="23"/>
      <c r="G329" s="23"/>
      <c r="H329" s="31">
        <f>ROUND(+H275/$D$318,3)</f>
        <v>0.79300000000000004</v>
      </c>
      <c r="I329" s="24"/>
      <c r="J329" s="24"/>
    </row>
    <row r="330" spans="1:10" x14ac:dyDescent="0.6">
      <c r="A330" s="62"/>
      <c r="C330" s="23"/>
      <c r="D330" s="23"/>
      <c r="E330" s="23"/>
      <c r="F330" s="23"/>
      <c r="G330" s="23"/>
      <c r="H330" s="30"/>
      <c r="I330" s="24"/>
      <c r="J330" s="24"/>
    </row>
    <row r="331" spans="1:10" x14ac:dyDescent="0.6">
      <c r="A331" s="62"/>
      <c r="B331" s="117"/>
      <c r="D331" s="23"/>
      <c r="E331" s="23"/>
      <c r="F331" s="23"/>
      <c r="G331" s="23"/>
      <c r="H331" s="30"/>
      <c r="I331" s="24"/>
      <c r="J331" s="24"/>
    </row>
    <row r="332" spans="1:10" x14ac:dyDescent="0.6">
      <c r="A332" s="62"/>
      <c r="B332" s="145" t="s">
        <v>165</v>
      </c>
      <c r="C332" s="26">
        <f>C276-C273</f>
        <v>-35.22743100000001</v>
      </c>
      <c r="D332" s="23"/>
      <c r="E332" s="23"/>
      <c r="F332" s="23"/>
      <c r="G332" s="23"/>
      <c r="H332" s="30"/>
      <c r="I332" s="24"/>
      <c r="J332" s="24"/>
    </row>
    <row r="333" spans="1:10" x14ac:dyDescent="0.6">
      <c r="A333" s="62"/>
      <c r="B333" s="145" t="s">
        <v>166</v>
      </c>
      <c r="C333" s="26">
        <f>C277-C273</f>
        <v>26.542568999999986</v>
      </c>
      <c r="D333" s="23"/>
      <c r="E333" s="23"/>
      <c r="F333" s="23"/>
      <c r="G333" s="23"/>
      <c r="H333" s="30"/>
      <c r="I333" s="24"/>
      <c r="J333" s="24"/>
    </row>
    <row r="334" spans="1:10" x14ac:dyDescent="0.6">
      <c r="A334" s="62"/>
      <c r="B334" s="23"/>
      <c r="C334" s="23"/>
      <c r="D334" s="23"/>
      <c r="E334" s="23"/>
      <c r="F334" s="23"/>
      <c r="G334" s="23"/>
      <c r="H334" s="30"/>
      <c r="I334" s="24"/>
      <c r="J334" s="24"/>
    </row>
    <row r="335" spans="1:10" x14ac:dyDescent="0.6">
      <c r="A335" s="62"/>
      <c r="C335" s="23"/>
      <c r="D335" s="23"/>
      <c r="E335" s="23"/>
      <c r="F335" s="23"/>
      <c r="G335" s="23"/>
      <c r="H335" s="30"/>
      <c r="I335" s="24"/>
      <c r="J335" s="24"/>
    </row>
    <row r="336" spans="1:10" x14ac:dyDescent="0.6">
      <c r="A336" s="62"/>
      <c r="B336" s="69" t="s">
        <v>70</v>
      </c>
      <c r="C336" s="22">
        <f>ROUND(+C280/$D$318,3)</f>
        <v>1.1499999999999999</v>
      </c>
      <c r="D336" s="27"/>
      <c r="E336" s="22">
        <f>ROUND(+E280/$D$318,3)</f>
        <v>1.073</v>
      </c>
      <c r="F336" s="22">
        <f>ROUND(+F280/$D$318,3)</f>
        <v>1.0089999999999999</v>
      </c>
      <c r="G336" s="22">
        <f>ROUND(+G280/$D$318,3)</f>
        <v>0.997</v>
      </c>
      <c r="H336" s="30"/>
      <c r="I336" s="24"/>
      <c r="J336" s="24"/>
    </row>
    <row r="337" spans="1:10" x14ac:dyDescent="0.6">
      <c r="A337" s="62"/>
      <c r="B337" s="98" t="s">
        <v>79</v>
      </c>
      <c r="C337" s="23"/>
      <c r="D337" s="22">
        <f>ROUND(+D281/$D$318,3)</f>
        <v>1.399</v>
      </c>
      <c r="E337" s="23"/>
      <c r="F337" s="23"/>
      <c r="G337" s="23"/>
      <c r="H337" s="31">
        <f>ROUND(+H281/$D$318,3)</f>
        <v>1.708</v>
      </c>
      <c r="I337" s="24"/>
      <c r="J337" s="24"/>
    </row>
    <row r="338" spans="1:10" x14ac:dyDescent="0.6">
      <c r="A338" s="62"/>
      <c r="B338" s="98" t="s">
        <v>80</v>
      </c>
      <c r="C338" s="23"/>
      <c r="D338" s="22">
        <f>ROUND(+D282/$D$318,3)</f>
        <v>0.97699999999999998</v>
      </c>
      <c r="E338" s="23"/>
      <c r="F338" s="23"/>
      <c r="G338" s="23"/>
      <c r="H338" s="31">
        <f>ROUND(+H282/$D$318,3)</f>
        <v>0.97099999999999997</v>
      </c>
      <c r="I338" s="24"/>
      <c r="J338" s="24"/>
    </row>
    <row r="339" spans="1:10" x14ac:dyDescent="0.6">
      <c r="A339" s="62"/>
      <c r="C339" s="24"/>
      <c r="D339" s="24"/>
      <c r="E339" s="24"/>
      <c r="F339" s="24"/>
      <c r="G339" s="24"/>
      <c r="H339" s="29"/>
      <c r="I339" s="24"/>
      <c r="J339" s="24"/>
    </row>
    <row r="340" spans="1:10" x14ac:dyDescent="0.6">
      <c r="A340" s="62"/>
      <c r="B340" s="52" t="s">
        <v>167</v>
      </c>
      <c r="C340" s="27">
        <f>ROUND(+C284/$D$318,3)</f>
        <v>1.0760000000000001</v>
      </c>
      <c r="D340" s="27">
        <f>ROUND(+D284/$D$318,3)</f>
        <v>1.0720000000000001</v>
      </c>
      <c r="E340" s="27">
        <f>ROUND(,3)+E284/$D$318</f>
        <v>1.0382629502533325</v>
      </c>
      <c r="F340" s="27">
        <f>ROUND(+F284/$D$318,3)</f>
        <v>0.97099999999999997</v>
      </c>
      <c r="G340" s="27">
        <f>ROUND(+G284/$D$318,3)</f>
        <v>0.96099999999999997</v>
      </c>
      <c r="H340" s="29">
        <f>ROUND(+H284/$D$318,3)</f>
        <v>1.0760000000000001</v>
      </c>
      <c r="I340" s="24"/>
      <c r="J340" s="24"/>
    </row>
    <row r="341" spans="1:10" x14ac:dyDescent="0.6">
      <c r="A341" s="62"/>
    </row>
    <row r="342" spans="1:10" x14ac:dyDescent="0.6">
      <c r="A342" s="62"/>
    </row>
    <row r="343" spans="1:10" x14ac:dyDescent="0.6">
      <c r="A343" s="62"/>
      <c r="B343" s="73" t="s">
        <v>168</v>
      </c>
    </row>
    <row r="344" spans="1:10" x14ac:dyDescent="0.6">
      <c r="A344" s="62"/>
      <c r="B344" s="60" t="s">
        <v>182</v>
      </c>
    </row>
    <row r="345" spans="1:10" x14ac:dyDescent="0.6">
      <c r="A345" s="62"/>
    </row>
    <row r="346" spans="1:10" x14ac:dyDescent="0.6">
      <c r="A346" s="62"/>
      <c r="C346" s="117" t="str">
        <f>+H6</f>
        <v>SC2 Dem</v>
      </c>
      <c r="D346" s="117" t="str">
        <f>+C346</f>
        <v>SC2 Dem</v>
      </c>
      <c r="E346" s="67"/>
      <c r="F346" s="67"/>
      <c r="G346" s="146" t="s">
        <v>132</v>
      </c>
    </row>
    <row r="347" spans="1:10" x14ac:dyDescent="0.6">
      <c r="A347" s="62"/>
      <c r="C347" s="75" t="s">
        <v>170</v>
      </c>
      <c r="D347" s="153" t="s">
        <v>171</v>
      </c>
      <c r="E347" s="67"/>
      <c r="F347" s="67"/>
      <c r="G347" s="88"/>
    </row>
    <row r="348" spans="1:10" x14ac:dyDescent="0.6">
      <c r="A348" s="62"/>
      <c r="B348" s="69" t="s">
        <v>64</v>
      </c>
      <c r="C348" s="22">
        <f>ROUND(+C305/$D$318,3)</f>
        <v>1.0109999999999999</v>
      </c>
      <c r="D348" s="154">
        <f>C294-C305</f>
        <v>-9.2349061628379587</v>
      </c>
      <c r="F348" s="99"/>
      <c r="G348" s="124" t="s">
        <v>133</v>
      </c>
    </row>
    <row r="349" spans="1:10" x14ac:dyDescent="0.6">
      <c r="A349" s="62"/>
      <c r="B349" s="98"/>
      <c r="C349" s="27"/>
      <c r="D349" s="154"/>
      <c r="E349" s="25"/>
      <c r="F349" s="149"/>
      <c r="G349" s="88"/>
    </row>
    <row r="350" spans="1:10" x14ac:dyDescent="0.6">
      <c r="A350" s="62"/>
      <c r="B350" s="98"/>
      <c r="C350" s="27"/>
      <c r="D350" s="154"/>
      <c r="E350" s="25"/>
      <c r="F350" s="149"/>
      <c r="G350" s="88"/>
      <c r="H350" s="75"/>
      <c r="I350" s="75" t="str">
        <f t="shared" ref="I350:J350" si="53">I296</f>
        <v>&lt; 5 kW</v>
      </c>
      <c r="J350" s="75" t="str">
        <f t="shared" si="53"/>
        <v>&gt; 5 kW</v>
      </c>
    </row>
    <row r="351" spans="1:10" x14ac:dyDescent="0.6">
      <c r="A351" s="62"/>
      <c r="C351" s="27"/>
      <c r="D351" s="154"/>
      <c r="E351" s="23"/>
      <c r="F351" s="149"/>
      <c r="G351" s="88"/>
    </row>
    <row r="352" spans="1:10" x14ac:dyDescent="0.6">
      <c r="A352" s="62"/>
      <c r="B352" s="69" t="s">
        <v>70</v>
      </c>
      <c r="C352" s="22">
        <f>ROUND(+C309/$D$318,3)</f>
        <v>1.1220000000000001</v>
      </c>
      <c r="D352" s="154">
        <f>C298-C309</f>
        <v>-8.4456862668465362</v>
      </c>
      <c r="E352" s="25"/>
      <c r="F352" s="149"/>
      <c r="G352" s="150" t="s">
        <v>98</v>
      </c>
      <c r="H352" s="18"/>
      <c r="I352" s="18">
        <f t="shared" ref="I352:J353" si="54">I298</f>
        <v>1.5840000000000001</v>
      </c>
      <c r="J352" s="18">
        <f t="shared" si="54"/>
        <v>1.5840000000000001</v>
      </c>
    </row>
    <row r="353" spans="1:13" x14ac:dyDescent="0.6">
      <c r="A353" s="62"/>
      <c r="B353" s="98"/>
      <c r="C353" s="27"/>
      <c r="D353" s="155"/>
      <c r="E353" s="25"/>
      <c r="F353" s="149"/>
      <c r="G353" s="150" t="s">
        <v>104</v>
      </c>
      <c r="H353" s="18"/>
      <c r="I353" s="18">
        <f t="shared" si="54"/>
        <v>1.4870000000000001</v>
      </c>
      <c r="J353" s="18">
        <f t="shared" si="54"/>
        <v>1.4870000000000001</v>
      </c>
    </row>
    <row r="354" spans="1:13" x14ac:dyDescent="0.6">
      <c r="A354" s="62"/>
      <c r="B354" s="98"/>
      <c r="C354" s="27"/>
      <c r="D354" s="155"/>
      <c r="E354" s="25"/>
      <c r="F354" s="149"/>
      <c r="G354" s="150"/>
      <c r="H354" s="10"/>
      <c r="I354" s="108"/>
    </row>
    <row r="355" spans="1:13" x14ac:dyDescent="0.6">
      <c r="A355" s="62"/>
      <c r="C355" s="29"/>
      <c r="D355" s="155"/>
      <c r="E355" s="24"/>
      <c r="G355" s="151"/>
    </row>
    <row r="356" spans="1:13" x14ac:dyDescent="0.6">
      <c r="A356" s="62"/>
      <c r="B356" s="52" t="s">
        <v>151</v>
      </c>
      <c r="C356" s="22">
        <f>ROUND(+C313/$D$318,3)</f>
        <v>1.0820000000000001</v>
      </c>
      <c r="D356" s="155"/>
      <c r="E356" s="24"/>
      <c r="G356" s="150"/>
      <c r="H356" s="10"/>
      <c r="I356" s="108"/>
    </row>
    <row r="357" spans="1:13" x14ac:dyDescent="0.6">
      <c r="A357" s="62"/>
    </row>
    <row r="358" spans="1:13" x14ac:dyDescent="0.6">
      <c r="A358" s="62"/>
      <c r="C358" s="24"/>
      <c r="E358" s="24"/>
    </row>
    <row r="359" spans="1:13" x14ac:dyDescent="0.6">
      <c r="A359" s="94" t="s">
        <v>183</v>
      </c>
      <c r="B359" s="73" t="s">
        <v>184</v>
      </c>
    </row>
    <row r="360" spans="1:13" x14ac:dyDescent="0.6">
      <c r="A360" s="62"/>
      <c r="B360" s="73"/>
    </row>
    <row r="361" spans="1:13" x14ac:dyDescent="0.6">
      <c r="A361" s="62"/>
      <c r="C361" s="75" t="str">
        <f t="shared" ref="C361:H361" si="55">C6</f>
        <v>SC1</v>
      </c>
      <c r="D361" s="75" t="str">
        <f t="shared" si="55"/>
        <v>SC3</v>
      </c>
      <c r="E361" s="75" t="str">
        <f t="shared" si="55"/>
        <v>SC2 ND</v>
      </c>
      <c r="F361" s="75" t="str">
        <f t="shared" si="55"/>
        <v>SC4</v>
      </c>
      <c r="G361" s="75" t="str">
        <f t="shared" si="55"/>
        <v>SC6</v>
      </c>
      <c r="H361" s="75" t="str">
        <f t="shared" si="55"/>
        <v>SC2 Dem</v>
      </c>
      <c r="I361" s="75" t="str">
        <f>$I$24</f>
        <v>SC1 TOD</v>
      </c>
      <c r="J361" s="67"/>
    </row>
    <row r="362" spans="1:13" x14ac:dyDescent="0.6">
      <c r="A362" s="62"/>
      <c r="B362" s="52" t="s">
        <v>185</v>
      </c>
      <c r="L362" s="99"/>
      <c r="M362" s="99"/>
    </row>
    <row r="363" spans="1:13" x14ac:dyDescent="0.6">
      <c r="A363" s="62"/>
      <c r="B363" s="95" t="s">
        <v>69</v>
      </c>
      <c r="C363" s="21">
        <f>(C184*SUM(C49:C52)*E156+C185*SUM(C49:C52)*E157)/1000</f>
        <v>27467.49198477637</v>
      </c>
      <c r="D363" s="14">
        <f>+D181*SUM(D49:D52)/1000</f>
        <v>11.106742062139748</v>
      </c>
      <c r="E363" s="14">
        <f>+E181*SUM(E49:E52)/1000</f>
        <v>327.27028606221199</v>
      </c>
      <c r="F363" s="14">
        <f>+F181*SUM(F49:F52)/1000</f>
        <v>107.39949073407792</v>
      </c>
      <c r="G363" s="14">
        <f>+G181*SUM(G49:G52)/1000</f>
        <v>87.037034278222222</v>
      </c>
      <c r="H363" s="21">
        <v>9589.0790619009549</v>
      </c>
      <c r="I363" s="21">
        <f>+H181*SUM(C49:C52)/1000</f>
        <v>27467.491984776367</v>
      </c>
      <c r="J363" s="14"/>
      <c r="L363" s="99"/>
      <c r="M363" s="99"/>
    </row>
    <row r="364" spans="1:13" x14ac:dyDescent="0.6">
      <c r="A364" s="62"/>
      <c r="B364" s="95" t="s">
        <v>62</v>
      </c>
      <c r="C364" s="21">
        <f t="shared" ref="C364" si="56">+C188*SUM(C44:C48,C53:C55)/1000</f>
        <v>40251.484843748127</v>
      </c>
      <c r="D364" s="14">
        <f>+D188*SUM(D44:D48,D53:D55)/1000</f>
        <v>19.779132979941661</v>
      </c>
      <c r="E364" s="14">
        <f>+E188*SUM(E44:E48,E53:E55)/1000</f>
        <v>953.22707896981581</v>
      </c>
      <c r="F364" s="14">
        <f>+F188*SUM(F44:F48,F53:F55)/1000</f>
        <v>323.20886252647716</v>
      </c>
      <c r="G364" s="14">
        <f>+G188*SUM(G44:G48,G53:G55)/1000</f>
        <v>248.92071606858079</v>
      </c>
      <c r="H364" s="21">
        <v>19203.647806001376</v>
      </c>
      <c r="I364" s="21">
        <f>+H188*SUM(C44:C48,C53:C55)/1000</f>
        <v>40251.484843748127</v>
      </c>
      <c r="J364" s="14"/>
    </row>
    <row r="365" spans="1:13" x14ac:dyDescent="0.6">
      <c r="A365" s="62"/>
      <c r="B365" s="95" t="s">
        <v>36</v>
      </c>
      <c r="C365" s="156">
        <f>+C364+C363</f>
        <v>67718.976828524494</v>
      </c>
      <c r="D365" s="100">
        <f t="shared" ref="D365:I365" si="57">+D364+D363</f>
        <v>30.885875042081409</v>
      </c>
      <c r="E365" s="100">
        <f t="shared" si="57"/>
        <v>1280.4973650320278</v>
      </c>
      <c r="F365" s="100">
        <f t="shared" si="57"/>
        <v>430.60835326055508</v>
      </c>
      <c r="G365" s="14">
        <f t="shared" si="57"/>
        <v>335.95775034680298</v>
      </c>
      <c r="H365" s="14">
        <f t="shared" si="57"/>
        <v>28792.726867902333</v>
      </c>
      <c r="I365" s="100">
        <f t="shared" si="57"/>
        <v>67718.976828524494</v>
      </c>
      <c r="J365" s="14"/>
    </row>
    <row r="366" spans="1:13" x14ac:dyDescent="0.6">
      <c r="A366" s="62"/>
      <c r="B366" s="95"/>
    </row>
    <row r="367" spans="1:13" x14ac:dyDescent="0.6">
      <c r="A367" s="62"/>
      <c r="B367" s="52" t="s">
        <v>186</v>
      </c>
    </row>
    <row r="368" spans="1:13" x14ac:dyDescent="0.6">
      <c r="A368" s="62"/>
      <c r="B368" s="95" t="s">
        <v>69</v>
      </c>
      <c r="C368" s="6">
        <f t="shared" ref="C368:I368" si="58">+C363/C365</f>
        <v>0.40560996741472549</v>
      </c>
      <c r="D368" s="6">
        <f t="shared" si="58"/>
        <v>0.35960587313802916</v>
      </c>
      <c r="E368" s="6">
        <f t="shared" si="58"/>
        <v>0.25558060094409202</v>
      </c>
      <c r="F368" s="6">
        <f t="shared" si="58"/>
        <v>0.2494133936809442</v>
      </c>
      <c r="G368" s="6">
        <f t="shared" si="58"/>
        <v>0.25907136890985699</v>
      </c>
      <c r="H368" s="6">
        <f t="shared" si="58"/>
        <v>0.33303823934059906</v>
      </c>
      <c r="I368" s="6">
        <f t="shared" si="58"/>
        <v>0.40560996741472544</v>
      </c>
      <c r="J368" s="6"/>
    </row>
    <row r="369" spans="1:14" x14ac:dyDescent="0.6">
      <c r="A369" s="62"/>
      <c r="B369" s="95" t="s">
        <v>62</v>
      </c>
      <c r="C369" s="6">
        <f t="shared" ref="C369:I369" si="59">+C364/C365</f>
        <v>0.59439003258527456</v>
      </c>
      <c r="D369" s="6">
        <f t="shared" si="59"/>
        <v>0.64039412686197084</v>
      </c>
      <c r="E369" s="6">
        <f t="shared" si="59"/>
        <v>0.74441939905590804</v>
      </c>
      <c r="F369" s="6">
        <f t="shared" si="59"/>
        <v>0.75058660631905583</v>
      </c>
      <c r="G369" s="6">
        <f t="shared" si="59"/>
        <v>0.74092863109014306</v>
      </c>
      <c r="H369" s="6">
        <f t="shared" si="59"/>
        <v>0.66696176065940083</v>
      </c>
      <c r="I369" s="6">
        <f t="shared" si="59"/>
        <v>0.59439003258527456</v>
      </c>
      <c r="J369" s="6"/>
    </row>
    <row r="370" spans="1:14" x14ac:dyDescent="0.6">
      <c r="A370" s="62"/>
    </row>
    <row r="371" spans="1:14" x14ac:dyDescent="0.6">
      <c r="A371" s="62"/>
      <c r="B371" s="52" t="s">
        <v>187</v>
      </c>
    </row>
    <row r="372" spans="1:14" x14ac:dyDescent="0.6">
      <c r="A372" s="62"/>
      <c r="B372" s="95" t="s">
        <v>69</v>
      </c>
      <c r="C372" s="32">
        <f>+SUM(C363:H363)</f>
        <v>37589.38459981398</v>
      </c>
    </row>
    <row r="373" spans="1:14" x14ac:dyDescent="0.6">
      <c r="A373" s="62"/>
      <c r="B373" s="95" t="s">
        <v>62</v>
      </c>
      <c r="C373" s="32">
        <f>+SUM(C364:H364)</f>
        <v>61000.268440294327</v>
      </c>
    </row>
    <row r="374" spans="1:14" x14ac:dyDescent="0.6">
      <c r="A374" s="62"/>
      <c r="B374" s="95" t="s">
        <v>36</v>
      </c>
      <c r="C374" s="100">
        <f>+C373+C372</f>
        <v>98589.6530401083</v>
      </c>
    </row>
    <row r="375" spans="1:14" x14ac:dyDescent="0.6">
      <c r="A375" s="62"/>
    </row>
    <row r="376" spans="1:14" x14ac:dyDescent="0.6">
      <c r="A376" s="62"/>
      <c r="B376" s="52" t="s">
        <v>188</v>
      </c>
      <c r="D376" s="52" t="s">
        <v>189</v>
      </c>
      <c r="I376" s="263" t="s">
        <v>190</v>
      </c>
      <c r="J376" s="263"/>
    </row>
    <row r="377" spans="1:14" x14ac:dyDescent="0.6">
      <c r="A377" s="62"/>
      <c r="B377" s="95" t="s">
        <v>69</v>
      </c>
      <c r="C377" s="6">
        <f>+C372/C374</f>
        <v>0.38127109124242325</v>
      </c>
      <c r="E377" s="17">
        <f>+C372/SUMPRODUCT(L48:Q48,C81:H81)*1000</f>
        <v>80.495523377124911</v>
      </c>
      <c r="F377" s="52" t="s">
        <v>191</v>
      </c>
      <c r="I377" s="95" t="s">
        <v>69</v>
      </c>
      <c r="J377" s="33">
        <f>ROUND(E377/$D$223,4)</f>
        <v>0.93559999999999999</v>
      </c>
      <c r="K377" s="33"/>
    </row>
    <row r="378" spans="1:14" x14ac:dyDescent="0.6">
      <c r="A378" s="62"/>
      <c r="B378" s="95" t="s">
        <v>62</v>
      </c>
      <c r="C378" s="6">
        <f>+C373/C374</f>
        <v>0.6187289087575768</v>
      </c>
      <c r="E378" s="17">
        <f>+C373/SUMPRODUCT(L44:Q44,C81:H81)*1000</f>
        <v>89.845952485434282</v>
      </c>
      <c r="F378" s="52" t="s">
        <v>191</v>
      </c>
      <c r="I378" s="95" t="s">
        <v>62</v>
      </c>
      <c r="J378" s="33">
        <f>ROUND(E378/$D$223,4)</f>
        <v>1.0443</v>
      </c>
      <c r="K378" s="33"/>
    </row>
    <row r="379" spans="1:14" x14ac:dyDescent="0.6">
      <c r="A379" s="62"/>
    </row>
    <row r="380" spans="1:14" x14ac:dyDescent="0.6">
      <c r="A380" s="62"/>
      <c r="C380" s="24"/>
      <c r="E380" s="24"/>
    </row>
    <row r="381" spans="1:14" ht="13.75" thickBot="1" x14ac:dyDescent="0.75">
      <c r="A381" s="94" t="s">
        <v>192</v>
      </c>
      <c r="B381" s="61" t="s">
        <v>193</v>
      </c>
    </row>
    <row r="382" spans="1:14" x14ac:dyDescent="0.6">
      <c r="A382" s="62"/>
      <c r="B382" s="73"/>
      <c r="K382" s="137" t="s">
        <v>154</v>
      </c>
      <c r="L382" s="138"/>
    </row>
    <row r="383" spans="1:14" x14ac:dyDescent="0.6">
      <c r="A383" s="62"/>
      <c r="C383" s="75" t="str">
        <f t="shared" ref="C383:H383" si="60">C6</f>
        <v>SC1</v>
      </c>
      <c r="D383" s="75" t="str">
        <f t="shared" si="60"/>
        <v>SC3</v>
      </c>
      <c r="E383" s="75" t="str">
        <f t="shared" si="60"/>
        <v>SC2 ND</v>
      </c>
      <c r="F383" s="75" t="str">
        <f t="shared" si="60"/>
        <v>SC4</v>
      </c>
      <c r="G383" s="75" t="str">
        <f t="shared" si="60"/>
        <v>SC6</v>
      </c>
      <c r="H383" s="75" t="str">
        <f t="shared" si="60"/>
        <v>SC2 Dem</v>
      </c>
      <c r="I383" s="75" t="str">
        <f>I24</f>
        <v>SC1 TOD</v>
      </c>
      <c r="J383" s="67"/>
      <c r="K383" s="139"/>
      <c r="L383" s="157" t="s">
        <v>163</v>
      </c>
    </row>
    <row r="384" spans="1:14" x14ac:dyDescent="0.6">
      <c r="A384" s="62"/>
      <c r="B384" s="52" t="s">
        <v>185</v>
      </c>
      <c r="K384" s="139" t="s">
        <v>69</v>
      </c>
      <c r="L384" s="141">
        <v>77444.378463187692</v>
      </c>
      <c r="N384" s="21">
        <v>8429.1397260492577</v>
      </c>
    </row>
    <row r="385" spans="1:14" ht="13.75" thickBot="1" x14ac:dyDescent="0.75">
      <c r="A385" s="62"/>
      <c r="B385" s="95" t="s">
        <v>69</v>
      </c>
      <c r="C385" s="21">
        <f>(C276*SUM(C49:C52)*E156+C277*SUM(C49:C52)*E157)/1000</f>
        <v>20937.816017828452</v>
      </c>
      <c r="D385" s="21">
        <f>+D273*SUM(D49:D52)/1000</f>
        <v>8.9638907268281791</v>
      </c>
      <c r="E385" s="21">
        <f>+E273*SUM(E49:E52)/1000</f>
        <v>287.46778387016798</v>
      </c>
      <c r="F385" s="21">
        <f>+F273*SUM(F49:F52)/1000</f>
        <v>107.39949073407792</v>
      </c>
      <c r="G385" s="21">
        <f>+G273*SUM(G49:G52)/1000</f>
        <v>87.037034278222222</v>
      </c>
      <c r="H385" s="21">
        <f>(C294*SUM(H49:H52)/1000)+($I298*($L$384/4*H144)/1000)+($J298*($L$389/4*H144)/1000)</f>
        <v>8186.9134135676213</v>
      </c>
      <c r="I385" s="21">
        <f>H273*SUM(C49:C52)/1000</f>
        <v>20937.816017828452</v>
      </c>
      <c r="J385" s="21"/>
      <c r="K385" s="142" t="s">
        <v>62</v>
      </c>
      <c r="L385" s="143">
        <v>162700.97933905452</v>
      </c>
      <c r="N385" s="21">
        <v>15486.148409442889</v>
      </c>
    </row>
    <row r="386" spans="1:14" ht="13.75" thickBot="1" x14ac:dyDescent="0.75">
      <c r="A386" s="62"/>
      <c r="B386" s="95" t="s">
        <v>62</v>
      </c>
      <c r="C386" s="21">
        <f t="shared" ref="C386" si="61">+C280*SUM(C44:C48,C53:C55)/1000</f>
        <v>31797.994855696041</v>
      </c>
      <c r="D386" s="21">
        <f>+D280*SUM(D44:D48,D53:D55)/1000</f>
        <v>16.367054315253231</v>
      </c>
      <c r="E386" s="21">
        <f>+E280*SUM(E44:E48,E53:E55)/1000</f>
        <v>849.23026116185997</v>
      </c>
      <c r="F386" s="21">
        <f>+F280*SUM(F44:F48,F53:F55)/1000</f>
        <v>323.20886252647716</v>
      </c>
      <c r="G386" s="21">
        <f>+G280*SUM(G44:G48,G53:G55)/1000</f>
        <v>248.92071606858079</v>
      </c>
      <c r="H386" s="21">
        <f>(C298*SUM(H44:H48,H53:H55)/1000)+($I299*($L$385/8*H145)/1000)+($J299*($L$390/8*H145)/1000)</f>
        <v>16399.316509334709</v>
      </c>
      <c r="I386" s="21">
        <f>+H280*SUM(C44:C48,C53:C55)/1000</f>
        <v>31797.994855696041</v>
      </c>
      <c r="J386" s="21"/>
      <c r="N386" s="21">
        <v>23915.288135492148</v>
      </c>
    </row>
    <row r="387" spans="1:14" x14ac:dyDescent="0.6">
      <c r="A387" s="62"/>
      <c r="B387" s="95" t="s">
        <v>36</v>
      </c>
      <c r="C387" s="100">
        <f t="shared" ref="C387:I387" si="62">+C386+C385</f>
        <v>52735.81087352449</v>
      </c>
      <c r="D387" s="100">
        <f t="shared" si="62"/>
        <v>25.33094504208141</v>
      </c>
      <c r="E387" s="100">
        <f t="shared" si="62"/>
        <v>1136.6980450320279</v>
      </c>
      <c r="F387" s="100">
        <f t="shared" si="62"/>
        <v>430.60835326055508</v>
      </c>
      <c r="G387" s="14">
        <f t="shared" si="62"/>
        <v>335.95775034680298</v>
      </c>
      <c r="H387" s="14">
        <f t="shared" si="62"/>
        <v>24586.22992290233</v>
      </c>
      <c r="I387" s="14">
        <f t="shared" si="62"/>
        <v>52735.81087352449</v>
      </c>
      <c r="J387" s="14"/>
      <c r="K387" s="137" t="s">
        <v>154</v>
      </c>
      <c r="L387" s="138"/>
    </row>
    <row r="388" spans="1:14" x14ac:dyDescent="0.6">
      <c r="A388" s="62"/>
      <c r="B388" s="95"/>
      <c r="K388" s="139"/>
      <c r="L388" s="157" t="s">
        <v>157</v>
      </c>
    </row>
    <row r="389" spans="1:14" x14ac:dyDescent="0.6">
      <c r="A389" s="62"/>
      <c r="B389" s="52" t="s">
        <v>186</v>
      </c>
      <c r="K389" s="139" t="s">
        <v>69</v>
      </c>
      <c r="L389" s="141">
        <v>354685.57153681235</v>
      </c>
    </row>
    <row r="390" spans="1:14" ht="13.75" thickBot="1" x14ac:dyDescent="0.75">
      <c r="A390" s="62"/>
      <c r="B390" s="95" t="s">
        <v>69</v>
      </c>
      <c r="C390" s="6">
        <f t="shared" ref="C390:I390" si="63">+C385/C387</f>
        <v>0.39703221911280184</v>
      </c>
      <c r="D390" s="6">
        <f t="shared" si="63"/>
        <v>0.35387115292922477</v>
      </c>
      <c r="E390" s="6">
        <f t="shared" si="63"/>
        <v>0.25289722730372799</v>
      </c>
      <c r="F390" s="6">
        <f t="shared" si="63"/>
        <v>0.2494133936809442</v>
      </c>
      <c r="G390" s="6">
        <f t="shared" si="63"/>
        <v>0.25907136890985699</v>
      </c>
      <c r="H390" s="6">
        <f t="shared" si="63"/>
        <v>0.33298775124287866</v>
      </c>
      <c r="I390" s="6">
        <f t="shared" si="63"/>
        <v>0.39703221911280184</v>
      </c>
      <c r="J390" s="6"/>
      <c r="K390" s="142" t="s">
        <v>62</v>
      </c>
      <c r="L390" s="143">
        <v>615972.07066094549</v>
      </c>
    </row>
    <row r="391" spans="1:14" x14ac:dyDescent="0.6">
      <c r="A391" s="62"/>
      <c r="B391" s="95" t="s">
        <v>62</v>
      </c>
      <c r="C391" s="6">
        <f t="shared" ref="C391:I391" si="64">+C386/C387</f>
        <v>0.60296778088719827</v>
      </c>
      <c r="D391" s="6">
        <f t="shared" si="64"/>
        <v>0.64612884707077523</v>
      </c>
      <c r="E391" s="6">
        <f t="shared" si="64"/>
        <v>0.74710277269627201</v>
      </c>
      <c r="F391" s="6">
        <f t="shared" si="64"/>
        <v>0.75058660631905583</v>
      </c>
      <c r="G391" s="6">
        <f t="shared" si="64"/>
        <v>0.74092863109014306</v>
      </c>
      <c r="H391" s="6">
        <f t="shared" si="64"/>
        <v>0.66701224875712128</v>
      </c>
      <c r="I391" s="6">
        <f t="shared" si="64"/>
        <v>0.60296778088719827</v>
      </c>
      <c r="J391" s="6"/>
    </row>
    <row r="392" spans="1:14" x14ac:dyDescent="0.6">
      <c r="A392" s="62"/>
    </row>
    <row r="393" spans="1:14" x14ac:dyDescent="0.6">
      <c r="A393" s="62"/>
      <c r="B393" s="52" t="s">
        <v>187</v>
      </c>
    </row>
    <row r="394" spans="1:14" x14ac:dyDescent="0.6">
      <c r="A394" s="62"/>
      <c r="B394" s="95" t="s">
        <v>69</v>
      </c>
      <c r="C394" s="32">
        <f>+SUM(C385:H385)</f>
        <v>29615.59763100537</v>
      </c>
    </row>
    <row r="395" spans="1:14" x14ac:dyDescent="0.6">
      <c r="A395" s="62"/>
      <c r="B395" s="95" t="s">
        <v>62</v>
      </c>
      <c r="C395" s="32">
        <f>+SUM(C386:H386)</f>
        <v>49635.038259102934</v>
      </c>
    </row>
    <row r="396" spans="1:14" x14ac:dyDescent="0.6">
      <c r="A396" s="62"/>
      <c r="B396" s="95" t="s">
        <v>36</v>
      </c>
      <c r="C396" s="100">
        <f>+C395+C394</f>
        <v>79250.6358901083</v>
      </c>
    </row>
    <row r="397" spans="1:14" x14ac:dyDescent="0.6">
      <c r="A397" s="62"/>
    </row>
    <row r="398" spans="1:14" x14ac:dyDescent="0.6">
      <c r="A398" s="62"/>
      <c r="B398" s="52" t="s">
        <v>188</v>
      </c>
      <c r="D398" s="52" t="s">
        <v>189</v>
      </c>
      <c r="I398" s="263" t="s">
        <v>190</v>
      </c>
      <c r="J398" s="263"/>
    </row>
    <row r="399" spans="1:14" x14ac:dyDescent="0.6">
      <c r="A399" s="62"/>
      <c r="B399" s="95" t="s">
        <v>69</v>
      </c>
      <c r="C399" s="6">
        <f>+C394/C396</f>
        <v>0.37369539434448695</v>
      </c>
      <c r="E399" s="17">
        <f>+C394/SUMPRODUCT(L48:Q48,C81:H81)*1000</f>
        <v>63.420113332898651</v>
      </c>
      <c r="F399" s="52" t="s">
        <v>191</v>
      </c>
      <c r="I399" s="95" t="s">
        <v>69</v>
      </c>
      <c r="J399" s="33">
        <f>ROUND(E399/$D$318,4)</f>
        <v>0.90429999999999999</v>
      </c>
      <c r="K399" s="34"/>
    </row>
    <row r="400" spans="1:14" x14ac:dyDescent="0.6">
      <c r="A400" s="62"/>
      <c r="B400" s="95" t="s">
        <v>62</v>
      </c>
      <c r="C400" s="6">
        <f>+C395/C396</f>
        <v>0.62630460565551316</v>
      </c>
      <c r="E400" s="17">
        <f>+C395/SUMPRODUCT(L44:Q44,C81:H81)*1000</f>
        <v>73.106355153255407</v>
      </c>
      <c r="F400" s="52" t="s">
        <v>191</v>
      </c>
      <c r="I400" s="95" t="s">
        <v>62</v>
      </c>
      <c r="J400" s="33">
        <f>ROUND(E400/$D$318,4)</f>
        <v>1.0424</v>
      </c>
      <c r="K400" s="34"/>
    </row>
    <row r="401" spans="1:10" x14ac:dyDescent="0.6">
      <c r="A401" s="62"/>
    </row>
    <row r="402" spans="1:10" x14ac:dyDescent="0.6">
      <c r="C402" s="100"/>
      <c r="D402" s="100"/>
      <c r="E402" s="100"/>
      <c r="F402" s="100"/>
      <c r="G402" s="100"/>
      <c r="H402" s="100"/>
      <c r="I402" s="100"/>
      <c r="J402" s="100"/>
    </row>
    <row r="403" spans="1:10" x14ac:dyDescent="0.6">
      <c r="A403" s="94" t="s">
        <v>194</v>
      </c>
      <c r="B403" s="73" t="s">
        <v>195</v>
      </c>
    </row>
    <row r="404" spans="1:10" x14ac:dyDescent="0.6">
      <c r="A404" s="94"/>
    </row>
    <row r="405" spans="1:10" x14ac:dyDescent="0.6">
      <c r="A405" s="94"/>
      <c r="E405" s="87"/>
      <c r="F405" s="73" t="s">
        <v>196</v>
      </c>
      <c r="I405" s="61" t="s">
        <v>197</v>
      </c>
    </row>
    <row r="406" spans="1:10" x14ac:dyDescent="0.6">
      <c r="B406" s="61" t="s">
        <v>198</v>
      </c>
      <c r="E406" s="87"/>
      <c r="F406" s="73" t="s">
        <v>199</v>
      </c>
      <c r="I406" s="61" t="s">
        <v>200</v>
      </c>
    </row>
    <row r="407" spans="1:10" x14ac:dyDescent="0.6">
      <c r="A407" s="62"/>
      <c r="B407" s="60" t="s">
        <v>61</v>
      </c>
      <c r="C407" s="77"/>
      <c r="D407" s="117" t="s">
        <v>201</v>
      </c>
      <c r="E407" s="158"/>
      <c r="F407" s="60" t="s">
        <v>61</v>
      </c>
      <c r="I407" s="159" t="s">
        <v>202</v>
      </c>
    </row>
    <row r="408" spans="1:10" x14ac:dyDescent="0.6">
      <c r="A408" s="62"/>
      <c r="C408" s="75" t="s">
        <v>49</v>
      </c>
      <c r="D408" s="75" t="s">
        <v>203</v>
      </c>
      <c r="E408" s="160" t="s">
        <v>50</v>
      </c>
      <c r="F408" s="75" t="s">
        <v>49</v>
      </c>
      <c r="G408" s="75" t="s">
        <v>50</v>
      </c>
      <c r="I408" s="75" t="s">
        <v>49</v>
      </c>
      <c r="J408" s="75" t="s">
        <v>50</v>
      </c>
    </row>
    <row r="409" spans="1:10" x14ac:dyDescent="0.6">
      <c r="A409" s="62"/>
      <c r="B409" s="69" t="s">
        <v>13</v>
      </c>
      <c r="C409" s="91">
        <v>72.3</v>
      </c>
      <c r="D409" s="161">
        <v>0.81989999999999996</v>
      </c>
      <c r="E409" s="162">
        <f>ROUND(C409*D409,2)</f>
        <v>59.28</v>
      </c>
      <c r="F409" s="6">
        <v>0.92</v>
      </c>
      <c r="G409" s="6">
        <v>0.95</v>
      </c>
      <c r="I409" s="91">
        <f t="shared" ref="I409:I420" si="65">ROUND(C409*F409,2)</f>
        <v>66.52</v>
      </c>
      <c r="J409" s="91">
        <f t="shared" ref="J409:J420" si="66">ROUND(E409*G409,2)</f>
        <v>56.32</v>
      </c>
    </row>
    <row r="410" spans="1:10" x14ac:dyDescent="0.6">
      <c r="A410" s="62"/>
      <c r="B410" s="69" t="s">
        <v>14</v>
      </c>
      <c r="C410" s="91">
        <v>68.5</v>
      </c>
      <c r="D410" s="161">
        <f>D409</f>
        <v>0.81989999999999996</v>
      </c>
      <c r="E410" s="162">
        <f>ROUND(C410*D410,2)</f>
        <v>56.16</v>
      </c>
      <c r="F410" s="35">
        <v>0.92</v>
      </c>
      <c r="G410" s="35">
        <v>0.95</v>
      </c>
      <c r="I410" s="91">
        <f t="shared" si="65"/>
        <v>63.02</v>
      </c>
      <c r="J410" s="91">
        <f t="shared" si="66"/>
        <v>53.35</v>
      </c>
    </row>
    <row r="411" spans="1:10" x14ac:dyDescent="0.6">
      <c r="A411" s="62"/>
      <c r="B411" s="69" t="s">
        <v>15</v>
      </c>
      <c r="C411" s="91">
        <v>48.3</v>
      </c>
      <c r="D411" s="161">
        <f>D409</f>
        <v>0.81989999999999996</v>
      </c>
      <c r="E411" s="162">
        <f t="shared" ref="E411:E420" si="67">ROUND(C411*D411,2)</f>
        <v>39.6</v>
      </c>
      <c r="F411" s="6">
        <v>0.92</v>
      </c>
      <c r="G411" s="35">
        <v>0.95</v>
      </c>
      <c r="I411" s="91">
        <f t="shared" si="65"/>
        <v>44.44</v>
      </c>
      <c r="J411" s="91">
        <f t="shared" si="66"/>
        <v>37.619999999999997</v>
      </c>
    </row>
    <row r="412" spans="1:10" x14ac:dyDescent="0.6">
      <c r="A412" s="62"/>
      <c r="B412" s="69" t="s">
        <v>16</v>
      </c>
      <c r="C412" s="91">
        <v>44.25</v>
      </c>
      <c r="D412" s="161">
        <f>D409</f>
        <v>0.81989999999999996</v>
      </c>
      <c r="E412" s="162">
        <f t="shared" si="67"/>
        <v>36.28</v>
      </c>
      <c r="F412" s="35">
        <v>0.92</v>
      </c>
      <c r="G412" s="35">
        <v>0.95</v>
      </c>
      <c r="I412" s="91">
        <f t="shared" si="65"/>
        <v>40.71</v>
      </c>
      <c r="J412" s="91">
        <f t="shared" si="66"/>
        <v>34.47</v>
      </c>
    </row>
    <row r="413" spans="1:10" x14ac:dyDescent="0.6">
      <c r="A413" s="62"/>
      <c r="B413" s="69" t="s">
        <v>17</v>
      </c>
      <c r="C413" s="91">
        <v>45.85</v>
      </c>
      <c r="D413" s="161">
        <f>D409</f>
        <v>0.81989999999999996</v>
      </c>
      <c r="E413" s="162">
        <f t="shared" si="67"/>
        <v>37.590000000000003</v>
      </c>
      <c r="F413" s="6">
        <v>0.92</v>
      </c>
      <c r="G413" s="35">
        <v>0.95</v>
      </c>
      <c r="I413" s="91">
        <f t="shared" si="65"/>
        <v>42.18</v>
      </c>
      <c r="J413" s="91">
        <f t="shared" si="66"/>
        <v>35.71</v>
      </c>
    </row>
    <row r="414" spans="1:10" x14ac:dyDescent="0.6">
      <c r="A414" s="62"/>
      <c r="B414" s="69" t="s">
        <v>18</v>
      </c>
      <c r="C414" s="91">
        <v>43.85</v>
      </c>
      <c r="D414" s="161">
        <v>0.63880000000000003</v>
      </c>
      <c r="E414" s="162">
        <f t="shared" si="67"/>
        <v>28.01</v>
      </c>
      <c r="F414" s="6">
        <v>0.88</v>
      </c>
      <c r="G414" s="6">
        <v>0.93</v>
      </c>
      <c r="I414" s="91">
        <f t="shared" si="65"/>
        <v>38.590000000000003</v>
      </c>
      <c r="J414" s="91">
        <f t="shared" si="66"/>
        <v>26.05</v>
      </c>
    </row>
    <row r="415" spans="1:10" x14ac:dyDescent="0.6">
      <c r="A415" s="62"/>
      <c r="B415" s="69" t="s">
        <v>19</v>
      </c>
      <c r="C415" s="91">
        <v>61.15</v>
      </c>
      <c r="D415" s="161">
        <f>D414</f>
        <v>0.63880000000000003</v>
      </c>
      <c r="E415" s="162">
        <f t="shared" si="67"/>
        <v>39.06</v>
      </c>
      <c r="F415" s="35">
        <v>0.88</v>
      </c>
      <c r="G415" s="35">
        <v>0.93</v>
      </c>
      <c r="I415" s="91">
        <f t="shared" si="65"/>
        <v>53.81</v>
      </c>
      <c r="J415" s="91">
        <f t="shared" si="66"/>
        <v>36.33</v>
      </c>
    </row>
    <row r="416" spans="1:10" x14ac:dyDescent="0.6">
      <c r="A416" s="62"/>
      <c r="B416" s="69" t="s">
        <v>20</v>
      </c>
      <c r="C416" s="91">
        <v>54.7</v>
      </c>
      <c r="D416" s="161">
        <f>D414</f>
        <v>0.63880000000000003</v>
      </c>
      <c r="E416" s="162">
        <f t="shared" si="67"/>
        <v>34.94</v>
      </c>
      <c r="F416" s="35">
        <v>0.88</v>
      </c>
      <c r="G416" s="6">
        <v>0.93</v>
      </c>
      <c r="I416" s="91">
        <f t="shared" si="65"/>
        <v>48.14</v>
      </c>
      <c r="J416" s="91">
        <f t="shared" si="66"/>
        <v>32.49</v>
      </c>
    </row>
    <row r="417" spans="1:19" x14ac:dyDescent="0.6">
      <c r="A417" s="62"/>
      <c r="B417" s="69" t="s">
        <v>21</v>
      </c>
      <c r="C417" s="91">
        <v>43.4</v>
      </c>
      <c r="D417" s="161">
        <f>D414</f>
        <v>0.63880000000000003</v>
      </c>
      <c r="E417" s="162">
        <f t="shared" si="67"/>
        <v>27.72</v>
      </c>
      <c r="F417" s="35">
        <v>0.88</v>
      </c>
      <c r="G417" s="35">
        <v>0.93</v>
      </c>
      <c r="I417" s="91">
        <f t="shared" si="65"/>
        <v>38.19</v>
      </c>
      <c r="J417" s="91">
        <f t="shared" si="66"/>
        <v>25.78</v>
      </c>
    </row>
    <row r="418" spans="1:19" x14ac:dyDescent="0.6">
      <c r="A418" s="62"/>
      <c r="B418" s="69" t="s">
        <v>22</v>
      </c>
      <c r="C418" s="91">
        <v>38.950000000000003</v>
      </c>
      <c r="D418" s="161">
        <f>D409</f>
        <v>0.81989999999999996</v>
      </c>
      <c r="E418" s="162">
        <f t="shared" si="67"/>
        <v>31.94</v>
      </c>
      <c r="F418" s="35">
        <v>0.92</v>
      </c>
      <c r="G418" s="35">
        <v>0.95</v>
      </c>
      <c r="I418" s="91">
        <f t="shared" si="65"/>
        <v>35.83</v>
      </c>
      <c r="J418" s="91">
        <f t="shared" si="66"/>
        <v>30.34</v>
      </c>
    </row>
    <row r="419" spans="1:19" x14ac:dyDescent="0.6">
      <c r="A419" s="62"/>
      <c r="B419" s="69" t="s">
        <v>23</v>
      </c>
      <c r="C419" s="91">
        <v>42.4</v>
      </c>
      <c r="D419" s="161">
        <f>D409</f>
        <v>0.81989999999999996</v>
      </c>
      <c r="E419" s="162">
        <f t="shared" si="67"/>
        <v>34.76</v>
      </c>
      <c r="F419" s="35">
        <v>0.92</v>
      </c>
      <c r="G419" s="35">
        <v>0.95</v>
      </c>
      <c r="I419" s="91">
        <f t="shared" si="65"/>
        <v>39.01</v>
      </c>
      <c r="J419" s="91">
        <f t="shared" si="66"/>
        <v>33.020000000000003</v>
      </c>
    </row>
    <row r="420" spans="1:19" x14ac:dyDescent="0.6">
      <c r="A420" s="62"/>
      <c r="B420" s="69" t="s">
        <v>24</v>
      </c>
      <c r="C420" s="91">
        <v>54.5</v>
      </c>
      <c r="D420" s="161">
        <f>D409</f>
        <v>0.81989999999999996</v>
      </c>
      <c r="E420" s="162">
        <f t="shared" si="67"/>
        <v>44.68</v>
      </c>
      <c r="F420" s="35">
        <v>0.92</v>
      </c>
      <c r="G420" s="35">
        <v>0.95</v>
      </c>
      <c r="I420" s="91">
        <f t="shared" si="65"/>
        <v>50.14</v>
      </c>
      <c r="J420" s="91">
        <f t="shared" si="66"/>
        <v>42.45</v>
      </c>
    </row>
    <row r="421" spans="1:19" x14ac:dyDescent="0.6">
      <c r="A421" s="62"/>
      <c r="B421" s="69"/>
      <c r="C421" s="91"/>
      <c r="D421" s="91"/>
      <c r="E421" s="87"/>
      <c r="K421" s="6"/>
    </row>
    <row r="422" spans="1:19" x14ac:dyDescent="0.6">
      <c r="A422" s="62"/>
      <c r="B422" s="69"/>
      <c r="C422" s="91"/>
      <c r="D422" s="91"/>
      <c r="K422" s="6"/>
    </row>
    <row r="423" spans="1:19" x14ac:dyDescent="0.6">
      <c r="A423" s="62"/>
      <c r="B423" s="69"/>
      <c r="C423" s="91"/>
      <c r="D423" s="91"/>
      <c r="K423" s="6"/>
    </row>
    <row r="424" spans="1:19" x14ac:dyDescent="0.6">
      <c r="B424" s="73" t="s">
        <v>204</v>
      </c>
      <c r="F424" s="159" t="s">
        <v>205</v>
      </c>
    </row>
    <row r="425" spans="1:19" x14ac:dyDescent="0.6">
      <c r="B425" s="60" t="s">
        <v>61</v>
      </c>
      <c r="F425" s="61" t="str">
        <f>"system ("&amp;TEXT(D447*100,"0.0")&amp;"% PJM - "&amp;TEXT(E447*100,"0.0")&amp;"% NYISO)"</f>
        <v>system (90.0% PJM - 10.0% NYISO)</v>
      </c>
    </row>
    <row r="426" spans="1:19" x14ac:dyDescent="0.6">
      <c r="B426" s="60"/>
      <c r="F426" s="60" t="s">
        <v>61</v>
      </c>
    </row>
    <row r="427" spans="1:19" x14ac:dyDescent="0.6">
      <c r="C427" s="75" t="s">
        <v>49</v>
      </c>
      <c r="D427" s="75" t="s">
        <v>50</v>
      </c>
      <c r="G427" s="75" t="s">
        <v>49</v>
      </c>
      <c r="H427" s="75" t="s">
        <v>50</v>
      </c>
    </row>
    <row r="428" spans="1:19" x14ac:dyDescent="0.6">
      <c r="B428" s="69" t="s">
        <v>13</v>
      </c>
      <c r="C428" s="91">
        <v>121.65</v>
      </c>
      <c r="D428" s="91">
        <v>115.45</v>
      </c>
      <c r="F428" s="69" t="s">
        <v>13</v>
      </c>
      <c r="G428" s="91">
        <f t="shared" ref="G428:H439" si="68">ROUND($K$428*I409+$K$429*C428,2)</f>
        <v>72.03</v>
      </c>
      <c r="H428" s="91">
        <f t="shared" si="68"/>
        <v>62.23</v>
      </c>
      <c r="K428" s="163">
        <f>D447</f>
        <v>0.90009000900090008</v>
      </c>
      <c r="L428" s="52" t="s">
        <v>206</v>
      </c>
      <c r="Q428" s="91">
        <f>AVERAGE(G433:G436)</f>
        <v>45.717500000000001</v>
      </c>
      <c r="R428" s="91">
        <f>AVERAGE(H433:H436)</f>
        <v>31.0075</v>
      </c>
    </row>
    <row r="429" spans="1:19" x14ac:dyDescent="0.6">
      <c r="B429" s="69" t="s">
        <v>14</v>
      </c>
      <c r="C429" s="91">
        <v>121.2</v>
      </c>
      <c r="D429" s="91">
        <v>115.2</v>
      </c>
      <c r="F429" s="69" t="s">
        <v>14</v>
      </c>
      <c r="G429" s="91">
        <f t="shared" si="68"/>
        <v>68.83</v>
      </c>
      <c r="H429" s="91">
        <f t="shared" si="68"/>
        <v>59.53</v>
      </c>
      <c r="K429" s="163">
        <f>E447</f>
        <v>9.9909990999099918E-2</v>
      </c>
      <c r="L429" s="52" t="s">
        <v>207</v>
      </c>
      <c r="Q429" s="91">
        <f>AVERAGE(G428:G432,G437:G439)</f>
        <v>50.094999999999999</v>
      </c>
      <c r="R429" s="91">
        <f>AVERAGE(H428:H432,H437:H439)</f>
        <v>42.78</v>
      </c>
    </row>
    <row r="430" spans="1:19" x14ac:dyDescent="0.6">
      <c r="B430" s="69" t="s">
        <v>15</v>
      </c>
      <c r="C430" s="91">
        <v>68.5</v>
      </c>
      <c r="D430" s="91">
        <v>67.3</v>
      </c>
      <c r="F430" s="69" t="s">
        <v>15</v>
      </c>
      <c r="G430" s="91">
        <f t="shared" si="68"/>
        <v>46.84</v>
      </c>
      <c r="H430" s="91">
        <f t="shared" si="68"/>
        <v>40.590000000000003</v>
      </c>
      <c r="Q430" s="52">
        <f>Q428/Q429</f>
        <v>0.91261602954386667</v>
      </c>
      <c r="R430" s="52">
        <f>R428/R429</f>
        <v>0.7248129967274427</v>
      </c>
    </row>
    <row r="431" spans="1:19" x14ac:dyDescent="0.6">
      <c r="B431" s="69" t="s">
        <v>16</v>
      </c>
      <c r="C431" s="91">
        <v>48.95</v>
      </c>
      <c r="D431" s="91">
        <v>36.6</v>
      </c>
      <c r="F431" s="69" t="s">
        <v>16</v>
      </c>
      <c r="G431" s="91">
        <f t="shared" si="68"/>
        <v>41.53</v>
      </c>
      <c r="H431" s="91">
        <f t="shared" si="68"/>
        <v>34.68</v>
      </c>
    </row>
    <row r="432" spans="1:19" x14ac:dyDescent="0.6">
      <c r="B432" s="69" t="s">
        <v>17</v>
      </c>
      <c r="C432" s="91">
        <v>47.35</v>
      </c>
      <c r="D432" s="91">
        <v>37.9</v>
      </c>
      <c r="F432" s="69" t="s">
        <v>17</v>
      </c>
      <c r="G432" s="91">
        <f t="shared" si="68"/>
        <v>42.7</v>
      </c>
      <c r="H432" s="91">
        <f t="shared" si="68"/>
        <v>35.93</v>
      </c>
      <c r="Q432" s="91">
        <f>AVERAGE(G428:G439)</f>
        <v>48.635833333333345</v>
      </c>
      <c r="R432" s="91">
        <f>AVERAGE(H428:H439)</f>
        <v>38.855833333333337</v>
      </c>
      <c r="S432" s="52">
        <f>Q432/R432</f>
        <v>1.2516996589958609</v>
      </c>
    </row>
    <row r="433" spans="1:19" x14ac:dyDescent="0.6">
      <c r="B433" s="69" t="s">
        <v>18</v>
      </c>
      <c r="C433" s="91">
        <v>48.2</v>
      </c>
      <c r="D433" s="91">
        <v>37.4</v>
      </c>
      <c r="F433" s="69" t="s">
        <v>18</v>
      </c>
      <c r="G433" s="91">
        <f t="shared" si="68"/>
        <v>39.549999999999997</v>
      </c>
      <c r="H433" s="91">
        <f t="shared" si="68"/>
        <v>27.18</v>
      </c>
    </row>
    <row r="434" spans="1:19" x14ac:dyDescent="0.6">
      <c r="B434" s="69" t="s">
        <v>19</v>
      </c>
      <c r="C434" s="91">
        <v>68.400000000000006</v>
      </c>
      <c r="D434" s="91">
        <v>44.1</v>
      </c>
      <c r="F434" s="69" t="s">
        <v>19</v>
      </c>
      <c r="G434" s="91">
        <f t="shared" si="68"/>
        <v>55.27</v>
      </c>
      <c r="H434" s="91">
        <f t="shared" si="68"/>
        <v>37.11</v>
      </c>
    </row>
    <row r="435" spans="1:19" x14ac:dyDescent="0.6">
      <c r="B435" s="69" t="s">
        <v>20</v>
      </c>
      <c r="C435" s="91">
        <v>58</v>
      </c>
      <c r="D435" s="91">
        <v>41.45</v>
      </c>
      <c r="F435" s="69" t="s">
        <v>20</v>
      </c>
      <c r="G435" s="91">
        <f t="shared" si="68"/>
        <v>49.13</v>
      </c>
      <c r="H435" s="91">
        <f t="shared" si="68"/>
        <v>33.39</v>
      </c>
    </row>
    <row r="436" spans="1:19" x14ac:dyDescent="0.6">
      <c r="B436" s="69" t="s">
        <v>21</v>
      </c>
      <c r="C436" s="91">
        <v>45.5</v>
      </c>
      <c r="D436" s="91">
        <v>31.45</v>
      </c>
      <c r="F436" s="69" t="s">
        <v>21</v>
      </c>
      <c r="G436" s="91">
        <f t="shared" si="68"/>
        <v>38.92</v>
      </c>
      <c r="H436" s="91">
        <f t="shared" si="68"/>
        <v>26.35</v>
      </c>
    </row>
    <row r="437" spans="1:19" x14ac:dyDescent="0.6">
      <c r="B437" s="69" t="s">
        <v>22</v>
      </c>
      <c r="C437" s="91">
        <v>41.15</v>
      </c>
      <c r="D437" s="91">
        <v>33.549999999999997</v>
      </c>
      <c r="F437" s="69" t="s">
        <v>22</v>
      </c>
      <c r="G437" s="91">
        <f t="shared" si="68"/>
        <v>36.36</v>
      </c>
      <c r="H437" s="91">
        <f t="shared" si="68"/>
        <v>30.66</v>
      </c>
    </row>
    <row r="438" spans="1:19" x14ac:dyDescent="0.6">
      <c r="B438" s="69" t="s">
        <v>23</v>
      </c>
      <c r="C438" s="91">
        <v>46.5</v>
      </c>
      <c r="D438" s="91">
        <v>38.4</v>
      </c>
      <c r="F438" s="69" t="s">
        <v>23</v>
      </c>
      <c r="G438" s="91">
        <f t="shared" si="68"/>
        <v>39.76</v>
      </c>
      <c r="H438" s="91">
        <f t="shared" si="68"/>
        <v>33.56</v>
      </c>
    </row>
    <row r="439" spans="1:19" x14ac:dyDescent="0.6">
      <c r="B439" s="69" t="s">
        <v>24</v>
      </c>
      <c r="C439" s="91">
        <v>75.900000000000006</v>
      </c>
      <c r="D439" s="91">
        <v>68.599999999999994</v>
      </c>
      <c r="F439" s="69" t="s">
        <v>24</v>
      </c>
      <c r="G439" s="91">
        <f t="shared" si="68"/>
        <v>52.71</v>
      </c>
      <c r="H439" s="91">
        <f t="shared" si="68"/>
        <v>45.06</v>
      </c>
    </row>
    <row r="443" spans="1:19" x14ac:dyDescent="0.6">
      <c r="A443" s="94" t="s">
        <v>208</v>
      </c>
      <c r="B443" s="61" t="s">
        <v>209</v>
      </c>
    </row>
    <row r="446" spans="1:19" x14ac:dyDescent="0.6">
      <c r="C446" s="95" t="s">
        <v>210</v>
      </c>
      <c r="D446" s="77" t="s">
        <v>206</v>
      </c>
      <c r="E446" s="77" t="s">
        <v>207</v>
      </c>
      <c r="F446" s="77" t="s">
        <v>211</v>
      </c>
    </row>
    <row r="447" spans="1:19" x14ac:dyDescent="0.6">
      <c r="C447" s="164" t="s">
        <v>212</v>
      </c>
      <c r="D447" s="36">
        <f>4/(4+M466)</f>
        <v>0.90009000900090008</v>
      </c>
      <c r="E447" s="36">
        <f>M466/(4+M466)</f>
        <v>9.9909990999099918E-2</v>
      </c>
      <c r="F447" s="165" t="s">
        <v>213</v>
      </c>
    </row>
    <row r="448" spans="1:19" x14ac:dyDescent="0.6">
      <c r="Q448" s="110" t="s">
        <v>214</v>
      </c>
      <c r="R448" s="52" t="s">
        <v>215</v>
      </c>
      <c r="S448" s="52" t="s">
        <v>216</v>
      </c>
    </row>
    <row r="449" spans="1:19" x14ac:dyDescent="0.6">
      <c r="B449" s="77" t="s">
        <v>69</v>
      </c>
      <c r="C449" s="166">
        <v>50.34</v>
      </c>
      <c r="D449" s="16">
        <f>C449</f>
        <v>50.34</v>
      </c>
      <c r="E449" s="16">
        <v>232.15510869565225</v>
      </c>
      <c r="F449" s="114">
        <f>ROUND(D449*D$447+E449*E$447,2)</f>
        <v>68.510000000000005</v>
      </c>
      <c r="H449" s="114"/>
      <c r="P449" s="52" t="s">
        <v>217</v>
      </c>
      <c r="Q449" s="52">
        <v>2.25</v>
      </c>
      <c r="R449" s="52">
        <f>Q449*1000</f>
        <v>2250</v>
      </c>
      <c r="S449" s="52">
        <v>31</v>
      </c>
    </row>
    <row r="450" spans="1:19" x14ac:dyDescent="0.6">
      <c r="B450" s="77"/>
      <c r="C450" s="77"/>
      <c r="D450" s="16"/>
      <c r="E450" s="16"/>
      <c r="F450" s="114"/>
      <c r="P450" s="52" t="s">
        <v>218</v>
      </c>
      <c r="Q450" s="52">
        <v>1.25</v>
      </c>
      <c r="R450" s="52">
        <f>Q450*1000</f>
        <v>1250</v>
      </c>
      <c r="S450" s="52">
        <v>30</v>
      </c>
    </row>
    <row r="451" spans="1:19" x14ac:dyDescent="0.6">
      <c r="B451" s="77" t="s">
        <v>62</v>
      </c>
      <c r="C451" s="16">
        <f>C449</f>
        <v>50.34</v>
      </c>
      <c r="D451" s="16">
        <f>C451</f>
        <v>50.34</v>
      </c>
      <c r="E451" s="37">
        <v>128.79593406593403</v>
      </c>
      <c r="F451" s="114">
        <f>ROUND(D451*D$447+E451*E$447,2)</f>
        <v>58.18</v>
      </c>
      <c r="I451" s="110"/>
      <c r="P451" s="52" t="s">
        <v>219</v>
      </c>
      <c r="Q451" s="52">
        <v>1.25</v>
      </c>
      <c r="R451" s="52">
        <f t="shared" ref="Q451:R456" si="69">Q451*1000</f>
        <v>1250</v>
      </c>
      <c r="S451" s="52">
        <v>31</v>
      </c>
    </row>
    <row r="452" spans="1:19" x14ac:dyDescent="0.6">
      <c r="O452" s="52" t="s">
        <v>220</v>
      </c>
      <c r="P452" s="52">
        <v>1.25</v>
      </c>
      <c r="Q452" s="52">
        <f t="shared" si="69"/>
        <v>1250</v>
      </c>
      <c r="R452" s="52">
        <v>30</v>
      </c>
    </row>
    <row r="453" spans="1:19" x14ac:dyDescent="0.6">
      <c r="O453" s="52" t="s">
        <v>221</v>
      </c>
      <c r="P453" s="52">
        <v>1.25</v>
      </c>
      <c r="Q453" s="52">
        <f t="shared" si="69"/>
        <v>1250</v>
      </c>
      <c r="R453" s="52">
        <v>28</v>
      </c>
    </row>
    <row r="454" spans="1:19" x14ac:dyDescent="0.6">
      <c r="O454" s="52" t="s">
        <v>222</v>
      </c>
      <c r="P454" s="52">
        <v>1.25</v>
      </c>
      <c r="Q454" s="52">
        <f t="shared" si="69"/>
        <v>1250</v>
      </c>
      <c r="R454" s="52">
        <v>31</v>
      </c>
    </row>
    <row r="455" spans="1:19" x14ac:dyDescent="0.6">
      <c r="A455" s="94" t="s">
        <v>223</v>
      </c>
      <c r="B455" s="61" t="s">
        <v>115</v>
      </c>
      <c r="O455" s="52" t="s">
        <v>224</v>
      </c>
      <c r="P455" s="52">
        <v>1.25</v>
      </c>
      <c r="Q455" s="52">
        <f t="shared" si="69"/>
        <v>1250</v>
      </c>
      <c r="R455" s="52">
        <v>30</v>
      </c>
    </row>
    <row r="456" spans="1:19" x14ac:dyDescent="0.6">
      <c r="O456" s="52" t="s">
        <v>17</v>
      </c>
      <c r="P456" s="52">
        <v>2</v>
      </c>
      <c r="Q456" s="52">
        <f t="shared" si="69"/>
        <v>2000</v>
      </c>
      <c r="R456" s="52">
        <v>31</v>
      </c>
    </row>
    <row r="457" spans="1:19" x14ac:dyDescent="0.6">
      <c r="P457" s="52">
        <f>SUM(P449:P456)</f>
        <v>7</v>
      </c>
      <c r="Q457" s="52">
        <f>SUM(Q449:Q456)</f>
        <v>7004.75</v>
      </c>
      <c r="R457" s="52">
        <f>SUM(R449:R456)</f>
        <v>4900</v>
      </c>
      <c r="S457" s="52">
        <f>Q457/R457</f>
        <v>1.4295408163265306</v>
      </c>
    </row>
    <row r="458" spans="1:19" x14ac:dyDescent="0.6">
      <c r="C458" s="77" t="s">
        <v>225</v>
      </c>
      <c r="D458" s="77" t="s">
        <v>226</v>
      </c>
      <c r="E458" s="77" t="s">
        <v>227</v>
      </c>
      <c r="F458" s="77" t="s">
        <v>206</v>
      </c>
      <c r="G458" s="77" t="s">
        <v>207</v>
      </c>
      <c r="H458" s="77" t="s">
        <v>211</v>
      </c>
    </row>
    <row r="459" spans="1:19" x14ac:dyDescent="0.6">
      <c r="C459" s="165" t="s">
        <v>228</v>
      </c>
      <c r="D459" s="165" t="s">
        <v>228</v>
      </c>
      <c r="E459" s="165" t="s">
        <v>229</v>
      </c>
      <c r="F459" s="36">
        <f>D447</f>
        <v>0.90009000900090008</v>
      </c>
      <c r="G459" s="36">
        <f>E447</f>
        <v>9.9909990999099918E-2</v>
      </c>
      <c r="H459" s="165" t="s">
        <v>213</v>
      </c>
    </row>
    <row r="461" spans="1:19" x14ac:dyDescent="0.6">
      <c r="B461" s="77"/>
      <c r="C461" s="38">
        <v>2</v>
      </c>
      <c r="D461" s="38">
        <v>2.3199999999999998</v>
      </c>
      <c r="E461" s="38">
        <v>17.22</v>
      </c>
      <c r="F461" s="38">
        <f>C461+E461</f>
        <v>19.22</v>
      </c>
      <c r="G461" s="38">
        <f>E461+D461</f>
        <v>19.54</v>
      </c>
      <c r="H461" s="38">
        <f>ROUND(F461*F$459+G461*G$459,2)</f>
        <v>19.25</v>
      </c>
    </row>
    <row r="462" spans="1:19" x14ac:dyDescent="0.6">
      <c r="B462" s="77"/>
      <c r="C462" s="38"/>
      <c r="D462" s="38"/>
      <c r="E462" s="38"/>
    </row>
    <row r="463" spans="1:19" ht="13.75" thickBot="1" x14ac:dyDescent="0.75">
      <c r="A463" s="73" t="s">
        <v>230</v>
      </c>
      <c r="E463" s="12"/>
    </row>
    <row r="464" spans="1:19" x14ac:dyDescent="0.6">
      <c r="A464" s="62"/>
      <c r="B464" s="77" t="s">
        <v>231</v>
      </c>
      <c r="C464" s="114">
        <f>F449</f>
        <v>68.510000000000005</v>
      </c>
      <c r="D464" s="108" t="s">
        <v>232</v>
      </c>
      <c r="L464" s="167" t="s">
        <v>233</v>
      </c>
      <c r="M464" s="168">
        <v>42.26</v>
      </c>
      <c r="N464" s="138"/>
    </row>
    <row r="465" spans="1:19" x14ac:dyDescent="0.6">
      <c r="A465" s="62"/>
      <c r="B465" s="77"/>
      <c r="C465" s="114">
        <f>+F451</f>
        <v>58.18</v>
      </c>
      <c r="D465" s="108" t="s">
        <v>234</v>
      </c>
      <c r="L465" s="169" t="s">
        <v>235</v>
      </c>
      <c r="M465" s="170">
        <v>95.142499999999998</v>
      </c>
      <c r="N465" s="140"/>
      <c r="S465" s="170">
        <v>95.142499999999998</v>
      </c>
    </row>
    <row r="466" spans="1:19" x14ac:dyDescent="0.6">
      <c r="A466" s="62"/>
      <c r="B466" s="77" t="s">
        <v>236</v>
      </c>
      <c r="C466" s="100">
        <f>+C147</f>
        <v>52405</v>
      </c>
      <c r="D466" s="108" t="s">
        <v>96</v>
      </c>
      <c r="E466" s="14"/>
      <c r="L466" s="169" t="s">
        <v>237</v>
      </c>
      <c r="M466" s="52">
        <f>ROUND(M464/M465,3)</f>
        <v>0.44400000000000001</v>
      </c>
      <c r="N466" s="140"/>
    </row>
    <row r="467" spans="1:19" x14ac:dyDescent="0.6">
      <c r="A467" s="62"/>
      <c r="B467" s="77" t="s">
        <v>238</v>
      </c>
      <c r="C467" s="39">
        <f>+H144</f>
        <v>4</v>
      </c>
      <c r="D467" s="52" t="s">
        <v>239</v>
      </c>
      <c r="E467" s="14"/>
      <c r="L467" s="139"/>
      <c r="N467" s="140"/>
    </row>
    <row r="468" spans="1:19" x14ac:dyDescent="0.6">
      <c r="A468" s="62"/>
      <c r="B468" s="77"/>
      <c r="C468" s="39">
        <f>+H145</f>
        <v>8</v>
      </c>
      <c r="D468" s="52" t="s">
        <v>240</v>
      </c>
      <c r="E468" s="14"/>
      <c r="L468" s="169" t="s">
        <v>241</v>
      </c>
      <c r="M468" s="99">
        <f>D223-D318</f>
        <v>15.905027743146505</v>
      </c>
      <c r="N468" s="140" t="s">
        <v>242</v>
      </c>
    </row>
    <row r="469" spans="1:19" x14ac:dyDescent="0.6">
      <c r="A469" s="62"/>
      <c r="B469" s="77" t="s">
        <v>243</v>
      </c>
      <c r="C469" s="99">
        <f>+D161</f>
        <v>19.25</v>
      </c>
      <c r="D469" s="110" t="s">
        <v>117</v>
      </c>
      <c r="L469" s="169" t="s">
        <v>244</v>
      </c>
      <c r="M469" s="171">
        <f>ROUND(M466/(4+M466)*M468,2)</f>
        <v>1.59</v>
      </c>
      <c r="N469" s="140" t="s">
        <v>242</v>
      </c>
    </row>
    <row r="470" spans="1:19" ht="13.75" thickBot="1" x14ac:dyDescent="0.75">
      <c r="A470" s="62"/>
      <c r="B470" s="77" t="s">
        <v>245</v>
      </c>
      <c r="C470" s="110" t="s">
        <v>404</v>
      </c>
      <c r="L470" s="172" t="s">
        <v>246</v>
      </c>
      <c r="M470" s="173">
        <f>M468-M469</f>
        <v>14.315027743146505</v>
      </c>
      <c r="N470" s="174" t="s">
        <v>242</v>
      </c>
    </row>
    <row r="471" spans="1:19" x14ac:dyDescent="0.6">
      <c r="A471" s="62"/>
      <c r="B471" s="77"/>
      <c r="C471" s="110" t="s">
        <v>405</v>
      </c>
      <c r="L471" s="175"/>
      <c r="M471" s="170"/>
    </row>
    <row r="472" spans="1:19" x14ac:dyDescent="0.6">
      <c r="A472" s="62"/>
      <c r="B472" s="77" t="s">
        <v>247</v>
      </c>
      <c r="C472" s="110" t="str">
        <f>"Forecasted " &amp;M1-1 &amp;" energy use by class, PJM on/off % from " &amp;M1-2 &amp;" class load profiles,"</f>
        <v>Forecasted 2023 energy use by class, PJM on/off % from 2022 class load profiles,</v>
      </c>
    </row>
    <row r="473" spans="1:19" x14ac:dyDescent="0.6">
      <c r="A473" s="62"/>
      <c r="B473" s="77"/>
      <c r="C473" s="110" t="str">
        <f>"RECO billing on/off % from " &amp;TEXT(DATE(M1-2,6,1),"m/yy") &amp;" to 5/" &amp;TEXT(DATE(M1-1,5,1),"yy") &amp;" actual data"</f>
        <v>RECO billing on/off % from 6/22 to 5/23 actual data</v>
      </c>
    </row>
    <row r="474" spans="1:19" x14ac:dyDescent="0.6">
      <c r="A474" s="62"/>
      <c r="B474" s="77" t="s">
        <v>248</v>
      </c>
      <c r="C474" s="110" t="str">
        <f>"Class totals for " &amp;M1-1</f>
        <v>Class totals for 2023</v>
      </c>
    </row>
    <row r="475" spans="1:19" x14ac:dyDescent="0.6">
      <c r="A475" s="62"/>
      <c r="B475" s="77" t="s">
        <v>249</v>
      </c>
      <c r="C475" s="52" t="s">
        <v>250</v>
      </c>
    </row>
    <row r="476" spans="1:19" x14ac:dyDescent="0.6">
      <c r="A476" s="62"/>
      <c r="B476" s="77" t="s">
        <v>251</v>
      </c>
      <c r="C476" s="52" t="s">
        <v>252</v>
      </c>
      <c r="L476" s="6"/>
    </row>
    <row r="477" spans="1:19" x14ac:dyDescent="0.6">
      <c r="C477" s="52" t="s">
        <v>253</v>
      </c>
    </row>
    <row r="478" spans="1:19" x14ac:dyDescent="0.6">
      <c r="B478" s="79" t="s">
        <v>254</v>
      </c>
      <c r="C478" s="52" t="s">
        <v>255</v>
      </c>
    </row>
    <row r="479" spans="1:19" x14ac:dyDescent="0.6">
      <c r="A479" s="62"/>
      <c r="C479" s="24"/>
      <c r="E479" s="24"/>
    </row>
    <row r="481" spans="1:9" x14ac:dyDescent="0.6">
      <c r="A481" s="176" t="s">
        <v>256</v>
      </c>
      <c r="B481" s="177"/>
      <c r="C481" s="177"/>
      <c r="D481" s="177"/>
    </row>
    <row r="482" spans="1:9" x14ac:dyDescent="0.6">
      <c r="A482" s="94" t="s">
        <v>257</v>
      </c>
      <c r="B482" s="61" t="s">
        <v>258</v>
      </c>
    </row>
    <row r="483" spans="1:9" x14ac:dyDescent="0.6">
      <c r="D483" s="178"/>
    </row>
    <row r="484" spans="1:9" x14ac:dyDescent="0.6">
      <c r="B484" s="50" t="s">
        <v>259</v>
      </c>
      <c r="D484" s="178">
        <f>D223</f>
        <v>86.035543459954738</v>
      </c>
      <c r="E484" s="110" t="s">
        <v>117</v>
      </c>
      <c r="F484" s="110" t="s">
        <v>260</v>
      </c>
    </row>
    <row r="485" spans="1:9" x14ac:dyDescent="0.6">
      <c r="B485" s="50" t="s">
        <v>261</v>
      </c>
      <c r="D485" s="179">
        <f>-M470</f>
        <v>-14.315027743146505</v>
      </c>
      <c r="E485" s="110" t="s">
        <v>117</v>
      </c>
      <c r="F485" s="52" t="s">
        <v>262</v>
      </c>
    </row>
    <row r="486" spans="1:9" x14ac:dyDescent="0.6">
      <c r="B486" s="50" t="s">
        <v>263</v>
      </c>
      <c r="D486" s="99">
        <f>D484+D485</f>
        <v>71.720515716808237</v>
      </c>
      <c r="E486" s="110" t="s">
        <v>117</v>
      </c>
      <c r="F486" s="52" t="str">
        <f>"** RECO average transmission rate of "&amp;TEXT(D223-D318,"0.00")&amp;" minus"</f>
        <v>** RECO average transmission rate of 15.91 minus</v>
      </c>
    </row>
    <row r="487" spans="1:9" x14ac:dyDescent="0.6">
      <c r="F487" s="52" t="s">
        <v>264</v>
      </c>
    </row>
    <row r="488" spans="1:9" x14ac:dyDescent="0.6">
      <c r="D488" s="180"/>
      <c r="F488" s="52" t="str">
        <f>"average rate "&amp;TEXT(M466,"0.000")&amp;"/"&amp;TEXT(4+M466,"0.000")&amp;" *$"&amp;TEXT(M468,"0.00")&amp;" per MWh)."</f>
        <v>average rate 0.444/4.444 *$15.91 per MWh).</v>
      </c>
      <c r="I488" s="181"/>
    </row>
    <row r="489" spans="1:9" x14ac:dyDescent="0.6">
      <c r="B489" s="116" t="s">
        <v>265</v>
      </c>
    </row>
    <row r="491" spans="1:9" x14ac:dyDescent="0.6">
      <c r="C491" s="67" t="str">
        <f t="shared" ref="C491" si="70">C6</f>
        <v>SC1</v>
      </c>
      <c r="D491" s="67" t="str">
        <f>D6</f>
        <v>SC3</v>
      </c>
      <c r="E491" s="67" t="str">
        <f>E6</f>
        <v>SC2 ND</v>
      </c>
      <c r="F491" s="67" t="str">
        <f>F6</f>
        <v>SC4</v>
      </c>
      <c r="G491" s="67" t="str">
        <f>G6</f>
        <v>SC6</v>
      </c>
      <c r="H491" s="67" t="str">
        <f>H6</f>
        <v>SC2 Dem</v>
      </c>
      <c r="I491" s="67" t="str">
        <f>I24</f>
        <v>SC1 TOD</v>
      </c>
    </row>
    <row r="492" spans="1:9" x14ac:dyDescent="0.6">
      <c r="B492" s="182" t="s">
        <v>69</v>
      </c>
    </row>
    <row r="493" spans="1:9" x14ac:dyDescent="0.6">
      <c r="B493" s="79" t="s">
        <v>266</v>
      </c>
      <c r="C493" s="79">
        <f>ROUND(($D$486*C327)/10,3)</f>
        <v>7.0289999999999999</v>
      </c>
      <c r="E493" s="113">
        <f>ROUND(E327*$D$486/10,3)</f>
        <v>6.806</v>
      </c>
      <c r="F493" s="113">
        <f>ROUND(F327*$D$486/10,3)</f>
        <v>6.2539999999999996</v>
      </c>
      <c r="G493" s="113">
        <f>ROUND(G327*$D$486/10,3)</f>
        <v>6.24</v>
      </c>
      <c r="H493" s="113">
        <f>ROUND((C348*$D$486+D348)/10,3)</f>
        <v>6.327</v>
      </c>
      <c r="I493" s="113"/>
    </row>
    <row r="494" spans="1:9" x14ac:dyDescent="0.6">
      <c r="B494" s="79" t="s">
        <v>267</v>
      </c>
      <c r="D494" s="113">
        <f>ROUND(D328*$D$486/10,3)</f>
        <v>9.0510000000000002</v>
      </c>
      <c r="I494" s="113">
        <f>ROUND(H328*$D$486/10,3)</f>
        <v>10.041</v>
      </c>
    </row>
    <row r="495" spans="1:9" x14ac:dyDescent="0.6">
      <c r="B495" s="79" t="s">
        <v>268</v>
      </c>
      <c r="D495" s="113">
        <f>ROUND(D329*$D$486/10,3)</f>
        <v>5.63</v>
      </c>
      <c r="I495" s="113">
        <f>ROUND(H329*$D$486/10,3)</f>
        <v>5.6870000000000003</v>
      </c>
    </row>
    <row r="496" spans="1:9" x14ac:dyDescent="0.6">
      <c r="B496" s="77" t="s">
        <v>41</v>
      </c>
      <c r="C496" s="79">
        <f>ROUND(($D$486*C327+C332)/10,3)</f>
        <v>3.5059999999999998</v>
      </c>
      <c r="D496" s="113"/>
      <c r="I496" s="113"/>
    </row>
    <row r="497" spans="2:10" x14ac:dyDescent="0.6">
      <c r="B497" s="79" t="s">
        <v>42</v>
      </c>
      <c r="C497" s="52">
        <f>ROUND(($D$486*C327+C333)/10,3)</f>
        <v>9.6829999999999998</v>
      </c>
      <c r="D497" s="113"/>
      <c r="I497" s="113"/>
    </row>
    <row r="498" spans="2:10" x14ac:dyDescent="0.6">
      <c r="D498" s="113"/>
      <c r="I498" s="113"/>
    </row>
    <row r="500" spans="2:10" x14ac:dyDescent="0.6">
      <c r="B500" s="77" t="s">
        <v>269</v>
      </c>
      <c r="H500" s="101">
        <f>I352</f>
        <v>1.5840000000000001</v>
      </c>
      <c r="I500" s="101"/>
    </row>
    <row r="501" spans="2:10" x14ac:dyDescent="0.6">
      <c r="B501" s="77" t="s">
        <v>270</v>
      </c>
      <c r="H501" s="101">
        <f>J352</f>
        <v>1.5840000000000001</v>
      </c>
      <c r="I501" s="101"/>
    </row>
    <row r="503" spans="2:10" x14ac:dyDescent="0.6">
      <c r="B503" s="182" t="s">
        <v>62</v>
      </c>
    </row>
    <row r="504" spans="2:10" x14ac:dyDescent="0.6">
      <c r="B504" s="79" t="s">
        <v>266</v>
      </c>
      <c r="C504" s="113">
        <f>ROUND(C336*$D$486/10,3)</f>
        <v>8.2479999999999993</v>
      </c>
      <c r="E504" s="113">
        <f>ROUND(E336*$D$486/10,3)</f>
        <v>7.6959999999999997</v>
      </c>
      <c r="F504" s="113">
        <f>ROUND(F336*$D$486/10,3)</f>
        <v>7.2370000000000001</v>
      </c>
      <c r="G504" s="113">
        <f>ROUND(G336*$D$486/10,3)</f>
        <v>7.1509999999999998</v>
      </c>
      <c r="H504" s="113">
        <f>ROUND((C352*$D$486+D352)/10,3)</f>
        <v>7.202</v>
      </c>
    </row>
    <row r="505" spans="2:10" x14ac:dyDescent="0.6">
      <c r="B505" s="79" t="s">
        <v>267</v>
      </c>
      <c r="D505" s="113">
        <f>ROUND(D337*$D$486/10,3)</f>
        <v>10.034000000000001</v>
      </c>
      <c r="I505" s="113">
        <f>ROUND(H337*$D$486/10,3)</f>
        <v>12.25</v>
      </c>
    </row>
    <row r="506" spans="2:10" x14ac:dyDescent="0.6">
      <c r="B506" s="79" t="s">
        <v>268</v>
      </c>
      <c r="D506" s="113">
        <f>ROUND(D338*$D$486/10,3)</f>
        <v>7.0069999999999997</v>
      </c>
      <c r="I506" s="113">
        <f>ROUND(H338*$D$486/10,3)</f>
        <v>6.9640000000000004</v>
      </c>
    </row>
    <row r="508" spans="2:10" x14ac:dyDescent="0.6">
      <c r="B508" s="77" t="s">
        <v>269</v>
      </c>
      <c r="H508" s="101">
        <f>I353</f>
        <v>1.4870000000000001</v>
      </c>
      <c r="I508" s="101"/>
    </row>
    <row r="509" spans="2:10" x14ac:dyDescent="0.6">
      <c r="B509" s="77" t="s">
        <v>270</v>
      </c>
      <c r="H509" s="101">
        <f>J353</f>
        <v>1.4870000000000001</v>
      </c>
      <c r="I509" s="101"/>
    </row>
    <row r="510" spans="2:10" x14ac:dyDescent="0.6">
      <c r="B510" s="77"/>
      <c r="I510" s="101"/>
      <c r="J510" s="101"/>
    </row>
    <row r="511" spans="2:10" x14ac:dyDescent="0.6">
      <c r="B511" s="116" t="s">
        <v>271</v>
      </c>
      <c r="D511" s="52" t="s">
        <v>272</v>
      </c>
      <c r="E511" s="183">
        <v>6.6250000000000003E-2</v>
      </c>
      <c r="J511" s="101"/>
    </row>
    <row r="512" spans="2:10" x14ac:dyDescent="0.6">
      <c r="J512" s="101"/>
    </row>
    <row r="513" spans="2:9" x14ac:dyDescent="0.6">
      <c r="C513" s="67" t="s">
        <v>7</v>
      </c>
      <c r="D513" s="67" t="s">
        <v>8</v>
      </c>
      <c r="E513" s="67" t="s">
        <v>9</v>
      </c>
      <c r="F513" s="67" t="s">
        <v>10</v>
      </c>
      <c r="G513" s="67" t="s">
        <v>11</v>
      </c>
      <c r="H513" s="67" t="s">
        <v>12</v>
      </c>
      <c r="I513" s="67" t="str">
        <f>I24</f>
        <v>SC1 TOD</v>
      </c>
    </row>
    <row r="514" spans="2:9" x14ac:dyDescent="0.6">
      <c r="B514" s="182" t="s">
        <v>69</v>
      </c>
      <c r="I514" s="101"/>
    </row>
    <row r="515" spans="2:9" x14ac:dyDescent="0.6">
      <c r="B515" s="79" t="s">
        <v>266</v>
      </c>
      <c r="C515" s="79"/>
      <c r="E515" s="79">
        <f>ROUND(E493*(1+$E$511),3)</f>
        <v>7.2569999999999997</v>
      </c>
      <c r="F515" s="79">
        <f>ROUND(F493*(1+$E$511),3)</f>
        <v>6.6680000000000001</v>
      </c>
      <c r="G515" s="79">
        <f>ROUND(G493*(1+$E$511),3)</f>
        <v>6.6529999999999996</v>
      </c>
      <c r="H515" s="79">
        <f>ROUND(H493*(1+$E$511),3)</f>
        <v>6.7460000000000004</v>
      </c>
      <c r="I515" s="101"/>
    </row>
    <row r="516" spans="2:9" x14ac:dyDescent="0.6">
      <c r="B516" s="79" t="s">
        <v>267</v>
      </c>
      <c r="D516" s="79">
        <f>ROUND(D494*(1+$E$511),3)</f>
        <v>9.6509999999999998</v>
      </c>
      <c r="I516" s="184">
        <f>ROUND(I494*(1+$E$511),3)</f>
        <v>10.706</v>
      </c>
    </row>
    <row r="517" spans="2:9" x14ac:dyDescent="0.6">
      <c r="B517" s="79" t="s">
        <v>268</v>
      </c>
      <c r="D517" s="79">
        <f>ROUND(D495*(1+$E$511),3)</f>
        <v>6.0030000000000001</v>
      </c>
      <c r="I517" s="184">
        <f>ROUND(I495*(1+$E$511),3)</f>
        <v>6.0640000000000001</v>
      </c>
    </row>
    <row r="518" spans="2:9" x14ac:dyDescent="0.6">
      <c r="B518" s="77" t="s">
        <v>41</v>
      </c>
      <c r="C518" s="185">
        <f>ROUND(C496*(1+$E$511),3)</f>
        <v>3.738</v>
      </c>
      <c r="D518" s="113"/>
      <c r="I518" s="101"/>
    </row>
    <row r="519" spans="2:9" x14ac:dyDescent="0.6">
      <c r="B519" s="79" t="s">
        <v>42</v>
      </c>
      <c r="C519" s="185">
        <f>ROUND(C497*(1+$E$511),3)</f>
        <v>10.324</v>
      </c>
      <c r="D519" s="113"/>
      <c r="I519" s="101"/>
    </row>
    <row r="520" spans="2:9" x14ac:dyDescent="0.6">
      <c r="D520" s="113"/>
      <c r="I520" s="101"/>
    </row>
    <row r="521" spans="2:9" x14ac:dyDescent="0.6">
      <c r="I521" s="101"/>
    </row>
    <row r="522" spans="2:9" x14ac:dyDescent="0.6">
      <c r="B522" s="77" t="s">
        <v>269</v>
      </c>
      <c r="H522" s="186">
        <f>ROUND(H500*(1+$E$511),3)</f>
        <v>1.6890000000000001</v>
      </c>
      <c r="I522" s="101"/>
    </row>
    <row r="523" spans="2:9" x14ac:dyDescent="0.6">
      <c r="B523" s="77" t="s">
        <v>270</v>
      </c>
      <c r="H523" s="186">
        <f>ROUND(H501*(1+$E$511),3)</f>
        <v>1.6890000000000001</v>
      </c>
      <c r="I523" s="101"/>
    </row>
    <row r="524" spans="2:9" x14ac:dyDescent="0.6">
      <c r="B524" s="77"/>
      <c r="H524" s="186"/>
      <c r="I524" s="101"/>
    </row>
    <row r="525" spans="2:9" x14ac:dyDescent="0.6">
      <c r="B525" s="182" t="s">
        <v>62</v>
      </c>
      <c r="I525" s="101"/>
    </row>
    <row r="526" spans="2:9" x14ac:dyDescent="0.6">
      <c r="B526" s="79" t="s">
        <v>266</v>
      </c>
      <c r="C526" s="79">
        <f>ROUND(C504*(1+$E$511),3)</f>
        <v>8.7940000000000005</v>
      </c>
      <c r="E526" s="79">
        <f>ROUND(E504*(1+$E$511),3)</f>
        <v>8.2059999999999995</v>
      </c>
      <c r="F526" s="79">
        <f>ROUND(F504*(1+$E$511),3)</f>
        <v>7.7160000000000002</v>
      </c>
      <c r="G526" s="79">
        <f>ROUND(G504*(1+$E$511),3)</f>
        <v>7.625</v>
      </c>
      <c r="H526" s="79">
        <f>ROUND(H504*(1+$E$511),3)</f>
        <v>7.6790000000000003</v>
      </c>
      <c r="I526" s="101"/>
    </row>
    <row r="527" spans="2:9" x14ac:dyDescent="0.6">
      <c r="B527" s="79" t="s">
        <v>267</v>
      </c>
      <c r="D527" s="79">
        <f>ROUND(D505*(1+$E$511),3)</f>
        <v>10.699</v>
      </c>
      <c r="I527" s="184">
        <f>ROUND(I505*(1+$E$511),3)</f>
        <v>13.061999999999999</v>
      </c>
    </row>
    <row r="528" spans="2:9" x14ac:dyDescent="0.6">
      <c r="B528" s="79" t="s">
        <v>268</v>
      </c>
      <c r="D528" s="79">
        <f>ROUND(D506*(1+$E$511),3)</f>
        <v>7.4710000000000001</v>
      </c>
      <c r="I528" s="101">
        <f>ROUND(I506*(1+$E$511),3)</f>
        <v>7.4249999999999998</v>
      </c>
    </row>
    <row r="529" spans="1:10" x14ac:dyDescent="0.6">
      <c r="I529" s="101"/>
    </row>
    <row r="530" spans="1:10" x14ac:dyDescent="0.6">
      <c r="B530" s="77" t="s">
        <v>269</v>
      </c>
      <c r="H530" s="186">
        <f>ROUND(H508*(1+$E$511),3)</f>
        <v>1.5860000000000001</v>
      </c>
      <c r="I530" s="101"/>
    </row>
    <row r="531" spans="1:10" x14ac:dyDescent="0.6">
      <c r="B531" s="77" t="s">
        <v>270</v>
      </c>
      <c r="H531" s="186">
        <f>ROUND(H509*(1+$E$511),3)</f>
        <v>1.5860000000000001</v>
      </c>
      <c r="I531" s="101"/>
    </row>
    <row r="532" spans="1:10" x14ac:dyDescent="0.6">
      <c r="B532" s="77"/>
      <c r="I532" s="101"/>
      <c r="J532" s="101"/>
    </row>
    <row r="533" spans="1:10" x14ac:dyDescent="0.6">
      <c r="B533" s="77"/>
      <c r="I533" s="101"/>
      <c r="J533" s="101"/>
    </row>
    <row r="534" spans="1:10" x14ac:dyDescent="0.6">
      <c r="A534" s="94" t="s">
        <v>273</v>
      </c>
      <c r="B534" s="61" t="s">
        <v>274</v>
      </c>
      <c r="J534" s="101"/>
    </row>
    <row r="535" spans="1:10" x14ac:dyDescent="0.6">
      <c r="A535" s="94"/>
      <c r="B535" s="61"/>
      <c r="J535" s="101"/>
    </row>
    <row r="536" spans="1:10" x14ac:dyDescent="0.6">
      <c r="A536" s="94"/>
      <c r="B536" s="116" t="s">
        <v>275</v>
      </c>
      <c r="J536" s="101"/>
    </row>
    <row r="537" spans="1:10" x14ac:dyDescent="0.6">
      <c r="A537" s="94"/>
      <c r="B537" s="50"/>
      <c r="C537" s="67" t="str">
        <f t="shared" ref="C537" si="71">C491</f>
        <v>SC1</v>
      </c>
      <c r="D537" s="67" t="str">
        <f>D491</f>
        <v>SC3</v>
      </c>
      <c r="E537" s="67" t="str">
        <f>E491</f>
        <v>SC2 ND</v>
      </c>
      <c r="F537" s="67" t="str">
        <f>F491</f>
        <v>SC4</v>
      </c>
      <c r="G537" s="67" t="str">
        <f>G491</f>
        <v>SC6</v>
      </c>
      <c r="H537" s="67" t="str">
        <f>H491</f>
        <v>SC2 Dem</v>
      </c>
      <c r="I537" s="67" t="str">
        <f>I24</f>
        <v>SC1 TOD</v>
      </c>
    </row>
    <row r="538" spans="1:10" x14ac:dyDescent="0.6">
      <c r="A538" s="94"/>
      <c r="B538" s="50" t="s">
        <v>276</v>
      </c>
      <c r="C538" s="103">
        <v>1.421</v>
      </c>
      <c r="D538" s="103">
        <v>1.421</v>
      </c>
      <c r="E538" s="103">
        <v>0.52300000000000002</v>
      </c>
      <c r="F538" s="103">
        <v>1.147</v>
      </c>
      <c r="G538" s="103">
        <v>1.147</v>
      </c>
      <c r="H538" s="103">
        <v>0.52300000000000002</v>
      </c>
      <c r="I538" s="184">
        <f>C538</f>
        <v>1.421</v>
      </c>
    </row>
    <row r="539" spans="1:10" x14ac:dyDescent="0.6">
      <c r="A539" s="94"/>
      <c r="B539" s="50" t="s">
        <v>277</v>
      </c>
      <c r="H539" s="171">
        <v>1.1100000000000001</v>
      </c>
      <c r="I539" s="184"/>
    </row>
    <row r="540" spans="1:10" x14ac:dyDescent="0.6">
      <c r="B540" s="50" t="s">
        <v>278</v>
      </c>
      <c r="H540" s="171">
        <v>1.1100000000000001</v>
      </c>
      <c r="I540" s="101"/>
    </row>
    <row r="541" spans="1:10" x14ac:dyDescent="0.6">
      <c r="I541" s="101"/>
    </row>
    <row r="542" spans="1:10" x14ac:dyDescent="0.6">
      <c r="I542" s="101"/>
    </row>
    <row r="543" spans="1:10" x14ac:dyDescent="0.6">
      <c r="B543" s="116" t="s">
        <v>279</v>
      </c>
      <c r="I543" s="101"/>
    </row>
    <row r="544" spans="1:10" x14ac:dyDescent="0.6">
      <c r="I544" s="101"/>
    </row>
    <row r="545" spans="2:9" x14ac:dyDescent="0.6">
      <c r="I545" s="101"/>
    </row>
    <row r="546" spans="2:9" x14ac:dyDescent="0.6">
      <c r="B546" s="182" t="s">
        <v>69</v>
      </c>
      <c r="I546" s="101"/>
    </row>
    <row r="547" spans="2:9" x14ac:dyDescent="0.6">
      <c r="B547" s="79" t="s">
        <v>266</v>
      </c>
      <c r="C547" s="113">
        <f t="shared" ref="C547:H554" si="72">IF(C493&gt;0,C493+C$538,"")</f>
        <v>8.4499999999999993</v>
      </c>
      <c r="D547" s="113" t="str">
        <f t="shared" si="72"/>
        <v/>
      </c>
      <c r="E547" s="113">
        <f t="shared" si="72"/>
        <v>7.3289999999999997</v>
      </c>
      <c r="F547" s="113">
        <f t="shared" si="72"/>
        <v>7.4009999999999998</v>
      </c>
      <c r="G547" s="113">
        <f t="shared" si="72"/>
        <v>7.3870000000000005</v>
      </c>
      <c r="H547" s="113">
        <f t="shared" si="72"/>
        <v>6.85</v>
      </c>
      <c r="I547" s="101"/>
    </row>
    <row r="548" spans="2:9" x14ac:dyDescent="0.6">
      <c r="B548" s="79" t="s">
        <v>267</v>
      </c>
      <c r="C548" s="113" t="str">
        <f t="shared" si="72"/>
        <v/>
      </c>
      <c r="D548" s="113">
        <f>IF(D494&gt;0,D494+D$538,"")</f>
        <v>10.472</v>
      </c>
      <c r="E548" s="113" t="str">
        <f t="shared" si="72"/>
        <v/>
      </c>
      <c r="F548" s="113" t="str">
        <f t="shared" si="72"/>
        <v/>
      </c>
      <c r="G548" s="113" t="str">
        <f t="shared" si="72"/>
        <v/>
      </c>
      <c r="H548" s="113" t="str">
        <f t="shared" si="72"/>
        <v/>
      </c>
      <c r="I548" s="184">
        <f>IF(I494&gt;0,I494+I$538,"")</f>
        <v>11.462</v>
      </c>
    </row>
    <row r="549" spans="2:9" x14ac:dyDescent="0.6">
      <c r="B549" s="79" t="s">
        <v>268</v>
      </c>
      <c r="C549" s="113" t="str">
        <f t="shared" si="72"/>
        <v/>
      </c>
      <c r="D549" s="113">
        <f>IF(D495&gt;0,D495+D$538,"")</f>
        <v>7.0510000000000002</v>
      </c>
      <c r="E549" s="113" t="str">
        <f t="shared" si="72"/>
        <v/>
      </c>
      <c r="F549" s="113" t="str">
        <f t="shared" si="72"/>
        <v/>
      </c>
      <c r="G549" s="113" t="str">
        <f t="shared" si="72"/>
        <v/>
      </c>
      <c r="H549" s="113" t="str">
        <f t="shared" si="72"/>
        <v/>
      </c>
      <c r="I549" s="184">
        <f>IF(I495&gt;0,I495+I$538,"")</f>
        <v>7.1080000000000005</v>
      </c>
    </row>
    <row r="550" spans="2:9" x14ac:dyDescent="0.6">
      <c r="B550" s="77" t="s">
        <v>41</v>
      </c>
      <c r="C550" s="113">
        <f t="shared" si="72"/>
        <v>4.9269999999999996</v>
      </c>
      <c r="D550" s="113" t="str">
        <f t="shared" si="72"/>
        <v/>
      </c>
      <c r="E550" s="113" t="str">
        <f t="shared" si="72"/>
        <v/>
      </c>
      <c r="F550" s="113" t="str">
        <f t="shared" si="72"/>
        <v/>
      </c>
      <c r="G550" s="113" t="str">
        <f t="shared" si="72"/>
        <v/>
      </c>
      <c r="H550" s="113" t="str">
        <f t="shared" si="72"/>
        <v/>
      </c>
      <c r="I550" s="101"/>
    </row>
    <row r="551" spans="2:9" x14ac:dyDescent="0.6">
      <c r="B551" s="79" t="s">
        <v>42</v>
      </c>
      <c r="C551" s="113">
        <f t="shared" si="72"/>
        <v>11.103999999999999</v>
      </c>
      <c r="D551" s="113" t="str">
        <f t="shared" si="72"/>
        <v/>
      </c>
      <c r="E551" s="113" t="str">
        <f t="shared" si="72"/>
        <v/>
      </c>
      <c r="F551" s="113" t="str">
        <f t="shared" si="72"/>
        <v/>
      </c>
      <c r="G551" s="113" t="str">
        <f t="shared" si="72"/>
        <v/>
      </c>
      <c r="H551" s="113" t="str">
        <f t="shared" si="72"/>
        <v/>
      </c>
      <c r="I551" s="101"/>
    </row>
    <row r="552" spans="2:9" x14ac:dyDescent="0.6">
      <c r="B552" s="113"/>
      <c r="C552" s="113"/>
      <c r="D552" s="113" t="str">
        <f t="shared" si="72"/>
        <v/>
      </c>
      <c r="E552" s="113" t="str">
        <f t="shared" si="72"/>
        <v/>
      </c>
      <c r="F552" s="113" t="str">
        <f t="shared" si="72"/>
        <v/>
      </c>
      <c r="G552" s="113" t="str">
        <f t="shared" si="72"/>
        <v/>
      </c>
      <c r="H552" s="113" t="str">
        <f t="shared" si="72"/>
        <v/>
      </c>
      <c r="I552" s="101"/>
    </row>
    <row r="553" spans="2:9" x14ac:dyDescent="0.6">
      <c r="C553" s="113" t="str">
        <f t="shared" si="72"/>
        <v/>
      </c>
      <c r="D553" s="113" t="str">
        <f t="shared" si="72"/>
        <v/>
      </c>
      <c r="E553" s="113" t="str">
        <f t="shared" si="72"/>
        <v/>
      </c>
      <c r="F553" s="113" t="str">
        <f t="shared" si="72"/>
        <v/>
      </c>
      <c r="G553" s="113" t="str">
        <f t="shared" si="72"/>
        <v/>
      </c>
      <c r="H553" s="113" t="str">
        <f t="shared" si="72"/>
        <v/>
      </c>
      <c r="I553" s="101"/>
    </row>
    <row r="554" spans="2:9" x14ac:dyDescent="0.6">
      <c r="B554" s="77" t="s">
        <v>280</v>
      </c>
      <c r="C554" s="113" t="str">
        <f t="shared" si="72"/>
        <v/>
      </c>
      <c r="D554" s="113" t="str">
        <f>IF(D500&gt;0,D500+D$538,"")</f>
        <v/>
      </c>
      <c r="E554" s="113" t="str">
        <f>IF(E500&gt;0,E500+E$538,"")</f>
        <v/>
      </c>
      <c r="F554" s="113" t="str">
        <f>IF(F500&gt;0,F500+F$538,"")</f>
        <v/>
      </c>
      <c r="G554" s="113" t="str">
        <f>IF(G500&gt;0,G500+G$538,"")</f>
        <v/>
      </c>
      <c r="H554" s="113">
        <f>IF(H500&gt;0,H500+H$539,"")</f>
        <v>2.694</v>
      </c>
      <c r="I554" s="101"/>
    </row>
    <row r="555" spans="2:9" x14ac:dyDescent="0.6">
      <c r="I555" s="101"/>
    </row>
    <row r="556" spans="2:9" x14ac:dyDescent="0.6">
      <c r="B556" s="182" t="s">
        <v>62</v>
      </c>
      <c r="I556" s="101"/>
    </row>
    <row r="557" spans="2:9" x14ac:dyDescent="0.6">
      <c r="B557" s="79" t="s">
        <v>266</v>
      </c>
      <c r="C557" s="113">
        <f t="shared" ref="C557:H561" si="73">IF(C504&gt;0,C504+C$538,"")</f>
        <v>9.6689999999999987</v>
      </c>
      <c r="D557" s="113" t="str">
        <f t="shared" si="73"/>
        <v/>
      </c>
      <c r="E557" s="113">
        <f t="shared" si="73"/>
        <v>8.2189999999999994</v>
      </c>
      <c r="F557" s="113">
        <f t="shared" si="73"/>
        <v>8.3840000000000003</v>
      </c>
      <c r="G557" s="113">
        <f t="shared" si="73"/>
        <v>8.298</v>
      </c>
      <c r="H557" s="113">
        <f t="shared" si="73"/>
        <v>7.7249999999999996</v>
      </c>
      <c r="I557" s="101"/>
    </row>
    <row r="558" spans="2:9" x14ac:dyDescent="0.6">
      <c r="B558" s="79" t="s">
        <v>267</v>
      </c>
      <c r="C558" s="113" t="str">
        <f t="shared" si="73"/>
        <v/>
      </c>
      <c r="D558" s="113">
        <f>IF(D505&gt;0,D505+D$538,"")</f>
        <v>11.455</v>
      </c>
      <c r="E558" s="113" t="str">
        <f t="shared" si="73"/>
        <v/>
      </c>
      <c r="F558" s="113" t="str">
        <f t="shared" si="73"/>
        <v/>
      </c>
      <c r="G558" s="113" t="str">
        <f t="shared" si="73"/>
        <v/>
      </c>
      <c r="H558" s="113" t="str">
        <f t="shared" si="73"/>
        <v/>
      </c>
      <c r="I558" s="184">
        <f>IF(I505&gt;0,I505+I$538,"")</f>
        <v>13.670999999999999</v>
      </c>
    </row>
    <row r="559" spans="2:9" x14ac:dyDescent="0.6">
      <c r="B559" s="79" t="s">
        <v>268</v>
      </c>
      <c r="C559" s="113" t="str">
        <f t="shared" si="73"/>
        <v/>
      </c>
      <c r="D559" s="113">
        <f>IF(D506&gt;0,D506+D$538,"")</f>
        <v>8.427999999999999</v>
      </c>
      <c r="E559" s="113" t="str">
        <f t="shared" si="73"/>
        <v/>
      </c>
      <c r="F559" s="113" t="str">
        <f t="shared" si="73"/>
        <v/>
      </c>
      <c r="G559" s="113" t="str">
        <f t="shared" si="73"/>
        <v/>
      </c>
      <c r="H559" s="113" t="str">
        <f t="shared" si="73"/>
        <v/>
      </c>
      <c r="I559" s="184">
        <f>IF(I506&gt;0,I506+I$538,"")</f>
        <v>8.3849999999999998</v>
      </c>
    </row>
    <row r="560" spans="2:9" x14ac:dyDescent="0.6">
      <c r="C560" s="113" t="str">
        <f t="shared" si="73"/>
        <v/>
      </c>
      <c r="D560" s="113" t="str">
        <f>IF(E507&gt;0,E507+D$538,"")</f>
        <v/>
      </c>
      <c r="E560" s="113" t="str">
        <f>IF(F507&gt;0,F507+E$538,"")</f>
        <v/>
      </c>
      <c r="F560" s="113" t="str">
        <f>IF(G507&gt;0,G507+F$538,"")</f>
        <v/>
      </c>
      <c r="G560" s="113" t="str">
        <f>IF(H507&gt;0,H507+G$538,"")</f>
        <v/>
      </c>
      <c r="H560" s="113" t="str">
        <f>IF(I507&gt;0,I507+H$538,"")</f>
        <v/>
      </c>
      <c r="I560" s="101"/>
    </row>
    <row r="561" spans="1:10" x14ac:dyDescent="0.6">
      <c r="B561" s="77" t="s">
        <v>280</v>
      </c>
      <c r="C561" s="113" t="str">
        <f t="shared" si="73"/>
        <v/>
      </c>
      <c r="D561" s="113" t="str">
        <f>IF(D508&gt;0,D508+D$538,"")</f>
        <v/>
      </c>
      <c r="E561" s="113" t="str">
        <f>IF(E508&gt;0,E508+E$538,"")</f>
        <v/>
      </c>
      <c r="F561" s="113" t="str">
        <f>IF(F508&gt;0,F508+F$538,"")</f>
        <v/>
      </c>
      <c r="G561" s="113" t="str">
        <f>IF(G508&gt;0,G508+G$538,"")</f>
        <v/>
      </c>
      <c r="H561" s="113">
        <f>IF(H508&gt;0,H508+H$540,"")</f>
        <v>2.5970000000000004</v>
      </c>
      <c r="I561" s="101"/>
    </row>
    <row r="562" spans="1:10" x14ac:dyDescent="0.6">
      <c r="B562" s="77"/>
      <c r="I562" s="101"/>
      <c r="J562" s="101"/>
    </row>
    <row r="563" spans="1:10" x14ac:dyDescent="0.6">
      <c r="B563" s="77"/>
      <c r="I563" s="101"/>
      <c r="J563" s="101"/>
    </row>
    <row r="565" spans="1:10" x14ac:dyDescent="0.6">
      <c r="A565" s="62"/>
      <c r="C565" s="24"/>
      <c r="E565" s="24"/>
    </row>
    <row r="566" spans="1:10" x14ac:dyDescent="0.6">
      <c r="A566" s="94" t="s">
        <v>281</v>
      </c>
      <c r="B566" s="73" t="s">
        <v>282</v>
      </c>
      <c r="C566" s="24"/>
      <c r="E566" s="24"/>
    </row>
    <row r="567" spans="1:10" x14ac:dyDescent="0.6">
      <c r="A567" s="62"/>
      <c r="C567" s="24"/>
      <c r="E567" s="24"/>
    </row>
    <row r="568" spans="1:10" x14ac:dyDescent="0.6">
      <c r="A568" s="62"/>
      <c r="B568" s="77" t="s">
        <v>283</v>
      </c>
      <c r="C568" s="10">
        <f>+D223</f>
        <v>86.035543459954738</v>
      </c>
      <c r="E568" s="24"/>
    </row>
    <row r="569" spans="1:10" x14ac:dyDescent="0.6">
      <c r="A569" s="62"/>
      <c r="B569" s="77" t="s">
        <v>284</v>
      </c>
      <c r="C569" s="40">
        <f>+J377</f>
        <v>0.93559999999999999</v>
      </c>
      <c r="E569" s="24"/>
    </row>
    <row r="570" spans="1:10" x14ac:dyDescent="0.6">
      <c r="A570" s="62"/>
      <c r="B570" s="77" t="s">
        <v>285</v>
      </c>
      <c r="C570" s="40">
        <f>+J378</f>
        <v>1.0443</v>
      </c>
      <c r="E570" s="24"/>
    </row>
    <row r="571" spans="1:10" x14ac:dyDescent="0.6">
      <c r="A571" s="62"/>
      <c r="B571" s="79" t="s">
        <v>286</v>
      </c>
      <c r="C571" s="41">
        <f>ROUND(C568*C569,4)</f>
        <v>80.494900000000001</v>
      </c>
      <c r="E571" s="24"/>
    </row>
    <row r="572" spans="1:10" x14ac:dyDescent="0.6">
      <c r="A572" s="62"/>
      <c r="B572" s="79" t="s">
        <v>287</v>
      </c>
      <c r="C572" s="41">
        <f>ROUND(C568*C570,4)</f>
        <v>89.846900000000005</v>
      </c>
      <c r="E572" s="24"/>
    </row>
    <row r="573" spans="1:10" x14ac:dyDescent="0.6">
      <c r="A573" s="62"/>
      <c r="B573" s="77"/>
      <c r="C573" s="24"/>
      <c r="E573" s="24"/>
    </row>
    <row r="574" spans="1:10" x14ac:dyDescent="0.6">
      <c r="A574" s="62"/>
      <c r="C574" s="24"/>
      <c r="E574" s="24"/>
    </row>
    <row r="575" spans="1:10" x14ac:dyDescent="0.6">
      <c r="A575" s="62"/>
      <c r="C575" s="67" t="str">
        <f t="shared" ref="C575" si="74">C6</f>
        <v>SC1</v>
      </c>
      <c r="D575" s="67" t="str">
        <f>D6</f>
        <v>SC3</v>
      </c>
      <c r="E575" s="67" t="str">
        <f>E6</f>
        <v>SC2 ND</v>
      </c>
      <c r="F575" s="67" t="str">
        <f>F6</f>
        <v>SC4</v>
      </c>
      <c r="G575" s="67" t="str">
        <f>G6</f>
        <v>SC6</v>
      </c>
      <c r="H575" s="67" t="str">
        <f>H6</f>
        <v>SC2 Dem</v>
      </c>
      <c r="I575" s="67" t="str">
        <f>$I$24</f>
        <v>SC1 TOD</v>
      </c>
    </row>
    <row r="576" spans="1:10" x14ac:dyDescent="0.6">
      <c r="A576" s="62"/>
      <c r="B576" s="110" t="s">
        <v>288</v>
      </c>
    </row>
    <row r="577" spans="1:11" x14ac:dyDescent="0.6">
      <c r="A577" s="62"/>
      <c r="B577" s="95" t="s">
        <v>69</v>
      </c>
      <c r="C577" s="14">
        <f>ROUND((C493*L48)/100,0)</f>
        <v>21405</v>
      </c>
      <c r="D577" s="13">
        <f>ROUND((D494*M49+D495*M50)/100,0)</f>
        <v>9</v>
      </c>
      <c r="E577" s="14">
        <f>ROUND(E493*N48/100,0)</f>
        <v>294</v>
      </c>
      <c r="F577" s="14">
        <f>ROUND(F493*O48/100,0)</f>
        <v>110</v>
      </c>
      <c r="G577" s="14">
        <f>ROUND(G493*P48/100,0)</f>
        <v>89</v>
      </c>
      <c r="H577" s="13">
        <v>8260</v>
      </c>
      <c r="I577" s="13">
        <f>ROUND((I494*R49+I495*R50)/100,0)</f>
        <v>21408</v>
      </c>
    </row>
    <row r="578" spans="1:11" x14ac:dyDescent="0.6">
      <c r="A578" s="62"/>
      <c r="B578" s="95" t="s">
        <v>62</v>
      </c>
      <c r="C578" s="42">
        <f>ROUND(C504*L44/100,0)</f>
        <v>32517</v>
      </c>
      <c r="D578" s="43">
        <f>ROUND((D505*M45+D506*M46)/100,0)</f>
        <v>17</v>
      </c>
      <c r="E578" s="42">
        <f>ROUND(E504*N44/100,0)</f>
        <v>869</v>
      </c>
      <c r="F578" s="42">
        <f>ROUND(F504*O44/100,0)</f>
        <v>331</v>
      </c>
      <c r="G578" s="42">
        <f>ROUND(G504*P44/100,0)</f>
        <v>255</v>
      </c>
      <c r="H578" s="43">
        <v>16537</v>
      </c>
      <c r="I578" s="43">
        <f>ROUND((I505*R45+I506*R46)/100,0)</f>
        <v>32522</v>
      </c>
    </row>
    <row r="579" spans="1:11" x14ac:dyDescent="0.6">
      <c r="A579" s="62"/>
      <c r="B579" s="95" t="s">
        <v>36</v>
      </c>
      <c r="C579" s="100">
        <f>+C578+C577</f>
        <v>53922</v>
      </c>
      <c r="D579" s="100">
        <f t="shared" ref="D579:I579" si="75">+D578+D577</f>
        <v>26</v>
      </c>
      <c r="E579" s="100">
        <f t="shared" si="75"/>
        <v>1163</v>
      </c>
      <c r="F579" s="100">
        <f t="shared" si="75"/>
        <v>441</v>
      </c>
      <c r="G579" s="100">
        <f t="shared" si="75"/>
        <v>344</v>
      </c>
      <c r="H579" s="100">
        <f t="shared" si="75"/>
        <v>24797</v>
      </c>
      <c r="I579" s="100">
        <f t="shared" si="75"/>
        <v>53930</v>
      </c>
    </row>
    <row r="580" spans="1:11" x14ac:dyDescent="0.6">
      <c r="A580" s="62"/>
      <c r="B580" s="95"/>
      <c r="C580" s="100"/>
      <c r="D580" s="100"/>
      <c r="E580" s="100"/>
      <c r="F580" s="100"/>
      <c r="G580" s="100"/>
      <c r="H580" s="100"/>
      <c r="I580" s="100"/>
    </row>
    <row r="581" spans="1:11" x14ac:dyDescent="0.6">
      <c r="A581" s="62"/>
      <c r="B581" s="95" t="s">
        <v>36</v>
      </c>
      <c r="C581" s="100"/>
      <c r="D581" s="100"/>
      <c r="E581" s="100"/>
      <c r="F581" s="100"/>
      <c r="G581" s="100"/>
      <c r="H581" s="100"/>
      <c r="I581" s="100"/>
    </row>
    <row r="582" spans="1:11" x14ac:dyDescent="0.6">
      <c r="A582" s="62"/>
      <c r="B582" s="95" t="s">
        <v>69</v>
      </c>
      <c r="C582" s="100">
        <f>SUM(C577:H577)</f>
        <v>30167</v>
      </c>
      <c r="D582" s="100"/>
      <c r="E582" s="100"/>
      <c r="F582" s="100"/>
      <c r="G582" s="100"/>
      <c r="H582" s="100"/>
      <c r="I582" s="100"/>
      <c r="K582" s="109"/>
    </row>
    <row r="583" spans="1:11" x14ac:dyDescent="0.6">
      <c r="A583" s="62"/>
      <c r="B583" s="95" t="s">
        <v>62</v>
      </c>
      <c r="C583" s="187">
        <f>SUM(C578:H578)</f>
        <v>50526</v>
      </c>
      <c r="D583" s="24"/>
      <c r="E583" s="100"/>
      <c r="F583" s="100"/>
    </row>
    <row r="584" spans="1:11" x14ac:dyDescent="0.6">
      <c r="A584" s="62"/>
      <c r="B584" s="95" t="s">
        <v>36</v>
      </c>
      <c r="C584" s="188">
        <f>+C583+C582</f>
        <v>80693</v>
      </c>
      <c r="D584" s="24"/>
      <c r="E584" s="188"/>
      <c r="F584" s="188"/>
    </row>
    <row r="585" spans="1:11" x14ac:dyDescent="0.6">
      <c r="A585" s="62"/>
      <c r="B585" s="95"/>
      <c r="C585" s="100"/>
      <c r="D585" s="24"/>
    </row>
    <row r="586" spans="1:11" x14ac:dyDescent="0.6">
      <c r="A586" s="62"/>
      <c r="C586" s="67" t="str">
        <f t="shared" ref="C586" si="76">C6</f>
        <v>SC1</v>
      </c>
      <c r="D586" s="67" t="str">
        <f>D6</f>
        <v>SC3</v>
      </c>
      <c r="E586" s="67" t="str">
        <f>E6</f>
        <v>SC2 ND</v>
      </c>
      <c r="F586" s="67" t="str">
        <f>F6</f>
        <v>SC4</v>
      </c>
      <c r="G586" s="67" t="str">
        <f>G6</f>
        <v>SC6</v>
      </c>
      <c r="H586" s="67" t="str">
        <f>H6</f>
        <v>SC2 Dem</v>
      </c>
      <c r="I586" s="67" t="str">
        <f>$I$24</f>
        <v>SC1 TOD</v>
      </c>
    </row>
    <row r="587" spans="1:11" x14ac:dyDescent="0.6">
      <c r="A587" s="62"/>
      <c r="B587" s="52" t="s">
        <v>289</v>
      </c>
    </row>
    <row r="588" spans="1:11" x14ac:dyDescent="0.6">
      <c r="A588" s="62"/>
      <c r="B588" s="95" t="s">
        <v>69</v>
      </c>
      <c r="C588" s="14">
        <f t="shared" ref="C588:H588" si="77">+$C571*L48*C78/1000</f>
        <v>26635.486029581723</v>
      </c>
      <c r="D588" s="14">
        <f>+$C571*M48*D78/1000</f>
        <v>11.370799702630464</v>
      </c>
      <c r="E588" s="14">
        <f t="shared" si="77"/>
        <v>377.94788857743254</v>
      </c>
      <c r="F588" s="14">
        <f t="shared" si="77"/>
        <v>153.05846719871485</v>
      </c>
      <c r="G588" s="14">
        <f t="shared" si="77"/>
        <v>124.33821381490131</v>
      </c>
      <c r="H588" s="14">
        <f t="shared" si="77"/>
        <v>10642.505054803003</v>
      </c>
      <c r="I588" s="14">
        <f>+$C571*R48*C78/1000</f>
        <v>26635.486029581723</v>
      </c>
    </row>
    <row r="589" spans="1:11" x14ac:dyDescent="0.6">
      <c r="A589" s="62"/>
      <c r="B589" s="95" t="s">
        <v>62</v>
      </c>
      <c r="C589" s="42">
        <f t="shared" ref="C589:H589" si="78">+$C572*L44*C78/1000</f>
        <v>38489.27853429177</v>
      </c>
      <c r="D589" s="42">
        <f t="shared" si="78"/>
        <v>20.209368112577959</v>
      </c>
      <c r="E589" s="42">
        <f t="shared" si="78"/>
        <v>1102.240415415484</v>
      </c>
      <c r="F589" s="42">
        <f t="shared" si="78"/>
        <v>444.56601707215799</v>
      </c>
      <c r="G589" s="42">
        <f t="shared" si="78"/>
        <v>346.35190300402286</v>
      </c>
      <c r="H589" s="42">
        <f t="shared" si="78"/>
        <v>21176.268244709663</v>
      </c>
      <c r="I589" s="42">
        <f>+$C572*R44*C78/1000</f>
        <v>38489.27853429177</v>
      </c>
    </row>
    <row r="590" spans="1:11" x14ac:dyDescent="0.6">
      <c r="A590" s="62"/>
      <c r="B590" s="95" t="s">
        <v>36</v>
      </c>
      <c r="C590" s="100">
        <f t="shared" ref="C590:I590" si="79">+C589+C588</f>
        <v>65124.764563873498</v>
      </c>
      <c r="D590" s="100">
        <f t="shared" si="79"/>
        <v>31.580167815208423</v>
      </c>
      <c r="E590" s="100">
        <f t="shared" si="79"/>
        <v>1480.1883039929166</v>
      </c>
      <c r="F590" s="100">
        <f t="shared" si="79"/>
        <v>597.62448427087281</v>
      </c>
      <c r="G590" s="14">
        <f t="shared" si="79"/>
        <v>470.69011681892414</v>
      </c>
      <c r="H590" s="14">
        <f t="shared" si="79"/>
        <v>31818.773299512664</v>
      </c>
      <c r="I590" s="100">
        <f t="shared" si="79"/>
        <v>65124.764563873498</v>
      </c>
    </row>
    <row r="591" spans="1:11" x14ac:dyDescent="0.6">
      <c r="A591" s="62"/>
      <c r="C591" s="24"/>
      <c r="D591" s="24"/>
      <c r="E591" s="24"/>
      <c r="F591" s="24"/>
      <c r="G591" s="24"/>
      <c r="H591" s="24"/>
      <c r="I591" s="24"/>
      <c r="J591" s="24"/>
    </row>
    <row r="592" spans="1:11" x14ac:dyDescent="0.6">
      <c r="A592" s="62"/>
      <c r="B592" s="95" t="s">
        <v>36</v>
      </c>
      <c r="C592" s="15"/>
      <c r="D592" s="24"/>
      <c r="E592" s="24"/>
      <c r="F592" s="24"/>
      <c r="G592" s="24"/>
      <c r="H592" s="24"/>
      <c r="I592" s="24"/>
      <c r="J592" s="24"/>
    </row>
    <row r="593" spans="1:7" x14ac:dyDescent="0.6">
      <c r="A593" s="62"/>
      <c r="B593" s="95" t="s">
        <v>69</v>
      </c>
      <c r="C593" s="100">
        <f>SUM(C588:H588)</f>
        <v>37944.706453678409</v>
      </c>
      <c r="G593" s="100"/>
    </row>
    <row r="594" spans="1:7" x14ac:dyDescent="0.6">
      <c r="A594" s="62"/>
      <c r="B594" s="95" t="s">
        <v>62</v>
      </c>
      <c r="C594" s="187">
        <f>SUM(C589:H589)</f>
        <v>61578.914482605687</v>
      </c>
      <c r="G594" s="100"/>
    </row>
    <row r="595" spans="1:7" x14ac:dyDescent="0.6">
      <c r="A595" s="62"/>
      <c r="B595" s="95" t="s">
        <v>36</v>
      </c>
      <c r="C595" s="100">
        <f>+C594+C593</f>
        <v>99523.620936284104</v>
      </c>
      <c r="G595" s="100"/>
    </row>
    <row r="596" spans="1:7" x14ac:dyDescent="0.6">
      <c r="A596" s="62"/>
      <c r="C596" s="24"/>
      <c r="D596" s="44"/>
      <c r="E596" s="24"/>
      <c r="F596" s="180"/>
    </row>
    <row r="597" spans="1:7" x14ac:dyDescent="0.6">
      <c r="B597" s="50" t="s">
        <v>290</v>
      </c>
      <c r="C597" s="100"/>
    </row>
    <row r="598" spans="1:7" x14ac:dyDescent="0.6">
      <c r="B598" s="95" t="s">
        <v>69</v>
      </c>
      <c r="C598" s="156">
        <f>ROUND($C$147*SUM($C$141:$H$141)/12*H$144/1000*D447,0)</f>
        <v>5802</v>
      </c>
    </row>
    <row r="599" spans="1:7" x14ac:dyDescent="0.6">
      <c r="B599" s="95" t="s">
        <v>62</v>
      </c>
      <c r="C599" s="189">
        <f>ROUND($C$147*SUM($C$141:$H$141)/12*H$145/1000*D447,0)</f>
        <v>11605</v>
      </c>
    </row>
    <row r="600" spans="1:7" x14ac:dyDescent="0.6">
      <c r="B600" s="95" t="s">
        <v>36</v>
      </c>
      <c r="C600" s="100">
        <f>SUM(C598:C599)</f>
        <v>17407</v>
      </c>
    </row>
    <row r="602" spans="1:7" x14ac:dyDescent="0.6">
      <c r="B602" s="52" t="s">
        <v>291</v>
      </c>
    </row>
    <row r="603" spans="1:7" x14ac:dyDescent="0.6">
      <c r="B603" s="95" t="s">
        <v>69</v>
      </c>
      <c r="C603" s="100">
        <f>C593-C598</f>
        <v>32142.706453678409</v>
      </c>
    </row>
    <row r="604" spans="1:7" x14ac:dyDescent="0.6">
      <c r="B604" s="95" t="s">
        <v>62</v>
      </c>
      <c r="C604" s="187">
        <f>C594-C599</f>
        <v>49973.914482605687</v>
      </c>
    </row>
    <row r="605" spans="1:7" x14ac:dyDescent="0.6">
      <c r="B605" s="95" t="s">
        <v>36</v>
      </c>
      <c r="C605" s="188">
        <f>SUM(C603:C604)</f>
        <v>82116.620936284104</v>
      </c>
    </row>
    <row r="607" spans="1:7" x14ac:dyDescent="0.6">
      <c r="B607" s="52" t="s">
        <v>292</v>
      </c>
    </row>
    <row r="608" spans="1:7" x14ac:dyDescent="0.6">
      <c r="B608" s="95" t="s">
        <v>69</v>
      </c>
      <c r="C608" s="100">
        <f>C603-C582</f>
        <v>1975.7064536784092</v>
      </c>
    </row>
    <row r="609" spans="2:3" x14ac:dyDescent="0.6">
      <c r="B609" s="95" t="s">
        <v>62</v>
      </c>
      <c r="C609" s="187">
        <f>C604-C583</f>
        <v>-552.08551739431277</v>
      </c>
    </row>
    <row r="610" spans="2:3" x14ac:dyDescent="0.6">
      <c r="B610" s="95" t="s">
        <v>36</v>
      </c>
      <c r="C610" s="100">
        <f>SUM(C608:C609)</f>
        <v>1423.6209362840964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5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351B-88F4-4455-A6A7-59EDD1F95B65}">
  <sheetPr codeName="Sheet5">
    <pageSetUpPr fitToPage="1"/>
  </sheetPr>
  <dimension ref="A1:N51"/>
  <sheetViews>
    <sheetView workbookViewId="0"/>
  </sheetViews>
  <sheetFormatPr defaultColWidth="9.1328125" defaultRowHeight="13" x14ac:dyDescent="0.6"/>
  <cols>
    <col min="1" max="1" width="9.1328125" style="52"/>
    <col min="2" max="2" width="4.7265625" style="52" customWidth="1"/>
    <col min="3" max="3" width="30.86328125" style="52" customWidth="1"/>
    <col min="4" max="6" width="9.54296875" style="52" customWidth="1"/>
    <col min="7" max="7" width="9.86328125" style="52" customWidth="1"/>
    <col min="8" max="8" width="2.40625" style="52" customWidth="1"/>
    <col min="9" max="13" width="9.1328125" style="52"/>
    <col min="14" max="14" width="12.86328125" style="52" customWidth="1"/>
    <col min="15" max="17" width="9.1328125" style="52"/>
    <col min="18" max="18" width="13.1328125" style="52" customWidth="1"/>
    <col min="19" max="16384" width="9.1328125" style="52"/>
  </cols>
  <sheetData>
    <row r="1" spans="1:9" x14ac:dyDescent="0.6">
      <c r="A1" s="97" t="s">
        <v>293</v>
      </c>
    </row>
    <row r="2" spans="1:9" x14ac:dyDescent="0.6">
      <c r="A2" s="73" t="str">
        <f>'BGS Cost &amp; Bid Factors'!M1&amp;" BGS Auction"</f>
        <v>2024 BGS Auction</v>
      </c>
    </row>
    <row r="4" spans="1:9" s="175" customFormat="1" x14ac:dyDescent="0.6">
      <c r="A4" s="73" t="s">
        <v>294</v>
      </c>
      <c r="B4" s="73" t="s">
        <v>295</v>
      </c>
    </row>
    <row r="5" spans="1:9" s="175" customFormat="1" ht="10.5" x14ac:dyDescent="0.5"/>
    <row r="6" spans="1:9" s="175" customFormat="1" ht="10.5" x14ac:dyDescent="0.5">
      <c r="D6" s="190">
        <f>F6-2</f>
        <v>2022</v>
      </c>
      <c r="E6" s="190">
        <f>F6-1</f>
        <v>2023</v>
      </c>
      <c r="F6" s="190">
        <v>2024</v>
      </c>
    </row>
    <row r="7" spans="1:9" s="175" customFormat="1" ht="10.5" x14ac:dyDescent="0.5">
      <c r="D7" s="190" t="s">
        <v>296</v>
      </c>
      <c r="E7" s="190" t="s">
        <v>296</v>
      </c>
      <c r="F7" s="190" t="s">
        <v>296</v>
      </c>
    </row>
    <row r="8" spans="1:9" s="175" customFormat="1" ht="10.5" x14ac:dyDescent="0.5">
      <c r="B8" s="191" t="s">
        <v>297</v>
      </c>
      <c r="C8" s="191" t="s">
        <v>298</v>
      </c>
      <c r="D8" s="192" t="s">
        <v>299</v>
      </c>
      <c r="E8" s="192" t="s">
        <v>299</v>
      </c>
      <c r="F8" s="192" t="s">
        <v>299</v>
      </c>
      <c r="G8" s="193" t="s">
        <v>36</v>
      </c>
      <c r="I8" s="191" t="s">
        <v>300</v>
      </c>
    </row>
    <row r="9" spans="1:9" s="175" customFormat="1" ht="10.5" x14ac:dyDescent="0.5">
      <c r="B9" s="190">
        <v>1</v>
      </c>
      <c r="C9" s="175" t="s">
        <v>301</v>
      </c>
      <c r="D9" s="175">
        <v>1</v>
      </c>
      <c r="E9" s="175">
        <v>2</v>
      </c>
      <c r="F9" s="175">
        <v>1</v>
      </c>
      <c r="G9" s="175">
        <f>SUM(D9:F9)</f>
        <v>4</v>
      </c>
      <c r="I9" s="175" t="s">
        <v>302</v>
      </c>
    </row>
    <row r="10" spans="1:9" s="175" customFormat="1" ht="10.5" x14ac:dyDescent="0.5">
      <c r="B10" s="190" t="s">
        <v>303</v>
      </c>
      <c r="C10" s="194" t="s">
        <v>304</v>
      </c>
      <c r="D10" s="195">
        <v>8.2059999999999995</v>
      </c>
      <c r="E10" s="195">
        <v>9.6479999999999997</v>
      </c>
      <c r="F10" s="195">
        <v>9.6479999999999997</v>
      </c>
    </row>
    <row r="11" spans="1:9" s="175" customFormat="1" ht="10.5" x14ac:dyDescent="0.5">
      <c r="B11" s="190" t="s">
        <v>305</v>
      </c>
      <c r="C11" s="194" t="s">
        <v>306</v>
      </c>
      <c r="D11" s="195">
        <v>-4.46</v>
      </c>
      <c r="E11" s="195">
        <v>-1.58</v>
      </c>
      <c r="F11" s="195">
        <v>0</v>
      </c>
      <c r="I11" s="175" t="s">
        <v>307</v>
      </c>
    </row>
    <row r="12" spans="1:9" s="175" customFormat="1" ht="10.5" hidden="1" x14ac:dyDescent="0.5">
      <c r="B12" s="190" t="s">
        <v>308</v>
      </c>
      <c r="C12" s="194" t="s">
        <v>304</v>
      </c>
      <c r="D12" s="195">
        <f>D11+D10</f>
        <v>3.7459999999999996</v>
      </c>
      <c r="E12" s="195">
        <f t="shared" ref="E12:F12" si="0">E11+E10</f>
        <v>8.0679999999999996</v>
      </c>
      <c r="F12" s="195">
        <f t="shared" si="0"/>
        <v>9.6479999999999997</v>
      </c>
      <c r="I12" s="175" t="s">
        <v>309</v>
      </c>
    </row>
    <row r="13" spans="1:9" s="175" customFormat="1" ht="10.5" hidden="1" x14ac:dyDescent="0.5">
      <c r="B13" s="190">
        <v>3</v>
      </c>
      <c r="C13" s="194" t="s">
        <v>310</v>
      </c>
      <c r="D13" s="195">
        <v>0</v>
      </c>
      <c r="E13" s="195">
        <v>0</v>
      </c>
      <c r="F13" s="195">
        <v>0</v>
      </c>
      <c r="I13" s="175" t="s">
        <v>311</v>
      </c>
    </row>
    <row r="14" spans="1:9" s="175" customFormat="1" ht="10.5" x14ac:dyDescent="0.5">
      <c r="B14" s="190">
        <v>3</v>
      </c>
      <c r="C14" s="194" t="s">
        <v>312</v>
      </c>
      <c r="D14" s="195">
        <f>D10+D11</f>
        <v>3.7459999999999996</v>
      </c>
      <c r="E14" s="195">
        <f t="shared" ref="E14:F14" si="1">E10+E11</f>
        <v>8.0679999999999996</v>
      </c>
      <c r="F14" s="195">
        <f t="shared" si="1"/>
        <v>9.6479999999999997</v>
      </c>
      <c r="G14" s="195"/>
      <c r="I14" s="194" t="s">
        <v>313</v>
      </c>
    </row>
    <row r="15" spans="1:9" s="175" customFormat="1" ht="10.5" x14ac:dyDescent="0.5">
      <c r="B15" s="190">
        <v>4</v>
      </c>
      <c r="C15" s="194" t="s">
        <v>314</v>
      </c>
      <c r="D15" s="195">
        <f>D9/$G$9*D14</f>
        <v>0.93649999999999989</v>
      </c>
      <c r="E15" s="195">
        <f>E9/$G$9*E14</f>
        <v>4.0339999999999998</v>
      </c>
      <c r="F15" s="195">
        <f>F9/$G$9*F14</f>
        <v>2.4119999999999999</v>
      </c>
      <c r="G15" s="195">
        <f>SUM(D15:F15)</f>
        <v>7.3824999999999994</v>
      </c>
      <c r="I15" s="194" t="s">
        <v>315</v>
      </c>
    </row>
    <row r="16" spans="1:9" s="175" customFormat="1" ht="10.5" hidden="1" x14ac:dyDescent="0.5">
      <c r="B16" s="190">
        <v>5</v>
      </c>
      <c r="C16" s="194" t="s">
        <v>316</v>
      </c>
      <c r="D16" s="195">
        <f>D9/$G$9*D13</f>
        <v>0</v>
      </c>
      <c r="E16" s="195">
        <f>E9/$G$9*E13</f>
        <v>0</v>
      </c>
      <c r="F16" s="195">
        <f>F9/$G$9*F13</f>
        <v>0</v>
      </c>
      <c r="G16" s="195">
        <f>SUM(D16:F16)</f>
        <v>0</v>
      </c>
      <c r="I16" s="194" t="s">
        <v>315</v>
      </c>
    </row>
    <row r="17" spans="2:14" s="175" customFormat="1" ht="10.5" x14ac:dyDescent="0.5">
      <c r="B17" s="190">
        <v>5</v>
      </c>
      <c r="C17" s="194" t="s">
        <v>317</v>
      </c>
      <c r="G17" s="196">
        <f>G15+G16</f>
        <v>7.3824999999999994</v>
      </c>
    </row>
    <row r="18" spans="2:14" s="175" customFormat="1" ht="10.5" x14ac:dyDescent="0.5">
      <c r="B18" s="190"/>
    </row>
    <row r="19" spans="2:14" s="175" customFormat="1" ht="10.5" x14ac:dyDescent="0.5">
      <c r="B19" s="190"/>
      <c r="C19" s="191" t="s">
        <v>318</v>
      </c>
    </row>
    <row r="20" spans="2:14" s="175" customFormat="1" ht="10.5" x14ac:dyDescent="0.5">
      <c r="B20" s="190">
        <v>6</v>
      </c>
      <c r="C20" s="197" t="s">
        <v>319</v>
      </c>
      <c r="D20" s="198">
        <v>1</v>
      </c>
      <c r="E20" s="198">
        <v>1</v>
      </c>
      <c r="F20" s="198">
        <f>IF('BGS Cost &amp; Bid Factors'!J377&lt;1,1,'BGS Cost &amp; Bid Factors'!J377)</f>
        <v>1</v>
      </c>
      <c r="G20" s="175" t="s">
        <v>320</v>
      </c>
      <c r="I20" s="194" t="s">
        <v>321</v>
      </c>
    </row>
    <row r="21" spans="2:14" s="175" customFormat="1" ht="10.5" x14ac:dyDescent="0.5">
      <c r="B21" s="190">
        <v>7</v>
      </c>
      <c r="C21" s="197" t="s">
        <v>322</v>
      </c>
      <c r="D21" s="198">
        <v>1</v>
      </c>
      <c r="E21" s="198">
        <v>1</v>
      </c>
      <c r="F21" s="198">
        <f>IF('BGS Cost &amp; Bid Factors'!J378&gt;1,1,'BGS Cost &amp; Bid Factors'!J378)</f>
        <v>1</v>
      </c>
      <c r="G21" s="175" t="s">
        <v>320</v>
      </c>
      <c r="I21" s="194" t="s">
        <v>321</v>
      </c>
    </row>
    <row r="22" spans="2:14" s="175" customFormat="1" ht="10.5" x14ac:dyDescent="0.5">
      <c r="B22" s="190"/>
      <c r="D22" s="198"/>
      <c r="E22" s="198"/>
      <c r="F22" s="198"/>
    </row>
    <row r="23" spans="2:14" s="175" customFormat="1" ht="10.5" x14ac:dyDescent="0.5">
      <c r="B23" s="190"/>
      <c r="C23" s="191" t="s">
        <v>323</v>
      </c>
      <c r="F23" s="190" t="s">
        <v>324</v>
      </c>
    </row>
    <row r="24" spans="2:14" s="175" customFormat="1" ht="10.5" x14ac:dyDescent="0.5">
      <c r="B24" s="190">
        <v>8</v>
      </c>
      <c r="C24" s="199" t="s">
        <v>325</v>
      </c>
      <c r="D24" s="200">
        <f>'Rate Calculations'!$D$251</f>
        <v>420319.82128678495</v>
      </c>
      <c r="I24" s="194" t="s">
        <v>321</v>
      </c>
      <c r="N24" s="200"/>
    </row>
    <row r="25" spans="2:14" s="175" customFormat="1" ht="10.5" x14ac:dyDescent="0.5">
      <c r="B25" s="190">
        <v>9</v>
      </c>
      <c r="C25" s="199" t="s">
        <v>326</v>
      </c>
      <c r="D25" s="201">
        <f>'Rate Calculations'!$D$252</f>
        <v>611109.38022200111</v>
      </c>
      <c r="I25" s="194" t="s">
        <v>321</v>
      </c>
      <c r="N25" s="200"/>
    </row>
    <row r="26" spans="2:14" s="175" customFormat="1" ht="10.5" x14ac:dyDescent="0.5">
      <c r="B26" s="190">
        <v>10</v>
      </c>
      <c r="D26" s="200">
        <f>SUM(D24:D25)</f>
        <v>1031429.2015087861</v>
      </c>
      <c r="N26" s="200"/>
    </row>
    <row r="27" spans="2:14" s="175" customFormat="1" ht="10.5" x14ac:dyDescent="0.5">
      <c r="B27" s="190"/>
    </row>
    <row r="28" spans="2:14" s="175" customFormat="1" ht="10.5" x14ac:dyDescent="0.5">
      <c r="B28" s="190"/>
      <c r="C28" s="191" t="s">
        <v>327</v>
      </c>
    </row>
    <row r="29" spans="2:14" s="175" customFormat="1" ht="10.5" x14ac:dyDescent="0.5">
      <c r="B29" s="190">
        <v>11</v>
      </c>
      <c r="C29" s="199" t="s">
        <v>69</v>
      </c>
      <c r="D29" s="200">
        <f>ROUND(D$9/$G$9*(D$14)/100*D$20*$D$24*1000,0)</f>
        <v>3936295</v>
      </c>
      <c r="E29" s="200">
        <f>ROUND(E$9/$G$9*(E$14)/100*E$20*$D$24*1000,0)</f>
        <v>16955702</v>
      </c>
      <c r="F29" s="200">
        <f>ROUND(F$9/$G$9*(F$14)/100*F$20*$D$24*1000,0)</f>
        <v>10138114</v>
      </c>
      <c r="G29" s="200">
        <f>SUM(D29:F29)</f>
        <v>31030111</v>
      </c>
      <c r="I29" s="194" t="s">
        <v>328</v>
      </c>
    </row>
    <row r="30" spans="2:14" s="175" customFormat="1" ht="10.5" x14ac:dyDescent="0.5">
      <c r="B30" s="190">
        <v>12</v>
      </c>
      <c r="C30" s="199" t="s">
        <v>62</v>
      </c>
      <c r="D30" s="201">
        <f>ROUND(D$9/$G$9*(D$14)/100*D$21*$D$25*1000,0)</f>
        <v>5723039</v>
      </c>
      <c r="E30" s="201">
        <f>ROUND(E$9/$G$9*(E$14)/100*E$21*$D$25*1000,0)</f>
        <v>24652152</v>
      </c>
      <c r="F30" s="201">
        <f>ROUND(F$9/$G$9*(F$14)/100*F$21*$D$25*1000,0)</f>
        <v>14739958</v>
      </c>
      <c r="G30" s="201">
        <f>SUM(D30:F30)</f>
        <v>45115149</v>
      </c>
      <c r="I30" s="194" t="s">
        <v>329</v>
      </c>
    </row>
    <row r="31" spans="2:14" s="175" customFormat="1" ht="10.5" x14ac:dyDescent="0.5">
      <c r="B31" s="190">
        <v>13</v>
      </c>
      <c r="C31" s="199" t="s">
        <v>36</v>
      </c>
      <c r="D31" s="200">
        <f>SUM(D29:D30)</f>
        <v>9659334</v>
      </c>
      <c r="E31" s="200">
        <f>SUM(E29:E30)</f>
        <v>41607854</v>
      </c>
      <c r="F31" s="200">
        <f>SUM(F29:F30)</f>
        <v>24878072</v>
      </c>
      <c r="G31" s="200">
        <f>SUM(G29:G30)</f>
        <v>76145260</v>
      </c>
      <c r="I31" s="194" t="s">
        <v>330</v>
      </c>
    </row>
    <row r="32" spans="2:14" s="175" customFormat="1" ht="10.5" x14ac:dyDescent="0.5">
      <c r="B32" s="190"/>
    </row>
    <row r="33" spans="2:11" s="175" customFormat="1" ht="10.5" x14ac:dyDescent="0.5">
      <c r="B33" s="190"/>
      <c r="C33" s="202" t="s">
        <v>331</v>
      </c>
    </row>
    <row r="34" spans="2:11" s="175" customFormat="1" ht="10.5" x14ac:dyDescent="0.5">
      <c r="B34" s="190">
        <v>14</v>
      </c>
      <c r="C34" s="199" t="s">
        <v>69</v>
      </c>
      <c r="D34" s="195">
        <f>ROUND(G29/D24/1000*100,3)</f>
        <v>7.383</v>
      </c>
      <c r="E34" s="175" t="s">
        <v>111</v>
      </c>
      <c r="I34" s="194" t="s">
        <v>332</v>
      </c>
    </row>
    <row r="35" spans="2:11" s="175" customFormat="1" ht="10.5" x14ac:dyDescent="0.5">
      <c r="B35" s="190">
        <v>15</v>
      </c>
      <c r="C35" s="199" t="s">
        <v>62</v>
      </c>
      <c r="D35" s="195">
        <f>ROUND(G30/D25/1000*100,3)</f>
        <v>7.3819999999999997</v>
      </c>
      <c r="E35" s="175" t="s">
        <v>111</v>
      </c>
      <c r="I35" s="194" t="s">
        <v>333</v>
      </c>
    </row>
    <row r="36" spans="2:11" s="175" customFormat="1" ht="10.5" x14ac:dyDescent="0.5">
      <c r="B36" s="190">
        <v>16</v>
      </c>
      <c r="C36" s="199" t="s">
        <v>36</v>
      </c>
      <c r="D36" s="196">
        <f>ROUND(G31/D26/1000*100,3)</f>
        <v>7.3819999999999997</v>
      </c>
      <c r="E36" s="175" t="s">
        <v>111</v>
      </c>
      <c r="I36" s="194" t="s">
        <v>334</v>
      </c>
    </row>
    <row r="37" spans="2:11" s="175" customFormat="1" ht="10.5" x14ac:dyDescent="0.5">
      <c r="B37" s="190"/>
      <c r="C37" s="200"/>
    </row>
    <row r="38" spans="2:11" s="175" customFormat="1" ht="10.5" x14ac:dyDescent="0.5">
      <c r="B38" s="190"/>
      <c r="C38" s="191" t="s">
        <v>335</v>
      </c>
    </row>
    <row r="39" spans="2:11" s="175" customFormat="1" ht="10.5" x14ac:dyDescent="0.5">
      <c r="B39" s="190"/>
      <c r="D39" s="199" t="s">
        <v>336</v>
      </c>
      <c r="E39" s="199" t="s">
        <v>337</v>
      </c>
    </row>
    <row r="40" spans="2:11" s="175" customFormat="1" ht="10.5" x14ac:dyDescent="0.5">
      <c r="B40" s="190"/>
      <c r="D40" s="193" t="s">
        <v>296</v>
      </c>
      <c r="E40" s="193" t="s">
        <v>338</v>
      </c>
      <c r="F40" s="203"/>
      <c r="G40" s="193" t="s">
        <v>36</v>
      </c>
    </row>
    <row r="41" spans="2:11" s="175" customFormat="1" ht="10.5" x14ac:dyDescent="0.5">
      <c r="B41" s="190">
        <v>17</v>
      </c>
      <c r="C41" s="175" t="s">
        <v>301</v>
      </c>
      <c r="D41" s="175">
        <f>SUM(D9:F9)</f>
        <v>4</v>
      </c>
      <c r="E41" s="175">
        <f>'BGS Cost &amp; Bid Factors'!M466</f>
        <v>0.44400000000000001</v>
      </c>
      <c r="G41" s="175">
        <f>SUM(D41:E41)</f>
        <v>4.444</v>
      </c>
      <c r="I41" s="175" t="s">
        <v>339</v>
      </c>
    </row>
    <row r="42" spans="2:11" s="175" customFormat="1" ht="10.5" x14ac:dyDescent="0.5">
      <c r="B42" s="190">
        <v>18</v>
      </c>
      <c r="C42" s="175" t="s">
        <v>340</v>
      </c>
      <c r="D42" s="195">
        <f>D36</f>
        <v>7.3819999999999997</v>
      </c>
      <c r="E42" s="195">
        <f>'Rate Calculations'!$D$286*(100/1000)</f>
        <v>9.4920000000000009</v>
      </c>
      <c r="F42" s="195"/>
      <c r="I42" s="175" t="str">
        <f>"BGS Auction from (16)"</f>
        <v>BGS Auction from (16)</v>
      </c>
      <c r="K42" s="175" t="str">
        <f>"Note "&amp;$E$42&amp;"¢ for RFP is illustrative"</f>
        <v>Note 9.492¢ for RFP is illustrative</v>
      </c>
    </row>
    <row r="43" spans="2:11" s="175" customFormat="1" ht="10.5" x14ac:dyDescent="0.5">
      <c r="B43" s="190"/>
      <c r="D43" s="195"/>
      <c r="E43" s="196"/>
      <c r="F43" s="195"/>
    </row>
    <row r="44" spans="2:11" s="175" customFormat="1" ht="10.5" hidden="1" x14ac:dyDescent="0.5">
      <c r="B44" s="190">
        <v>19</v>
      </c>
      <c r="C44" s="175" t="s">
        <v>341</v>
      </c>
      <c r="D44" s="195">
        <f>F13</f>
        <v>0</v>
      </c>
      <c r="E44" s="195">
        <v>0</v>
      </c>
    </row>
    <row r="45" spans="2:11" s="175" customFormat="1" ht="10.5" hidden="1" x14ac:dyDescent="0.5">
      <c r="B45" s="190">
        <v>20</v>
      </c>
      <c r="C45" s="175" t="s">
        <v>336</v>
      </c>
      <c r="D45" s="195">
        <f>D42-D44</f>
        <v>7.3819999999999997</v>
      </c>
      <c r="E45" s="175">
        <f>E42-E44</f>
        <v>9.4920000000000009</v>
      </c>
      <c r="I45" s="194" t="s">
        <v>342</v>
      </c>
    </row>
    <row r="46" spans="2:11" s="175" customFormat="1" ht="11.25" thickBot="1" x14ac:dyDescent="0.65">
      <c r="B46" s="190">
        <v>19</v>
      </c>
      <c r="C46" s="194" t="s">
        <v>314</v>
      </c>
      <c r="D46" s="195">
        <f>D41/$G$41*D42</f>
        <v>6.6444644464446441</v>
      </c>
      <c r="E46" s="195">
        <f>E41/$G$41*E42</f>
        <v>0.94834563456345655</v>
      </c>
      <c r="F46" s="195"/>
      <c r="G46" s="195">
        <f>SUM(D46:E46)</f>
        <v>7.5928100810081007</v>
      </c>
      <c r="I46" s="194" t="s">
        <v>343</v>
      </c>
    </row>
    <row r="47" spans="2:11" s="175" customFormat="1" ht="11.25" hidden="1" thickBot="1" x14ac:dyDescent="0.65">
      <c r="B47" s="190">
        <v>22</v>
      </c>
      <c r="C47" s="194" t="s">
        <v>316</v>
      </c>
      <c r="D47" s="195">
        <f>D41/$G$41*D44</f>
        <v>0</v>
      </c>
      <c r="E47" s="195">
        <f>E41/$G$41*E44</f>
        <v>0</v>
      </c>
      <c r="F47" s="195"/>
      <c r="G47" s="195">
        <f>SUM(D47:E47)</f>
        <v>0</v>
      </c>
      <c r="I47" s="194" t="s">
        <v>344</v>
      </c>
    </row>
    <row r="48" spans="2:11" s="175" customFormat="1" ht="11.25" thickBot="1" x14ac:dyDescent="0.65">
      <c r="B48" s="190">
        <v>20</v>
      </c>
      <c r="C48" s="204" t="s">
        <v>345</v>
      </c>
      <c r="G48" s="205">
        <f>ROUND(G46,3)</f>
        <v>7.593</v>
      </c>
      <c r="I48" s="194" t="s">
        <v>346</v>
      </c>
    </row>
    <row r="50" spans="3:3" x14ac:dyDescent="0.6">
      <c r="C50" s="206" t="s">
        <v>347</v>
      </c>
    </row>
    <row r="51" spans="3:3" x14ac:dyDescent="0.6">
      <c r="C51" s="206" t="s">
        <v>348</v>
      </c>
    </row>
  </sheetData>
  <printOptions horizontalCentered="1"/>
  <pageMargins left="0.5" right="0.5" top="0.5" bottom="0.5" header="0.5" footer="0.5"/>
  <pageSetup scale="89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E7D5-5C50-48EB-B438-57A107183A32}">
  <sheetPr codeName="Sheet6"/>
  <dimension ref="A1:AJ286"/>
  <sheetViews>
    <sheetView workbookViewId="0"/>
  </sheetViews>
  <sheetFormatPr defaultColWidth="9.1328125" defaultRowHeight="13" x14ac:dyDescent="0.6"/>
  <cols>
    <col min="1" max="1" width="9.54296875" style="50" customWidth="1"/>
    <col min="2" max="2" width="27.86328125" style="52" customWidth="1"/>
    <col min="3" max="3" width="14.1328125" style="52" customWidth="1"/>
    <col min="4" max="4" width="14.86328125" style="52" customWidth="1"/>
    <col min="5" max="5" width="12.7265625" style="52" customWidth="1"/>
    <col min="6" max="7" width="13.40625" style="52" customWidth="1"/>
    <col min="8" max="8" width="12.7265625" style="52" customWidth="1"/>
    <col min="9" max="9" width="11.86328125" style="52" customWidth="1"/>
    <col min="10" max="10" width="12.54296875" style="52" customWidth="1"/>
    <col min="11" max="11" width="10.7265625" style="52" customWidth="1"/>
    <col min="12" max="12" width="11.7265625" style="52" customWidth="1"/>
    <col min="13" max="14" width="9.40625" style="52" customWidth="1"/>
    <col min="15" max="15" width="11.7265625" style="52" customWidth="1"/>
    <col min="16" max="17" width="9.40625" style="52" customWidth="1"/>
    <col min="18" max="18" width="11.54296875" style="52" customWidth="1"/>
    <col min="19" max="19" width="8.7265625" style="52" customWidth="1"/>
    <col min="20" max="20" width="12.7265625" style="52" customWidth="1"/>
    <col min="21" max="21" width="10.1328125" style="52" customWidth="1"/>
    <col min="22" max="26" width="8.7265625" style="52" customWidth="1"/>
    <col min="27" max="27" width="18.40625" style="52" customWidth="1"/>
    <col min="28" max="28" width="19.26953125" style="52" customWidth="1"/>
    <col min="29" max="29" width="21" style="52" customWidth="1"/>
    <col min="30" max="37" width="9.40625" style="52" customWidth="1"/>
    <col min="38" max="16384" width="9.1328125" style="52"/>
  </cols>
  <sheetData>
    <row r="1" spans="1:10" x14ac:dyDescent="0.6">
      <c r="A1" s="97" t="s">
        <v>293</v>
      </c>
    </row>
    <row r="2" spans="1:10" x14ac:dyDescent="0.6">
      <c r="A2" s="73" t="str">
        <f>'BGS Cost &amp; Bid Factors'!M1 &amp;" BGS Auction"</f>
        <v>2024 BGS Auction</v>
      </c>
    </row>
    <row r="3" spans="1:10" x14ac:dyDescent="0.6">
      <c r="A3" s="73"/>
    </row>
    <row r="4" spans="1:10" x14ac:dyDescent="0.6">
      <c r="A4" s="73"/>
    </row>
    <row r="6" spans="1:10" x14ac:dyDescent="0.6">
      <c r="A6" s="159" t="s">
        <v>349</v>
      </c>
      <c r="B6" s="61" t="s">
        <v>181</v>
      </c>
    </row>
    <row r="7" spans="1:10" x14ac:dyDescent="0.6">
      <c r="A7" s="94"/>
      <c r="B7" s="110" t="s">
        <v>350</v>
      </c>
    </row>
    <row r="8" spans="1:10" x14ac:dyDescent="0.6">
      <c r="A8" s="62"/>
    </row>
    <row r="9" spans="1:10" x14ac:dyDescent="0.6">
      <c r="A9" s="62"/>
      <c r="B9" s="73" t="s">
        <v>162</v>
      </c>
    </row>
    <row r="10" spans="1:10" x14ac:dyDescent="0.6">
      <c r="A10" s="62"/>
      <c r="B10" s="60" t="s">
        <v>351</v>
      </c>
    </row>
    <row r="11" spans="1:10" x14ac:dyDescent="0.6">
      <c r="A11" s="62"/>
      <c r="B11" s="73"/>
    </row>
    <row r="12" spans="1:10" x14ac:dyDescent="0.6">
      <c r="A12" s="62"/>
      <c r="C12" s="75" t="str">
        <f>'BGS Cost &amp; Bid Factors'!C$6</f>
        <v>SC1</v>
      </c>
      <c r="D12" s="75" t="str">
        <f>'BGS Cost &amp; Bid Factors'!D$6</f>
        <v>SC3</v>
      </c>
      <c r="E12" s="75" t="str">
        <f>'BGS Cost &amp; Bid Factors'!E$6</f>
        <v>SC2 ND</v>
      </c>
      <c r="F12" s="75" t="str">
        <f>'BGS Cost &amp; Bid Factors'!F$6</f>
        <v>SC4</v>
      </c>
      <c r="G12" s="75" t="str">
        <f>'BGS Cost &amp; Bid Factors'!G$6</f>
        <v>SC6</v>
      </c>
      <c r="H12" s="75" t="str">
        <f>'BGS Cost &amp; Bid Factors'!I$24</f>
        <v>SC1 TOD</v>
      </c>
    </row>
    <row r="13" spans="1:10" x14ac:dyDescent="0.6">
      <c r="A13" s="62"/>
      <c r="C13" s="67"/>
      <c r="D13" s="67"/>
      <c r="E13" s="67"/>
      <c r="H13" s="67"/>
    </row>
    <row r="14" spans="1:10" x14ac:dyDescent="0.6">
      <c r="A14" s="62"/>
      <c r="B14" s="69" t="s">
        <v>64</v>
      </c>
      <c r="C14" s="22">
        <f>'BGS Cost &amp; Bid Factors'!C327</f>
        <v>0.98</v>
      </c>
      <c r="D14" s="23"/>
      <c r="E14" s="22">
        <f>'BGS Cost &amp; Bid Factors'!E327</f>
        <v>0.94899999999999995</v>
      </c>
      <c r="F14" s="22">
        <f>'BGS Cost &amp; Bid Factors'!F327</f>
        <v>0.872</v>
      </c>
      <c r="G14" s="22">
        <f>'BGS Cost &amp; Bid Factors'!G327</f>
        <v>0.87</v>
      </c>
      <c r="H14" s="23"/>
      <c r="I14" s="24"/>
      <c r="J14" s="24"/>
    </row>
    <row r="15" spans="1:10" x14ac:dyDescent="0.6">
      <c r="A15" s="62"/>
      <c r="B15" s="98" t="s">
        <v>79</v>
      </c>
      <c r="C15" s="23"/>
      <c r="D15" s="22">
        <f>'BGS Cost &amp; Bid Factors'!D328</f>
        <v>1.262</v>
      </c>
      <c r="E15" s="23"/>
      <c r="F15" s="23"/>
      <c r="G15" s="23"/>
      <c r="H15" s="22">
        <f>'BGS Cost &amp; Bid Factors'!H328</f>
        <v>1.4</v>
      </c>
      <c r="I15" s="24"/>
      <c r="J15" s="24"/>
    </row>
    <row r="16" spans="1:10" x14ac:dyDescent="0.6">
      <c r="A16" s="62"/>
      <c r="B16" s="98" t="s">
        <v>80</v>
      </c>
      <c r="C16" s="23"/>
      <c r="D16" s="22">
        <f>'BGS Cost &amp; Bid Factors'!D329</f>
        <v>0.78500000000000003</v>
      </c>
      <c r="E16" s="23"/>
      <c r="F16" s="23"/>
      <c r="G16" s="23"/>
      <c r="H16" s="22">
        <f>'BGS Cost &amp; Bid Factors'!H329</f>
        <v>0.79300000000000004</v>
      </c>
      <c r="I16" s="24"/>
      <c r="J16" s="24"/>
    </row>
    <row r="17" spans="1:10" x14ac:dyDescent="0.6">
      <c r="A17" s="62"/>
      <c r="C17" s="23"/>
      <c r="D17" s="23"/>
      <c r="E17" s="23"/>
      <c r="F17" s="23"/>
      <c r="G17" s="23"/>
      <c r="H17" s="23"/>
      <c r="I17" s="24"/>
      <c r="J17" s="24"/>
    </row>
    <row r="18" spans="1:10" x14ac:dyDescent="0.6">
      <c r="A18" s="62"/>
      <c r="B18" s="117"/>
      <c r="D18" s="23"/>
      <c r="E18" s="23"/>
      <c r="F18" s="23"/>
      <c r="G18" s="23"/>
      <c r="H18" s="23"/>
      <c r="I18" s="24"/>
      <c r="J18" s="24"/>
    </row>
    <row r="19" spans="1:10" x14ac:dyDescent="0.6">
      <c r="A19" s="62"/>
      <c r="B19" s="145" t="s">
        <v>165</v>
      </c>
      <c r="C19" s="26">
        <f>'BGS Cost &amp; Bid Factors'!C332</f>
        <v>-35.22743100000001</v>
      </c>
      <c r="D19" s="23"/>
      <c r="E19" s="23"/>
      <c r="F19" s="23"/>
      <c r="G19" s="23"/>
      <c r="H19" s="23"/>
      <c r="I19" s="24"/>
      <c r="J19" s="24"/>
    </row>
    <row r="20" spans="1:10" x14ac:dyDescent="0.6">
      <c r="A20" s="62"/>
      <c r="B20" s="145" t="s">
        <v>166</v>
      </c>
      <c r="C20" s="26">
        <f>'BGS Cost &amp; Bid Factors'!C333</f>
        <v>26.542568999999986</v>
      </c>
      <c r="D20" s="23"/>
      <c r="E20" s="23"/>
      <c r="F20" s="23"/>
      <c r="G20" s="23"/>
      <c r="H20" s="23"/>
      <c r="I20" s="24"/>
      <c r="J20" s="24"/>
    </row>
    <row r="21" spans="1:10" x14ac:dyDescent="0.6">
      <c r="A21" s="62"/>
      <c r="B21" s="23"/>
      <c r="C21" s="23"/>
      <c r="D21" s="23"/>
      <c r="E21" s="23"/>
      <c r="F21" s="23"/>
      <c r="G21" s="23"/>
      <c r="H21" s="23"/>
      <c r="I21" s="24"/>
      <c r="J21" s="24"/>
    </row>
    <row r="22" spans="1:10" x14ac:dyDescent="0.6">
      <c r="A22" s="62"/>
      <c r="C22" s="23"/>
      <c r="D22" s="23"/>
      <c r="E22" s="23"/>
      <c r="F22" s="23"/>
      <c r="G22" s="23"/>
      <c r="H22" s="23"/>
      <c r="I22" s="24"/>
      <c r="J22" s="24"/>
    </row>
    <row r="23" spans="1:10" x14ac:dyDescent="0.6">
      <c r="A23" s="62"/>
      <c r="B23" s="69" t="s">
        <v>70</v>
      </c>
      <c r="C23" s="22">
        <f>'BGS Cost &amp; Bid Factors'!C336</f>
        <v>1.1499999999999999</v>
      </c>
      <c r="D23" s="23"/>
      <c r="E23" s="22">
        <f>'BGS Cost &amp; Bid Factors'!E336</f>
        <v>1.073</v>
      </c>
      <c r="F23" s="22">
        <f>'BGS Cost &amp; Bid Factors'!F336</f>
        <v>1.0089999999999999</v>
      </c>
      <c r="G23" s="22">
        <f>'BGS Cost &amp; Bid Factors'!G336</f>
        <v>0.997</v>
      </c>
      <c r="H23" s="23"/>
      <c r="I23" s="24"/>
      <c r="J23" s="24"/>
    </row>
    <row r="24" spans="1:10" x14ac:dyDescent="0.6">
      <c r="A24" s="62"/>
      <c r="B24" s="98" t="s">
        <v>79</v>
      </c>
      <c r="C24" s="23"/>
      <c r="D24" s="22">
        <f>'BGS Cost &amp; Bid Factors'!D337</f>
        <v>1.399</v>
      </c>
      <c r="E24" s="23"/>
      <c r="F24" s="23"/>
      <c r="G24" s="23"/>
      <c r="H24" s="22">
        <f>'BGS Cost &amp; Bid Factors'!H337</f>
        <v>1.708</v>
      </c>
      <c r="I24" s="24"/>
      <c r="J24" s="24"/>
    </row>
    <row r="25" spans="1:10" x14ac:dyDescent="0.6">
      <c r="A25" s="62"/>
      <c r="B25" s="98" t="s">
        <v>80</v>
      </c>
      <c r="C25" s="23"/>
      <c r="D25" s="22">
        <f>'BGS Cost &amp; Bid Factors'!D338</f>
        <v>0.97699999999999998</v>
      </c>
      <c r="E25" s="23"/>
      <c r="F25" s="23"/>
      <c r="G25" s="23"/>
      <c r="H25" s="22">
        <f>'BGS Cost &amp; Bid Factors'!H338</f>
        <v>0.97099999999999997</v>
      </c>
      <c r="I25" s="24"/>
      <c r="J25" s="24"/>
    </row>
    <row r="26" spans="1:10" x14ac:dyDescent="0.6">
      <c r="A26" s="62"/>
      <c r="C26" s="24"/>
      <c r="D26" s="24"/>
      <c r="E26" s="24"/>
      <c r="F26" s="24"/>
      <c r="G26" s="24"/>
      <c r="H26" s="24"/>
      <c r="I26" s="24"/>
      <c r="J26" s="24"/>
    </row>
    <row r="27" spans="1:10" x14ac:dyDescent="0.6">
      <c r="A27" s="62"/>
      <c r="B27" s="52" t="s">
        <v>167</v>
      </c>
      <c r="C27" s="27">
        <f>'BGS Cost &amp; Bid Factors'!C340</f>
        <v>1.0760000000000001</v>
      </c>
      <c r="D27" s="27">
        <f>'BGS Cost &amp; Bid Factors'!D340</f>
        <v>1.0720000000000001</v>
      </c>
      <c r="E27" s="27">
        <f>'BGS Cost &amp; Bid Factors'!E340</f>
        <v>1.0382629502533325</v>
      </c>
      <c r="F27" s="27">
        <f>'BGS Cost &amp; Bid Factors'!F340</f>
        <v>0.97099999999999997</v>
      </c>
      <c r="G27" s="27">
        <f>'BGS Cost &amp; Bid Factors'!G340</f>
        <v>0.96099999999999997</v>
      </c>
      <c r="H27" s="27">
        <f>'BGS Cost &amp; Bid Factors'!H340</f>
        <v>1.0760000000000001</v>
      </c>
      <c r="I27" s="24"/>
      <c r="J27" s="24"/>
    </row>
    <row r="28" spans="1:10" x14ac:dyDescent="0.6">
      <c r="A28" s="62"/>
    </row>
    <row r="29" spans="1:10" x14ac:dyDescent="0.6">
      <c r="A29" s="62"/>
    </row>
    <row r="30" spans="1:10" x14ac:dyDescent="0.6">
      <c r="A30" s="62"/>
      <c r="B30" s="73" t="s">
        <v>168</v>
      </c>
    </row>
    <row r="31" spans="1:10" x14ac:dyDescent="0.6">
      <c r="A31" s="62"/>
      <c r="B31" s="60" t="s">
        <v>182</v>
      </c>
    </row>
    <row r="32" spans="1:10" x14ac:dyDescent="0.6">
      <c r="A32" s="62"/>
    </row>
    <row r="33" spans="1:12" x14ac:dyDescent="0.6">
      <c r="A33" s="62"/>
      <c r="C33" s="117" t="str">
        <f>'BGS Cost &amp; Bid Factors'!H6</f>
        <v>SC2 Dem</v>
      </c>
      <c r="D33" s="117" t="str">
        <f>+C33</f>
        <v>SC2 Dem</v>
      </c>
      <c r="E33" s="67"/>
      <c r="F33" s="67"/>
      <c r="G33" s="146" t="s">
        <v>132</v>
      </c>
    </row>
    <row r="34" spans="1:12" x14ac:dyDescent="0.6">
      <c r="A34" s="62"/>
      <c r="C34" s="75" t="s">
        <v>170</v>
      </c>
      <c r="D34" s="153" t="s">
        <v>171</v>
      </c>
      <c r="E34" s="67"/>
      <c r="F34" s="67"/>
      <c r="G34" s="88"/>
    </row>
    <row r="35" spans="1:12" x14ac:dyDescent="0.6">
      <c r="A35" s="62"/>
      <c r="B35" s="69" t="s">
        <v>64</v>
      </c>
      <c r="C35" s="22">
        <f>'BGS Cost &amp; Bid Factors'!C348</f>
        <v>1.0109999999999999</v>
      </c>
      <c r="D35" s="22">
        <f>'BGS Cost &amp; Bid Factors'!D348</f>
        <v>-9.2349061628379587</v>
      </c>
      <c r="F35" s="99"/>
      <c r="G35" s="124" t="s">
        <v>133</v>
      </c>
    </row>
    <row r="36" spans="1:12" x14ac:dyDescent="0.6">
      <c r="A36" s="62"/>
      <c r="B36" s="98"/>
      <c r="C36" s="27"/>
      <c r="D36" s="154"/>
      <c r="E36" s="25"/>
      <c r="F36" s="149"/>
      <c r="G36" s="88"/>
    </row>
    <row r="37" spans="1:12" x14ac:dyDescent="0.6">
      <c r="A37" s="62"/>
      <c r="B37" s="98"/>
      <c r="C37" s="27"/>
      <c r="D37" s="154"/>
      <c r="E37" s="25"/>
      <c r="F37" s="149"/>
      <c r="G37" s="88"/>
      <c r="H37" s="75">
        <f>'BGS Cost &amp; Bid Factors'!G212</f>
        <v>0</v>
      </c>
      <c r="I37" s="75" t="str">
        <f>'BGS Cost &amp; Bid Factors'!H212</f>
        <v>&lt; 5 kW</v>
      </c>
      <c r="J37" s="75" t="str">
        <f>'BGS Cost &amp; Bid Factors'!I212</f>
        <v>&gt; 5 kW</v>
      </c>
      <c r="K37" s="75"/>
    </row>
    <row r="38" spans="1:12" x14ac:dyDescent="0.6">
      <c r="A38" s="62"/>
      <c r="C38" s="27"/>
      <c r="D38" s="154"/>
      <c r="E38" s="23"/>
      <c r="F38" s="149"/>
      <c r="G38" s="88"/>
    </row>
    <row r="39" spans="1:12" x14ac:dyDescent="0.6">
      <c r="A39" s="62"/>
      <c r="B39" s="69" t="s">
        <v>70</v>
      </c>
      <c r="C39" s="22">
        <f>'BGS Cost &amp; Bid Factors'!C352</f>
        <v>1.1220000000000001</v>
      </c>
      <c r="D39" s="22">
        <f>'BGS Cost &amp; Bid Factors'!D352</f>
        <v>-8.4456862668465362</v>
      </c>
      <c r="E39" s="25"/>
      <c r="F39" s="149"/>
      <c r="G39" s="150" t="s">
        <v>98</v>
      </c>
      <c r="H39" s="18">
        <f>'BGS Cost &amp; Bid Factors'!H352</f>
        <v>0</v>
      </c>
      <c r="I39" s="18">
        <f>'BGS Cost &amp; Bid Factors'!I352</f>
        <v>1.5840000000000001</v>
      </c>
      <c r="J39" s="18">
        <f>'BGS Cost &amp; Bid Factors'!J352</f>
        <v>1.5840000000000001</v>
      </c>
    </row>
    <row r="40" spans="1:12" x14ac:dyDescent="0.6">
      <c r="A40" s="62"/>
      <c r="B40" s="98"/>
      <c r="C40" s="27"/>
      <c r="D40" s="155"/>
      <c r="E40" s="25"/>
      <c r="F40" s="149"/>
      <c r="G40" s="150" t="s">
        <v>104</v>
      </c>
      <c r="H40" s="18">
        <f>'BGS Cost &amp; Bid Factors'!H353</f>
        <v>0</v>
      </c>
      <c r="I40" s="18">
        <f>'BGS Cost &amp; Bid Factors'!I353</f>
        <v>1.4870000000000001</v>
      </c>
      <c r="J40" s="18">
        <f>'BGS Cost &amp; Bid Factors'!J353</f>
        <v>1.4870000000000001</v>
      </c>
    </row>
    <row r="41" spans="1:12" x14ac:dyDescent="0.6">
      <c r="A41" s="62"/>
      <c r="B41" s="98"/>
      <c r="C41" s="27"/>
      <c r="D41" s="155"/>
      <c r="E41" s="25"/>
      <c r="F41" s="149"/>
      <c r="G41" s="150"/>
      <c r="H41" s="10"/>
      <c r="I41" s="108"/>
    </row>
    <row r="42" spans="1:12" x14ac:dyDescent="0.6">
      <c r="A42" s="62"/>
      <c r="C42" s="29"/>
      <c r="D42" s="155"/>
      <c r="E42" s="24"/>
      <c r="G42" s="151"/>
    </row>
    <row r="43" spans="1:12" x14ac:dyDescent="0.6">
      <c r="A43" s="62"/>
      <c r="B43" s="52" t="s">
        <v>151</v>
      </c>
      <c r="C43" s="22">
        <f>'BGS Cost &amp; Bid Factors'!C356</f>
        <v>1.0820000000000001</v>
      </c>
      <c r="D43" s="155"/>
      <c r="E43" s="24"/>
      <c r="G43" s="150"/>
      <c r="H43" s="10"/>
      <c r="I43" s="108"/>
    </row>
    <row r="44" spans="1:12" x14ac:dyDescent="0.6">
      <c r="A44" s="62"/>
    </row>
    <row r="46" spans="1:12" x14ac:dyDescent="0.6">
      <c r="A46" s="159" t="s">
        <v>352</v>
      </c>
      <c r="B46" s="61" t="s">
        <v>353</v>
      </c>
    </row>
    <row r="48" spans="1:12" x14ac:dyDescent="0.6">
      <c r="B48" s="50" t="s">
        <v>354</v>
      </c>
      <c r="D48" s="207">
        <f>'Weighted Avg Price Calc'!G48*10</f>
        <v>75.930000000000007</v>
      </c>
      <c r="E48" s="110" t="s">
        <v>355</v>
      </c>
      <c r="F48" s="110" t="s">
        <v>260</v>
      </c>
      <c r="K48" s="175" t="s">
        <v>233</v>
      </c>
      <c r="L48" s="170">
        <f>'BGS Cost &amp; Bid Factors'!M464</f>
        <v>42.26</v>
      </c>
    </row>
    <row r="49" spans="2:13" x14ac:dyDescent="0.6">
      <c r="B49" s="50" t="s">
        <v>261</v>
      </c>
      <c r="D49" s="179">
        <v>0</v>
      </c>
      <c r="E49" s="110" t="s">
        <v>356</v>
      </c>
      <c r="F49" s="52" t="s">
        <v>262</v>
      </c>
      <c r="K49" s="175" t="s">
        <v>235</v>
      </c>
      <c r="L49" s="170">
        <f>'BGS Cost &amp; Bid Factors'!M465</f>
        <v>95.142499999999998</v>
      </c>
    </row>
    <row r="50" spans="2:13" x14ac:dyDescent="0.6">
      <c r="B50" s="50" t="s">
        <v>263</v>
      </c>
      <c r="D50" s="99">
        <f>D48+D49</f>
        <v>75.930000000000007</v>
      </c>
      <c r="E50" s="110" t="s">
        <v>117</v>
      </c>
      <c r="K50" s="175" t="s">
        <v>237</v>
      </c>
      <c r="L50" s="52">
        <f>ROUND(L48/L49,3)</f>
        <v>0.44400000000000001</v>
      </c>
    </row>
    <row r="51" spans="2:13" x14ac:dyDescent="0.6">
      <c r="L51" s="171"/>
    </row>
    <row r="52" spans="2:13" x14ac:dyDescent="0.6">
      <c r="D52" s="180"/>
      <c r="K52" s="175" t="s">
        <v>241</v>
      </c>
      <c r="L52" s="171">
        <f>'BGS Cost &amp; Bid Factors'!D223-'BGS Cost &amp; Bid Factors'!D318</f>
        <v>15.905027743146505</v>
      </c>
      <c r="M52" s="52" t="s">
        <v>242</v>
      </c>
    </row>
    <row r="53" spans="2:13" x14ac:dyDescent="0.6">
      <c r="B53" s="116" t="s">
        <v>265</v>
      </c>
      <c r="K53" s="175" t="s">
        <v>244</v>
      </c>
      <c r="L53" s="171">
        <f>L55</f>
        <v>1.59</v>
      </c>
      <c r="M53" s="52" t="s">
        <v>242</v>
      </c>
    </row>
    <row r="54" spans="2:13" x14ac:dyDescent="0.6">
      <c r="K54" s="175" t="s">
        <v>246</v>
      </c>
      <c r="L54" s="170">
        <f>L52-L53</f>
        <v>14.315027743146505</v>
      </c>
      <c r="M54" s="52" t="s">
        <v>242</v>
      </c>
    </row>
    <row r="55" spans="2:13" x14ac:dyDescent="0.6">
      <c r="C55" s="75" t="str">
        <f>'BGS Cost &amp; Bid Factors'!C$6</f>
        <v>SC1</v>
      </c>
      <c r="D55" s="75" t="str">
        <f>'BGS Cost &amp; Bid Factors'!D$6</f>
        <v>SC3</v>
      </c>
      <c r="E55" s="75" t="str">
        <f>'BGS Cost &amp; Bid Factors'!E$6</f>
        <v>SC2 ND</v>
      </c>
      <c r="F55" s="75" t="str">
        <f>'BGS Cost &amp; Bid Factors'!F$6</f>
        <v>SC4</v>
      </c>
      <c r="G55" s="75" t="str">
        <f>'BGS Cost &amp; Bid Factors'!G$6</f>
        <v>SC6</v>
      </c>
      <c r="H55" s="75" t="str">
        <f>'BGS Cost &amp; Bid Factors'!H$6</f>
        <v>SC2 Dem</v>
      </c>
      <c r="I55" s="75" t="str">
        <f>'BGS Cost &amp; Bid Factors'!I$24</f>
        <v>SC1 TOD</v>
      </c>
      <c r="L55" s="181">
        <f>ROUND(L50/(4+L50)*L52,2)</f>
        <v>1.59</v>
      </c>
    </row>
    <row r="56" spans="2:13" x14ac:dyDescent="0.6">
      <c r="B56" s="182" t="s">
        <v>69</v>
      </c>
    </row>
    <row r="57" spans="2:13" x14ac:dyDescent="0.6">
      <c r="B57" s="79" t="s">
        <v>266</v>
      </c>
      <c r="C57" s="185">
        <f>ROUND(($D$50*C14)/10,3)</f>
        <v>7.4409999999999998</v>
      </c>
      <c r="D57" s="113"/>
      <c r="E57" s="113">
        <f>ROUND(E14*$D$50/10,3)</f>
        <v>7.2060000000000004</v>
      </c>
      <c r="F57" s="113">
        <f>ROUND(F14*$D$50/10,3)</f>
        <v>6.6210000000000004</v>
      </c>
      <c r="G57" s="113">
        <f>ROUND(G14*$D$50/10,3)</f>
        <v>6.6059999999999999</v>
      </c>
      <c r="H57" s="113">
        <f>ROUND((C35*$D$50+D35)/10,3)</f>
        <v>6.7530000000000001</v>
      </c>
      <c r="I57" s="113"/>
    </row>
    <row r="58" spans="2:13" x14ac:dyDescent="0.6">
      <c r="B58" s="79" t="s">
        <v>267</v>
      </c>
      <c r="C58" s="113"/>
      <c r="D58" s="113">
        <f>ROUND(D15*$D$50/10,3)</f>
        <v>9.5820000000000007</v>
      </c>
      <c r="E58" s="113"/>
      <c r="F58" s="113"/>
      <c r="G58" s="113"/>
      <c r="H58" s="113"/>
      <c r="I58" s="113">
        <f>ROUND(H15*$D$50/10,3)</f>
        <v>10.63</v>
      </c>
    </row>
    <row r="59" spans="2:13" x14ac:dyDescent="0.6">
      <c r="B59" s="79" t="s">
        <v>268</v>
      </c>
      <c r="C59" s="113"/>
      <c r="D59" s="113">
        <f>ROUND(D16*$D$50/10,3)</f>
        <v>5.9610000000000003</v>
      </c>
      <c r="E59" s="113"/>
      <c r="F59" s="113"/>
      <c r="G59" s="113"/>
      <c r="H59" s="113"/>
      <c r="I59" s="113">
        <f>ROUND(H16*$D$50/10,3)</f>
        <v>6.0209999999999999</v>
      </c>
    </row>
    <row r="60" spans="2:13" x14ac:dyDescent="0.6">
      <c r="B60" s="77" t="s">
        <v>41</v>
      </c>
      <c r="C60" s="185">
        <f>ROUND(($D$50*C14+C19)/10,3)</f>
        <v>3.9180000000000001</v>
      </c>
      <c r="D60" s="113"/>
      <c r="E60" s="113"/>
      <c r="F60" s="113"/>
      <c r="G60" s="113"/>
      <c r="H60" s="113"/>
      <c r="I60" s="113"/>
    </row>
    <row r="61" spans="2:13" x14ac:dyDescent="0.6">
      <c r="B61" s="79" t="s">
        <v>42</v>
      </c>
      <c r="C61" s="113">
        <f>ROUND(($D$50*C14+C20)/10,3)</f>
        <v>10.095000000000001</v>
      </c>
      <c r="D61" s="113"/>
      <c r="E61" s="113"/>
      <c r="F61" s="113"/>
      <c r="G61" s="113"/>
      <c r="H61" s="113"/>
      <c r="I61" s="113"/>
    </row>
    <row r="62" spans="2:13" x14ac:dyDescent="0.6">
      <c r="B62" s="113"/>
      <c r="C62" s="113"/>
      <c r="D62" s="113"/>
      <c r="E62" s="113"/>
      <c r="F62" s="113"/>
      <c r="G62" s="113"/>
      <c r="H62" s="113"/>
      <c r="I62" s="113"/>
    </row>
    <row r="63" spans="2:13" x14ac:dyDescent="0.6">
      <c r="C63" s="113"/>
      <c r="D63" s="113"/>
      <c r="E63" s="113"/>
      <c r="F63" s="113"/>
      <c r="G63" s="113"/>
      <c r="H63" s="113"/>
      <c r="I63" s="113"/>
    </row>
    <row r="64" spans="2:13" x14ac:dyDescent="0.6">
      <c r="B64" s="77" t="s">
        <v>269</v>
      </c>
      <c r="C64" s="113"/>
      <c r="D64" s="113"/>
      <c r="E64" s="113"/>
      <c r="F64" s="113"/>
      <c r="G64" s="113"/>
      <c r="H64" s="113">
        <f>'BGS Cost &amp; Bid Factors'!H213</f>
        <v>1.5840000000000001</v>
      </c>
      <c r="I64" s="113"/>
    </row>
    <row r="65" spans="1:12" x14ac:dyDescent="0.6">
      <c r="B65" s="77" t="s">
        <v>357</v>
      </c>
      <c r="C65" s="113"/>
      <c r="D65" s="113"/>
      <c r="E65" s="113"/>
      <c r="F65" s="113"/>
      <c r="G65" s="113"/>
      <c r="H65" s="113">
        <f>'BGS Cost &amp; Bid Factors'!I213</f>
        <v>1.5840000000000001</v>
      </c>
      <c r="I65" s="113"/>
    </row>
    <row r="66" spans="1:12" x14ac:dyDescent="0.6">
      <c r="C66" s="113"/>
      <c r="D66" s="113"/>
      <c r="E66" s="113"/>
      <c r="F66" s="113"/>
      <c r="G66" s="113"/>
      <c r="H66" s="113"/>
      <c r="I66" s="113"/>
    </row>
    <row r="67" spans="1:12" x14ac:dyDescent="0.6">
      <c r="B67" s="182" t="s">
        <v>62</v>
      </c>
      <c r="C67" s="113"/>
      <c r="D67" s="113"/>
      <c r="E67" s="113"/>
      <c r="F67" s="113"/>
      <c r="G67" s="113"/>
      <c r="H67" s="113"/>
      <c r="I67" s="113"/>
    </row>
    <row r="68" spans="1:12" x14ac:dyDescent="0.6">
      <c r="B68" s="79" t="s">
        <v>266</v>
      </c>
      <c r="C68" s="113">
        <f>ROUND(C23*$D$50/10,3)</f>
        <v>8.7319999999999993</v>
      </c>
      <c r="D68" s="113"/>
      <c r="E68" s="113">
        <f>ROUND(E23*$D$50/10,3)</f>
        <v>8.1470000000000002</v>
      </c>
      <c r="F68" s="113">
        <f>ROUND(F23*$D$50/10,3)</f>
        <v>7.6609999999999996</v>
      </c>
      <c r="G68" s="113">
        <f>ROUND(G23*$D$50/10,3)</f>
        <v>7.57</v>
      </c>
      <c r="H68" s="113">
        <f>ROUND((C39*$D$50+D39)/10,3)</f>
        <v>7.6749999999999998</v>
      </c>
      <c r="I68" s="113"/>
    </row>
    <row r="69" spans="1:12" x14ac:dyDescent="0.6">
      <c r="B69" s="79" t="s">
        <v>267</v>
      </c>
      <c r="C69" s="113"/>
      <c r="D69" s="113">
        <f>ROUND(D24*$D$50/10,3)</f>
        <v>10.622999999999999</v>
      </c>
      <c r="E69" s="113"/>
      <c r="F69" s="113"/>
      <c r="G69" s="113"/>
      <c r="H69" s="113"/>
      <c r="I69" s="113">
        <f>ROUND(H24*$D$50/10,3)</f>
        <v>12.968999999999999</v>
      </c>
    </row>
    <row r="70" spans="1:12" x14ac:dyDescent="0.6">
      <c r="B70" s="79" t="s">
        <v>268</v>
      </c>
      <c r="C70" s="113"/>
      <c r="D70" s="113">
        <f>ROUND(D25*$D$50/10,3)</f>
        <v>7.4180000000000001</v>
      </c>
      <c r="E70" s="113"/>
      <c r="F70" s="113"/>
      <c r="G70" s="113"/>
      <c r="H70" s="113"/>
      <c r="I70" s="113">
        <f>ROUND(H25*$D$50/10,3)</f>
        <v>7.3730000000000002</v>
      </c>
    </row>
    <row r="71" spans="1:12" x14ac:dyDescent="0.6">
      <c r="C71" s="113"/>
      <c r="D71" s="113"/>
      <c r="E71" s="113"/>
      <c r="F71" s="113"/>
      <c r="G71" s="113"/>
      <c r="H71" s="113"/>
      <c r="I71" s="113"/>
    </row>
    <row r="72" spans="1:12" x14ac:dyDescent="0.6">
      <c r="B72" s="77" t="s">
        <v>269</v>
      </c>
      <c r="C72" s="113"/>
      <c r="D72" s="113"/>
      <c r="E72" s="113"/>
      <c r="F72" s="113"/>
      <c r="G72" s="113"/>
      <c r="H72" s="113">
        <f>'BGS Cost &amp; Bid Factors'!H214</f>
        <v>1.4870000000000001</v>
      </c>
      <c r="I72" s="113"/>
    </row>
    <row r="73" spans="1:12" x14ac:dyDescent="0.6">
      <c r="B73" s="77" t="s">
        <v>270</v>
      </c>
      <c r="C73" s="113"/>
      <c r="D73" s="113"/>
      <c r="E73" s="113"/>
      <c r="F73" s="113"/>
      <c r="G73" s="113"/>
      <c r="H73" s="113">
        <f>'BGS Cost &amp; Bid Factors'!I214</f>
        <v>1.4870000000000001</v>
      </c>
      <c r="I73" s="113"/>
    </row>
    <row r="74" spans="1:12" x14ac:dyDescent="0.6">
      <c r="B74" s="77"/>
      <c r="C74" s="113"/>
      <c r="D74" s="113"/>
      <c r="E74" s="113"/>
      <c r="F74" s="113"/>
      <c r="G74" s="113"/>
      <c r="H74" s="113"/>
      <c r="I74" s="113"/>
    </row>
    <row r="75" spans="1:12" x14ac:dyDescent="0.6">
      <c r="B75" s="77"/>
      <c r="H75" s="101"/>
      <c r="I75" s="101"/>
    </row>
    <row r="76" spans="1:12" x14ac:dyDescent="0.6">
      <c r="A76" s="159" t="s">
        <v>358</v>
      </c>
      <c r="B76" s="61" t="s">
        <v>359</v>
      </c>
      <c r="H76" s="101"/>
      <c r="I76" s="101"/>
    </row>
    <row r="77" spans="1:12" ht="13.75" thickBot="1" x14ac:dyDescent="0.75">
      <c r="B77" s="77"/>
      <c r="H77" s="101"/>
      <c r="I77" s="101"/>
    </row>
    <row r="78" spans="1:12" x14ac:dyDescent="0.6">
      <c r="C78" s="75" t="str">
        <f>'BGS Cost &amp; Bid Factors'!C$6</f>
        <v>SC1</v>
      </c>
      <c r="D78" s="75" t="str">
        <f>'BGS Cost &amp; Bid Factors'!D$6</f>
        <v>SC3</v>
      </c>
      <c r="E78" s="75" t="str">
        <f>'BGS Cost &amp; Bid Factors'!E$6</f>
        <v>SC2 ND</v>
      </c>
      <c r="F78" s="75" t="str">
        <f>'BGS Cost &amp; Bid Factors'!F$6</f>
        <v>SC4</v>
      </c>
      <c r="G78" s="75" t="str">
        <f>'BGS Cost &amp; Bid Factors'!G$6</f>
        <v>SC6</v>
      </c>
      <c r="H78" s="75" t="str">
        <f>'BGS Cost &amp; Bid Factors'!H$6</f>
        <v>SC2 Dem</v>
      </c>
      <c r="I78" s="75" t="str">
        <f>'BGS Cost &amp; Bid Factors'!I$24</f>
        <v>SC1 TOD</v>
      </c>
      <c r="J78" s="101"/>
      <c r="K78" s="137" t="s">
        <v>154</v>
      </c>
      <c r="L78" s="138"/>
    </row>
    <row r="79" spans="1:12" x14ac:dyDescent="0.6">
      <c r="B79" s="110" t="s">
        <v>288</v>
      </c>
      <c r="J79" s="101"/>
      <c r="K79" s="139"/>
      <c r="L79" s="140" t="s">
        <v>157</v>
      </c>
    </row>
    <row r="80" spans="1:12" x14ac:dyDescent="0.6">
      <c r="B80" s="95" t="s">
        <v>69</v>
      </c>
      <c r="C80" s="14">
        <f>ROUND((C57*'BGS Cost &amp; Bid Factors'!L$48)/100,0)</f>
        <v>22659</v>
      </c>
      <c r="D80" s="13">
        <f>ROUND((D58*'BGS Cost &amp; Bid Factors'!M$49+D59*'BGS Cost &amp; Bid Factors'!M$50)/100,0)</f>
        <v>10</v>
      </c>
      <c r="E80" s="14">
        <f>ROUND((E57*'BGS Cost &amp; Bid Factors'!N$48)/100,0)</f>
        <v>311</v>
      </c>
      <c r="F80" s="14">
        <f>ROUND((F57*'BGS Cost &amp; Bid Factors'!O$48)/100,0)</f>
        <v>116</v>
      </c>
      <c r="G80" s="14">
        <f>ROUND((G57*'BGS Cost &amp; Bid Factors'!P$48)/100,0)</f>
        <v>94</v>
      </c>
      <c r="H80" s="13">
        <f>ROUND(H57*'BGS Cost &amp; Bid Factors'!Q$48/100+(H64*($L$80/4*'BGS Cost &amp; Bid Factors'!H$144)+H65*($L$80/4*'BGS Cost &amp; Bid Factors'!H$144))/1000,0)</f>
        <v>9340</v>
      </c>
      <c r="I80" s="13">
        <f>ROUND((I58*'BGS Cost &amp; Bid Factors'!R$49+I59*'BGS Cost &amp; Bid Factors'!R$50)/100,0)</f>
        <v>22665</v>
      </c>
      <c r="J80" s="101"/>
      <c r="K80" s="139" t="s">
        <v>69</v>
      </c>
      <c r="L80" s="141">
        <v>354685.57153681235</v>
      </c>
    </row>
    <row r="81" spans="2:12" ht="13.75" thickBot="1" x14ac:dyDescent="0.75">
      <c r="B81" s="95" t="s">
        <v>62</v>
      </c>
      <c r="C81" s="42">
        <f>ROUND(C68*'BGS Cost &amp; Bid Factors'!L$44/100,0)</f>
        <v>34425</v>
      </c>
      <c r="D81" s="43">
        <f>ROUND((D69*'BGS Cost &amp; Bid Factors'!M$45+D70*'BGS Cost &amp; Bid Factors'!M$46)/100,0)</f>
        <v>18</v>
      </c>
      <c r="E81" s="42">
        <f>ROUND(E68*'BGS Cost &amp; Bid Factors'!N$44/100,0)</f>
        <v>920</v>
      </c>
      <c r="F81" s="42">
        <f>ROUND(F68*'BGS Cost &amp; Bid Factors'!O$44/100,0)</f>
        <v>350</v>
      </c>
      <c r="G81" s="42">
        <f>ROUND(G68*'BGS Cost &amp; Bid Factors'!P$44/100,0)</f>
        <v>269</v>
      </c>
      <c r="H81" s="43">
        <f>ROUND(H68*'BGS Cost &amp; Bid Factors'!Q$44/100+(H72*($L$81/8*'BGS Cost &amp; Bid Factors'!H$145)++H73*($L$81/8*'BGS Cost &amp; Bid Factors'!H$145))/1000,0)</f>
        <v>18479</v>
      </c>
      <c r="I81" s="43">
        <f>ROUND((I69*'BGS Cost &amp; Bid Factors'!R$45+I70*'BGS Cost &amp; Bid Factors'!R$46)/100,0)</f>
        <v>34432</v>
      </c>
      <c r="J81" s="101"/>
      <c r="K81" s="142" t="s">
        <v>62</v>
      </c>
      <c r="L81" s="143">
        <v>615972.07066094549</v>
      </c>
    </row>
    <row r="82" spans="2:12" x14ac:dyDescent="0.6">
      <c r="B82" s="95" t="s">
        <v>36</v>
      </c>
      <c r="C82" s="100">
        <f t="shared" ref="C82:I82" si="0">+C81+C80</f>
        <v>57084</v>
      </c>
      <c r="D82" s="100">
        <f t="shared" si="0"/>
        <v>28</v>
      </c>
      <c r="E82" s="100">
        <f t="shared" si="0"/>
        <v>1231</v>
      </c>
      <c r="F82" s="100">
        <f t="shared" si="0"/>
        <v>466</v>
      </c>
      <c r="G82" s="100">
        <f t="shared" si="0"/>
        <v>363</v>
      </c>
      <c r="H82" s="100">
        <f t="shared" si="0"/>
        <v>27819</v>
      </c>
      <c r="I82" s="100">
        <f t="shared" si="0"/>
        <v>57097</v>
      </c>
      <c r="J82" s="101"/>
    </row>
    <row r="83" spans="2:12" x14ac:dyDescent="0.6">
      <c r="B83" s="95"/>
      <c r="C83" s="100"/>
      <c r="D83" s="100"/>
      <c r="E83" s="100"/>
      <c r="F83" s="100"/>
      <c r="G83" s="100"/>
      <c r="H83" s="100"/>
      <c r="I83" s="101"/>
    </row>
    <row r="84" spans="2:12" x14ac:dyDescent="0.6">
      <c r="B84" s="95" t="s">
        <v>36</v>
      </c>
      <c r="C84" s="100"/>
      <c r="D84" s="100"/>
      <c r="E84" s="100"/>
      <c r="F84" s="100"/>
      <c r="G84" s="100"/>
      <c r="H84" s="100"/>
      <c r="I84" s="101"/>
    </row>
    <row r="85" spans="2:12" x14ac:dyDescent="0.6">
      <c r="B85" s="95" t="s">
        <v>69</v>
      </c>
      <c r="C85" s="100">
        <f>SUM(C80:H80)</f>
        <v>32530</v>
      </c>
      <c r="D85" s="100"/>
      <c r="E85" s="100"/>
      <c r="G85" s="100"/>
      <c r="H85" s="100"/>
      <c r="I85" s="101"/>
    </row>
    <row r="86" spans="2:12" x14ac:dyDescent="0.6">
      <c r="B86" s="95" t="s">
        <v>62</v>
      </c>
      <c r="C86" s="187">
        <f>SUM(C81:H81)</f>
        <v>54461</v>
      </c>
      <c r="D86" s="24"/>
      <c r="I86" s="101"/>
    </row>
    <row r="87" spans="2:12" x14ac:dyDescent="0.6">
      <c r="B87" s="95" t="s">
        <v>36</v>
      </c>
      <c r="C87" s="100">
        <f>+C86+C85</f>
        <v>86991</v>
      </c>
      <c r="D87" s="24"/>
      <c r="I87" s="101"/>
    </row>
    <row r="88" spans="2:12" x14ac:dyDescent="0.6">
      <c r="B88" s="95"/>
      <c r="C88" s="100"/>
      <c r="E88" s="24"/>
      <c r="J88" s="101"/>
    </row>
    <row r="89" spans="2:12" x14ac:dyDescent="0.6">
      <c r="C89" s="24"/>
      <c r="D89" s="24"/>
      <c r="E89" s="24"/>
      <c r="F89" s="24"/>
      <c r="G89" s="24"/>
      <c r="H89" s="24"/>
      <c r="I89" s="24"/>
      <c r="J89" s="101"/>
    </row>
    <row r="90" spans="2:12" x14ac:dyDescent="0.6">
      <c r="B90" s="182" t="s">
        <v>360</v>
      </c>
      <c r="C90" s="24"/>
      <c r="D90" s="24"/>
      <c r="E90" s="24"/>
      <c r="F90" s="24"/>
      <c r="G90" s="24"/>
      <c r="H90" s="24"/>
      <c r="I90" s="24"/>
      <c r="J90" s="101"/>
    </row>
    <row r="91" spans="2:12" x14ac:dyDescent="0.6">
      <c r="C91" s="24"/>
      <c r="D91" s="24"/>
      <c r="E91" s="24"/>
      <c r="F91" s="24"/>
      <c r="G91" s="24"/>
      <c r="H91" s="24"/>
      <c r="I91" s="24"/>
      <c r="J91" s="101"/>
    </row>
    <row r="92" spans="2:12" ht="15.25" x14ac:dyDescent="1.05">
      <c r="B92" s="52" t="s">
        <v>361</v>
      </c>
      <c r="C92" s="45" t="s">
        <v>36</v>
      </c>
      <c r="D92" s="45" t="s">
        <v>341</v>
      </c>
      <c r="E92" s="45" t="s">
        <v>362</v>
      </c>
      <c r="F92" s="24"/>
      <c r="G92" s="23"/>
      <c r="H92" s="24"/>
      <c r="I92" s="24"/>
      <c r="J92" s="101"/>
    </row>
    <row r="93" spans="2:12" x14ac:dyDescent="0.6">
      <c r="B93" s="95" t="s">
        <v>69</v>
      </c>
      <c r="C93" s="100">
        <f>'Weighted Avg Price Calc'!G$29/1000</f>
        <v>31030.111000000001</v>
      </c>
      <c r="D93" s="156"/>
      <c r="E93" s="100">
        <f>C93-D93</f>
        <v>31030.111000000001</v>
      </c>
      <c r="F93" s="24"/>
      <c r="G93" s="23">
        <f>ROUND('BGS Cost &amp; Bid Factors'!$C$147*SUM('BGS Cost &amp; Bid Factors'!$C$141:$H$141)/12*'BGS Cost &amp; Bid Factors'!H$144/1000*'BGS Cost &amp; Bid Factors'!D447,0)</f>
        <v>5802</v>
      </c>
      <c r="H93" s="24"/>
      <c r="I93" s="24"/>
      <c r="J93" s="101"/>
    </row>
    <row r="94" spans="2:12" ht="15.25" x14ac:dyDescent="1.05">
      <c r="B94" s="95" t="s">
        <v>62</v>
      </c>
      <c r="C94" s="208">
        <f>'Weighted Avg Price Calc'!G$30/1000</f>
        <v>45115.148999999998</v>
      </c>
      <c r="D94" s="208"/>
      <c r="E94" s="208">
        <f>C94-D94</f>
        <v>45115.148999999998</v>
      </c>
      <c r="F94" s="24"/>
      <c r="G94" s="23">
        <f>ROUND('BGS Cost &amp; Bid Factors'!$C$147*SUM('BGS Cost &amp; Bid Factors'!$C$141:$H$141)/12*'BGS Cost &amp; Bid Factors'!H$145/1000*'BGS Cost &amp; Bid Factors'!F459,0)</f>
        <v>11605</v>
      </c>
      <c r="H94" s="24"/>
      <c r="I94" s="24"/>
      <c r="J94" s="101"/>
    </row>
    <row r="95" spans="2:12" x14ac:dyDescent="0.6">
      <c r="B95" s="95" t="s">
        <v>36</v>
      </c>
      <c r="C95" s="100">
        <f>+C94+C93</f>
        <v>76145.259999999995</v>
      </c>
      <c r="D95" s="100">
        <f>D93+D94</f>
        <v>0</v>
      </c>
      <c r="E95" s="100">
        <f>E93+E94</f>
        <v>76145.259999999995</v>
      </c>
      <c r="F95" s="24"/>
      <c r="G95" s="23"/>
      <c r="H95" s="24"/>
      <c r="I95" s="24"/>
      <c r="J95" s="101"/>
    </row>
    <row r="96" spans="2:12" x14ac:dyDescent="0.6">
      <c r="C96" s="24"/>
      <c r="D96" s="24"/>
      <c r="E96" s="24"/>
      <c r="F96" s="24"/>
      <c r="G96" s="24"/>
      <c r="H96" s="24"/>
      <c r="I96" s="24"/>
      <c r="J96" s="101"/>
    </row>
    <row r="97" spans="2:10" ht="15.25" x14ac:dyDescent="1.05">
      <c r="B97" s="52" t="s">
        <v>363</v>
      </c>
      <c r="C97" s="45" t="s">
        <v>36</v>
      </c>
      <c r="D97" s="45" t="s">
        <v>341</v>
      </c>
      <c r="E97" s="45" t="s">
        <v>362</v>
      </c>
      <c r="F97" s="24"/>
      <c r="G97" s="24"/>
      <c r="H97" s="24"/>
      <c r="I97" s="24"/>
      <c r="J97" s="101"/>
    </row>
    <row r="98" spans="2:10" x14ac:dyDescent="0.6">
      <c r="B98" s="95" t="s">
        <v>69</v>
      </c>
      <c r="C98" s="100">
        <f>ROUND($E$251*1000*'Weighted Avg Price Calc'!E42/100/1000,0)</f>
        <v>4470</v>
      </c>
      <c r="D98" s="100">
        <v>0</v>
      </c>
      <c r="E98" s="100">
        <f>C98-D98</f>
        <v>4470</v>
      </c>
      <c r="F98" s="24"/>
      <c r="G98" s="24"/>
      <c r="H98" s="24"/>
      <c r="I98" s="24"/>
      <c r="J98" s="101"/>
    </row>
    <row r="99" spans="2:10" ht="15.25" x14ac:dyDescent="1.05">
      <c r="B99" s="95" t="s">
        <v>62</v>
      </c>
      <c r="C99" s="208">
        <f>ROUND($E$252*1000*'Weighted Avg Price Calc'!E42/100/1000,0)</f>
        <v>6439</v>
      </c>
      <c r="D99" s="208">
        <v>0</v>
      </c>
      <c r="E99" s="208">
        <f>C99-D99</f>
        <v>6439</v>
      </c>
      <c r="F99" s="24"/>
      <c r="G99" s="24"/>
      <c r="H99" s="24"/>
      <c r="I99" s="24"/>
      <c r="J99" s="101"/>
    </row>
    <row r="100" spans="2:10" x14ac:dyDescent="0.6">
      <c r="B100" s="95" t="s">
        <v>36</v>
      </c>
      <c r="C100" s="100">
        <f>+C99+C98</f>
        <v>10909</v>
      </c>
      <c r="D100" s="100">
        <f>D98+D99</f>
        <v>0</v>
      </c>
      <c r="E100" s="100">
        <f>E98+E99</f>
        <v>10909</v>
      </c>
      <c r="F100" s="24"/>
      <c r="G100" s="24"/>
      <c r="H100" s="24"/>
      <c r="I100" s="24"/>
      <c r="J100" s="101"/>
    </row>
    <row r="101" spans="2:10" x14ac:dyDescent="0.6">
      <c r="C101" s="24"/>
      <c r="D101" s="24"/>
      <c r="E101" s="24"/>
      <c r="F101" s="24"/>
      <c r="G101" s="24"/>
      <c r="H101" s="24"/>
      <c r="I101" s="24"/>
      <c r="J101" s="101"/>
    </row>
    <row r="102" spans="2:10" ht="15.25" x14ac:dyDescent="1.05">
      <c r="B102" s="52" t="s">
        <v>364</v>
      </c>
      <c r="C102" s="45" t="s">
        <v>36</v>
      </c>
      <c r="D102" s="45" t="s">
        <v>341</v>
      </c>
      <c r="E102" s="45" t="s">
        <v>362</v>
      </c>
      <c r="F102" s="24"/>
      <c r="G102" s="24"/>
      <c r="H102" s="24"/>
      <c r="I102" s="24"/>
      <c r="J102" s="101"/>
    </row>
    <row r="103" spans="2:10" x14ac:dyDescent="0.6">
      <c r="B103" s="95" t="s">
        <v>69</v>
      </c>
      <c r="C103" s="100">
        <f>C93+C98</f>
        <v>35500.111000000004</v>
      </c>
      <c r="D103" s="100">
        <f>D93+D98</f>
        <v>0</v>
      </c>
      <c r="E103" s="100">
        <f>C103-D103</f>
        <v>35500.111000000004</v>
      </c>
      <c r="J103" s="101"/>
    </row>
    <row r="104" spans="2:10" ht="15.25" x14ac:dyDescent="1.05">
      <c r="B104" s="95" t="s">
        <v>62</v>
      </c>
      <c r="C104" s="208">
        <f>C94+C99</f>
        <v>51554.148999999998</v>
      </c>
      <c r="D104" s="208">
        <f>D94+D99</f>
        <v>0</v>
      </c>
      <c r="E104" s="208">
        <f>C104-D104</f>
        <v>51554.148999999998</v>
      </c>
      <c r="J104" s="101"/>
    </row>
    <row r="105" spans="2:10" x14ac:dyDescent="0.6">
      <c r="B105" s="95" t="s">
        <v>36</v>
      </c>
      <c r="C105" s="100">
        <f>+C104+C103</f>
        <v>87054.260000000009</v>
      </c>
      <c r="D105" s="100">
        <f>+D104+D103</f>
        <v>0</v>
      </c>
      <c r="E105" s="100">
        <f>E103+E104</f>
        <v>87054.260000000009</v>
      </c>
      <c r="J105" s="101"/>
    </row>
    <row r="106" spans="2:10" x14ac:dyDescent="0.6">
      <c r="C106" s="24"/>
      <c r="D106" s="44"/>
      <c r="E106" s="24"/>
      <c r="F106" s="180"/>
      <c r="G106" s="77" t="s">
        <v>365</v>
      </c>
      <c r="J106" s="101"/>
    </row>
    <row r="107" spans="2:10" x14ac:dyDescent="0.6">
      <c r="B107" s="52" t="s">
        <v>292</v>
      </c>
      <c r="C107" s="77" t="s">
        <v>336</v>
      </c>
      <c r="D107" s="77" t="s">
        <v>336</v>
      </c>
      <c r="E107" s="77"/>
      <c r="G107" s="77" t="s">
        <v>366</v>
      </c>
      <c r="J107" s="101"/>
    </row>
    <row r="108" spans="2:10" x14ac:dyDescent="0.6">
      <c r="B108" s="77"/>
      <c r="C108" s="165" t="s">
        <v>367</v>
      </c>
      <c r="D108" s="165" t="s">
        <v>368</v>
      </c>
      <c r="E108" s="165" t="s">
        <v>369</v>
      </c>
      <c r="G108" s="165" t="s">
        <v>370</v>
      </c>
      <c r="I108" s="101"/>
      <c r="J108" s="101"/>
    </row>
    <row r="109" spans="2:10" x14ac:dyDescent="0.6">
      <c r="B109" s="95" t="s">
        <v>69</v>
      </c>
      <c r="C109" s="100">
        <f>C85</f>
        <v>32530</v>
      </c>
      <c r="D109" s="100">
        <f>E103</f>
        <v>35500.111000000004</v>
      </c>
      <c r="E109" s="100">
        <f>D109-C109</f>
        <v>2970.1110000000044</v>
      </c>
      <c r="G109" s="73">
        <f>ROUND(1+E109/C85,5)</f>
        <v>1.0912999999999999</v>
      </c>
      <c r="I109" s="101"/>
      <c r="J109" s="101"/>
    </row>
    <row r="110" spans="2:10" x14ac:dyDescent="0.6">
      <c r="B110" s="95" t="s">
        <v>62</v>
      </c>
      <c r="C110" s="187">
        <f>C86</f>
        <v>54461</v>
      </c>
      <c r="D110" s="187">
        <f>E104</f>
        <v>51554.148999999998</v>
      </c>
      <c r="E110" s="187">
        <f>D110-C110</f>
        <v>-2906.8510000000024</v>
      </c>
      <c r="G110" s="73">
        <f>ROUND(1+E110/C86,5)</f>
        <v>0.94662999999999997</v>
      </c>
      <c r="I110" s="101"/>
      <c r="J110" s="101"/>
    </row>
    <row r="111" spans="2:10" x14ac:dyDescent="0.6">
      <c r="B111" s="95" t="s">
        <v>36</v>
      </c>
      <c r="C111" s="100">
        <f>+C110+C109</f>
        <v>86991</v>
      </c>
      <c r="D111" s="100">
        <f>+D110+D109</f>
        <v>87054.260000000009</v>
      </c>
      <c r="E111" s="100">
        <f>+E110+E109</f>
        <v>63.260000000002037</v>
      </c>
      <c r="I111" s="101"/>
      <c r="J111" s="101"/>
    </row>
    <row r="112" spans="2:10" x14ac:dyDescent="0.6">
      <c r="B112" s="77"/>
      <c r="I112" s="101"/>
      <c r="J112" s="101"/>
    </row>
    <row r="113" spans="1:36" x14ac:dyDescent="0.6">
      <c r="A113" s="159" t="s">
        <v>371</v>
      </c>
      <c r="B113" s="61" t="s">
        <v>372</v>
      </c>
    </row>
    <row r="114" spans="1:36" x14ac:dyDescent="0.6">
      <c r="A114" s="159"/>
      <c r="B114" s="61"/>
    </row>
    <row r="115" spans="1:36" x14ac:dyDescent="0.6">
      <c r="A115" s="159"/>
      <c r="B115" s="61"/>
    </row>
    <row r="116" spans="1:36" x14ac:dyDescent="0.6">
      <c r="B116" s="97" t="s">
        <v>373</v>
      </c>
      <c r="K116" s="97" t="s">
        <v>374</v>
      </c>
      <c r="T116" s="97" t="s">
        <v>369</v>
      </c>
      <c r="AC116" s="97" t="s">
        <v>369</v>
      </c>
    </row>
    <row r="117" spans="1:36" x14ac:dyDescent="0.6">
      <c r="B117" s="73"/>
      <c r="K117" s="73"/>
      <c r="T117" s="73"/>
      <c r="AC117" s="73"/>
    </row>
    <row r="118" spans="1:36" x14ac:dyDescent="0.6">
      <c r="C118" s="75" t="str">
        <f>'BGS Cost &amp; Bid Factors'!C$6</f>
        <v>SC1</v>
      </c>
      <c r="D118" s="75" t="str">
        <f>'BGS Cost &amp; Bid Factors'!D$6</f>
        <v>SC3</v>
      </c>
      <c r="E118" s="75" t="str">
        <f>'BGS Cost &amp; Bid Factors'!E$6</f>
        <v>SC2 ND</v>
      </c>
      <c r="F118" s="75" t="str">
        <f>'BGS Cost &amp; Bid Factors'!F$6</f>
        <v>SC4</v>
      </c>
      <c r="G118" s="75" t="str">
        <f>'BGS Cost &amp; Bid Factors'!G$6</f>
        <v>SC6</v>
      </c>
      <c r="H118" s="75" t="str">
        <f>'BGS Cost &amp; Bid Factors'!H$6</f>
        <v>SC2 Dem</v>
      </c>
      <c r="I118" s="75" t="str">
        <f>'BGS Cost &amp; Bid Factors'!I$24</f>
        <v>SC1 TOD</v>
      </c>
      <c r="J118" s="67"/>
      <c r="L118" s="75" t="s">
        <v>7</v>
      </c>
      <c r="M118" s="75" t="s">
        <v>8</v>
      </c>
      <c r="N118" s="75" t="s">
        <v>9</v>
      </c>
      <c r="O118" s="75" t="s">
        <v>10</v>
      </c>
      <c r="P118" s="75" t="s">
        <v>11</v>
      </c>
      <c r="Q118" s="75" t="s">
        <v>12</v>
      </c>
      <c r="T118" s="75" t="s">
        <v>7</v>
      </c>
      <c r="U118" s="75" t="s">
        <v>8</v>
      </c>
      <c r="V118" s="75" t="s">
        <v>9</v>
      </c>
      <c r="W118" s="75" t="s">
        <v>10</v>
      </c>
      <c r="X118" s="75" t="s">
        <v>11</v>
      </c>
      <c r="Y118" s="75" t="s">
        <v>12</v>
      </c>
      <c r="AB118" s="75" t="s">
        <v>7</v>
      </c>
      <c r="AC118" s="75"/>
      <c r="AD118" s="75" t="s">
        <v>8</v>
      </c>
      <c r="AE118" s="75" t="s">
        <v>9</v>
      </c>
      <c r="AF118" s="75" t="s">
        <v>10</v>
      </c>
      <c r="AG118" s="75" t="s">
        <v>11</v>
      </c>
      <c r="AH118" s="75" t="s">
        <v>12</v>
      </c>
      <c r="AI118" s="75"/>
      <c r="AJ118" s="75"/>
    </row>
    <row r="119" spans="1:36" x14ac:dyDescent="0.6">
      <c r="C119" s="67"/>
      <c r="D119" s="67"/>
      <c r="E119" s="67"/>
      <c r="F119" s="67"/>
      <c r="G119" s="67"/>
      <c r="H119" s="67"/>
      <c r="I119" s="67"/>
      <c r="J119" s="67"/>
      <c r="L119" s="67"/>
      <c r="M119" s="67"/>
      <c r="N119" s="67"/>
      <c r="O119" s="67"/>
      <c r="P119" s="67"/>
      <c r="Q119" s="67"/>
      <c r="T119" s="67"/>
      <c r="U119" s="67"/>
      <c r="V119" s="67"/>
      <c r="W119" s="67"/>
      <c r="X119" s="67"/>
      <c r="Y119" s="67"/>
      <c r="AB119" s="67"/>
      <c r="AC119" s="67"/>
      <c r="AD119" s="67"/>
      <c r="AE119" s="67"/>
      <c r="AF119" s="67"/>
      <c r="AG119" s="67"/>
      <c r="AH119" s="67"/>
      <c r="AI119" s="67"/>
      <c r="AJ119" s="67"/>
    </row>
    <row r="120" spans="1:36" x14ac:dyDescent="0.6">
      <c r="B120" s="182" t="s">
        <v>69</v>
      </c>
      <c r="K120" s="182" t="s">
        <v>69</v>
      </c>
      <c r="S120" s="182" t="s">
        <v>69</v>
      </c>
      <c r="AA120" s="182" t="s">
        <v>69</v>
      </c>
    </row>
    <row r="121" spans="1:36" x14ac:dyDescent="0.6">
      <c r="B121" s="79" t="s">
        <v>266</v>
      </c>
      <c r="C121" s="209">
        <f>ROUND(C57*$G$109,3)</f>
        <v>8.1199999999999992</v>
      </c>
      <c r="D121" s="184"/>
      <c r="E121" s="209">
        <f>ROUND(E57*$G$109,3)</f>
        <v>7.8639999999999999</v>
      </c>
      <c r="F121" s="209">
        <f>ROUND(F57*$G$109,3)</f>
        <v>7.2249999999999996</v>
      </c>
      <c r="G121" s="209">
        <f>ROUND(G57*$G$109,3)</f>
        <v>7.2089999999999996</v>
      </c>
      <c r="H121" s="209">
        <f>ROUND(H57*$G$109,3)</f>
        <v>7.37</v>
      </c>
      <c r="I121" s="209"/>
      <c r="J121" s="113"/>
      <c r="K121" s="110" t="s">
        <v>266</v>
      </c>
      <c r="L121" s="209">
        <v>9.5500000000000007</v>
      </c>
      <c r="M121" s="184"/>
      <c r="N121" s="209">
        <v>9.7089999999999996</v>
      </c>
      <c r="O121" s="209">
        <v>5.8860000000000001</v>
      </c>
      <c r="P121" s="209">
        <v>5.8860000000000001</v>
      </c>
      <c r="Q121" s="209">
        <v>7.4980000000000002</v>
      </c>
      <c r="S121" s="110" t="s">
        <v>266</v>
      </c>
      <c r="T121" s="209">
        <f>C121-L121</f>
        <v>-1.4300000000000015</v>
      </c>
      <c r="U121" s="184"/>
      <c r="V121" s="209">
        <f>E121-N121</f>
        <v>-1.8449999999999998</v>
      </c>
      <c r="W121" s="209">
        <f>F121-O121</f>
        <v>1.3389999999999995</v>
      </c>
      <c r="X121" s="209">
        <f>G121-P121</f>
        <v>1.3229999999999995</v>
      </c>
      <c r="Y121" s="209">
        <f>H121-Q121</f>
        <v>-0.12800000000000011</v>
      </c>
      <c r="AA121" s="110" t="s">
        <v>266</v>
      </c>
      <c r="AB121" s="9">
        <f>T121/L121</f>
        <v>-0.1497382198952881</v>
      </c>
      <c r="AC121" s="184"/>
      <c r="AD121" s="9">
        <f>V121/N121</f>
        <v>-0.19002986919353176</v>
      </c>
      <c r="AE121" s="9">
        <f>W121/O121</f>
        <v>0.22748895684675494</v>
      </c>
      <c r="AF121" s="9">
        <f>X121/P121</f>
        <v>0.22477064220183476</v>
      </c>
      <c r="AG121" s="9">
        <f>Y121/Q121</f>
        <v>-1.7071218991731144E-2</v>
      </c>
      <c r="AH121" s="9"/>
      <c r="AI121" s="9"/>
      <c r="AJ121" s="9"/>
    </row>
    <row r="122" spans="1:36" x14ac:dyDescent="0.6">
      <c r="B122" s="79" t="s">
        <v>267</v>
      </c>
      <c r="C122" s="184"/>
      <c r="D122" s="209">
        <f>ROUND(D58*$G$109,3)</f>
        <v>10.457000000000001</v>
      </c>
      <c r="E122" s="184"/>
      <c r="F122" s="184"/>
      <c r="G122" s="184"/>
      <c r="H122" s="184"/>
      <c r="I122" s="209">
        <f>ROUND(I58*$G$109,3)</f>
        <v>11.601000000000001</v>
      </c>
      <c r="J122" s="113"/>
      <c r="K122" s="110" t="s">
        <v>267</v>
      </c>
      <c r="L122" s="184"/>
      <c r="M122" s="209">
        <v>14.58</v>
      </c>
      <c r="N122" s="184"/>
      <c r="O122" s="184"/>
      <c r="P122" s="184"/>
      <c r="Q122" s="184"/>
      <c r="S122" s="110" t="s">
        <v>267</v>
      </c>
      <c r="T122" s="184"/>
      <c r="U122" s="209">
        <f>D122-M122</f>
        <v>-4.1229999999999993</v>
      </c>
      <c r="V122" s="184"/>
      <c r="W122" s="184"/>
      <c r="X122" s="184"/>
      <c r="Y122" s="184"/>
      <c r="AA122" s="110" t="s">
        <v>267</v>
      </c>
      <c r="AB122" s="184"/>
      <c r="AC122" s="9">
        <f>U122/M122</f>
        <v>-0.28278463648834012</v>
      </c>
      <c r="AD122" s="184"/>
      <c r="AE122" s="184"/>
      <c r="AF122" s="184"/>
      <c r="AG122" s="184"/>
      <c r="AH122" s="184"/>
      <c r="AI122" s="184"/>
      <c r="AJ122" s="184"/>
    </row>
    <row r="123" spans="1:36" x14ac:dyDescent="0.6">
      <c r="B123" s="79" t="s">
        <v>268</v>
      </c>
      <c r="C123" s="184"/>
      <c r="D123" s="209">
        <f>ROUND(D59*$G$109,3)</f>
        <v>6.5049999999999999</v>
      </c>
      <c r="E123" s="184"/>
      <c r="F123" s="184"/>
      <c r="G123" s="184"/>
      <c r="H123" s="184"/>
      <c r="I123" s="209">
        <f>ROUND(I59*$G$109,3)</f>
        <v>6.5709999999999997</v>
      </c>
      <c r="J123" s="113"/>
      <c r="K123" s="110" t="s">
        <v>268</v>
      </c>
      <c r="L123" s="184"/>
      <c r="M123" s="209">
        <v>5.7709999999999999</v>
      </c>
      <c r="N123" s="184"/>
      <c r="O123" s="184"/>
      <c r="P123" s="184"/>
      <c r="Q123" s="184"/>
      <c r="S123" s="110" t="s">
        <v>268</v>
      </c>
      <c r="T123" s="184"/>
      <c r="U123" s="209">
        <f>D123-M123</f>
        <v>0.73399999999999999</v>
      </c>
      <c r="V123" s="184"/>
      <c r="W123" s="184"/>
      <c r="X123" s="184"/>
      <c r="Y123" s="184"/>
      <c r="AA123" s="110" t="s">
        <v>268</v>
      </c>
      <c r="AB123" s="184"/>
      <c r="AC123" s="9">
        <f>U123/M123</f>
        <v>0.12718766245018195</v>
      </c>
      <c r="AD123" s="184"/>
      <c r="AE123" s="184"/>
      <c r="AF123" s="184"/>
      <c r="AG123" s="184"/>
      <c r="AH123" s="184"/>
      <c r="AI123" s="184"/>
      <c r="AJ123" s="184"/>
    </row>
    <row r="124" spans="1:36" x14ac:dyDescent="0.6">
      <c r="B124" s="77" t="s">
        <v>41</v>
      </c>
      <c r="C124" s="209">
        <f>ROUND(C60*$G$109,3)</f>
        <v>4.2759999999999998</v>
      </c>
      <c r="D124" s="184"/>
      <c r="E124" s="184"/>
      <c r="F124" s="184"/>
      <c r="G124" s="184"/>
      <c r="H124" s="184"/>
      <c r="I124" s="184"/>
      <c r="J124" s="113"/>
      <c r="K124" s="50" t="s">
        <v>41</v>
      </c>
      <c r="L124" s="209">
        <v>8.4120000000000008</v>
      </c>
      <c r="M124" s="184"/>
      <c r="N124" s="184"/>
      <c r="O124" s="184"/>
      <c r="P124" s="184"/>
      <c r="Q124" s="184"/>
      <c r="S124" s="50" t="s">
        <v>41</v>
      </c>
      <c r="T124" s="209">
        <f>C124-L124</f>
        <v>-4.136000000000001</v>
      </c>
      <c r="U124" s="184"/>
      <c r="V124" s="184"/>
      <c r="W124" s="184"/>
      <c r="X124" s="184"/>
      <c r="Y124" s="184"/>
      <c r="AA124" s="50" t="s">
        <v>41</v>
      </c>
      <c r="AB124" s="9">
        <f>T124/L124</f>
        <v>-0.49167855444602954</v>
      </c>
      <c r="AC124" s="184"/>
      <c r="AD124" s="184"/>
      <c r="AE124" s="184"/>
      <c r="AF124" s="184"/>
      <c r="AG124" s="184"/>
      <c r="AH124" s="184"/>
      <c r="AI124" s="184"/>
      <c r="AJ124" s="184"/>
    </row>
    <row r="125" spans="1:36" x14ac:dyDescent="0.6">
      <c r="B125" s="79" t="s">
        <v>42</v>
      </c>
      <c r="C125" s="209">
        <f>ROUND(C61*$G$109,3)</f>
        <v>11.016999999999999</v>
      </c>
      <c r="D125" s="184"/>
      <c r="E125" s="184"/>
      <c r="F125" s="184"/>
      <c r="G125" s="184"/>
      <c r="H125" s="184"/>
      <c r="I125" s="184"/>
      <c r="J125" s="113"/>
      <c r="K125" s="110" t="s">
        <v>42</v>
      </c>
      <c r="L125" s="209">
        <v>9.8390000000000004</v>
      </c>
      <c r="M125" s="184"/>
      <c r="N125" s="184"/>
      <c r="O125" s="184"/>
      <c r="P125" s="184"/>
      <c r="Q125" s="184"/>
      <c r="S125" s="110" t="s">
        <v>42</v>
      </c>
      <c r="T125" s="209">
        <f>C125-L125</f>
        <v>1.177999999999999</v>
      </c>
      <c r="U125" s="184"/>
      <c r="V125" s="184"/>
      <c r="W125" s="184"/>
      <c r="X125" s="184"/>
      <c r="Y125" s="184"/>
      <c r="AA125" s="110" t="s">
        <v>42</v>
      </c>
      <c r="AB125" s="9">
        <f>T125/L125</f>
        <v>0.11972761459497906</v>
      </c>
      <c r="AC125" s="184"/>
      <c r="AD125" s="184"/>
      <c r="AE125" s="184"/>
      <c r="AF125" s="184"/>
      <c r="AG125" s="184"/>
      <c r="AH125" s="184"/>
      <c r="AI125" s="184"/>
      <c r="AJ125" s="184"/>
    </row>
    <row r="126" spans="1:36" x14ac:dyDescent="0.6">
      <c r="B126" s="184"/>
      <c r="C126" s="184"/>
      <c r="D126" s="184"/>
      <c r="E126" s="184"/>
      <c r="F126" s="184"/>
      <c r="G126" s="184"/>
      <c r="H126" s="184"/>
      <c r="I126" s="184"/>
      <c r="J126" s="113"/>
      <c r="K126" s="110" t="s">
        <v>43</v>
      </c>
      <c r="L126" s="210" t="s">
        <v>375</v>
      </c>
      <c r="M126" s="184"/>
      <c r="N126" s="184"/>
      <c r="O126" s="184"/>
      <c r="P126" s="184"/>
      <c r="Q126" s="184"/>
      <c r="S126" s="110" t="s">
        <v>43</v>
      </c>
      <c r="T126" s="210" t="s">
        <v>375</v>
      </c>
      <c r="U126" s="184"/>
      <c r="V126" s="184"/>
      <c r="W126" s="184"/>
      <c r="X126" s="184"/>
      <c r="Y126" s="184"/>
      <c r="AA126" s="110" t="s">
        <v>43</v>
      </c>
      <c r="AB126" s="210" t="s">
        <v>375</v>
      </c>
      <c r="AC126" s="184"/>
      <c r="AD126" s="184"/>
      <c r="AE126" s="184"/>
      <c r="AF126" s="184"/>
      <c r="AG126" s="184"/>
      <c r="AH126" s="184"/>
      <c r="AI126" s="184"/>
      <c r="AJ126" s="184"/>
    </row>
    <row r="127" spans="1:36" x14ac:dyDescent="0.6">
      <c r="C127" s="184"/>
      <c r="D127" s="184"/>
      <c r="E127" s="184"/>
      <c r="F127" s="184"/>
      <c r="G127" s="184"/>
      <c r="H127" s="184"/>
      <c r="I127" s="184"/>
      <c r="L127" s="184"/>
      <c r="M127" s="184"/>
      <c r="N127" s="184"/>
      <c r="O127" s="184"/>
      <c r="P127" s="184"/>
      <c r="Q127" s="184"/>
      <c r="T127" s="184"/>
      <c r="U127" s="184"/>
      <c r="V127" s="184"/>
      <c r="W127" s="184"/>
      <c r="X127" s="184"/>
      <c r="Y127" s="184"/>
      <c r="AA127" s="50"/>
      <c r="AB127" s="184"/>
      <c r="AC127" s="184"/>
      <c r="AD127" s="184"/>
      <c r="AE127" s="184"/>
      <c r="AF127" s="184"/>
      <c r="AG127" s="184"/>
      <c r="AH127" s="184"/>
      <c r="AI127" s="184"/>
      <c r="AJ127" s="184"/>
    </row>
    <row r="128" spans="1:36" x14ac:dyDescent="0.6">
      <c r="B128" s="77" t="s">
        <v>269</v>
      </c>
      <c r="C128" s="184"/>
      <c r="D128" s="184"/>
      <c r="E128" s="184"/>
      <c r="F128" s="184"/>
      <c r="G128" s="184"/>
      <c r="H128" s="209">
        <f>ROUND(H64*$G$109,3)</f>
        <v>1.7290000000000001</v>
      </c>
      <c r="I128" s="209"/>
      <c r="J128" s="101"/>
      <c r="K128" s="50" t="s">
        <v>280</v>
      </c>
      <c r="L128" s="184"/>
      <c r="M128" s="184"/>
      <c r="N128" s="184"/>
      <c r="O128" s="184"/>
      <c r="P128" s="184"/>
      <c r="Q128" s="209">
        <v>5.4420000000000002</v>
      </c>
      <c r="S128" s="50" t="s">
        <v>280</v>
      </c>
      <c r="T128" s="184"/>
      <c r="U128" s="184"/>
      <c r="V128" s="184"/>
      <c r="W128" s="184"/>
      <c r="X128" s="184"/>
      <c r="Y128" s="209">
        <f>H128-Q128</f>
        <v>-3.7130000000000001</v>
      </c>
      <c r="AA128" s="50" t="s">
        <v>280</v>
      </c>
      <c r="AB128" s="184"/>
      <c r="AC128" s="184"/>
      <c r="AD128" s="184"/>
      <c r="AE128" s="184"/>
      <c r="AF128" s="184"/>
      <c r="AG128" s="9">
        <f>Y128/Q128</f>
        <v>-0.68228592429253954</v>
      </c>
      <c r="AH128" s="9"/>
      <c r="AI128" s="9"/>
      <c r="AJ128" s="9"/>
    </row>
    <row r="129" spans="2:36" x14ac:dyDescent="0.6">
      <c r="B129" s="77" t="s">
        <v>270</v>
      </c>
      <c r="C129" s="184"/>
      <c r="D129" s="184"/>
      <c r="E129" s="184"/>
      <c r="F129" s="184"/>
      <c r="G129" s="184"/>
      <c r="H129" s="209">
        <f>ROUND(H65*$G$109,3)</f>
        <v>1.7290000000000001</v>
      </c>
      <c r="I129" s="209"/>
      <c r="J129" s="101"/>
      <c r="L129" s="184"/>
      <c r="M129" s="184"/>
      <c r="N129" s="184"/>
      <c r="O129" s="184"/>
      <c r="P129" s="184"/>
      <c r="Q129" s="184"/>
      <c r="T129" s="184"/>
      <c r="U129" s="184"/>
      <c r="V129" s="184"/>
      <c r="W129" s="184"/>
      <c r="X129" s="184"/>
      <c r="Y129" s="184"/>
      <c r="AA129" s="50"/>
      <c r="AB129" s="184"/>
      <c r="AC129" s="184"/>
      <c r="AD129" s="184"/>
      <c r="AE129" s="184"/>
      <c r="AF129" s="184"/>
      <c r="AG129" s="184"/>
      <c r="AH129" s="184"/>
      <c r="AI129" s="184"/>
      <c r="AJ129" s="184"/>
    </row>
    <row r="130" spans="2:36" x14ac:dyDescent="0.6">
      <c r="C130" s="184"/>
      <c r="D130" s="184"/>
      <c r="E130" s="184"/>
      <c r="F130" s="184"/>
      <c r="G130" s="184"/>
      <c r="H130" s="184"/>
      <c r="I130" s="184"/>
      <c r="K130" s="182" t="s">
        <v>62</v>
      </c>
      <c r="L130" s="184"/>
      <c r="M130" s="184"/>
      <c r="N130" s="184"/>
      <c r="O130" s="184"/>
      <c r="P130" s="184"/>
      <c r="Q130" s="184"/>
      <c r="S130" s="182" t="s">
        <v>62</v>
      </c>
      <c r="T130" s="184"/>
      <c r="U130" s="184"/>
      <c r="V130" s="184"/>
      <c r="W130" s="184"/>
      <c r="X130" s="184"/>
      <c r="Y130" s="184"/>
      <c r="AA130" s="119" t="s">
        <v>62</v>
      </c>
      <c r="AB130" s="184"/>
      <c r="AC130" s="184"/>
      <c r="AD130" s="184"/>
      <c r="AE130" s="184"/>
      <c r="AF130" s="184"/>
      <c r="AG130" s="184"/>
      <c r="AH130" s="184"/>
      <c r="AI130" s="184"/>
      <c r="AJ130" s="184"/>
    </row>
    <row r="131" spans="2:36" x14ac:dyDescent="0.6">
      <c r="B131" s="182" t="s">
        <v>62</v>
      </c>
      <c r="C131" s="184"/>
      <c r="D131" s="184"/>
      <c r="E131" s="184"/>
      <c r="F131" s="184"/>
      <c r="G131" s="184"/>
      <c r="H131" s="184"/>
      <c r="I131" s="184"/>
      <c r="K131" s="110" t="s">
        <v>266</v>
      </c>
      <c r="L131" s="209">
        <v>9.7379999999999995</v>
      </c>
      <c r="M131" s="184"/>
      <c r="N131" s="209">
        <v>8.1769999999999996</v>
      </c>
      <c r="O131" s="209">
        <v>5.8460000000000001</v>
      </c>
      <c r="P131" s="209">
        <v>5.8209999999999997</v>
      </c>
      <c r="Q131" s="209">
        <v>6.7539999999999996</v>
      </c>
      <c r="S131" s="110" t="s">
        <v>266</v>
      </c>
      <c r="T131" s="209">
        <f>C132-L131</f>
        <v>-1.4719999999999995</v>
      </c>
      <c r="U131" s="184"/>
      <c r="V131" s="209">
        <f>E132-N131</f>
        <v>-0.46499999999999986</v>
      </c>
      <c r="W131" s="209">
        <f>F132-O131</f>
        <v>1.4059999999999997</v>
      </c>
      <c r="X131" s="209">
        <f>G132-P131</f>
        <v>1.3450000000000006</v>
      </c>
      <c r="Y131" s="209">
        <f>H132-Q131</f>
        <v>0.51100000000000012</v>
      </c>
      <c r="AA131" s="110" t="s">
        <v>266</v>
      </c>
      <c r="AB131" s="9">
        <f>T131/L131</f>
        <v>-0.15116040254672414</v>
      </c>
      <c r="AC131" s="184"/>
      <c r="AD131" s="9">
        <f>V131/N131</f>
        <v>-5.686682157270391E-2</v>
      </c>
      <c r="AE131" s="9">
        <f>W131/O131</f>
        <v>0.240506329113924</v>
      </c>
      <c r="AF131" s="9">
        <f>X131/P131</f>
        <v>0.23105995533413515</v>
      </c>
      <c r="AG131" s="9">
        <f>Y131/Q131</f>
        <v>7.5658868818477956E-2</v>
      </c>
      <c r="AH131" s="9"/>
      <c r="AI131" s="9"/>
      <c r="AJ131" s="9"/>
    </row>
    <row r="132" spans="2:36" x14ac:dyDescent="0.6">
      <c r="B132" s="79" t="s">
        <v>266</v>
      </c>
      <c r="C132" s="209">
        <f>ROUND(C68*$G$110,3)</f>
        <v>8.266</v>
      </c>
      <c r="D132" s="184"/>
      <c r="E132" s="209">
        <f>ROUND(E68*$G$110,3)</f>
        <v>7.7119999999999997</v>
      </c>
      <c r="F132" s="209">
        <f>ROUND(F68*$G$110,3)</f>
        <v>7.2519999999999998</v>
      </c>
      <c r="G132" s="209">
        <f>ROUND(G68*$G$110,3)</f>
        <v>7.1660000000000004</v>
      </c>
      <c r="H132" s="209">
        <f>ROUND(H68*$G$110,3)</f>
        <v>7.2649999999999997</v>
      </c>
      <c r="I132" s="209"/>
      <c r="K132" s="110" t="s">
        <v>267</v>
      </c>
      <c r="L132" s="184"/>
      <c r="M132" s="209">
        <v>12.37</v>
      </c>
      <c r="N132" s="184"/>
      <c r="O132" s="184"/>
      <c r="P132" s="184"/>
      <c r="Q132" s="184"/>
      <c r="S132" s="110" t="s">
        <v>267</v>
      </c>
      <c r="T132" s="184"/>
      <c r="U132" s="209">
        <f>D133-M132</f>
        <v>-2.3140000000000001</v>
      </c>
      <c r="V132" s="184"/>
      <c r="W132" s="184"/>
      <c r="X132" s="184"/>
      <c r="Y132" s="184"/>
      <c r="AA132" s="110" t="s">
        <v>267</v>
      </c>
      <c r="AB132" s="184"/>
      <c r="AC132" s="9">
        <f>U132/M132</f>
        <v>-0.18706548100242523</v>
      </c>
      <c r="AD132" s="184"/>
      <c r="AE132" s="184"/>
      <c r="AF132" s="184"/>
      <c r="AG132" s="184"/>
      <c r="AH132" s="184"/>
      <c r="AI132" s="184"/>
      <c r="AJ132" s="184"/>
    </row>
    <row r="133" spans="2:36" x14ac:dyDescent="0.6">
      <c r="B133" s="79" t="s">
        <v>267</v>
      </c>
      <c r="C133" s="184"/>
      <c r="D133" s="209">
        <f>ROUND(D69*$G$110,3)</f>
        <v>10.055999999999999</v>
      </c>
      <c r="E133" s="184"/>
      <c r="F133" s="184"/>
      <c r="G133" s="184"/>
      <c r="H133" s="184"/>
      <c r="I133" s="209">
        <f>ROUND(I69*$G$110,3)</f>
        <v>12.276999999999999</v>
      </c>
      <c r="J133" s="113"/>
      <c r="K133" s="110" t="s">
        <v>268</v>
      </c>
      <c r="L133" s="184"/>
      <c r="M133" s="209">
        <v>5.6959999999999997</v>
      </c>
      <c r="N133" s="184"/>
      <c r="O133" s="184"/>
      <c r="P133" s="184"/>
      <c r="Q133" s="184"/>
      <c r="S133" s="110" t="s">
        <v>268</v>
      </c>
      <c r="T133" s="184"/>
      <c r="U133" s="209">
        <f>D134-M133</f>
        <v>1.3260000000000005</v>
      </c>
      <c r="V133" s="184"/>
      <c r="W133" s="184"/>
      <c r="X133" s="184"/>
      <c r="Y133" s="184"/>
      <c r="AA133" s="110" t="s">
        <v>268</v>
      </c>
      <c r="AB133" s="184"/>
      <c r="AC133" s="9">
        <f>U133/M133</f>
        <v>0.23279494382022481</v>
      </c>
      <c r="AD133" s="184"/>
      <c r="AE133" s="184"/>
      <c r="AF133" s="184"/>
      <c r="AG133" s="184"/>
      <c r="AH133" s="184"/>
      <c r="AI133" s="184"/>
      <c r="AJ133" s="184"/>
    </row>
    <row r="134" spans="2:36" x14ac:dyDescent="0.6">
      <c r="B134" s="79" t="s">
        <v>268</v>
      </c>
      <c r="C134" s="184"/>
      <c r="D134" s="209">
        <f>ROUND(D70*$G$110,3)</f>
        <v>7.0220000000000002</v>
      </c>
      <c r="E134" s="184"/>
      <c r="F134" s="184"/>
      <c r="G134" s="184"/>
      <c r="H134" s="184"/>
      <c r="I134" s="209">
        <f>ROUND(I70*$G$110,3)</f>
        <v>6.98</v>
      </c>
      <c r="J134" s="113"/>
      <c r="K134" s="50"/>
      <c r="L134" s="184"/>
      <c r="M134" s="184"/>
      <c r="N134" s="184"/>
      <c r="O134" s="184"/>
      <c r="P134" s="184"/>
      <c r="Q134" s="184"/>
      <c r="S134" s="50"/>
      <c r="T134" s="184"/>
      <c r="U134" s="184"/>
      <c r="V134" s="184"/>
      <c r="W134" s="184"/>
      <c r="X134" s="184"/>
      <c r="Y134" s="184"/>
      <c r="AA134" s="50"/>
      <c r="AB134" s="184"/>
      <c r="AC134" s="184"/>
      <c r="AD134" s="184"/>
      <c r="AE134" s="184"/>
      <c r="AF134" s="184"/>
      <c r="AG134" s="184"/>
      <c r="AH134" s="184"/>
      <c r="AI134" s="184"/>
      <c r="AJ134" s="184"/>
    </row>
    <row r="135" spans="2:36" x14ac:dyDescent="0.6">
      <c r="C135" s="184"/>
      <c r="D135" s="184"/>
      <c r="E135" s="184"/>
      <c r="F135" s="184"/>
      <c r="G135" s="184"/>
      <c r="H135" s="184"/>
      <c r="I135" s="184"/>
      <c r="K135" s="50" t="s">
        <v>280</v>
      </c>
      <c r="L135" s="184"/>
      <c r="M135" s="184"/>
      <c r="N135" s="184"/>
      <c r="O135" s="184"/>
      <c r="P135" s="184"/>
      <c r="Q135" s="209">
        <v>5.4</v>
      </c>
      <c r="S135" s="50" t="s">
        <v>280</v>
      </c>
      <c r="T135" s="184"/>
      <c r="U135" s="184"/>
      <c r="V135" s="184"/>
      <c r="W135" s="184"/>
      <c r="X135" s="184"/>
      <c r="Y135" s="209">
        <f>H136-Q135</f>
        <v>-3.9920000000000004</v>
      </c>
      <c r="AA135" s="50" t="s">
        <v>280</v>
      </c>
      <c r="AB135" s="184"/>
      <c r="AC135" s="184"/>
      <c r="AD135" s="184"/>
      <c r="AE135" s="184"/>
      <c r="AF135" s="184"/>
      <c r="AG135" s="9">
        <f>Y135/Q135</f>
        <v>-0.73925925925925928</v>
      </c>
      <c r="AH135" s="9"/>
      <c r="AI135" s="9"/>
      <c r="AJ135" s="9"/>
    </row>
    <row r="136" spans="2:36" x14ac:dyDescent="0.6">
      <c r="B136" s="77" t="s">
        <v>269</v>
      </c>
      <c r="C136" s="184"/>
      <c r="D136" s="184"/>
      <c r="E136" s="184"/>
      <c r="F136" s="184"/>
      <c r="G136" s="184"/>
      <c r="H136" s="209">
        <f>ROUND(H72*$G$110,3)</f>
        <v>1.4079999999999999</v>
      </c>
      <c r="I136" s="209"/>
      <c r="J136" s="101"/>
    </row>
    <row r="137" spans="2:36" x14ac:dyDescent="0.6">
      <c r="B137" s="77" t="s">
        <v>270</v>
      </c>
      <c r="C137" s="184"/>
      <c r="D137" s="184"/>
      <c r="E137" s="184"/>
      <c r="F137" s="184"/>
      <c r="G137" s="184"/>
      <c r="H137" s="209">
        <f>ROUND(H73*$G$110,3)</f>
        <v>1.4079999999999999</v>
      </c>
      <c r="I137" s="209"/>
      <c r="J137" s="101"/>
    </row>
    <row r="138" spans="2:36" x14ac:dyDescent="0.6">
      <c r="B138" s="77"/>
      <c r="I138" s="185"/>
      <c r="J138" s="101"/>
    </row>
    <row r="139" spans="2:36" x14ac:dyDescent="0.6">
      <c r="B139" s="97" t="s">
        <v>376</v>
      </c>
      <c r="D139" s="52" t="s">
        <v>272</v>
      </c>
      <c r="E139" s="183">
        <v>6.6250000000000003E-2</v>
      </c>
      <c r="J139" s="101"/>
    </row>
    <row r="140" spans="2:36" x14ac:dyDescent="0.6">
      <c r="J140" s="101"/>
    </row>
    <row r="141" spans="2:36" x14ac:dyDescent="0.6">
      <c r="C141" s="75" t="s">
        <v>7</v>
      </c>
      <c r="D141" s="75" t="s">
        <v>8</v>
      </c>
      <c r="E141" s="75" t="s">
        <v>9</v>
      </c>
      <c r="F141" s="75" t="s">
        <v>10</v>
      </c>
      <c r="G141" s="75" t="s">
        <v>11</v>
      </c>
      <c r="H141" s="75" t="s">
        <v>12</v>
      </c>
      <c r="I141" s="75" t="str">
        <f>'BGS Cost &amp; Bid Factors'!I$24</f>
        <v>SC1 TOD</v>
      </c>
    </row>
    <row r="142" spans="2:36" x14ac:dyDescent="0.6">
      <c r="B142" s="182" t="s">
        <v>69</v>
      </c>
      <c r="I142" s="101"/>
    </row>
    <row r="143" spans="2:36" x14ac:dyDescent="0.6">
      <c r="B143" s="79" t="s">
        <v>266</v>
      </c>
      <c r="C143" s="79"/>
      <c r="E143" s="185">
        <f>ROUND(E121*(1+$E$139),3)</f>
        <v>8.3849999999999998</v>
      </c>
      <c r="F143" s="185">
        <f>ROUND(F121*(1+$E$139),3)</f>
        <v>7.7039999999999997</v>
      </c>
      <c r="G143" s="185">
        <f>ROUND(G121*(1+$E$139),3)</f>
        <v>7.6870000000000003</v>
      </c>
      <c r="H143" s="185">
        <f>ROUND(H121*(1+$E$139),3)</f>
        <v>7.8579999999999997</v>
      </c>
      <c r="I143" s="101"/>
    </row>
    <row r="144" spans="2:36" x14ac:dyDescent="0.6">
      <c r="B144" s="79" t="s">
        <v>267</v>
      </c>
      <c r="D144" s="185">
        <f>ROUND(D122*(1+$E$139),3)</f>
        <v>11.15</v>
      </c>
      <c r="I144" s="185">
        <f>ROUND(I122*(1+$E$139),3)</f>
        <v>12.37</v>
      </c>
    </row>
    <row r="145" spans="2:10" x14ac:dyDescent="0.6">
      <c r="B145" s="79" t="s">
        <v>268</v>
      </c>
      <c r="D145" s="185">
        <f>ROUND(D123*(1+$E$139),3)</f>
        <v>6.9359999999999999</v>
      </c>
      <c r="I145" s="185">
        <f>ROUND(I123*(1+$E$139),3)</f>
        <v>7.0060000000000002</v>
      </c>
    </row>
    <row r="146" spans="2:10" x14ac:dyDescent="0.6">
      <c r="B146" s="77" t="s">
        <v>41</v>
      </c>
      <c r="C146" s="185">
        <f>ROUND(C124*(1+$E$139),3)</f>
        <v>4.5590000000000002</v>
      </c>
      <c r="D146" s="113"/>
      <c r="I146" s="101"/>
    </row>
    <row r="147" spans="2:10" x14ac:dyDescent="0.6">
      <c r="B147" s="79" t="s">
        <v>42</v>
      </c>
      <c r="C147" s="185">
        <f>ROUND(C125*(1+$E$139),3)</f>
        <v>11.747</v>
      </c>
      <c r="D147" s="113"/>
      <c r="I147" s="101"/>
    </row>
    <row r="148" spans="2:10" x14ac:dyDescent="0.6">
      <c r="B148" s="113"/>
      <c r="C148" s="113"/>
      <c r="D148" s="113"/>
      <c r="I148" s="101"/>
    </row>
    <row r="149" spans="2:10" x14ac:dyDescent="0.6">
      <c r="I149" s="101"/>
    </row>
    <row r="150" spans="2:10" x14ac:dyDescent="0.6">
      <c r="B150" s="77" t="s">
        <v>269</v>
      </c>
      <c r="H150" s="186">
        <f>ROUND(H128*(1+$E$139),2)</f>
        <v>1.84</v>
      </c>
      <c r="I150" s="101"/>
    </row>
    <row r="151" spans="2:10" x14ac:dyDescent="0.6">
      <c r="B151" s="77" t="s">
        <v>357</v>
      </c>
      <c r="H151" s="186">
        <f>ROUND(H129*(1+$E$139),2)</f>
        <v>1.84</v>
      </c>
      <c r="I151" s="101"/>
      <c r="J151" s="170"/>
    </row>
    <row r="152" spans="2:10" x14ac:dyDescent="0.6">
      <c r="I152" s="101"/>
    </row>
    <row r="153" spans="2:10" x14ac:dyDescent="0.6">
      <c r="B153" s="182" t="s">
        <v>62</v>
      </c>
      <c r="I153" s="101"/>
    </row>
    <row r="154" spans="2:10" x14ac:dyDescent="0.6">
      <c r="B154" s="79" t="s">
        <v>266</v>
      </c>
      <c r="C154" s="185">
        <f>ROUND(C132*(1+$E$139),3)</f>
        <v>8.8140000000000001</v>
      </c>
      <c r="E154" s="185">
        <f>ROUND(E132*(1+$E$139),3)</f>
        <v>8.2230000000000008</v>
      </c>
      <c r="F154" s="185">
        <f>ROUND(F132*(1+$E$139),3)</f>
        <v>7.7320000000000002</v>
      </c>
      <c r="G154" s="185">
        <f>ROUND(G132*(1+$E$139),3)</f>
        <v>7.641</v>
      </c>
      <c r="H154" s="185">
        <f>ROUND(H132*(1+$E$139),3)</f>
        <v>7.7460000000000004</v>
      </c>
      <c r="I154" s="101"/>
    </row>
    <row r="155" spans="2:10" x14ac:dyDescent="0.6">
      <c r="B155" s="79" t="s">
        <v>267</v>
      </c>
      <c r="D155" s="185">
        <f>ROUND(D133*(1+$E$139),3)</f>
        <v>10.722</v>
      </c>
      <c r="I155" s="185">
        <f>ROUND(I133*(1+$E$139),3)</f>
        <v>13.09</v>
      </c>
    </row>
    <row r="156" spans="2:10" x14ac:dyDescent="0.6">
      <c r="B156" s="79" t="s">
        <v>268</v>
      </c>
      <c r="D156" s="185">
        <f>ROUND(D134*(1+$E$139),3)</f>
        <v>7.4870000000000001</v>
      </c>
      <c r="I156" s="185">
        <f>ROUND(I134*(1+$E$139),3)</f>
        <v>7.4420000000000002</v>
      </c>
    </row>
    <row r="157" spans="2:10" x14ac:dyDescent="0.6">
      <c r="I157" s="101"/>
    </row>
    <row r="158" spans="2:10" x14ac:dyDescent="0.6">
      <c r="B158" s="77" t="s">
        <v>269</v>
      </c>
      <c r="H158" s="186">
        <f>ROUND(H136*(1+$E$139),2)</f>
        <v>1.5</v>
      </c>
      <c r="I158" s="101"/>
    </row>
    <row r="159" spans="2:10" x14ac:dyDescent="0.6">
      <c r="B159" s="77" t="s">
        <v>270</v>
      </c>
      <c r="H159" s="186">
        <f>ROUND(H137*(1+$E$139),2)</f>
        <v>1.5</v>
      </c>
      <c r="I159" s="101"/>
    </row>
    <row r="160" spans="2:10" x14ac:dyDescent="0.6">
      <c r="B160" s="77"/>
      <c r="H160" s="185"/>
      <c r="I160" s="101"/>
    </row>
    <row r="161" spans="1:12" x14ac:dyDescent="0.6">
      <c r="B161" s="77"/>
      <c r="H161" s="101"/>
      <c r="I161" s="101"/>
    </row>
    <row r="162" spans="1:12" x14ac:dyDescent="0.6">
      <c r="A162" s="159" t="s">
        <v>377</v>
      </c>
      <c r="B162" s="159" t="s">
        <v>378</v>
      </c>
      <c r="H162" s="101"/>
      <c r="I162" s="101"/>
    </row>
    <row r="163" spans="1:12" x14ac:dyDescent="0.6">
      <c r="B163" s="159"/>
      <c r="H163" s="101"/>
      <c r="I163" s="101"/>
    </row>
    <row r="164" spans="1:12" x14ac:dyDescent="0.6">
      <c r="B164" s="159"/>
      <c r="H164" s="101"/>
      <c r="I164" s="101"/>
    </row>
    <row r="165" spans="1:12" x14ac:dyDescent="0.6">
      <c r="B165" s="116" t="s">
        <v>288</v>
      </c>
      <c r="H165" s="101"/>
      <c r="I165" s="101"/>
    </row>
    <row r="166" spans="1:12" ht="13.75" thickBot="1" x14ac:dyDescent="0.75">
      <c r="B166" s="116"/>
      <c r="H166" s="101"/>
      <c r="I166" s="101"/>
    </row>
    <row r="167" spans="1:12" x14ac:dyDescent="0.6">
      <c r="C167" s="75" t="str">
        <f>'BGS Cost &amp; Bid Factors'!C$6</f>
        <v>SC1</v>
      </c>
      <c r="D167" s="75" t="str">
        <f>'BGS Cost &amp; Bid Factors'!D$6</f>
        <v>SC3</v>
      </c>
      <c r="E167" s="75" t="str">
        <f>'BGS Cost &amp; Bid Factors'!E$6</f>
        <v>SC2 ND</v>
      </c>
      <c r="F167" s="75" t="str">
        <f>'BGS Cost &amp; Bid Factors'!F$6</f>
        <v>SC4</v>
      </c>
      <c r="G167" s="75" t="str">
        <f>'BGS Cost &amp; Bid Factors'!G$6</f>
        <v>SC6</v>
      </c>
      <c r="H167" s="75" t="str">
        <f>'BGS Cost &amp; Bid Factors'!H$6</f>
        <v>SC2 Dem</v>
      </c>
      <c r="I167" s="75"/>
      <c r="J167" s="101"/>
      <c r="K167" s="137" t="s">
        <v>154</v>
      </c>
      <c r="L167" s="138"/>
    </row>
    <row r="168" spans="1:12" x14ac:dyDescent="0.6">
      <c r="B168" s="116"/>
      <c r="J168" s="101"/>
      <c r="K168" s="139"/>
      <c r="L168" s="140" t="s">
        <v>157</v>
      </c>
    </row>
    <row r="169" spans="1:12" x14ac:dyDescent="0.6">
      <c r="B169" s="95" t="s">
        <v>69</v>
      </c>
      <c r="C169" s="14">
        <f>ROUND((C121*'BGS Cost &amp; Bid Factors'!L$48)/100,0)</f>
        <v>24727</v>
      </c>
      <c r="D169" s="13">
        <f>ROUND((D122*'BGS Cost &amp; Bid Factors'!M$49+D123*'BGS Cost &amp; Bid Factors'!M$50)/100,0)</f>
        <v>11</v>
      </c>
      <c r="E169" s="14">
        <f>ROUND((E121*'BGS Cost &amp; Bid Factors'!N$48)/100,0)</f>
        <v>340</v>
      </c>
      <c r="F169" s="14">
        <f>ROUND((F121*'BGS Cost &amp; Bid Factors'!O$48)/100,0)</f>
        <v>127</v>
      </c>
      <c r="G169" s="14">
        <f>ROUND((G121*'BGS Cost &amp; Bid Factors'!P$48)/100,0)</f>
        <v>103</v>
      </c>
      <c r="H169" s="13">
        <f>ROUND(H121*'BGS Cost &amp; Bid Factors'!Q$48/100+(H128*($L$169/4*'BGS Cost &amp; Bid Factors'!H$144)+H129*($L$169/4*'BGS Cost &amp; Bid Factors'!H$144))/1000,0)</f>
        <v>10194</v>
      </c>
      <c r="I169" s="13"/>
      <c r="J169" s="101"/>
      <c r="K169" s="139" t="s">
        <v>69</v>
      </c>
      <c r="L169" s="141">
        <v>354685.57153681235</v>
      </c>
    </row>
    <row r="170" spans="1:12" ht="13.75" thickBot="1" x14ac:dyDescent="0.75">
      <c r="B170" s="95" t="s">
        <v>62</v>
      </c>
      <c r="C170" s="42">
        <f>ROUND(C132*'BGS Cost &amp; Bid Factors'!L$44/100,0)</f>
        <v>32588</v>
      </c>
      <c r="D170" s="43">
        <f>ROUND((D133*'BGS Cost &amp; Bid Factors'!M$45+D134*'BGS Cost &amp; Bid Factors'!M$46)/100,0)</f>
        <v>17</v>
      </c>
      <c r="E170" s="42">
        <f>ROUND(E132*'BGS Cost &amp; Bid Factors'!N$44/100,0)</f>
        <v>871</v>
      </c>
      <c r="F170" s="42">
        <f>ROUND(F132*'BGS Cost &amp; Bid Factors'!O$44/100,0)</f>
        <v>331</v>
      </c>
      <c r="G170" s="42">
        <f>ROUND(G132*'BGS Cost &amp; Bid Factors'!P$44/100,0)</f>
        <v>255</v>
      </c>
      <c r="H170" s="43">
        <f>ROUND(H132*'BGS Cost &amp; Bid Factors'!Q$44/100+(H136*($L$170/8*'BGS Cost &amp; Bid Factors'!H$145)+H137*($L$170/8*'BGS Cost &amp; Bid Factors'!H$145))/1000,0)</f>
        <v>17493</v>
      </c>
      <c r="I170" s="43"/>
      <c r="J170" s="101"/>
      <c r="K170" s="142" t="s">
        <v>62</v>
      </c>
      <c r="L170" s="143">
        <v>615972.07066094549</v>
      </c>
    </row>
    <row r="171" spans="1:12" x14ac:dyDescent="0.6">
      <c r="B171" s="95" t="s">
        <v>36</v>
      </c>
      <c r="C171" s="100">
        <f t="shared" ref="C171:H171" si="1">+C170+C169</f>
        <v>57315</v>
      </c>
      <c r="D171" s="100">
        <f t="shared" si="1"/>
        <v>28</v>
      </c>
      <c r="E171" s="100">
        <f t="shared" si="1"/>
        <v>1211</v>
      </c>
      <c r="F171" s="100">
        <f t="shared" si="1"/>
        <v>458</v>
      </c>
      <c r="G171" s="100">
        <f t="shared" si="1"/>
        <v>358</v>
      </c>
      <c r="H171" s="100">
        <f t="shared" si="1"/>
        <v>27687</v>
      </c>
      <c r="I171" s="101"/>
    </row>
    <row r="172" spans="1:12" x14ac:dyDescent="0.6">
      <c r="B172" s="95"/>
      <c r="C172" s="100"/>
      <c r="D172" s="100"/>
      <c r="E172" s="100"/>
      <c r="F172" s="100"/>
      <c r="G172" s="100"/>
      <c r="H172" s="100"/>
      <c r="I172" s="101"/>
    </row>
    <row r="173" spans="1:12" x14ac:dyDescent="0.6">
      <c r="B173" s="95" t="s">
        <v>36</v>
      </c>
      <c r="C173" s="100"/>
      <c r="D173" s="100"/>
      <c r="E173" s="100"/>
      <c r="F173" s="100"/>
      <c r="G173" s="100"/>
      <c r="H173" s="100"/>
      <c r="I173" s="101"/>
    </row>
    <row r="174" spans="1:12" x14ac:dyDescent="0.6">
      <c r="B174" s="95" t="s">
        <v>69</v>
      </c>
      <c r="C174" s="100">
        <f>SUM(C169:H169)</f>
        <v>35502</v>
      </c>
      <c r="D174" s="100"/>
      <c r="E174" s="100"/>
      <c r="F174" s="100"/>
      <c r="G174" s="100"/>
      <c r="H174" s="100"/>
      <c r="I174" s="101"/>
    </row>
    <row r="175" spans="1:12" x14ac:dyDescent="0.6">
      <c r="B175" s="95" t="s">
        <v>62</v>
      </c>
      <c r="C175" s="187">
        <f>SUM(C170:H170)</f>
        <v>51555</v>
      </c>
      <c r="D175" s="24"/>
      <c r="I175" s="101"/>
    </row>
    <row r="176" spans="1:12" x14ac:dyDescent="0.6">
      <c r="B176" s="95" t="s">
        <v>36</v>
      </c>
      <c r="C176" s="100">
        <f>+C175+C174</f>
        <v>87057</v>
      </c>
      <c r="D176" s="24"/>
      <c r="H176" s="13"/>
      <c r="I176" s="101"/>
    </row>
    <row r="177" spans="2:10" x14ac:dyDescent="0.6">
      <c r="B177" s="95"/>
      <c r="C177" s="100"/>
      <c r="E177" s="24"/>
      <c r="I177" s="43"/>
      <c r="J177" s="101"/>
    </row>
    <row r="178" spans="2:10" x14ac:dyDescent="0.6">
      <c r="B178" s="182" t="s">
        <v>379</v>
      </c>
      <c r="C178" s="67"/>
      <c r="D178" s="67"/>
      <c r="E178" s="67"/>
      <c r="F178" s="67"/>
      <c r="G178" s="67"/>
      <c r="H178" s="67"/>
      <c r="I178" s="100"/>
      <c r="J178" s="101"/>
    </row>
    <row r="179" spans="2:10" x14ac:dyDescent="0.6">
      <c r="C179" s="67"/>
      <c r="D179" s="67"/>
      <c r="E179" s="67"/>
      <c r="F179" s="67"/>
    </row>
    <row r="180" spans="2:10" x14ac:dyDescent="0.6">
      <c r="B180" s="52" t="s">
        <v>361</v>
      </c>
      <c r="C180" s="24"/>
      <c r="D180" s="24"/>
      <c r="E180" s="24"/>
      <c r="F180" s="67"/>
    </row>
    <row r="181" spans="2:10" ht="15.25" x14ac:dyDescent="1.05">
      <c r="C181" s="45" t="s">
        <v>36</v>
      </c>
      <c r="D181" s="45" t="s">
        <v>341</v>
      </c>
      <c r="E181" s="45" t="s">
        <v>362</v>
      </c>
      <c r="F181" s="67"/>
    </row>
    <row r="182" spans="2:10" x14ac:dyDescent="0.6">
      <c r="B182" s="95" t="s">
        <v>69</v>
      </c>
      <c r="C182" s="100">
        <f>'Weighted Avg Price Calc'!G$29/1000</f>
        <v>31030.111000000001</v>
      </c>
      <c r="D182" s="156">
        <v>0</v>
      </c>
      <c r="E182" s="100">
        <f>C182-D182</f>
        <v>31030.111000000001</v>
      </c>
      <c r="F182" s="67"/>
    </row>
    <row r="183" spans="2:10" ht="15.25" x14ac:dyDescent="1.05">
      <c r="B183" s="95" t="s">
        <v>62</v>
      </c>
      <c r="C183" s="208">
        <f>'Weighted Avg Price Calc'!G$30/1000</f>
        <v>45115.148999999998</v>
      </c>
      <c r="D183" s="208">
        <v>0</v>
      </c>
      <c r="E183" s="208">
        <f>C183-D183</f>
        <v>45115.148999999998</v>
      </c>
      <c r="F183" s="67"/>
    </row>
    <row r="184" spans="2:10" x14ac:dyDescent="0.6">
      <c r="B184" s="95" t="s">
        <v>36</v>
      </c>
      <c r="C184" s="100">
        <f>+C183+C182</f>
        <v>76145.259999999995</v>
      </c>
      <c r="D184" s="100">
        <f>D182+D183</f>
        <v>0</v>
      </c>
      <c r="E184" s="100">
        <f>E182+E183</f>
        <v>76145.259999999995</v>
      </c>
      <c r="F184" s="67"/>
    </row>
    <row r="185" spans="2:10" x14ac:dyDescent="0.6">
      <c r="C185" s="24"/>
      <c r="D185" s="24"/>
      <c r="E185" s="24"/>
      <c r="F185" s="67"/>
    </row>
    <row r="186" spans="2:10" x14ac:dyDescent="0.6">
      <c r="B186" s="52" t="s">
        <v>363</v>
      </c>
      <c r="C186" s="24"/>
      <c r="D186" s="24"/>
      <c r="E186" s="24"/>
      <c r="F186" s="67"/>
    </row>
    <row r="187" spans="2:10" ht="15.25" x14ac:dyDescent="1.05">
      <c r="C187" s="45" t="s">
        <v>36</v>
      </c>
      <c r="D187" s="45" t="s">
        <v>341</v>
      </c>
      <c r="E187" s="45" t="s">
        <v>362</v>
      </c>
      <c r="F187" s="67"/>
    </row>
    <row r="188" spans="2:10" x14ac:dyDescent="0.6">
      <c r="B188" s="95" t="s">
        <v>69</v>
      </c>
      <c r="C188" s="100">
        <f>ROUND($E$251*1000*'Weighted Avg Price Calc'!E42/100/1000,0)</f>
        <v>4470</v>
      </c>
      <c r="D188" s="100">
        <v>0</v>
      </c>
      <c r="E188" s="100">
        <f>C188-D188</f>
        <v>4470</v>
      </c>
      <c r="F188" s="67"/>
    </row>
    <row r="189" spans="2:10" ht="15.25" x14ac:dyDescent="1.05">
      <c r="B189" s="95" t="s">
        <v>62</v>
      </c>
      <c r="C189" s="208">
        <f>ROUND($E$252*1000*'Weighted Avg Price Calc'!E42/100/1000,0)</f>
        <v>6439</v>
      </c>
      <c r="D189" s="208">
        <v>0</v>
      </c>
      <c r="E189" s="208">
        <f>C189-D189</f>
        <v>6439</v>
      </c>
      <c r="F189" s="67"/>
    </row>
    <row r="190" spans="2:10" x14ac:dyDescent="0.6">
      <c r="B190" s="95" t="s">
        <v>36</v>
      </c>
      <c r="C190" s="100">
        <f>+C189+C188</f>
        <v>10909</v>
      </c>
      <c r="D190" s="100">
        <f>D188+D189</f>
        <v>0</v>
      </c>
      <c r="E190" s="100">
        <f>E188+E189</f>
        <v>10909</v>
      </c>
      <c r="F190" s="67"/>
    </row>
    <row r="191" spans="2:10" x14ac:dyDescent="0.6">
      <c r="C191" s="24"/>
      <c r="D191" s="24"/>
      <c r="E191" s="24"/>
      <c r="F191" s="67"/>
    </row>
    <row r="192" spans="2:10" x14ac:dyDescent="0.6">
      <c r="B192" s="52" t="s">
        <v>364</v>
      </c>
      <c r="C192" s="67"/>
      <c r="D192" s="67"/>
      <c r="E192" s="67"/>
      <c r="F192" s="67"/>
    </row>
    <row r="193" spans="1:10" ht="15.25" x14ac:dyDescent="1.05">
      <c r="C193" s="45" t="s">
        <v>36</v>
      </c>
      <c r="D193" s="45" t="s">
        <v>341</v>
      </c>
      <c r="E193" s="45" t="s">
        <v>362</v>
      </c>
      <c r="F193" s="24"/>
    </row>
    <row r="194" spans="1:10" x14ac:dyDescent="0.6">
      <c r="B194" s="95" t="s">
        <v>69</v>
      </c>
      <c r="C194" s="100">
        <f>C182+C188</f>
        <v>35500.111000000004</v>
      </c>
      <c r="D194" s="100">
        <f>D182+D188</f>
        <v>0</v>
      </c>
      <c r="E194" s="100">
        <f>C194-D194</f>
        <v>35500.111000000004</v>
      </c>
    </row>
    <row r="195" spans="1:10" ht="15.25" x14ac:dyDescent="1.05">
      <c r="B195" s="95" t="s">
        <v>62</v>
      </c>
      <c r="C195" s="208">
        <f>C183+C189</f>
        <v>51554.148999999998</v>
      </c>
      <c r="D195" s="208">
        <f>D183+D189</f>
        <v>0</v>
      </c>
      <c r="E195" s="208">
        <f>C195-D195</f>
        <v>51554.148999999998</v>
      </c>
      <c r="J195" s="101"/>
    </row>
    <row r="196" spans="1:10" x14ac:dyDescent="0.6">
      <c r="B196" s="95" t="s">
        <v>36</v>
      </c>
      <c r="C196" s="100">
        <f>+C195+C194</f>
        <v>87054.260000000009</v>
      </c>
      <c r="D196" s="100">
        <f>D194+D195</f>
        <v>0</v>
      </c>
      <c r="E196" s="100">
        <f>E194+E195</f>
        <v>87054.260000000009</v>
      </c>
      <c r="J196" s="101"/>
    </row>
    <row r="197" spans="1:10" x14ac:dyDescent="0.6">
      <c r="C197" s="24"/>
      <c r="D197" s="44"/>
      <c r="E197" s="24"/>
      <c r="F197" s="180"/>
      <c r="J197" s="101"/>
    </row>
    <row r="198" spans="1:10" x14ac:dyDescent="0.6">
      <c r="B198" s="52" t="s">
        <v>292</v>
      </c>
      <c r="G198" s="77"/>
      <c r="J198" s="101"/>
    </row>
    <row r="199" spans="1:10" x14ac:dyDescent="0.6">
      <c r="C199" s="77" t="s">
        <v>336</v>
      </c>
      <c r="D199" s="77" t="s">
        <v>336</v>
      </c>
      <c r="E199" s="77"/>
      <c r="G199" s="77"/>
      <c r="J199" s="101"/>
    </row>
    <row r="200" spans="1:10" x14ac:dyDescent="0.6">
      <c r="B200" s="77"/>
      <c r="C200" s="165" t="s">
        <v>367</v>
      </c>
      <c r="D200" s="165" t="s">
        <v>368</v>
      </c>
      <c r="E200" s="165" t="s">
        <v>369</v>
      </c>
      <c r="G200" s="165"/>
      <c r="I200" s="101"/>
      <c r="J200" s="101"/>
    </row>
    <row r="201" spans="1:10" x14ac:dyDescent="0.6">
      <c r="B201" s="95" t="s">
        <v>69</v>
      </c>
      <c r="C201" s="100">
        <f>C174</f>
        <v>35502</v>
      </c>
      <c r="D201" s="100">
        <f>E194</f>
        <v>35500.111000000004</v>
      </c>
      <c r="E201" s="100">
        <f>D201-C201</f>
        <v>-1.8889999999955762</v>
      </c>
      <c r="I201" s="101"/>
      <c r="J201" s="101"/>
    </row>
    <row r="202" spans="1:10" x14ac:dyDescent="0.6">
      <c r="B202" s="95" t="s">
        <v>62</v>
      </c>
      <c r="C202" s="187">
        <f>C175</f>
        <v>51555</v>
      </c>
      <c r="D202" s="187">
        <f>E195</f>
        <v>51554.148999999998</v>
      </c>
      <c r="E202" s="187">
        <f>D202-C202</f>
        <v>-0.85100000000238651</v>
      </c>
      <c r="I202" s="101"/>
      <c r="J202" s="101"/>
    </row>
    <row r="203" spans="1:10" x14ac:dyDescent="0.6">
      <c r="B203" s="95" t="s">
        <v>36</v>
      </c>
      <c r="C203" s="100">
        <f>+C202+C201</f>
        <v>87057</v>
      </c>
      <c r="D203" s="100">
        <f>+D202+D201</f>
        <v>87054.260000000009</v>
      </c>
      <c r="E203" s="100">
        <f>+E202+E201</f>
        <v>-2.7399999999979627</v>
      </c>
      <c r="I203" s="101"/>
      <c r="J203" s="101"/>
    </row>
    <row r="204" spans="1:10" x14ac:dyDescent="0.6">
      <c r="B204" s="77"/>
      <c r="I204" s="101"/>
      <c r="J204" s="101"/>
    </row>
    <row r="205" spans="1:10" x14ac:dyDescent="0.6">
      <c r="A205" s="94"/>
      <c r="B205" s="61" t="s">
        <v>274</v>
      </c>
      <c r="J205" s="101"/>
    </row>
    <row r="206" spans="1:10" x14ac:dyDescent="0.6">
      <c r="A206" s="94"/>
      <c r="B206" s="61"/>
      <c r="J206" s="101"/>
    </row>
    <row r="207" spans="1:10" x14ac:dyDescent="0.6">
      <c r="A207" s="94"/>
      <c r="B207" s="116" t="s">
        <v>275</v>
      </c>
      <c r="J207" s="101"/>
    </row>
    <row r="208" spans="1:10" x14ac:dyDescent="0.6">
      <c r="A208" s="94"/>
      <c r="B208" s="50"/>
      <c r="C208" s="67" t="str">
        <f t="shared" ref="C208" si="2">C55</f>
        <v>SC1</v>
      </c>
      <c r="D208" s="67" t="str">
        <f>D55</f>
        <v>SC3</v>
      </c>
      <c r="E208" s="67" t="str">
        <f>E55</f>
        <v>SC2 ND</v>
      </c>
      <c r="F208" s="67" t="str">
        <f>F55</f>
        <v>SC4</v>
      </c>
      <c r="G208" s="67" t="str">
        <f>G55</f>
        <v>SC6</v>
      </c>
      <c r="H208" s="67" t="str">
        <f>H55</f>
        <v>SC2 Dem</v>
      </c>
      <c r="I208" s="67" t="str">
        <f t="shared" ref="I208" si="3">I55</f>
        <v>SC1 TOD</v>
      </c>
      <c r="J208" s="67"/>
    </row>
    <row r="209" spans="1:9" x14ac:dyDescent="0.6">
      <c r="A209" s="94"/>
      <c r="B209" s="50" t="s">
        <v>276</v>
      </c>
      <c r="C209" s="103">
        <f>'BGS Cost &amp; Bid Factors'!C538</f>
        <v>1.421</v>
      </c>
      <c r="D209" s="103">
        <f>'BGS Cost &amp; Bid Factors'!D538</f>
        <v>1.421</v>
      </c>
      <c r="E209" s="103">
        <f>'BGS Cost &amp; Bid Factors'!E538</f>
        <v>0.52300000000000002</v>
      </c>
      <c r="F209" s="103">
        <f>'BGS Cost &amp; Bid Factors'!F538</f>
        <v>1.147</v>
      </c>
      <c r="G209" s="103">
        <f>'BGS Cost &amp; Bid Factors'!G538</f>
        <v>1.147</v>
      </c>
      <c r="H209" s="103">
        <f>'BGS Cost &amp; Bid Factors'!H538</f>
        <v>0.52300000000000002</v>
      </c>
      <c r="I209" s="101">
        <f>C209</f>
        <v>1.421</v>
      </c>
    </row>
    <row r="210" spans="1:9" x14ac:dyDescent="0.6">
      <c r="A210" s="94"/>
      <c r="B210" s="50" t="s">
        <v>380</v>
      </c>
      <c r="H210" s="171">
        <f>'BGS Cost &amp; Bid Factors'!H539</f>
        <v>1.1100000000000001</v>
      </c>
      <c r="I210" s="101"/>
    </row>
    <row r="211" spans="1:9" x14ac:dyDescent="0.6">
      <c r="H211" s="171">
        <f>'BGS Cost &amp; Bid Factors'!H540</f>
        <v>1.1100000000000001</v>
      </c>
      <c r="I211" s="101"/>
    </row>
    <row r="212" spans="1:9" x14ac:dyDescent="0.6">
      <c r="I212" s="101"/>
    </row>
    <row r="213" spans="1:9" x14ac:dyDescent="0.6">
      <c r="I213" s="101"/>
    </row>
    <row r="214" spans="1:9" x14ac:dyDescent="0.6">
      <c r="B214" s="116" t="s">
        <v>279</v>
      </c>
      <c r="I214" s="101"/>
    </row>
    <row r="215" spans="1:9" x14ac:dyDescent="0.6">
      <c r="I215" s="101"/>
    </row>
    <row r="216" spans="1:9" x14ac:dyDescent="0.6">
      <c r="I216" s="101"/>
    </row>
    <row r="217" spans="1:9" x14ac:dyDescent="0.6">
      <c r="B217" s="182" t="s">
        <v>69</v>
      </c>
      <c r="I217" s="101"/>
    </row>
    <row r="218" spans="1:9" x14ac:dyDescent="0.6">
      <c r="B218" s="79" t="s">
        <v>266</v>
      </c>
      <c r="C218" s="113">
        <f t="shared" ref="C218:I225" si="4">IF(C121&gt;0,C121+C$209,"")</f>
        <v>9.5409999999999986</v>
      </c>
      <c r="D218" s="113" t="str">
        <f t="shared" si="4"/>
        <v/>
      </c>
      <c r="E218" s="113">
        <f t="shared" si="4"/>
        <v>8.3870000000000005</v>
      </c>
      <c r="F218" s="113">
        <f t="shared" si="4"/>
        <v>8.3719999999999999</v>
      </c>
      <c r="G218" s="113">
        <f t="shared" si="4"/>
        <v>8.3559999999999999</v>
      </c>
      <c r="H218" s="113">
        <f t="shared" si="4"/>
        <v>7.8929999999999998</v>
      </c>
      <c r="I218" s="101"/>
    </row>
    <row r="219" spans="1:9" x14ac:dyDescent="0.6">
      <c r="B219" s="79" t="s">
        <v>267</v>
      </c>
      <c r="C219" s="113" t="str">
        <f t="shared" si="4"/>
        <v/>
      </c>
      <c r="D219" s="113">
        <f t="shared" si="4"/>
        <v>11.878</v>
      </c>
      <c r="E219" s="113" t="str">
        <f t="shared" si="4"/>
        <v/>
      </c>
      <c r="F219" s="113" t="str">
        <f t="shared" si="4"/>
        <v/>
      </c>
      <c r="G219" s="113" t="str">
        <f t="shared" si="4"/>
        <v/>
      </c>
      <c r="H219" s="113" t="str">
        <f t="shared" si="4"/>
        <v/>
      </c>
      <c r="I219" s="113">
        <f t="shared" si="4"/>
        <v>13.022</v>
      </c>
    </row>
    <row r="220" spans="1:9" x14ac:dyDescent="0.6">
      <c r="B220" s="79" t="s">
        <v>268</v>
      </c>
      <c r="C220" s="113" t="str">
        <f t="shared" si="4"/>
        <v/>
      </c>
      <c r="D220" s="113">
        <f t="shared" si="4"/>
        <v>7.9260000000000002</v>
      </c>
      <c r="E220" s="113" t="str">
        <f t="shared" si="4"/>
        <v/>
      </c>
      <c r="F220" s="113" t="str">
        <f t="shared" si="4"/>
        <v/>
      </c>
      <c r="G220" s="113" t="str">
        <f t="shared" si="4"/>
        <v/>
      </c>
      <c r="H220" s="113" t="str">
        <f t="shared" si="4"/>
        <v/>
      </c>
      <c r="I220" s="113">
        <f t="shared" si="4"/>
        <v>7.992</v>
      </c>
    </row>
    <row r="221" spans="1:9" x14ac:dyDescent="0.6">
      <c r="B221" s="77" t="s">
        <v>41</v>
      </c>
      <c r="C221" s="113">
        <f t="shared" si="4"/>
        <v>5.6970000000000001</v>
      </c>
      <c r="D221" s="113" t="str">
        <f t="shared" si="4"/>
        <v/>
      </c>
      <c r="E221" s="113" t="str">
        <f t="shared" si="4"/>
        <v/>
      </c>
      <c r="F221" s="113" t="str">
        <f t="shared" si="4"/>
        <v/>
      </c>
      <c r="G221" s="113" t="str">
        <f t="shared" si="4"/>
        <v/>
      </c>
      <c r="H221" s="113" t="str">
        <f t="shared" si="4"/>
        <v/>
      </c>
      <c r="I221" s="101"/>
    </row>
    <row r="222" spans="1:9" x14ac:dyDescent="0.6">
      <c r="B222" s="79" t="s">
        <v>42</v>
      </c>
      <c r="C222" s="113">
        <f t="shared" si="4"/>
        <v>12.437999999999999</v>
      </c>
      <c r="D222" s="113" t="str">
        <f t="shared" si="4"/>
        <v/>
      </c>
      <c r="E222" s="113" t="str">
        <f t="shared" si="4"/>
        <v/>
      </c>
      <c r="F222" s="113" t="str">
        <f t="shared" si="4"/>
        <v/>
      </c>
      <c r="G222" s="113" t="str">
        <f t="shared" si="4"/>
        <v/>
      </c>
      <c r="H222" s="113" t="str">
        <f t="shared" si="4"/>
        <v/>
      </c>
      <c r="I222" s="101"/>
    </row>
    <row r="223" spans="1:9" x14ac:dyDescent="0.6">
      <c r="B223" s="113"/>
      <c r="C223" s="113"/>
      <c r="D223" s="113" t="str">
        <f t="shared" si="4"/>
        <v/>
      </c>
      <c r="E223" s="113" t="str">
        <f t="shared" si="4"/>
        <v/>
      </c>
      <c r="F223" s="113" t="str">
        <f t="shared" si="4"/>
        <v/>
      </c>
      <c r="G223" s="113" t="str">
        <f t="shared" si="4"/>
        <v/>
      </c>
      <c r="H223" s="113" t="str">
        <f t="shared" si="4"/>
        <v/>
      </c>
      <c r="I223" s="101"/>
    </row>
    <row r="224" spans="1:9" x14ac:dyDescent="0.6">
      <c r="C224" s="113" t="str">
        <f t="shared" si="4"/>
        <v/>
      </c>
      <c r="D224" s="113" t="str">
        <f t="shared" si="4"/>
        <v/>
      </c>
      <c r="E224" s="113" t="str">
        <f t="shared" si="4"/>
        <v/>
      </c>
      <c r="F224" s="113" t="str">
        <f t="shared" si="4"/>
        <v/>
      </c>
      <c r="G224" s="113" t="str">
        <f t="shared" si="4"/>
        <v/>
      </c>
      <c r="H224" s="113" t="str">
        <f t="shared" si="4"/>
        <v/>
      </c>
      <c r="I224" s="101"/>
    </row>
    <row r="225" spans="1:22" x14ac:dyDescent="0.6">
      <c r="B225" s="77" t="s">
        <v>269</v>
      </c>
      <c r="C225" s="113" t="str">
        <f t="shared" si="4"/>
        <v/>
      </c>
      <c r="D225" s="113" t="str">
        <f>IF(D128&gt;0,D128+D$209,"")</f>
        <v/>
      </c>
      <c r="E225" s="113" t="str">
        <f>IF(E128&gt;0,E128+E$209,"")</f>
        <v/>
      </c>
      <c r="F225" s="113" t="str">
        <f>IF(F128&gt;0,F128+F$209,"")</f>
        <v/>
      </c>
      <c r="G225" s="113" t="str">
        <f>IF(G128&gt;0,G128+G$209,"")</f>
        <v/>
      </c>
      <c r="H225" s="113">
        <f>IF(H128&gt;0,H128+H$210,"")</f>
        <v>2.8390000000000004</v>
      </c>
      <c r="I225" s="101"/>
    </row>
    <row r="226" spans="1:22" x14ac:dyDescent="0.6">
      <c r="B226" s="77" t="s">
        <v>270</v>
      </c>
      <c r="H226" s="113">
        <f>IF(H129&gt;0,H129+H$210,"")</f>
        <v>2.8390000000000004</v>
      </c>
      <c r="I226" s="101"/>
    </row>
    <row r="227" spans="1:22" x14ac:dyDescent="0.6">
      <c r="B227" s="77"/>
      <c r="I227" s="101"/>
    </row>
    <row r="228" spans="1:22" x14ac:dyDescent="0.6">
      <c r="B228" s="182" t="s">
        <v>62</v>
      </c>
      <c r="I228" s="101"/>
    </row>
    <row r="229" spans="1:22" x14ac:dyDescent="0.6">
      <c r="B229" s="79" t="s">
        <v>266</v>
      </c>
      <c r="C229" s="113">
        <f t="shared" ref="C229:I233" si="5">IF(C132&gt;0,C132+C$209,"")</f>
        <v>9.6869999999999994</v>
      </c>
      <c r="D229" s="113" t="str">
        <f t="shared" si="5"/>
        <v/>
      </c>
      <c r="E229" s="113">
        <f t="shared" si="5"/>
        <v>8.2349999999999994</v>
      </c>
      <c r="F229" s="113">
        <f t="shared" si="5"/>
        <v>8.3989999999999991</v>
      </c>
      <c r="G229" s="113">
        <f t="shared" si="5"/>
        <v>8.3130000000000006</v>
      </c>
      <c r="H229" s="113">
        <f t="shared" si="5"/>
        <v>7.7879999999999994</v>
      </c>
      <c r="I229" s="101"/>
    </row>
    <row r="230" spans="1:22" x14ac:dyDescent="0.6">
      <c r="B230" s="79" t="s">
        <v>267</v>
      </c>
      <c r="C230" s="113" t="str">
        <f t="shared" si="5"/>
        <v/>
      </c>
      <c r="D230" s="113">
        <f t="shared" si="5"/>
        <v>11.476999999999999</v>
      </c>
      <c r="E230" s="113" t="str">
        <f t="shared" si="5"/>
        <v/>
      </c>
      <c r="F230" s="113" t="str">
        <f t="shared" si="5"/>
        <v/>
      </c>
      <c r="G230" s="113" t="str">
        <f t="shared" si="5"/>
        <v/>
      </c>
      <c r="H230" s="113" t="str">
        <f t="shared" si="5"/>
        <v/>
      </c>
      <c r="I230" s="113">
        <f t="shared" si="5"/>
        <v>13.697999999999999</v>
      </c>
    </row>
    <row r="231" spans="1:22" x14ac:dyDescent="0.6">
      <c r="B231" s="79" t="s">
        <v>268</v>
      </c>
      <c r="C231" s="113" t="str">
        <f t="shared" si="5"/>
        <v/>
      </c>
      <c r="D231" s="113">
        <f t="shared" si="5"/>
        <v>8.4429999999999996</v>
      </c>
      <c r="E231" s="113" t="str">
        <f t="shared" si="5"/>
        <v/>
      </c>
      <c r="F231" s="113" t="str">
        <f t="shared" si="5"/>
        <v/>
      </c>
      <c r="G231" s="113" t="str">
        <f t="shared" si="5"/>
        <v/>
      </c>
      <c r="H231" s="113" t="str">
        <f t="shared" si="5"/>
        <v/>
      </c>
      <c r="I231" s="113">
        <f t="shared" si="5"/>
        <v>8.4009999999999998</v>
      </c>
    </row>
    <row r="232" spans="1:22" x14ac:dyDescent="0.6">
      <c r="C232" s="113" t="str">
        <f t="shared" si="5"/>
        <v/>
      </c>
      <c r="D232" s="113" t="str">
        <f t="shared" si="5"/>
        <v/>
      </c>
      <c r="E232" s="113" t="str">
        <f t="shared" si="5"/>
        <v/>
      </c>
      <c r="F232" s="113" t="str">
        <f t="shared" si="5"/>
        <v/>
      </c>
      <c r="G232" s="113" t="str">
        <f t="shared" si="5"/>
        <v/>
      </c>
      <c r="H232" s="113" t="str">
        <f t="shared" si="5"/>
        <v/>
      </c>
      <c r="I232" s="101"/>
    </row>
    <row r="233" spans="1:22" x14ac:dyDescent="0.6">
      <c r="B233" s="77" t="s">
        <v>269</v>
      </c>
      <c r="C233" s="113" t="str">
        <f t="shared" si="5"/>
        <v/>
      </c>
      <c r="D233" s="113" t="str">
        <f>IF(D136&gt;0,D136+D$209,"")</f>
        <v/>
      </c>
      <c r="E233" s="113" t="str">
        <f>IF(E136&gt;0,E136+E$209,"")</f>
        <v/>
      </c>
      <c r="F233" s="113" t="str">
        <f>IF(F136&gt;0,F136+F$209,"")</f>
        <v/>
      </c>
      <c r="G233" s="113" t="str">
        <f>IF(G136&gt;0,G136+G$209,"")</f>
        <v/>
      </c>
      <c r="H233" s="113">
        <f>IF(H136&gt;0,H136+H$211,"")</f>
        <v>2.5179999999999998</v>
      </c>
      <c r="I233" s="101"/>
    </row>
    <row r="234" spans="1:22" x14ac:dyDescent="0.6">
      <c r="B234" s="77" t="s">
        <v>270</v>
      </c>
      <c r="H234" s="113">
        <f>IF(H137&gt;0,H137+H$211,"")</f>
        <v>2.5179999999999998</v>
      </c>
      <c r="I234" s="101"/>
    </row>
    <row r="235" spans="1:22" x14ac:dyDescent="0.6">
      <c r="B235" s="77"/>
      <c r="I235" s="101"/>
      <c r="J235" s="101"/>
    </row>
    <row r="236" spans="1:22" ht="13.75" thickBot="1" x14ac:dyDescent="0.75"/>
    <row r="237" spans="1:22" ht="13.75" thickBot="1" x14ac:dyDescent="0.75">
      <c r="A237" s="211" t="s">
        <v>381</v>
      </c>
      <c r="B237" s="212"/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3"/>
    </row>
    <row r="238" spans="1:22" ht="13.75" thickBot="1" x14ac:dyDescent="0.75"/>
    <row r="239" spans="1:22" x14ac:dyDescent="0.6">
      <c r="B239" s="214" t="s">
        <v>382</v>
      </c>
      <c r="C239" s="215"/>
      <c r="D239" s="215"/>
      <c r="E239" s="216"/>
      <c r="F239" s="138"/>
    </row>
    <row r="240" spans="1:22" x14ac:dyDescent="0.6">
      <c r="B240" s="217"/>
      <c r="C240" s="67"/>
      <c r="D240" s="67"/>
      <c r="E240" s="101"/>
      <c r="F240" s="140"/>
    </row>
    <row r="241" spans="2:6" x14ac:dyDescent="0.6">
      <c r="B241" s="218" t="s">
        <v>383</v>
      </c>
      <c r="C241" s="67"/>
      <c r="D241" s="67"/>
      <c r="E241" s="101"/>
      <c r="F241" s="140"/>
    </row>
    <row r="242" spans="2:6" x14ac:dyDescent="0.6">
      <c r="B242" s="217"/>
      <c r="C242" s="67"/>
      <c r="D242" s="66" t="s">
        <v>384</v>
      </c>
      <c r="E242" s="219" t="s">
        <v>385</v>
      </c>
      <c r="F242" s="220" t="s">
        <v>36</v>
      </c>
    </row>
    <row r="243" spans="2:6" x14ac:dyDescent="0.6">
      <c r="B243" s="217"/>
      <c r="C243" s="67"/>
      <c r="D243" s="67"/>
      <c r="E243" s="101"/>
      <c r="F243" s="140"/>
    </row>
    <row r="244" spans="2:6" x14ac:dyDescent="0.6">
      <c r="B244" s="217"/>
      <c r="C244" s="67" t="s">
        <v>69</v>
      </c>
      <c r="D244" s="46">
        <v>390482</v>
      </c>
      <c r="E244" s="46">
        <v>43343</v>
      </c>
      <c r="F244" s="47">
        <f>SUM(D244:E244)</f>
        <v>433825</v>
      </c>
    </row>
    <row r="245" spans="2:6" x14ac:dyDescent="0.6">
      <c r="B245" s="217"/>
      <c r="C245" s="67" t="s">
        <v>62</v>
      </c>
      <c r="D245" s="46">
        <v>567747</v>
      </c>
      <c r="E245" s="46">
        <v>63021</v>
      </c>
      <c r="F245" s="47">
        <f>SUM(D245:E245)</f>
        <v>630768</v>
      </c>
    </row>
    <row r="246" spans="2:6" x14ac:dyDescent="0.6">
      <c r="B246" s="217"/>
      <c r="C246" s="221" t="s">
        <v>36</v>
      </c>
      <c r="D246" s="48">
        <f>SUM(D244:D245)</f>
        <v>958229</v>
      </c>
      <c r="E246" s="48">
        <f t="shared" ref="E246:F246" si="6">SUM(E244:E245)</f>
        <v>106364</v>
      </c>
      <c r="F246" s="48">
        <f t="shared" si="6"/>
        <v>1064593</v>
      </c>
    </row>
    <row r="247" spans="2:6" x14ac:dyDescent="0.6">
      <c r="B247" s="217"/>
      <c r="C247" s="67"/>
      <c r="D247" s="67"/>
      <c r="E247" s="101"/>
      <c r="F247" s="140"/>
    </row>
    <row r="248" spans="2:6" x14ac:dyDescent="0.6">
      <c r="B248" s="218" t="s">
        <v>386</v>
      </c>
      <c r="C248" s="67"/>
      <c r="D248" s="67"/>
      <c r="E248" s="101"/>
      <c r="F248" s="140"/>
    </row>
    <row r="249" spans="2:6" x14ac:dyDescent="0.6">
      <c r="B249" s="217"/>
      <c r="C249" s="67"/>
      <c r="D249" s="66" t="s">
        <v>384</v>
      </c>
      <c r="E249" s="219" t="s">
        <v>385</v>
      </c>
      <c r="F249" s="220" t="s">
        <v>36</v>
      </c>
    </row>
    <row r="250" spans="2:6" x14ac:dyDescent="0.6">
      <c r="B250" s="217"/>
      <c r="C250" s="67"/>
      <c r="D250" s="67"/>
      <c r="E250" s="101"/>
      <c r="F250" s="140"/>
    </row>
    <row r="251" spans="2:6" x14ac:dyDescent="0.6">
      <c r="B251" s="217"/>
      <c r="C251" s="67" t="s">
        <v>69</v>
      </c>
      <c r="D251" s="46">
        <v>420319.82128678495</v>
      </c>
      <c r="E251" s="46">
        <v>47096.340767401278</v>
      </c>
      <c r="F251" s="47">
        <f>SUM(D251:E251)</f>
        <v>467416.16205418622</v>
      </c>
    </row>
    <row r="252" spans="2:6" x14ac:dyDescent="0.6">
      <c r="B252" s="217"/>
      <c r="C252" s="67" t="s">
        <v>62</v>
      </c>
      <c r="D252" s="46">
        <v>611109.38022200111</v>
      </c>
      <c r="E252" s="46">
        <v>67834.301584910354</v>
      </c>
      <c r="F252" s="47">
        <f>SUM(D252:E252)</f>
        <v>678943.68180691148</v>
      </c>
    </row>
    <row r="253" spans="2:6" x14ac:dyDescent="0.6">
      <c r="B253" s="49"/>
      <c r="C253" s="221" t="s">
        <v>36</v>
      </c>
      <c r="D253" s="48">
        <f>SUM(D251:D252)</f>
        <v>1031429.2015087861</v>
      </c>
      <c r="E253" s="48">
        <f t="shared" ref="E253:F253" si="7">SUM(E251:E252)</f>
        <v>114930.64235231164</v>
      </c>
      <c r="F253" s="48">
        <f t="shared" si="7"/>
        <v>1146359.8438610977</v>
      </c>
    </row>
    <row r="254" spans="2:6" ht="13.75" thickBot="1" x14ac:dyDescent="0.75">
      <c r="B254" s="142"/>
      <c r="C254" s="222"/>
      <c r="D254" s="222"/>
      <c r="E254" s="223"/>
      <c r="F254" s="174"/>
    </row>
    <row r="256" spans="2:6" ht="13.75" thickBot="1" x14ac:dyDescent="0.75"/>
    <row r="257" spans="2:21" ht="16.25" thickBot="1" x14ac:dyDescent="0.85">
      <c r="B257" s="224"/>
      <c r="C257" s="225"/>
      <c r="D257" s="226" t="s">
        <v>387</v>
      </c>
      <c r="E257" s="265" t="s">
        <v>388</v>
      </c>
      <c r="F257" s="265"/>
      <c r="G257" s="266"/>
      <c r="H257" s="265" t="s">
        <v>389</v>
      </c>
      <c r="I257" s="265"/>
      <c r="J257" s="265"/>
      <c r="K257" s="264" t="s">
        <v>390</v>
      </c>
      <c r="L257" s="265"/>
      <c r="M257" s="266"/>
      <c r="N257" s="265" t="s">
        <v>115</v>
      </c>
      <c r="O257" s="265"/>
      <c r="P257" s="264" t="s">
        <v>391</v>
      </c>
      <c r="Q257" s="265"/>
      <c r="R257" s="266"/>
      <c r="S257" s="264" t="s">
        <v>392</v>
      </c>
      <c r="T257" s="265"/>
      <c r="U257" s="266"/>
    </row>
    <row r="258" spans="2:21" ht="43.5" customHeight="1" thickBot="1" x14ac:dyDescent="0.75">
      <c r="B258" s="227"/>
      <c r="C258" s="228"/>
      <c r="D258" s="229" t="s">
        <v>393</v>
      </c>
      <c r="E258" s="230" t="s">
        <v>394</v>
      </c>
      <c r="F258" s="230" t="s">
        <v>395</v>
      </c>
      <c r="G258" s="231" t="s">
        <v>396</v>
      </c>
      <c r="H258" s="230" t="s">
        <v>393</v>
      </c>
      <c r="I258" s="230" t="s">
        <v>395</v>
      </c>
      <c r="J258" s="230" t="s">
        <v>396</v>
      </c>
      <c r="K258" s="232" t="s">
        <v>393</v>
      </c>
      <c r="L258" s="230" t="s">
        <v>397</v>
      </c>
      <c r="M258" s="231" t="s">
        <v>396</v>
      </c>
      <c r="N258" s="230" t="s">
        <v>398</v>
      </c>
      <c r="O258" s="230" t="s">
        <v>396</v>
      </c>
      <c r="P258" s="232" t="s">
        <v>399</v>
      </c>
      <c r="Q258" s="230" t="s">
        <v>400</v>
      </c>
      <c r="R258" s="231" t="s">
        <v>396</v>
      </c>
      <c r="S258" s="232" t="s">
        <v>399</v>
      </c>
      <c r="T258" s="230" t="s">
        <v>400</v>
      </c>
      <c r="U258" s="231" t="s">
        <v>396</v>
      </c>
    </row>
    <row r="259" spans="2:21" x14ac:dyDescent="0.6">
      <c r="B259" s="73"/>
      <c r="C259" s="233"/>
      <c r="D259" s="234"/>
      <c r="E259" s="235"/>
      <c r="F259" s="235"/>
      <c r="G259" s="235"/>
      <c r="H259" s="234"/>
      <c r="I259" s="234"/>
      <c r="J259" s="95"/>
      <c r="K259" s="236"/>
      <c r="L259" s="236"/>
      <c r="M259" s="236"/>
      <c r="N259" s="234"/>
      <c r="O259" s="95"/>
      <c r="P259" s="236"/>
      <c r="Q259" s="236"/>
      <c r="R259" s="237"/>
      <c r="S259" s="236"/>
      <c r="T259" s="236"/>
      <c r="U259" s="237"/>
    </row>
    <row r="260" spans="2:21" x14ac:dyDescent="0.6">
      <c r="B260" s="72">
        <v>45444</v>
      </c>
      <c r="C260" s="233"/>
      <c r="D260" s="238">
        <v>8971</v>
      </c>
      <c r="E260" s="239"/>
      <c r="F260" s="239"/>
      <c r="G260" s="239"/>
      <c r="H260" s="238">
        <v>0</v>
      </c>
      <c r="I260" s="240">
        <v>32.39</v>
      </c>
      <c r="J260" s="241">
        <f t="shared" ref="J260:J271" si="8">H260*I260</f>
        <v>0</v>
      </c>
      <c r="K260" s="242">
        <f>D260-H260</f>
        <v>8971</v>
      </c>
      <c r="L260" s="240">
        <v>42.2</v>
      </c>
      <c r="M260" s="243">
        <f t="shared" ref="M260:M271" si="9">K260*L260</f>
        <v>378576.2</v>
      </c>
      <c r="N260" s="240">
        <v>2.7900766092651423</v>
      </c>
      <c r="O260" s="241">
        <f t="shared" ref="O260:O271" si="10">N260*(K260+H260)</f>
        <v>25029.777261717591</v>
      </c>
      <c r="P260" s="240">
        <v>0</v>
      </c>
      <c r="Q260" s="240">
        <v>0</v>
      </c>
      <c r="R260" s="243">
        <f>P260*Q260*1000</f>
        <v>0</v>
      </c>
      <c r="S260" s="240">
        <v>50.452481181069686</v>
      </c>
      <c r="T260" s="240">
        <v>6.6573983580922595</v>
      </c>
      <c r="U260" s="243">
        <f>S260*T260*1000</f>
        <v>335882.26537653396</v>
      </c>
    </row>
    <row r="261" spans="2:21" x14ac:dyDescent="0.6">
      <c r="B261" s="72">
        <f>B260+31-DAY(B260+31)+1</f>
        <v>45474</v>
      </c>
      <c r="C261" s="233"/>
      <c r="D261" s="238">
        <v>12705</v>
      </c>
      <c r="E261" s="239"/>
      <c r="F261" s="239"/>
      <c r="G261" s="239"/>
      <c r="H261" s="238">
        <v>0</v>
      </c>
      <c r="I261" s="240">
        <v>32.39</v>
      </c>
      <c r="J261" s="241">
        <f t="shared" si="8"/>
        <v>0</v>
      </c>
      <c r="K261" s="242">
        <f t="shared" ref="K261:K271" si="11">D261-H261</f>
        <v>12705</v>
      </c>
      <c r="L261" s="240">
        <v>55.596774193548384</v>
      </c>
      <c r="M261" s="243">
        <f t="shared" si="9"/>
        <v>706357.01612903224</v>
      </c>
      <c r="N261" s="240">
        <v>2.2312811327885509</v>
      </c>
      <c r="O261" s="241">
        <f t="shared" si="10"/>
        <v>28348.426792078539</v>
      </c>
      <c r="P261" s="240">
        <v>0</v>
      </c>
      <c r="Q261" s="240">
        <v>0</v>
      </c>
      <c r="R261" s="243">
        <f t="shared" ref="R261:R271" si="12">P261*Q261*1000</f>
        <v>0</v>
      </c>
      <c r="S261" s="240">
        <v>50.289658874832725</v>
      </c>
      <c r="T261" s="240">
        <v>7.047084752554599</v>
      </c>
      <c r="U261" s="243">
        <f t="shared" ref="U261:U271" si="13">S261*T261*1000</f>
        <v>354395.48826800578</v>
      </c>
    </row>
    <row r="262" spans="2:21" x14ac:dyDescent="0.6">
      <c r="B262" s="72">
        <f t="shared" ref="B262:B271" si="14">B261+31-DAY(B261+31)+1</f>
        <v>45505</v>
      </c>
      <c r="C262" s="233"/>
      <c r="D262" s="238">
        <v>12539</v>
      </c>
      <c r="E262" s="239"/>
      <c r="F262" s="239"/>
      <c r="G262" s="239"/>
      <c r="H262" s="238">
        <v>0</v>
      </c>
      <c r="I262" s="240">
        <v>32.39</v>
      </c>
      <c r="J262" s="241">
        <f t="shared" si="8"/>
        <v>0</v>
      </c>
      <c r="K262" s="242">
        <f t="shared" si="11"/>
        <v>12539</v>
      </c>
      <c r="L262" s="240">
        <v>49.280107526881721</v>
      </c>
      <c r="M262" s="243">
        <f t="shared" si="9"/>
        <v>617923.26827956992</v>
      </c>
      <c r="N262" s="240">
        <v>2.2474178697655716</v>
      </c>
      <c r="O262" s="241">
        <f t="shared" si="10"/>
        <v>28180.372668990502</v>
      </c>
      <c r="P262" s="240">
        <v>0</v>
      </c>
      <c r="Q262" s="240">
        <v>0</v>
      </c>
      <c r="R262" s="243">
        <f t="shared" si="12"/>
        <v>0</v>
      </c>
      <c r="S262" s="240">
        <v>50.289658874832725</v>
      </c>
      <c r="T262" s="240">
        <v>6.9831515089722682</v>
      </c>
      <c r="U262" s="243">
        <f t="shared" si="13"/>
        <v>351180.30725748878</v>
      </c>
    </row>
    <row r="263" spans="2:21" x14ac:dyDescent="0.6">
      <c r="B263" s="72">
        <f t="shared" si="14"/>
        <v>45536</v>
      </c>
      <c r="C263" s="233"/>
      <c r="D263" s="238">
        <v>8658</v>
      </c>
      <c r="E263" s="239"/>
      <c r="F263" s="239"/>
      <c r="G263" s="239"/>
      <c r="H263" s="238">
        <v>0</v>
      </c>
      <c r="I263" s="240">
        <v>32.39</v>
      </c>
      <c r="J263" s="241">
        <f t="shared" si="8"/>
        <v>0</v>
      </c>
      <c r="K263" s="242">
        <f t="shared" si="11"/>
        <v>8658</v>
      </c>
      <c r="L263" s="240">
        <v>37.694444444444443</v>
      </c>
      <c r="M263" s="243">
        <f t="shared" si="9"/>
        <v>326358.5</v>
      </c>
      <c r="N263" s="240">
        <v>1.3424987118672049</v>
      </c>
      <c r="O263" s="241">
        <f t="shared" si="10"/>
        <v>11623.353847346259</v>
      </c>
      <c r="P263" s="240">
        <v>0</v>
      </c>
      <c r="Q263" s="240">
        <v>0</v>
      </c>
      <c r="R263" s="243">
        <f t="shared" si="12"/>
        <v>0</v>
      </c>
      <c r="S263" s="240">
        <v>50.289658874832725</v>
      </c>
      <c r="T263" s="240">
        <v>7.0878292682926833</v>
      </c>
      <c r="U263" s="243">
        <f t="shared" si="13"/>
        <v>356444.51606549427</v>
      </c>
    </row>
    <row r="264" spans="2:21" x14ac:dyDescent="0.6">
      <c r="B264" s="72">
        <f t="shared" si="14"/>
        <v>45566</v>
      </c>
      <c r="C264" s="233"/>
      <c r="D264" s="238">
        <v>8039</v>
      </c>
      <c r="E264" s="239"/>
      <c r="F264" s="239"/>
      <c r="G264" s="239"/>
      <c r="H264" s="238">
        <v>0</v>
      </c>
      <c r="I264" s="240">
        <v>32.39</v>
      </c>
      <c r="J264" s="241">
        <f t="shared" si="8"/>
        <v>0</v>
      </c>
      <c r="K264" s="242">
        <f t="shared" si="11"/>
        <v>8039</v>
      </c>
      <c r="L264" s="240">
        <v>37.30913978494624</v>
      </c>
      <c r="M264" s="243">
        <f t="shared" si="9"/>
        <v>299928.17473118281</v>
      </c>
      <c r="N264" s="240">
        <v>1.7482779059703679</v>
      </c>
      <c r="O264" s="241">
        <f t="shared" si="10"/>
        <v>14054.406086095787</v>
      </c>
      <c r="P264" s="240">
        <v>0</v>
      </c>
      <c r="Q264" s="240">
        <v>0</v>
      </c>
      <c r="R264" s="243">
        <f t="shared" si="12"/>
        <v>0</v>
      </c>
      <c r="S264" s="240">
        <v>50.289658874832725</v>
      </c>
      <c r="T264" s="240">
        <v>7.1121219512195122</v>
      </c>
      <c r="U264" s="243">
        <f t="shared" si="13"/>
        <v>357666.18680303893</v>
      </c>
    </row>
    <row r="265" spans="2:21" x14ac:dyDescent="0.6">
      <c r="B265" s="72">
        <f t="shared" si="14"/>
        <v>45597</v>
      </c>
      <c r="C265" s="233"/>
      <c r="D265" s="238">
        <v>7677</v>
      </c>
      <c r="E265" s="239"/>
      <c r="F265" s="239"/>
      <c r="G265" s="239"/>
      <c r="H265" s="238">
        <v>0</v>
      </c>
      <c r="I265" s="240">
        <v>32.39</v>
      </c>
      <c r="J265" s="241">
        <f t="shared" si="8"/>
        <v>0</v>
      </c>
      <c r="K265" s="242">
        <f t="shared" si="11"/>
        <v>7677</v>
      </c>
      <c r="L265" s="240">
        <v>41.995006934812764</v>
      </c>
      <c r="M265" s="243">
        <f t="shared" si="9"/>
        <v>322395.66823855758</v>
      </c>
      <c r="N265" s="240">
        <v>2.3834502246442173</v>
      </c>
      <c r="O265" s="241">
        <f t="shared" si="10"/>
        <v>18297.747374593655</v>
      </c>
      <c r="P265" s="240">
        <v>0</v>
      </c>
      <c r="Q265" s="240">
        <v>0</v>
      </c>
      <c r="R265" s="243">
        <f t="shared" si="12"/>
        <v>0</v>
      </c>
      <c r="S265" s="240">
        <v>50.289658874832725</v>
      </c>
      <c r="T265" s="240">
        <v>4.2420824564759894</v>
      </c>
      <c r="U265" s="243">
        <f t="shared" si="13"/>
        <v>213332.87965508996</v>
      </c>
    </row>
    <row r="266" spans="2:21" x14ac:dyDescent="0.6">
      <c r="B266" s="72">
        <f t="shared" si="14"/>
        <v>45627</v>
      </c>
      <c r="C266" s="233"/>
      <c r="D266" s="238">
        <v>9201</v>
      </c>
      <c r="E266" s="239"/>
      <c r="F266" s="239"/>
      <c r="G266" s="239"/>
      <c r="H266" s="238">
        <v>0</v>
      </c>
      <c r="I266" s="240">
        <v>32.39</v>
      </c>
      <c r="J266" s="241">
        <f t="shared" si="8"/>
        <v>0</v>
      </c>
      <c r="K266" s="242">
        <f t="shared" si="11"/>
        <v>9201</v>
      </c>
      <c r="L266" s="240">
        <v>71.896774193548382</v>
      </c>
      <c r="M266" s="243">
        <f t="shared" si="9"/>
        <v>661522.21935483871</v>
      </c>
      <c r="N266" s="240">
        <v>2.2520701591079724</v>
      </c>
      <c r="O266" s="241">
        <f t="shared" si="10"/>
        <v>20721.297533952453</v>
      </c>
      <c r="P266" s="240">
        <v>0</v>
      </c>
      <c r="Q266" s="240">
        <v>0</v>
      </c>
      <c r="R266" s="243">
        <f t="shared" si="12"/>
        <v>0</v>
      </c>
      <c r="S266" s="240">
        <v>50.289658874832725</v>
      </c>
      <c r="T266" s="240">
        <v>4.1915621056426886</v>
      </c>
      <c r="U266" s="243">
        <f t="shared" si="13"/>
        <v>210792.22844544638</v>
      </c>
    </row>
    <row r="267" spans="2:21" x14ac:dyDescent="0.6">
      <c r="B267" s="72">
        <f t="shared" si="14"/>
        <v>45658</v>
      </c>
      <c r="C267" s="233"/>
      <c r="D267" s="238">
        <v>11349</v>
      </c>
      <c r="E267" s="239"/>
      <c r="F267" s="239"/>
      <c r="G267" s="239"/>
      <c r="H267" s="238">
        <v>0</v>
      </c>
      <c r="I267" s="240">
        <v>32.39</v>
      </c>
      <c r="J267" s="241">
        <f t="shared" si="8"/>
        <v>0</v>
      </c>
      <c r="K267" s="242">
        <f t="shared" si="11"/>
        <v>11349</v>
      </c>
      <c r="L267" s="240">
        <v>118.38333333333335</v>
      </c>
      <c r="M267" s="243">
        <f t="shared" si="9"/>
        <v>1343532.4500000002</v>
      </c>
      <c r="N267" s="240">
        <v>1.9600643126478989</v>
      </c>
      <c r="O267" s="241">
        <f t="shared" si="10"/>
        <v>22244.769884241006</v>
      </c>
      <c r="P267" s="240">
        <v>0</v>
      </c>
      <c r="Q267" s="240">
        <v>0</v>
      </c>
      <c r="R267" s="243">
        <f t="shared" si="12"/>
        <v>0</v>
      </c>
      <c r="S267" s="240">
        <v>50.289658874832725</v>
      </c>
      <c r="T267" s="240">
        <v>4.1322089840605374</v>
      </c>
      <c r="U267" s="243">
        <f t="shared" si="13"/>
        <v>207807.38020792353</v>
      </c>
    </row>
    <row r="268" spans="2:21" x14ac:dyDescent="0.6">
      <c r="B268" s="72">
        <f t="shared" si="14"/>
        <v>45689</v>
      </c>
      <c r="C268" s="233"/>
      <c r="D268" s="238">
        <v>9537</v>
      </c>
      <c r="E268" s="239"/>
      <c r="F268" s="239"/>
      <c r="G268" s="239"/>
      <c r="H268" s="238">
        <v>0</v>
      </c>
      <c r="I268" s="240">
        <v>32.39</v>
      </c>
      <c r="J268" s="241">
        <f t="shared" si="8"/>
        <v>0</v>
      </c>
      <c r="K268" s="242">
        <f t="shared" si="11"/>
        <v>9537</v>
      </c>
      <c r="L268" s="240">
        <v>118.05714285714285</v>
      </c>
      <c r="M268" s="243">
        <f t="shared" si="9"/>
        <v>1125910.9714285713</v>
      </c>
      <c r="N268" s="240">
        <v>2.3026417175276488</v>
      </c>
      <c r="O268" s="241">
        <f t="shared" si="10"/>
        <v>21960.294060061187</v>
      </c>
      <c r="P268" s="240">
        <v>0</v>
      </c>
      <c r="Q268" s="240">
        <v>0</v>
      </c>
      <c r="R268" s="243">
        <f t="shared" si="12"/>
        <v>0</v>
      </c>
      <c r="S268" s="240">
        <v>50.289658874832725</v>
      </c>
      <c r="T268" s="240">
        <v>4.1350327423734221</v>
      </c>
      <c r="U268" s="243">
        <f t="shared" si="13"/>
        <v>207949.38605022346</v>
      </c>
    </row>
    <row r="269" spans="2:21" x14ac:dyDescent="0.6">
      <c r="B269" s="72">
        <f t="shared" si="14"/>
        <v>45717</v>
      </c>
      <c r="C269" s="233"/>
      <c r="D269" s="238">
        <v>8778</v>
      </c>
      <c r="E269" s="239"/>
      <c r="F269" s="239"/>
      <c r="G269" s="239"/>
      <c r="H269" s="238">
        <v>0</v>
      </c>
      <c r="I269" s="240">
        <v>32.39</v>
      </c>
      <c r="J269" s="241">
        <f t="shared" si="8"/>
        <v>0</v>
      </c>
      <c r="K269" s="242">
        <f t="shared" si="11"/>
        <v>8778</v>
      </c>
      <c r="L269" s="240">
        <v>67.842664872139977</v>
      </c>
      <c r="M269" s="243">
        <f t="shared" si="9"/>
        <v>595522.91224764474</v>
      </c>
      <c r="N269" s="240">
        <v>2.4302535473813722</v>
      </c>
      <c r="O269" s="241">
        <f t="shared" si="10"/>
        <v>21332.765638913686</v>
      </c>
      <c r="P269" s="240">
        <v>0</v>
      </c>
      <c r="Q269" s="240">
        <v>0</v>
      </c>
      <c r="R269" s="243">
        <f t="shared" si="12"/>
        <v>0</v>
      </c>
      <c r="S269" s="240">
        <v>50.289658874832725</v>
      </c>
      <c r="T269" s="240">
        <v>4.1234395813510938</v>
      </c>
      <c r="U269" s="243">
        <f t="shared" si="13"/>
        <v>207366.36993712958</v>
      </c>
    </row>
    <row r="270" spans="2:21" x14ac:dyDescent="0.6">
      <c r="B270" s="72">
        <f t="shared" si="14"/>
        <v>45748</v>
      </c>
      <c r="C270" s="233"/>
      <c r="D270" s="238">
        <v>7853</v>
      </c>
      <c r="E270" s="239"/>
      <c r="F270" s="239"/>
      <c r="G270" s="239"/>
      <c r="H270" s="238">
        <v>0</v>
      </c>
      <c r="I270" s="240">
        <v>32.39</v>
      </c>
      <c r="J270" s="241">
        <f t="shared" si="8"/>
        <v>0</v>
      </c>
      <c r="K270" s="242">
        <f t="shared" si="11"/>
        <v>7853</v>
      </c>
      <c r="L270" s="240">
        <v>42.637777777777785</v>
      </c>
      <c r="M270" s="243">
        <f t="shared" si="9"/>
        <v>334834.46888888895</v>
      </c>
      <c r="N270" s="240">
        <v>3.1609691853077324</v>
      </c>
      <c r="O270" s="241">
        <f t="shared" si="10"/>
        <v>24823.091012221623</v>
      </c>
      <c r="P270" s="240">
        <v>0</v>
      </c>
      <c r="Q270" s="240">
        <v>0</v>
      </c>
      <c r="R270" s="243">
        <f t="shared" si="12"/>
        <v>0</v>
      </c>
      <c r="S270" s="240">
        <v>50.289658874832725</v>
      </c>
      <c r="T270" s="240">
        <v>4.1351237743128113</v>
      </c>
      <c r="U270" s="243">
        <f t="shared" si="13"/>
        <v>207953.96401540205</v>
      </c>
    </row>
    <row r="271" spans="2:21" x14ac:dyDescent="0.6">
      <c r="B271" s="72">
        <f t="shared" si="14"/>
        <v>45778</v>
      </c>
      <c r="C271" s="233"/>
      <c r="D271" s="238">
        <v>7713</v>
      </c>
      <c r="E271" s="239"/>
      <c r="F271" s="239"/>
      <c r="G271" s="239"/>
      <c r="H271" s="238">
        <v>0</v>
      </c>
      <c r="I271" s="240">
        <v>32.39</v>
      </c>
      <c r="J271" s="241">
        <f t="shared" si="8"/>
        <v>0</v>
      </c>
      <c r="K271" s="242">
        <f t="shared" si="11"/>
        <v>7713</v>
      </c>
      <c r="L271" s="240">
        <v>42.167741935483868</v>
      </c>
      <c r="M271" s="243">
        <f t="shared" si="9"/>
        <v>325239.79354838707</v>
      </c>
      <c r="N271" s="240">
        <v>3.4076658793627432</v>
      </c>
      <c r="O271" s="241">
        <f t="shared" si="10"/>
        <v>26283.326927524839</v>
      </c>
      <c r="P271" s="240">
        <v>0</v>
      </c>
      <c r="Q271" s="240">
        <v>0</v>
      </c>
      <c r="R271" s="243">
        <f t="shared" si="12"/>
        <v>0</v>
      </c>
      <c r="S271" s="240">
        <v>50.289658874832725</v>
      </c>
      <c r="T271" s="240">
        <v>8.2658172863666</v>
      </c>
      <c r="U271" s="243">
        <f t="shared" si="13"/>
        <v>415685.13165307185</v>
      </c>
    </row>
    <row r="272" spans="2:21" ht="13.75" thickBot="1" x14ac:dyDescent="0.75">
      <c r="B272" s="244"/>
      <c r="C272" s="174"/>
      <c r="D272" s="234"/>
      <c r="E272" s="245"/>
      <c r="F272" s="245"/>
      <c r="G272" s="246"/>
      <c r="H272" s="234"/>
      <c r="I272" s="234"/>
      <c r="J272" s="245"/>
      <c r="K272" s="247"/>
      <c r="L272" s="247"/>
      <c r="M272" s="247"/>
      <c r="N272" s="234"/>
      <c r="O272" s="245"/>
      <c r="P272" s="247"/>
      <c r="Q272" s="247"/>
      <c r="R272" s="248"/>
      <c r="S272" s="247"/>
      <c r="T272" s="247"/>
      <c r="U272" s="248"/>
    </row>
    <row r="273" spans="2:21" ht="13.75" thickBot="1" x14ac:dyDescent="0.75">
      <c r="B273" s="249" t="s">
        <v>36</v>
      </c>
      <c r="C273" s="250"/>
      <c r="D273" s="251">
        <f>SUM(D260:D272)</f>
        <v>113020</v>
      </c>
      <c r="E273" s="252">
        <v>0</v>
      </c>
      <c r="F273" s="253">
        <v>0</v>
      </c>
      <c r="G273" s="254">
        <v>0</v>
      </c>
      <c r="H273" s="252">
        <f>SUM(H260:H272)</f>
        <v>0</v>
      </c>
      <c r="I273" s="253"/>
      <c r="J273" s="252">
        <f>SUM(J260:J272)</f>
        <v>0</v>
      </c>
      <c r="K273" s="251">
        <f>SUM(K260:K272)</f>
        <v>113020</v>
      </c>
      <c r="L273" s="255"/>
      <c r="M273" s="251">
        <f>SUM(M260:M272)</f>
        <v>7038101.6428466737</v>
      </c>
      <c r="N273" s="256">
        <f>O273/D273</f>
        <v>2.3261336850799603</v>
      </c>
      <c r="O273" s="252">
        <f>SUM(O260:O271)</f>
        <v>262899.62908773712</v>
      </c>
      <c r="P273" s="255"/>
      <c r="Q273" s="255"/>
      <c r="R273" s="251">
        <f>SUM(R260:R272)</f>
        <v>0</v>
      </c>
      <c r="S273" s="255"/>
      <c r="T273" s="255"/>
      <c r="U273" s="251">
        <f>SUM(U260:U272)</f>
        <v>3426456.103734849</v>
      </c>
    </row>
    <row r="277" spans="2:21" x14ac:dyDescent="0.6">
      <c r="B277" s="257" t="s">
        <v>401</v>
      </c>
      <c r="C277" s="95"/>
      <c r="D277" s="95"/>
      <c r="E277" s="95"/>
    </row>
    <row r="278" spans="2:21" x14ac:dyDescent="0.6">
      <c r="B278" s="95"/>
      <c r="C278" s="95"/>
      <c r="D278" s="95"/>
      <c r="E278" s="95"/>
    </row>
    <row r="279" spans="2:21" x14ac:dyDescent="0.6">
      <c r="B279" s="50" t="s">
        <v>402</v>
      </c>
      <c r="C279" s="95"/>
      <c r="D279" s="258">
        <f>$G$273</f>
        <v>0</v>
      </c>
      <c r="E279" s="259">
        <f>ROUND(D279/$D$273,2)</f>
        <v>0</v>
      </c>
    </row>
    <row r="280" spans="2:21" x14ac:dyDescent="0.6">
      <c r="B280" s="50" t="s">
        <v>389</v>
      </c>
      <c r="C280" s="95"/>
      <c r="D280" s="258">
        <f>$J$273</f>
        <v>0</v>
      </c>
      <c r="E280" s="259">
        <f>ROUND(D280/$D$273,2)</f>
        <v>0</v>
      </c>
    </row>
    <row r="281" spans="2:21" x14ac:dyDescent="0.6">
      <c r="B281" s="50" t="s">
        <v>390</v>
      </c>
      <c r="C281" s="95"/>
      <c r="D281" s="258">
        <f>$M$273</f>
        <v>7038101.6428466737</v>
      </c>
      <c r="E281" s="259">
        <f>ROUND(D281/$K$273,2)</f>
        <v>62.27</v>
      </c>
    </row>
    <row r="282" spans="2:21" x14ac:dyDescent="0.6">
      <c r="B282" s="50" t="s">
        <v>115</v>
      </c>
      <c r="C282" s="95"/>
      <c r="D282" s="258">
        <f>O273</f>
        <v>262899.62908773712</v>
      </c>
      <c r="E282" s="259">
        <f>ROUND(D282/$D$273,2)</f>
        <v>2.33</v>
      </c>
    </row>
    <row r="283" spans="2:21" x14ac:dyDescent="0.6">
      <c r="B283" s="50" t="s">
        <v>391</v>
      </c>
      <c r="C283" s="95"/>
      <c r="D283" s="260">
        <f>U273</f>
        <v>3426456.103734849</v>
      </c>
      <c r="E283" s="261">
        <f>ROUND(D283/$D$273,2)</f>
        <v>30.32</v>
      </c>
    </row>
    <row r="284" spans="2:21" x14ac:dyDescent="0.6">
      <c r="B284" s="95"/>
      <c r="C284" s="95"/>
      <c r="D284" s="258">
        <f>SUM(D279:D283)</f>
        <v>10727457.37566926</v>
      </c>
      <c r="E284" s="259">
        <f>SUM(E279:E283)</f>
        <v>94.920000000000016</v>
      </c>
    </row>
    <row r="285" spans="2:21" x14ac:dyDescent="0.6">
      <c r="B285" s="95" t="s">
        <v>403</v>
      </c>
      <c r="C285" s="95"/>
      <c r="D285" s="258">
        <f>$D$273</f>
        <v>113020</v>
      </c>
    </row>
    <row r="286" spans="2:21" x14ac:dyDescent="0.6">
      <c r="B286" s="95" t="s">
        <v>242</v>
      </c>
      <c r="C286" s="95"/>
      <c r="D286" s="170">
        <f>ROUND(D284/D285,2)</f>
        <v>94.92</v>
      </c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Chauncey</dc:creator>
  <cp:lastModifiedBy>Morrison, Kate</cp:lastModifiedBy>
  <dcterms:created xsi:type="dcterms:W3CDTF">2023-06-29T15:01:58Z</dcterms:created>
  <dcterms:modified xsi:type="dcterms:W3CDTF">2023-06-29T19:22:28Z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90586b-6766-439a-826f-fa6da183971c_Enabled">
    <vt:lpwstr>true</vt:lpwstr>
  </property>
  <property fmtid="{D5CDD505-2E9C-101B-9397-08002B2CF9AE}" pid="3" name="MSIP_Label_6490586b-6766-439a-826f-fa6da183971c_SetDate">
    <vt:lpwstr>2023-06-29T15:02:00Z</vt:lpwstr>
  </property>
  <property fmtid="{D5CDD505-2E9C-101B-9397-08002B2CF9AE}" pid="4" name="MSIP_Label_6490586b-6766-439a-826f-fa6da183971c_Method">
    <vt:lpwstr>Standard</vt:lpwstr>
  </property>
  <property fmtid="{D5CDD505-2E9C-101B-9397-08002B2CF9AE}" pid="5" name="MSIP_Label_6490586b-6766-439a-826f-fa6da183971c_Name">
    <vt:lpwstr>General</vt:lpwstr>
  </property>
  <property fmtid="{D5CDD505-2E9C-101B-9397-08002B2CF9AE}" pid="6" name="MSIP_Label_6490586b-6766-439a-826f-fa6da183971c_SiteId">
    <vt:lpwstr>e9aef9b7-25ca-4518-a881-33e546773136</vt:lpwstr>
  </property>
  <property fmtid="{D5CDD505-2E9C-101B-9397-08002B2CF9AE}" pid="7" name="MSIP_Label_6490586b-6766-439a-826f-fa6da183971c_ActionId">
    <vt:lpwstr>f7dc8acd-2774-4487-b635-3515151a008a</vt:lpwstr>
  </property>
  <property fmtid="{D5CDD505-2E9C-101B-9397-08002B2CF9AE}" pid="8" name="MSIP_Label_6490586b-6766-439a-826f-fa6da183971c_ContentBits">
    <vt:lpwstr>0</vt:lpwstr>
  </property>
</Properties>
</file>