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ra-nycfs\Work\Projects\Energy\20-21 BGS (114324)\2021 Auction\3 Rates\3 January 2021\2 Rcvd from EDCs\0 Posted\"/>
    </mc:Choice>
  </mc:AlternateContent>
  <xr:revisionPtr revIDLastSave="0" documentId="13_ncr:1_{CCC145AB-C1FE-435E-AE2B-6328CA37834B}" xr6:coauthVersionLast="45" xr6:coauthVersionMax="45" xr10:uidLastSave="{00000000-0000-0000-0000-000000000000}"/>
  <bookViews>
    <workbookView xWindow="-93" yWindow="-93" windowWidth="25786" windowHeight="13986" xr2:uid="{17DF0531-D238-437F-A447-8EB2910F8550}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9" i="3" l="1"/>
  <c r="U271" i="3"/>
  <c r="R271" i="3"/>
  <c r="J271" i="3"/>
  <c r="K271" i="3"/>
  <c r="M271" i="3" s="1"/>
  <c r="U270" i="3"/>
  <c r="R270" i="3"/>
  <c r="J270" i="3"/>
  <c r="K270" i="3"/>
  <c r="M270" i="3" s="1"/>
  <c r="U269" i="3"/>
  <c r="R269" i="3"/>
  <c r="O269" i="3"/>
  <c r="J269" i="3"/>
  <c r="K269" i="3"/>
  <c r="M269" i="3" s="1"/>
  <c r="U268" i="3"/>
  <c r="R268" i="3"/>
  <c r="O268" i="3"/>
  <c r="J268" i="3"/>
  <c r="K268" i="3"/>
  <c r="M268" i="3" s="1"/>
  <c r="U267" i="3"/>
  <c r="R267" i="3"/>
  <c r="J267" i="3"/>
  <c r="K267" i="3"/>
  <c r="M267" i="3" s="1"/>
  <c r="U266" i="3"/>
  <c r="R266" i="3"/>
  <c r="J266" i="3"/>
  <c r="K266" i="3"/>
  <c r="M266" i="3" s="1"/>
  <c r="U265" i="3"/>
  <c r="R265" i="3"/>
  <c r="O265" i="3"/>
  <c r="J265" i="3"/>
  <c r="K265" i="3"/>
  <c r="M265" i="3" s="1"/>
  <c r="U264" i="3"/>
  <c r="R264" i="3"/>
  <c r="O264" i="3"/>
  <c r="J264" i="3"/>
  <c r="K264" i="3"/>
  <c r="M264" i="3" s="1"/>
  <c r="U263" i="3"/>
  <c r="R263" i="3"/>
  <c r="J263" i="3"/>
  <c r="K263" i="3"/>
  <c r="M263" i="3" s="1"/>
  <c r="U262" i="3"/>
  <c r="R262" i="3"/>
  <c r="J262" i="3"/>
  <c r="K262" i="3"/>
  <c r="M262" i="3" s="1"/>
  <c r="U261" i="3"/>
  <c r="R261" i="3"/>
  <c r="O261" i="3"/>
  <c r="J261" i="3"/>
  <c r="K261" i="3"/>
  <c r="M261" i="3" s="1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U273" i="3" s="1"/>
  <c r="D283" i="3" s="1"/>
  <c r="E283" i="3" s="1"/>
  <c r="R260" i="3"/>
  <c r="J260" i="3"/>
  <c r="J273" i="3" s="1"/>
  <c r="D280" i="3" s="1"/>
  <c r="H273" i="3"/>
  <c r="D273" i="3"/>
  <c r="E253" i="3"/>
  <c r="F252" i="3"/>
  <c r="F251" i="3"/>
  <c r="F245" i="3"/>
  <c r="E246" i="3"/>
  <c r="F244" i="3"/>
  <c r="F246" i="3" s="1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D195" i="3"/>
  <c r="D194" i="3"/>
  <c r="D196" i="3" s="1"/>
  <c r="D190" i="3"/>
  <c r="D184" i="3"/>
  <c r="H167" i="3"/>
  <c r="G167" i="3"/>
  <c r="F167" i="3"/>
  <c r="E167" i="3"/>
  <c r="D167" i="3"/>
  <c r="C167" i="3"/>
  <c r="H118" i="3"/>
  <c r="G118" i="3"/>
  <c r="F118" i="3"/>
  <c r="E118" i="3"/>
  <c r="D118" i="3"/>
  <c r="C118" i="3"/>
  <c r="D104" i="3"/>
  <c r="D103" i="3"/>
  <c r="D105" i="3" s="1"/>
  <c r="D100" i="3"/>
  <c r="D95" i="3"/>
  <c r="H78" i="3"/>
  <c r="G78" i="3"/>
  <c r="F78" i="3"/>
  <c r="E78" i="3"/>
  <c r="D78" i="3"/>
  <c r="C78" i="3"/>
  <c r="H55" i="3"/>
  <c r="H208" i="3" s="1"/>
  <c r="G55" i="3"/>
  <c r="G208" i="3" s="1"/>
  <c r="F55" i="3"/>
  <c r="F208" i="3" s="1"/>
  <c r="E55" i="3"/>
  <c r="E208" i="3" s="1"/>
  <c r="D55" i="3"/>
  <c r="D208" i="3" s="1"/>
  <c r="C55" i="3"/>
  <c r="C208" i="3" s="1"/>
  <c r="L50" i="3"/>
  <c r="H40" i="3"/>
  <c r="H39" i="3"/>
  <c r="J37" i="3"/>
  <c r="I37" i="3"/>
  <c r="H37" i="3"/>
  <c r="C33" i="3"/>
  <c r="D33" i="3" s="1"/>
  <c r="G12" i="3"/>
  <c r="F12" i="3"/>
  <c r="E12" i="3"/>
  <c r="D12" i="3"/>
  <c r="C12" i="3"/>
  <c r="D44" i="2"/>
  <c r="I42" i="2"/>
  <c r="D41" i="2"/>
  <c r="D25" i="2"/>
  <c r="D24" i="2"/>
  <c r="D26" i="2" s="1"/>
  <c r="D14" i="2"/>
  <c r="E12" i="2"/>
  <c r="E14" i="2" s="1"/>
  <c r="D12" i="2"/>
  <c r="I10" i="2"/>
  <c r="G9" i="2"/>
  <c r="E6" i="2"/>
  <c r="D6" i="2"/>
  <c r="H586" i="1"/>
  <c r="G586" i="1"/>
  <c r="F586" i="1"/>
  <c r="E586" i="1"/>
  <c r="D586" i="1"/>
  <c r="C586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211" i="3"/>
  <c r="H210" i="3"/>
  <c r="H209" i="3"/>
  <c r="G209" i="3"/>
  <c r="F209" i="3"/>
  <c r="E209" i="3"/>
  <c r="D209" i="3"/>
  <c r="C209" i="3"/>
  <c r="H537" i="1"/>
  <c r="E537" i="1"/>
  <c r="D537" i="1"/>
  <c r="C537" i="1"/>
  <c r="H491" i="1"/>
  <c r="G491" i="1"/>
  <c r="G537" i="1" s="1"/>
  <c r="F491" i="1"/>
  <c r="F537" i="1" s="1"/>
  <c r="E491" i="1"/>
  <c r="D491" i="1"/>
  <c r="C491" i="1"/>
  <c r="C468" i="1"/>
  <c r="C467" i="1"/>
  <c r="M466" i="1"/>
  <c r="L49" i="3"/>
  <c r="L48" i="3"/>
  <c r="G461" i="1"/>
  <c r="F461" i="1"/>
  <c r="P457" i="1"/>
  <c r="Q456" i="1"/>
  <c r="Q455" i="1"/>
  <c r="Q454" i="1"/>
  <c r="Q453" i="1"/>
  <c r="Q452" i="1"/>
  <c r="R451" i="1"/>
  <c r="C451" i="1"/>
  <c r="D451" i="1" s="1"/>
  <c r="R450" i="1"/>
  <c r="R457" i="1" s="1"/>
  <c r="R449" i="1"/>
  <c r="D449" i="1"/>
  <c r="F420" i="1"/>
  <c r="I420" i="1" s="1"/>
  <c r="G417" i="1"/>
  <c r="F417" i="1"/>
  <c r="E417" i="1"/>
  <c r="J417" i="1" s="1"/>
  <c r="F416" i="1"/>
  <c r="D416" i="1"/>
  <c r="I416" i="1"/>
  <c r="D415" i="1"/>
  <c r="E415" i="1" s="1"/>
  <c r="I414" i="1"/>
  <c r="F415" i="1"/>
  <c r="I415" i="1" s="1"/>
  <c r="D417" i="1"/>
  <c r="F413" i="1"/>
  <c r="F412" i="1"/>
  <c r="I412" i="1" s="1"/>
  <c r="I411" i="1"/>
  <c r="G411" i="1"/>
  <c r="F411" i="1"/>
  <c r="G410" i="1"/>
  <c r="F410" i="1"/>
  <c r="I410" i="1"/>
  <c r="G420" i="1"/>
  <c r="F419" i="1"/>
  <c r="I419" i="1" s="1"/>
  <c r="I409" i="1"/>
  <c r="H383" i="1"/>
  <c r="G383" i="1"/>
  <c r="F383" i="1"/>
  <c r="E383" i="1"/>
  <c r="D383" i="1"/>
  <c r="C383" i="1"/>
  <c r="H361" i="1"/>
  <c r="G361" i="1"/>
  <c r="F361" i="1"/>
  <c r="E361" i="1"/>
  <c r="D361" i="1"/>
  <c r="C361" i="1"/>
  <c r="I350" i="1"/>
  <c r="D346" i="1"/>
  <c r="C346" i="1"/>
  <c r="G325" i="1"/>
  <c r="F325" i="1"/>
  <c r="E325" i="1"/>
  <c r="D325" i="1"/>
  <c r="C325" i="1"/>
  <c r="J296" i="1"/>
  <c r="J350" i="1" s="1"/>
  <c r="I296" i="1"/>
  <c r="C292" i="1"/>
  <c r="G271" i="1"/>
  <c r="F271" i="1"/>
  <c r="E271" i="1"/>
  <c r="D271" i="1"/>
  <c r="C271" i="1"/>
  <c r="D253" i="1"/>
  <c r="C253" i="1"/>
  <c r="G231" i="1"/>
  <c r="F231" i="1"/>
  <c r="E231" i="1"/>
  <c r="D231" i="1"/>
  <c r="C231" i="1"/>
  <c r="V214" i="1"/>
  <c r="V213" i="1"/>
  <c r="L211" i="1"/>
  <c r="C196" i="1"/>
  <c r="G179" i="1"/>
  <c r="F179" i="1"/>
  <c r="E179" i="1"/>
  <c r="D179" i="1"/>
  <c r="C179" i="1"/>
  <c r="G165" i="1"/>
  <c r="F165" i="1"/>
  <c r="E165" i="1"/>
  <c r="D165" i="1"/>
  <c r="C165" i="1"/>
  <c r="C154" i="1"/>
  <c r="H146" i="1"/>
  <c r="I141" i="1"/>
  <c r="H137" i="1"/>
  <c r="G137" i="1"/>
  <c r="F137" i="1"/>
  <c r="E137" i="1"/>
  <c r="D137" i="1"/>
  <c r="C137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S84" i="1"/>
  <c r="H76" i="1"/>
  <c r="G76" i="1"/>
  <c r="F76" i="1"/>
  <c r="E76" i="1"/>
  <c r="D76" i="1"/>
  <c r="C76" i="1"/>
  <c r="S71" i="1"/>
  <c r="S60" i="1"/>
  <c r="M48" i="1"/>
  <c r="M44" i="1"/>
  <c r="G56" i="1"/>
  <c r="F56" i="1"/>
  <c r="S62" i="1"/>
  <c r="L44" i="1"/>
  <c r="Q42" i="1"/>
  <c r="P42" i="1"/>
  <c r="O42" i="1"/>
  <c r="N42" i="1"/>
  <c r="M42" i="1"/>
  <c r="L42" i="1"/>
  <c r="H42" i="1"/>
  <c r="G42" i="1"/>
  <c r="F42" i="1"/>
  <c r="E42" i="1"/>
  <c r="D42" i="1"/>
  <c r="C42" i="1"/>
  <c r="M37" i="1"/>
  <c r="M36" i="1"/>
  <c r="M35" i="1"/>
  <c r="M34" i="1"/>
  <c r="M33" i="1"/>
  <c r="M32" i="1"/>
  <c r="M30" i="1"/>
  <c r="M29" i="1"/>
  <c r="M28" i="1"/>
  <c r="M27" i="1"/>
  <c r="M45" i="1"/>
  <c r="Q24" i="1"/>
  <c r="P24" i="1"/>
  <c r="O24" i="1"/>
  <c r="N24" i="1"/>
  <c r="M24" i="1"/>
  <c r="L24" i="1"/>
  <c r="H24" i="1"/>
  <c r="G24" i="1"/>
  <c r="F24" i="1"/>
  <c r="E24" i="1"/>
  <c r="D24" i="1"/>
  <c r="C24" i="1"/>
  <c r="O19" i="1"/>
  <c r="L19" i="1"/>
  <c r="Q19" i="1"/>
  <c r="G19" i="1"/>
  <c r="P19" i="1" s="1"/>
  <c r="N19" i="1"/>
  <c r="M19" i="1"/>
  <c r="O18" i="1"/>
  <c r="L18" i="1"/>
  <c r="Q18" i="1"/>
  <c r="G18" i="1"/>
  <c r="P18" i="1" s="1"/>
  <c r="N18" i="1"/>
  <c r="M18" i="1"/>
  <c r="O17" i="1"/>
  <c r="L17" i="1"/>
  <c r="Q17" i="1"/>
  <c r="G17" i="1"/>
  <c r="P17" i="1" s="1"/>
  <c r="N17" i="1"/>
  <c r="M17" i="1"/>
  <c r="O16" i="1"/>
  <c r="L16" i="1"/>
  <c r="Q16" i="1"/>
  <c r="G16" i="1"/>
  <c r="P16" i="1" s="1"/>
  <c r="N16" i="1"/>
  <c r="M16" i="1"/>
  <c r="O15" i="1"/>
  <c r="L15" i="1"/>
  <c r="Q15" i="1"/>
  <c r="G15" i="1"/>
  <c r="P15" i="1" s="1"/>
  <c r="N15" i="1"/>
  <c r="M15" i="1"/>
  <c r="O14" i="1"/>
  <c r="L14" i="1"/>
  <c r="Q14" i="1"/>
  <c r="G14" i="1"/>
  <c r="P14" i="1" s="1"/>
  <c r="N14" i="1"/>
  <c r="M14" i="1"/>
  <c r="O13" i="1"/>
  <c r="L13" i="1"/>
  <c r="S78" i="1"/>
  <c r="P12" i="1"/>
  <c r="O12" i="1"/>
  <c r="L12" i="1"/>
  <c r="Q12" i="1"/>
  <c r="G12" i="1"/>
  <c r="N12" i="1"/>
  <c r="M12" i="1"/>
  <c r="O11" i="1"/>
  <c r="L11" i="1"/>
  <c r="Q11" i="1"/>
  <c r="G11" i="1"/>
  <c r="P11" i="1" s="1"/>
  <c r="N11" i="1"/>
  <c r="M11" i="1"/>
  <c r="P10" i="1"/>
  <c r="O10" i="1"/>
  <c r="L10" i="1"/>
  <c r="Q10" i="1"/>
  <c r="G10" i="1"/>
  <c r="N10" i="1"/>
  <c r="M10" i="1"/>
  <c r="O9" i="1"/>
  <c r="L9" i="1"/>
  <c r="Q9" i="1"/>
  <c r="G9" i="1"/>
  <c r="P9" i="1" s="1"/>
  <c r="N9" i="1"/>
  <c r="M9" i="1"/>
  <c r="P8" i="1"/>
  <c r="O8" i="1"/>
  <c r="L8" i="1"/>
  <c r="Q8" i="1"/>
  <c r="G8" i="1"/>
  <c r="Q6" i="1"/>
  <c r="P6" i="1"/>
  <c r="O6" i="1"/>
  <c r="N6" i="1"/>
  <c r="M6" i="1"/>
  <c r="L6" i="1"/>
  <c r="L4" i="1"/>
  <c r="B1" i="1"/>
  <c r="M46" i="1" l="1"/>
  <c r="L136" i="1"/>
  <c r="D420" i="1"/>
  <c r="E420" i="1" s="1"/>
  <c r="J420" i="1" s="1"/>
  <c r="D412" i="1"/>
  <c r="E412" i="1" s="1"/>
  <c r="D413" i="1"/>
  <c r="D418" i="1"/>
  <c r="E418" i="1" s="1"/>
  <c r="D410" i="1"/>
  <c r="E410" i="1" s="1"/>
  <c r="J410" i="1" s="1"/>
  <c r="D411" i="1"/>
  <c r="E411" i="1" s="1"/>
  <c r="J411" i="1" s="1"/>
  <c r="Q457" i="1"/>
  <c r="S457" i="1" s="1"/>
  <c r="S63" i="1"/>
  <c r="T63" i="1" s="1"/>
  <c r="B41" i="1"/>
  <c r="M26" i="1"/>
  <c r="S64" i="1" s="1"/>
  <c r="I139" i="1"/>
  <c r="S67" i="1"/>
  <c r="G183" i="3"/>
  <c r="D167" i="1"/>
  <c r="C167" i="1"/>
  <c r="C599" i="1"/>
  <c r="C466" i="1"/>
  <c r="G167" i="1"/>
  <c r="F167" i="1"/>
  <c r="L217" i="1"/>
  <c r="G206" i="1"/>
  <c r="H263" i="1" s="1"/>
  <c r="E447" i="1"/>
  <c r="D447" i="1"/>
  <c r="E41" i="2"/>
  <c r="C473" i="1"/>
  <c r="C472" i="1"/>
  <c r="A2" i="3"/>
  <c r="C474" i="1"/>
  <c r="A2" i="2"/>
  <c r="E145" i="1"/>
  <c r="E144" i="1"/>
  <c r="M8" i="1"/>
  <c r="Q13" i="1"/>
  <c r="D3" i="1"/>
  <c r="N8" i="1"/>
  <c r="G13" i="1"/>
  <c r="M23" i="1"/>
  <c r="M31" i="1"/>
  <c r="S68" i="1" s="1"/>
  <c r="S66" i="1"/>
  <c r="E147" i="1"/>
  <c r="D419" i="1"/>
  <c r="E419" i="1" s="1"/>
  <c r="J419" i="1" s="1"/>
  <c r="F451" i="1"/>
  <c r="M13" i="1"/>
  <c r="S73" i="1"/>
  <c r="D56" i="1"/>
  <c r="O44" i="1"/>
  <c r="L48" i="1"/>
  <c r="P48" i="1"/>
  <c r="S74" i="1"/>
  <c r="C56" i="1"/>
  <c r="N13" i="1"/>
  <c r="P44" i="1"/>
  <c r="M49" i="1"/>
  <c r="M50" i="1" s="1"/>
  <c r="S77" i="1"/>
  <c r="T78" i="1" s="1"/>
  <c r="B136" i="1"/>
  <c r="L137" i="1"/>
  <c r="C158" i="1"/>
  <c r="F449" i="1"/>
  <c r="G419" i="1"/>
  <c r="E16" i="2"/>
  <c r="E29" i="2"/>
  <c r="O48" i="1"/>
  <c r="G412" i="1"/>
  <c r="E414" i="1"/>
  <c r="J414" i="1" s="1"/>
  <c r="I417" i="1"/>
  <c r="F418" i="1"/>
  <c r="I418" i="1" s="1"/>
  <c r="F16" i="2"/>
  <c r="D30" i="2"/>
  <c r="G418" i="1"/>
  <c r="E30" i="2"/>
  <c r="E413" i="1"/>
  <c r="J413" i="1" s="1"/>
  <c r="G415" i="1"/>
  <c r="J415" i="1" s="1"/>
  <c r="G416" i="1"/>
  <c r="E15" i="2"/>
  <c r="D15" i="2"/>
  <c r="E409" i="1"/>
  <c r="J409" i="1" s="1"/>
  <c r="G413" i="1"/>
  <c r="E416" i="1"/>
  <c r="J416" i="1" s="1"/>
  <c r="I413" i="1"/>
  <c r="D16" i="2"/>
  <c r="D29" i="2"/>
  <c r="F253" i="3"/>
  <c r="O260" i="3"/>
  <c r="R273" i="3"/>
  <c r="E279" i="3"/>
  <c r="D285" i="3"/>
  <c r="O262" i="3"/>
  <c r="O266" i="3"/>
  <c r="O270" i="3"/>
  <c r="E280" i="3"/>
  <c r="O263" i="3"/>
  <c r="O267" i="3"/>
  <c r="O271" i="3"/>
  <c r="D246" i="3"/>
  <c r="K260" i="3"/>
  <c r="D253" i="3"/>
  <c r="D31" i="2" l="1"/>
  <c r="E31" i="2"/>
  <c r="E47" i="2"/>
  <c r="G41" i="2"/>
  <c r="T67" i="1"/>
  <c r="J418" i="1"/>
  <c r="C465" i="1"/>
  <c r="D150" i="1"/>
  <c r="F459" i="1"/>
  <c r="J428" i="1"/>
  <c r="F425" i="1"/>
  <c r="C598" i="1"/>
  <c r="C600" i="1" s="1"/>
  <c r="G182" i="3"/>
  <c r="C464" i="1"/>
  <c r="D149" i="1"/>
  <c r="M260" i="3"/>
  <c r="M273" i="3" s="1"/>
  <c r="D281" i="3" s="1"/>
  <c r="K273" i="3"/>
  <c r="T74" i="1"/>
  <c r="S87" i="1"/>
  <c r="J429" i="1"/>
  <c r="G459" i="1"/>
  <c r="J412" i="1"/>
  <c r="S79" i="1"/>
  <c r="L133" i="1"/>
  <c r="L138" i="1"/>
  <c r="O273" i="3"/>
  <c r="G16" i="2"/>
  <c r="P13" i="1"/>
  <c r="S75" i="1"/>
  <c r="G93" i="3"/>
  <c r="S92" i="1"/>
  <c r="G170" i="1" l="1"/>
  <c r="I149" i="1"/>
  <c r="F170" i="1"/>
  <c r="C170" i="1"/>
  <c r="P213" i="1"/>
  <c r="D170" i="1"/>
  <c r="G171" i="1"/>
  <c r="F171" i="1"/>
  <c r="C171" i="1"/>
  <c r="D171" i="1"/>
  <c r="G172" i="1"/>
  <c r="I150" i="1"/>
  <c r="F172" i="1"/>
  <c r="P214" i="1"/>
  <c r="C172" i="1"/>
  <c r="D172" i="1"/>
  <c r="D282" i="3"/>
  <c r="E282" i="3" s="1"/>
  <c r="N273" i="3"/>
  <c r="I52" i="1"/>
  <c r="L52" i="1"/>
  <c r="L53" i="1" s="1"/>
  <c r="I48" i="1"/>
  <c r="D47" i="2"/>
  <c r="G47" i="2" s="1"/>
  <c r="E281" i="3"/>
  <c r="E284" i="3" s="1"/>
  <c r="D284" i="3"/>
  <c r="D286" i="3" s="1"/>
  <c r="E42" i="2" s="1"/>
  <c r="G439" i="1"/>
  <c r="C73" i="1" s="1"/>
  <c r="G437" i="1"/>
  <c r="C71" i="1" s="1"/>
  <c r="G435" i="1"/>
  <c r="C69" i="1" s="1"/>
  <c r="G433" i="1"/>
  <c r="H430" i="1"/>
  <c r="D64" i="1" s="1"/>
  <c r="G429" i="1"/>
  <c r="C63" i="1" s="1"/>
  <c r="G430" i="1"/>
  <c r="C64" i="1" s="1"/>
  <c r="H435" i="1"/>
  <c r="D69" i="1" s="1"/>
  <c r="H437" i="1"/>
  <c r="D71" i="1" s="1"/>
  <c r="H431" i="1"/>
  <c r="D65" i="1" s="1"/>
  <c r="H434" i="1"/>
  <c r="D68" i="1" s="1"/>
  <c r="G428" i="1"/>
  <c r="H438" i="1"/>
  <c r="D72" i="1" s="1"/>
  <c r="G436" i="1"/>
  <c r="C70" i="1" s="1"/>
  <c r="H432" i="1"/>
  <c r="D66" i="1" s="1"/>
  <c r="G438" i="1"/>
  <c r="C72" i="1" s="1"/>
  <c r="G432" i="1"/>
  <c r="C66" i="1" s="1"/>
  <c r="H433" i="1"/>
  <c r="H436" i="1"/>
  <c r="D70" i="1" s="1"/>
  <c r="H439" i="1"/>
  <c r="D73" i="1" s="1"/>
  <c r="H429" i="1"/>
  <c r="D63" i="1" s="1"/>
  <c r="G434" i="1"/>
  <c r="C68" i="1" s="1"/>
  <c r="G431" i="1"/>
  <c r="C65" i="1" s="1"/>
  <c r="H428" i="1"/>
  <c r="I53" i="1"/>
  <c r="G94" i="3"/>
  <c r="H461" i="1"/>
  <c r="D161" i="1" s="1"/>
  <c r="C469" i="1" s="1"/>
  <c r="I51" i="1"/>
  <c r="R429" i="1" l="1"/>
  <c r="R432" i="1"/>
  <c r="D62" i="1"/>
  <c r="C189" i="3"/>
  <c r="C99" i="3"/>
  <c r="C98" i="3"/>
  <c r="E98" i="3" s="1"/>
  <c r="C188" i="3"/>
  <c r="E188" i="3" s="1"/>
  <c r="K42" i="2"/>
  <c r="E45" i="2"/>
  <c r="E46" i="2" s="1"/>
  <c r="I47" i="1"/>
  <c r="I45" i="1"/>
  <c r="I46" i="1"/>
  <c r="C62" i="1"/>
  <c r="Q432" i="1"/>
  <c r="S432" i="1" s="1"/>
  <c r="Q429" i="1"/>
  <c r="Q428" i="1"/>
  <c r="Q430" i="1" s="1"/>
  <c r="C67" i="1"/>
  <c r="I55" i="1"/>
  <c r="I54" i="1"/>
  <c r="D67" i="1"/>
  <c r="R428" i="1"/>
  <c r="R430" i="1" s="1"/>
  <c r="P217" i="1"/>
  <c r="F93" i="1" l="1"/>
  <c r="F111" i="1" s="1"/>
  <c r="G92" i="1"/>
  <c r="G110" i="1" s="1"/>
  <c r="G128" i="1" s="1"/>
  <c r="G188" i="1" s="1"/>
  <c r="D92" i="1"/>
  <c r="D110" i="1" s="1"/>
  <c r="D128" i="1" s="1"/>
  <c r="D188" i="1" s="1"/>
  <c r="D93" i="1"/>
  <c r="C93" i="1"/>
  <c r="C111" i="1" s="1"/>
  <c r="C92" i="1"/>
  <c r="C110" i="1" s="1"/>
  <c r="C128" i="1" s="1"/>
  <c r="C188" i="1" s="1"/>
  <c r="G93" i="1"/>
  <c r="G111" i="1" s="1"/>
  <c r="F92" i="1"/>
  <c r="F110" i="1" s="1"/>
  <c r="F128" i="1" s="1"/>
  <c r="F188" i="1" s="1"/>
  <c r="E99" i="3"/>
  <c r="E100" i="3" s="1"/>
  <c r="C100" i="3"/>
  <c r="C190" i="3"/>
  <c r="E189" i="3"/>
  <c r="I50" i="1"/>
  <c r="G94" i="1"/>
  <c r="G112" i="1" s="1"/>
  <c r="C94" i="1"/>
  <c r="C112" i="1" s="1"/>
  <c r="F94" i="1"/>
  <c r="F112" i="1" s="1"/>
  <c r="E94" i="1"/>
  <c r="E112" i="1" s="1"/>
  <c r="D94" i="1"/>
  <c r="E89" i="1"/>
  <c r="E107" i="1" s="1"/>
  <c r="E171" i="1"/>
  <c r="N48" i="1"/>
  <c r="F88" i="1"/>
  <c r="F89" i="1"/>
  <c r="F107" i="1" s="1"/>
  <c r="D88" i="1"/>
  <c r="C89" i="1"/>
  <c r="C107" i="1" s="1"/>
  <c r="D89" i="1"/>
  <c r="C88" i="1"/>
  <c r="G88" i="1"/>
  <c r="G89" i="1"/>
  <c r="G107" i="1" s="1"/>
  <c r="E88" i="1"/>
  <c r="C90" i="1"/>
  <c r="C108" i="1" s="1"/>
  <c r="F90" i="1"/>
  <c r="F108" i="1" s="1"/>
  <c r="E90" i="1"/>
  <c r="E108" i="1" s="1"/>
  <c r="D90" i="1"/>
  <c r="G90" i="1"/>
  <c r="G108" i="1" s="1"/>
  <c r="E56" i="1"/>
  <c r="N44" i="1"/>
  <c r="E93" i="1"/>
  <c r="E111" i="1" s="1"/>
  <c r="E92" i="1"/>
  <c r="E110" i="1" s="1"/>
  <c r="E128" i="1" s="1"/>
  <c r="E172" i="1"/>
  <c r="E190" i="3"/>
  <c r="D112" i="1" l="1"/>
  <c r="E96" i="1"/>
  <c r="E106" i="1"/>
  <c r="F96" i="1"/>
  <c r="F106" i="1"/>
  <c r="C364" i="1"/>
  <c r="C280" i="1"/>
  <c r="D108" i="1"/>
  <c r="E167" i="1"/>
  <c r="E188" i="1" s="1"/>
  <c r="E170" i="1"/>
  <c r="G106" i="1"/>
  <c r="G96" i="1"/>
  <c r="D111" i="1"/>
  <c r="S88" i="1"/>
  <c r="S89" i="1" s="1"/>
  <c r="D130" i="1" s="1"/>
  <c r="D190" i="1" s="1"/>
  <c r="C106" i="1"/>
  <c r="C96" i="1"/>
  <c r="D364" i="1"/>
  <c r="D280" i="1"/>
  <c r="D386" i="1" s="1"/>
  <c r="H56" i="1"/>
  <c r="Q44" i="1"/>
  <c r="H94" i="1"/>
  <c r="H112" i="1" s="1"/>
  <c r="H92" i="1"/>
  <c r="H110" i="1" s="1"/>
  <c r="H128" i="1" s="1"/>
  <c r="C202" i="1" s="1"/>
  <c r="H93" i="1"/>
  <c r="H111" i="1" s="1"/>
  <c r="D107" i="1"/>
  <c r="S93" i="1"/>
  <c r="S94" i="1" s="1"/>
  <c r="D126" i="1" s="1"/>
  <c r="D183" i="1" s="1"/>
  <c r="Q48" i="1"/>
  <c r="H88" i="1"/>
  <c r="H89" i="1"/>
  <c r="H107" i="1" s="1"/>
  <c r="H90" i="1"/>
  <c r="H108" i="1" s="1"/>
  <c r="I49" i="1"/>
  <c r="G364" i="1"/>
  <c r="G280" i="1"/>
  <c r="I44" i="1"/>
  <c r="D96" i="1"/>
  <c r="D106" i="1"/>
  <c r="Q213" i="1"/>
  <c r="F280" i="1"/>
  <c r="F364" i="1"/>
  <c r="I56" i="1" l="1"/>
  <c r="D275" i="1"/>
  <c r="D282" i="1"/>
  <c r="D114" i="1"/>
  <c r="D124" i="1"/>
  <c r="C114" i="1"/>
  <c r="C124" i="1"/>
  <c r="F124" i="1"/>
  <c r="F114" i="1"/>
  <c r="D125" i="1"/>
  <c r="D182" i="1" s="1"/>
  <c r="D129" i="1"/>
  <c r="D189" i="1" s="1"/>
  <c r="F386" i="1"/>
  <c r="Q214" i="1"/>
  <c r="E114" i="1"/>
  <c r="E124" i="1"/>
  <c r="H106" i="1"/>
  <c r="H96" i="1"/>
  <c r="C98" i="1" s="1"/>
  <c r="C298" i="1"/>
  <c r="C386" i="1"/>
  <c r="E280" i="1"/>
  <c r="E364" i="1"/>
  <c r="G386" i="1"/>
  <c r="G124" i="1"/>
  <c r="G114" i="1"/>
  <c r="D274" i="1" l="1"/>
  <c r="D181" i="1"/>
  <c r="D132" i="1"/>
  <c r="D192" i="1" s="1"/>
  <c r="E386" i="1"/>
  <c r="H124" i="1"/>
  <c r="H114" i="1"/>
  <c r="C116" i="1" s="1"/>
  <c r="C133" i="1" s="1"/>
  <c r="F132" i="1"/>
  <c r="F192" i="1" s="1"/>
  <c r="F181" i="1"/>
  <c r="G132" i="1"/>
  <c r="G192" i="1" s="1"/>
  <c r="G181" i="1"/>
  <c r="R213" i="1"/>
  <c r="L213" i="1"/>
  <c r="E181" i="1"/>
  <c r="E132" i="1"/>
  <c r="E192" i="1" s="1"/>
  <c r="D281" i="1"/>
  <c r="C181" i="1"/>
  <c r="C132" i="1"/>
  <c r="C192" i="1" s="1"/>
  <c r="F284" i="1" l="1"/>
  <c r="D273" i="1"/>
  <c r="D385" i="1" s="1"/>
  <c r="D363" i="1"/>
  <c r="E363" i="1"/>
  <c r="E273" i="1"/>
  <c r="S213" i="1"/>
  <c r="M213" i="1" s="1"/>
  <c r="C284" i="1"/>
  <c r="G363" i="1"/>
  <c r="G273" i="1"/>
  <c r="C273" i="1"/>
  <c r="C184" i="1"/>
  <c r="R214" i="1"/>
  <c r="L214" i="1"/>
  <c r="H132" i="1"/>
  <c r="C206" i="1" s="1"/>
  <c r="C198" i="1"/>
  <c r="G284" i="1"/>
  <c r="E284" i="1"/>
  <c r="F273" i="1"/>
  <c r="F363" i="1"/>
  <c r="D284" i="1"/>
  <c r="H213" i="1" l="1"/>
  <c r="N213" i="1"/>
  <c r="I259" i="1"/>
  <c r="I298" i="1" s="1"/>
  <c r="I352" i="1" s="1"/>
  <c r="Z213" i="1"/>
  <c r="AA213" i="1" s="1"/>
  <c r="E365" i="1"/>
  <c r="E369" i="1" s="1"/>
  <c r="D365" i="1"/>
  <c r="D369" i="1" s="1"/>
  <c r="F385" i="1"/>
  <c r="D390" i="1"/>
  <c r="D387" i="1"/>
  <c r="D391" i="1" s="1"/>
  <c r="C302" i="1"/>
  <c r="S214" i="1"/>
  <c r="M214" i="1" s="1"/>
  <c r="C185" i="1"/>
  <c r="C239" i="1" s="1"/>
  <c r="C238" i="1"/>
  <c r="C276" i="1"/>
  <c r="G365" i="1"/>
  <c r="G369" i="1" s="1"/>
  <c r="F365" i="1"/>
  <c r="F369" i="1" s="1"/>
  <c r="C294" i="1"/>
  <c r="G385" i="1"/>
  <c r="E385" i="1"/>
  <c r="I260" i="1" l="1"/>
  <c r="I299" i="1" s="1"/>
  <c r="N214" i="1"/>
  <c r="H214" i="1"/>
  <c r="D368" i="1"/>
  <c r="E387" i="1"/>
  <c r="E391" i="1" s="1"/>
  <c r="F368" i="1"/>
  <c r="C363" i="1"/>
  <c r="E368" i="1"/>
  <c r="G387" i="1"/>
  <c r="G391" i="1" s="1"/>
  <c r="H385" i="1"/>
  <c r="J259" i="1"/>
  <c r="J298" i="1" s="1"/>
  <c r="J352" i="1" s="1"/>
  <c r="I213" i="1"/>
  <c r="G368" i="1"/>
  <c r="I39" i="3"/>
  <c r="H500" i="1"/>
  <c r="C277" i="1"/>
  <c r="C333" i="1" s="1"/>
  <c r="C20" i="3" s="1"/>
  <c r="C332" i="1"/>
  <c r="C19" i="3" s="1"/>
  <c r="F390" i="1"/>
  <c r="F387" i="1"/>
  <c r="F391" i="1" s="1"/>
  <c r="H64" i="3"/>
  <c r="H202" i="1"/>
  <c r="H501" i="1" l="1"/>
  <c r="H523" i="1" s="1"/>
  <c r="J39" i="3"/>
  <c r="E390" i="1"/>
  <c r="C385" i="1"/>
  <c r="C305" i="1"/>
  <c r="H554" i="1"/>
  <c r="H522" i="1"/>
  <c r="J260" i="1"/>
  <c r="J299" i="1" s="1"/>
  <c r="I214" i="1"/>
  <c r="G390" i="1"/>
  <c r="H72" i="3"/>
  <c r="H203" i="1"/>
  <c r="C214" i="1"/>
  <c r="C218" i="1"/>
  <c r="H65" i="3"/>
  <c r="I202" i="1"/>
  <c r="C210" i="1"/>
  <c r="C365" i="1"/>
  <c r="C369" i="1" s="1"/>
  <c r="I353" i="1"/>
  <c r="H386" i="1"/>
  <c r="D259" i="1" l="1"/>
  <c r="C394" i="1"/>
  <c r="C387" i="1"/>
  <c r="C391" i="1" s="1"/>
  <c r="H508" i="1"/>
  <c r="I40" i="3"/>
  <c r="C368" i="1"/>
  <c r="D348" i="1"/>
  <c r="D35" i="3" s="1"/>
  <c r="D255" i="1"/>
  <c r="J353" i="1"/>
  <c r="C313" i="1"/>
  <c r="C372" i="1"/>
  <c r="H73" i="3"/>
  <c r="I203" i="1"/>
  <c r="C309" i="1"/>
  <c r="H387" i="1"/>
  <c r="H390" i="1" s="1"/>
  <c r="C395" i="1"/>
  <c r="C221" i="1"/>
  <c r="H365" i="1" l="1"/>
  <c r="H368" i="1" s="1"/>
  <c r="C373" i="1"/>
  <c r="H530" i="1"/>
  <c r="H561" i="1"/>
  <c r="E399" i="1"/>
  <c r="H391" i="1"/>
  <c r="D352" i="1"/>
  <c r="D39" i="3" s="1"/>
  <c r="C390" i="1"/>
  <c r="H509" i="1"/>
  <c r="H531" i="1" s="1"/>
  <c r="J40" i="3"/>
  <c r="D223" i="1"/>
  <c r="D222" i="1"/>
  <c r="E377" i="1"/>
  <c r="C316" i="1"/>
  <c r="E400" i="1"/>
  <c r="C396" i="1"/>
  <c r="C399" i="1" s="1"/>
  <c r="C400" i="1" l="1"/>
  <c r="D318" i="1"/>
  <c r="M468" i="1" s="1"/>
  <c r="D317" i="1"/>
  <c r="E378" i="1"/>
  <c r="J378" i="1" s="1"/>
  <c r="C374" i="1"/>
  <c r="C377" i="1" s="1"/>
  <c r="C568" i="1"/>
  <c r="D484" i="1"/>
  <c r="C242" i="1"/>
  <c r="F242" i="1"/>
  <c r="G242" i="1"/>
  <c r="D235" i="1"/>
  <c r="D244" i="1"/>
  <c r="E242" i="1"/>
  <c r="D243" i="1"/>
  <c r="D234" i="1"/>
  <c r="F246" i="1"/>
  <c r="G246" i="1"/>
  <c r="C233" i="1"/>
  <c r="D246" i="1"/>
  <c r="C246" i="1"/>
  <c r="E246" i="1"/>
  <c r="E233" i="1"/>
  <c r="G233" i="1"/>
  <c r="F233" i="1"/>
  <c r="C259" i="1"/>
  <c r="C263" i="1"/>
  <c r="C255" i="1"/>
  <c r="J377" i="1"/>
  <c r="H369" i="1"/>
  <c r="C378" i="1" l="1"/>
  <c r="F10" i="2"/>
  <c r="F488" i="1"/>
  <c r="M469" i="1"/>
  <c r="M470" i="1" s="1"/>
  <c r="D485" i="1" s="1"/>
  <c r="D486" i="1" s="1"/>
  <c r="C570" i="1"/>
  <c r="F21" i="2"/>
  <c r="G336" i="1"/>
  <c r="C336" i="1"/>
  <c r="F336" i="1"/>
  <c r="D338" i="1"/>
  <c r="D329" i="1"/>
  <c r="E336" i="1"/>
  <c r="D328" i="1"/>
  <c r="D337" i="1"/>
  <c r="D340" i="1"/>
  <c r="D27" i="3" s="1"/>
  <c r="F327" i="1"/>
  <c r="C340" i="1"/>
  <c r="C27" i="3" s="1"/>
  <c r="C327" i="1"/>
  <c r="C14" i="3" s="1"/>
  <c r="E340" i="1"/>
  <c r="E27" i="3" s="1"/>
  <c r="G327" i="1"/>
  <c r="E327" i="1"/>
  <c r="F340" i="1"/>
  <c r="F27" i="3" s="1"/>
  <c r="G340" i="1"/>
  <c r="G27" i="3" s="1"/>
  <c r="C348" i="1"/>
  <c r="C352" i="1"/>
  <c r="C356" i="1"/>
  <c r="C43" i="3" s="1"/>
  <c r="F486" i="1"/>
  <c r="F20" i="2"/>
  <c r="C569" i="1"/>
  <c r="C571" i="1" s="1"/>
  <c r="L52" i="3"/>
  <c r="J400" i="1"/>
  <c r="C572" i="1"/>
  <c r="J399" i="1"/>
  <c r="F588" i="1" l="1"/>
  <c r="E588" i="1"/>
  <c r="H588" i="1"/>
  <c r="G588" i="1"/>
  <c r="D588" i="1"/>
  <c r="C588" i="1"/>
  <c r="C496" i="1"/>
  <c r="C493" i="1"/>
  <c r="C497" i="1"/>
  <c r="C35" i="3"/>
  <c r="H493" i="1"/>
  <c r="F493" i="1"/>
  <c r="F14" i="3"/>
  <c r="C504" i="1"/>
  <c r="C23" i="3"/>
  <c r="G23" i="3"/>
  <c r="G504" i="1"/>
  <c r="D24" i="3"/>
  <c r="D505" i="1"/>
  <c r="E14" i="3"/>
  <c r="E493" i="1"/>
  <c r="D15" i="3"/>
  <c r="D494" i="1"/>
  <c r="G493" i="1"/>
  <c r="G14" i="3"/>
  <c r="E23" i="3"/>
  <c r="E504" i="1"/>
  <c r="F50" i="3"/>
  <c r="I52" i="3"/>
  <c r="L53" i="3" s="1"/>
  <c r="L54" i="3" s="1"/>
  <c r="F52" i="3"/>
  <c r="D25" i="3"/>
  <c r="D506" i="1"/>
  <c r="D16" i="3"/>
  <c r="D495" i="1"/>
  <c r="H589" i="1"/>
  <c r="H590" i="1" s="1"/>
  <c r="G589" i="1"/>
  <c r="G590" i="1" s="1"/>
  <c r="F589" i="1"/>
  <c r="F590" i="1" s="1"/>
  <c r="E589" i="1"/>
  <c r="E590" i="1" s="1"/>
  <c r="D589" i="1"/>
  <c r="C589" i="1"/>
  <c r="H504" i="1"/>
  <c r="C39" i="3"/>
  <c r="F23" i="3"/>
  <c r="F504" i="1"/>
  <c r="F12" i="2"/>
  <c r="F14" i="2" s="1"/>
  <c r="F15" i="2" s="1"/>
  <c r="G15" i="2" s="1"/>
  <c r="G17" i="2" s="1"/>
  <c r="F29" i="2"/>
  <c r="F30" i="2"/>
  <c r="G30" i="2" s="1"/>
  <c r="D590" i="1" l="1"/>
  <c r="C593" i="1"/>
  <c r="C603" i="1" s="1"/>
  <c r="C183" i="3"/>
  <c r="C94" i="3"/>
  <c r="D35" i="2"/>
  <c r="G547" i="1"/>
  <c r="G515" i="1"/>
  <c r="G577" i="1"/>
  <c r="C577" i="1"/>
  <c r="C547" i="1"/>
  <c r="F31" i="2"/>
  <c r="G29" i="2"/>
  <c r="C518" i="1"/>
  <c r="C550" i="1"/>
  <c r="C578" i="1"/>
  <c r="C557" i="1"/>
  <c r="C526" i="1"/>
  <c r="E577" i="1"/>
  <c r="E547" i="1"/>
  <c r="E515" i="1"/>
  <c r="F547" i="1"/>
  <c r="F515" i="1"/>
  <c r="F577" i="1"/>
  <c r="D577" i="1"/>
  <c r="D516" i="1"/>
  <c r="D548" i="1"/>
  <c r="D549" i="1"/>
  <c r="D517" i="1"/>
  <c r="E578" i="1"/>
  <c r="E557" i="1"/>
  <c r="E526" i="1"/>
  <c r="D558" i="1"/>
  <c r="D527" i="1"/>
  <c r="D578" i="1"/>
  <c r="H547" i="1"/>
  <c r="H515" i="1"/>
  <c r="F578" i="1"/>
  <c r="F579" i="1" s="1"/>
  <c r="F557" i="1"/>
  <c r="F526" i="1"/>
  <c r="H526" i="1"/>
  <c r="H579" i="1"/>
  <c r="H557" i="1"/>
  <c r="C594" i="1"/>
  <c r="C590" i="1"/>
  <c r="D528" i="1"/>
  <c r="D559" i="1"/>
  <c r="G578" i="1"/>
  <c r="G579" i="1" s="1"/>
  <c r="G557" i="1"/>
  <c r="G526" i="1"/>
  <c r="C519" i="1"/>
  <c r="C551" i="1"/>
  <c r="E579" i="1" l="1"/>
  <c r="C604" i="1"/>
  <c r="C595" i="1"/>
  <c r="C182" i="3"/>
  <c r="C93" i="3"/>
  <c r="G31" i="2"/>
  <c r="D36" i="2" s="1"/>
  <c r="D42" i="2" s="1"/>
  <c r="D45" i="2" s="1"/>
  <c r="D46" i="2" s="1"/>
  <c r="G46" i="2" s="1"/>
  <c r="G48" i="2" s="1"/>
  <c r="D48" i="3" s="1"/>
  <c r="D50" i="3" s="1"/>
  <c r="D34" i="2"/>
  <c r="E94" i="3"/>
  <c r="C104" i="3"/>
  <c r="D579" i="1"/>
  <c r="C579" i="1"/>
  <c r="C583" i="1"/>
  <c r="C582" i="1"/>
  <c r="C608" i="1" s="1"/>
  <c r="C184" i="3"/>
  <c r="E183" i="3"/>
  <c r="C195" i="3"/>
  <c r="E195" i="3" l="1"/>
  <c r="D202" i="3" s="1"/>
  <c r="E104" i="3"/>
  <c r="D110" i="3" s="1"/>
  <c r="C61" i="3"/>
  <c r="C57" i="3"/>
  <c r="C60" i="3"/>
  <c r="F57" i="3"/>
  <c r="H68" i="3"/>
  <c r="H57" i="3"/>
  <c r="E57" i="3"/>
  <c r="D59" i="3"/>
  <c r="D70" i="3"/>
  <c r="G57" i="3"/>
  <c r="C68" i="3"/>
  <c r="E68" i="3"/>
  <c r="D69" i="3"/>
  <c r="G68" i="3"/>
  <c r="D58" i="3"/>
  <c r="F68" i="3"/>
  <c r="C584" i="1"/>
  <c r="C194" i="3"/>
  <c r="E194" i="3" s="1"/>
  <c r="E182" i="3"/>
  <c r="E184" i="3" s="1"/>
  <c r="E93" i="3"/>
  <c r="E95" i="3" s="1"/>
  <c r="C103" i="3"/>
  <c r="E103" i="3" s="1"/>
  <c r="C95" i="3"/>
  <c r="C609" i="1"/>
  <c r="C610" i="1" s="1"/>
  <c r="C605" i="1"/>
  <c r="E81" i="3" l="1"/>
  <c r="F80" i="3"/>
  <c r="C80" i="3"/>
  <c r="C81" i="3"/>
  <c r="G80" i="3"/>
  <c r="F81" i="3"/>
  <c r="D80" i="3"/>
  <c r="E80" i="3"/>
  <c r="C105" i="3"/>
  <c r="D109" i="3"/>
  <c r="E105" i="3"/>
  <c r="G81" i="3"/>
  <c r="H80" i="3"/>
  <c r="D201" i="3"/>
  <c r="E196" i="3"/>
  <c r="D81" i="3"/>
  <c r="H81" i="3"/>
  <c r="C196" i="3"/>
  <c r="G82" i="3" l="1"/>
  <c r="D82" i="3"/>
  <c r="H82" i="3"/>
  <c r="C82" i="3"/>
  <c r="C86" i="3"/>
  <c r="C85" i="3"/>
  <c r="C109" i="3" s="1"/>
  <c r="E109" i="3" s="1"/>
  <c r="G109" i="3" s="1"/>
  <c r="D111" i="3"/>
  <c r="D203" i="3"/>
  <c r="F82" i="3"/>
  <c r="E82" i="3"/>
  <c r="H128" i="3" l="1"/>
  <c r="H129" i="3"/>
  <c r="C125" i="3"/>
  <c r="G121" i="3"/>
  <c r="F121" i="3"/>
  <c r="D122" i="3"/>
  <c r="D123" i="3"/>
  <c r="E121" i="3"/>
  <c r="H121" i="3"/>
  <c r="C121" i="3"/>
  <c r="C124" i="3"/>
  <c r="C87" i="3"/>
  <c r="C110" i="3"/>
  <c r="U123" i="3" l="1"/>
  <c r="AC123" i="3" s="1"/>
  <c r="D220" i="3"/>
  <c r="D145" i="3"/>
  <c r="F169" i="3"/>
  <c r="F218" i="3"/>
  <c r="W121" i="3"/>
  <c r="AE121" i="3" s="1"/>
  <c r="F143" i="3"/>
  <c r="C222" i="3"/>
  <c r="C147" i="3"/>
  <c r="T125" i="3"/>
  <c r="AB125" i="3" s="1"/>
  <c r="D169" i="3"/>
  <c r="D219" i="3"/>
  <c r="D144" i="3"/>
  <c r="U122" i="3"/>
  <c r="AC122" i="3" s="1"/>
  <c r="C111" i="3"/>
  <c r="E110" i="3"/>
  <c r="G143" i="3"/>
  <c r="G169" i="3"/>
  <c r="G218" i="3"/>
  <c r="X121" i="3"/>
  <c r="AF121" i="3" s="1"/>
  <c r="C218" i="3"/>
  <c r="C169" i="3"/>
  <c r="T121" i="3"/>
  <c r="AB121" i="3" s="1"/>
  <c r="H226" i="3"/>
  <c r="H151" i="3"/>
  <c r="E218" i="3"/>
  <c r="E143" i="3"/>
  <c r="E169" i="3"/>
  <c r="V121" i="3"/>
  <c r="AD121" i="3" s="1"/>
  <c r="C221" i="3"/>
  <c r="C146" i="3"/>
  <c r="T124" i="3"/>
  <c r="AB124" i="3" s="1"/>
  <c r="H169" i="3"/>
  <c r="H218" i="3"/>
  <c r="Y121" i="3"/>
  <c r="AG121" i="3" s="1"/>
  <c r="H143" i="3"/>
  <c r="H150" i="3"/>
  <c r="H225" i="3"/>
  <c r="Y128" i="3"/>
  <c r="AG128" i="3" s="1"/>
  <c r="C174" i="3" l="1"/>
  <c r="C201" i="3" s="1"/>
  <c r="E201" i="3" s="1"/>
  <c r="E111" i="3"/>
  <c r="G110" i="3"/>
  <c r="H136" i="3" l="1"/>
  <c r="H137" i="3"/>
  <c r="H132" i="3"/>
  <c r="E132" i="3"/>
  <c r="G132" i="3"/>
  <c r="D133" i="3"/>
  <c r="D134" i="3"/>
  <c r="C132" i="3"/>
  <c r="F132" i="3"/>
  <c r="D156" i="3" l="1"/>
  <c r="U133" i="3"/>
  <c r="AC133" i="3" s="1"/>
  <c r="D231" i="3"/>
  <c r="C154" i="3"/>
  <c r="C229" i="3"/>
  <c r="C170" i="3"/>
  <c r="T131" i="3"/>
  <c r="AB131" i="3" s="1"/>
  <c r="Y131" i="3"/>
  <c r="AG131" i="3" s="1"/>
  <c r="H154" i="3"/>
  <c r="H229" i="3"/>
  <c r="H170" i="3"/>
  <c r="H171" i="3" s="1"/>
  <c r="D230" i="3"/>
  <c r="D155" i="3"/>
  <c r="D170" i="3"/>
  <c r="D171" i="3" s="1"/>
  <c r="U132" i="3"/>
  <c r="AC132" i="3" s="1"/>
  <c r="E229" i="3"/>
  <c r="E170" i="3"/>
  <c r="E171" i="3" s="1"/>
  <c r="E154" i="3"/>
  <c r="V131" i="3"/>
  <c r="AD131" i="3" s="1"/>
  <c r="H159" i="3"/>
  <c r="H234" i="3"/>
  <c r="G229" i="3"/>
  <c r="G170" i="3"/>
  <c r="G171" i="3" s="1"/>
  <c r="G154" i="3"/>
  <c r="X131" i="3"/>
  <c r="AF131" i="3" s="1"/>
  <c r="W131" i="3"/>
  <c r="AE131" i="3" s="1"/>
  <c r="F154" i="3"/>
  <c r="F229" i="3"/>
  <c r="F170" i="3"/>
  <c r="F171" i="3" s="1"/>
  <c r="H233" i="3"/>
  <c r="H158" i="3"/>
  <c r="Y135" i="3"/>
  <c r="AG135" i="3" s="1"/>
  <c r="C171" i="3" l="1"/>
  <c r="C175" i="3"/>
  <c r="C176" i="3" l="1"/>
  <c r="C202" i="3"/>
  <c r="C203" i="3" l="1"/>
  <c r="E202" i="3"/>
  <c r="E203" i="3" s="1"/>
</calcChain>
</file>

<file path=xl/sharedStrings.xml><?xml version="1.0" encoding="utf-8"?>
<sst xmlns="http://schemas.openxmlformats.org/spreadsheetml/2006/main" count="1129" uniqueCount="409">
  <si>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</si>
  <si>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</si>
  <si>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</si>
  <si>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</si>
  <si>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</si>
  <si>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</si>
  <si>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</si>
  <si>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SC1/SC5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</si>
  <si>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</si>
  <si>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</si>
  <si>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</si>
  <si>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</si>
  <si>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</si>
  <si>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</si>
  <si>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</si>
  <si>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</si>
  <si>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</si>
  <si>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</si>
  <si>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</si>
  <si>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</si>
  <si>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</si>
  <si>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</si>
  <si>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</si>
  <si>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</si>
  <si>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</si>
  <si>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</si>
  <si>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</si>
  <si>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</si>
  <si>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</si>
  <si>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</si>
  <si>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</si>
  <si>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</si>
  <si>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</si>
  <si>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</si>
  <si>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</si>
  <si>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</si>
  <si>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</si>
  <si>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</si>
  <si>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</si>
  <si>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</si>
  <si>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</si>
  <si>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</si>
  <si>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</si>
  <si>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</si>
  <si>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</si>
  <si>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</si>
  <si>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</si>
  <si>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</si>
  <si>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</si>
  <si>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</si>
  <si>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</si>
  <si>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</si>
  <si>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</si>
  <si>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</si>
  <si>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</si>
  <si>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</si>
  <si>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</si>
  <si>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</si>
  <si>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</si>
  <si>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</si>
  <si>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</si>
  <si>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</si>
  <si>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</si>
  <si>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</si>
  <si>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</si>
  <si>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</si>
  <si>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</si>
  <si>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</si>
  <si>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</si>
  <si>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</si>
  <si>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</si>
  <si>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</si>
  <si>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</si>
  <si>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</si>
  <si>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</si>
  <si>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</si>
  <si>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</si>
  <si>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</si>
  <si>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</si>
  <si>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</si>
  <si>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</si>
  <si>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</si>
  <si>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</si>
  <si>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</si>
  <si>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</si>
  <si>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</si>
  <si>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</si>
  <si>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</si>
  <si>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</si>
  <si>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</si>
  <si>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</si>
  <si>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</si>
  <si>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</si>
  <si>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</si>
  <si>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</si>
  <si>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</si>
  <si>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</si>
  <si>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</si>
  <si>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</si>
  <si>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</si>
  <si>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</si>
  <si>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</si>
  <si>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</si>
  <si>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</si>
  <si>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</si>
  <si>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</si>
  <si>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</si>
  <si>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</si>
  <si>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</si>
  <si>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</si>
  <si>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</si>
  <si>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</si>
  <si>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</si>
  <si>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</si>
  <si>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</si>
  <si>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</si>
  <si>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</si>
  <si>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</si>
  <si>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</si>
  <si>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</si>
  <si>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</si>
  <si>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</si>
  <si>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</si>
  <si>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</si>
  <si>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</si>
  <si>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</si>
  <si>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</si>
  <si>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</si>
  <si>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</si>
  <si>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</si>
  <si>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</si>
  <si>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</si>
  <si>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</si>
  <si>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</si>
  <si>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</si>
  <si>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</si>
  <si>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</si>
  <si>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</si>
  <si>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</si>
  <si>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</si>
  <si>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</si>
  <si>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</si>
  <si>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</si>
  <si>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</si>
  <si>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</si>
  <si>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</si>
  <si>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</si>
  <si>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</si>
  <si>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</si>
  <si>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</si>
  <si>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</si>
  <si>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</si>
  <si>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</si>
  <si>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</si>
  <si>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</si>
  <si>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</si>
  <si>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</si>
  <si>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</si>
  <si>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</si>
  <si>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</si>
  <si>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</si>
  <si>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</si>
  <si>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</si>
  <si>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</si>
  <si>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</si>
  <si>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</si>
  <si>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</si>
  <si>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</si>
  <si>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</si>
  <si>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</si>
  <si>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</si>
  <si>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</si>
  <si>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</si>
  <si>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</si>
  <si>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</si>
  <si>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</si>
  <si>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</si>
  <si>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</si>
  <si>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</si>
  <si>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</si>
  <si>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</si>
  <si>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</si>
  <si>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</si>
  <si>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</si>
  <si>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</si>
  <si>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</si>
  <si>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</si>
  <si>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</si>
  <si>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</si>
  <si>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</si>
  <si>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</si>
  <si>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</si>
  <si>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</si>
  <si>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</si>
  <si>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</si>
  <si>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</si>
  <si>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</si>
  <si>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</si>
  <si>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</si>
  <si>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</si>
  <si>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</si>
  <si>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</si>
  <si>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</si>
  <si>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</si>
  <si>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</si>
  <si>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</si>
  <si>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</si>
  <si>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</si>
  <si>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</si>
  <si>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</si>
  <si>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</si>
  <si>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</si>
  <si>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</si>
  <si>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</si>
  <si>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</si>
  <si>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</si>
  <si>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</si>
  <si>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</si>
  <si>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</si>
  <si>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</si>
  <si>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</si>
  <si>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</si>
  <si>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</si>
  <si>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</si>
  <si>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</si>
  <si>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</si>
  <si>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</si>
  <si>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</si>
  <si>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</si>
  <si>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</si>
  <si>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</si>
  <si>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</si>
  <si>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</si>
  <si>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</si>
  <si>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</si>
  <si>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</si>
  <si>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</si>
  <si>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</si>
  <si>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</si>
  <si>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</si>
  <si>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</si>
  <si>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</si>
  <si>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</si>
  <si>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</si>
  <si>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</si>
  <si>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</si>
  <si>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</si>
  <si>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</si>
  <si>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</si>
  <si>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</si>
  <si>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</si>
  <si>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</si>
  <si>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</si>
  <si>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</si>
  <si>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</si>
  <si>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</si>
  <si>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</si>
  <si>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</si>
  <si>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</si>
  <si>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</si>
  <si>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</si>
  <si>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</si>
  <si>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</si>
  <si>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</si>
  <si>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</si>
  <si>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</si>
  <si>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</si>
  <si>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</si>
  <si>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</si>
  <si>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</si>
  <si>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</si>
  <si>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</si>
  <si>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SC1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</si>
  <si>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</si>
  <si>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</si>
  <si>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</si>
  <si>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</si>
  <si>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</si>
  <si>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</si>
  <si>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</si>
  <si>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</si>
  <si>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</si>
  <si>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</si>
  <si>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</si>
  <si>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</si>
  <si>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</si>
  <si>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</si>
  <si>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</si>
  <si>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</si>
  <si>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</si>
  <si>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</si>
  <si>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</si>
  <si>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</si>
  <si>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</si>
  <si>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</si>
  <si>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</si>
  <si>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</si>
  <si>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</si>
  <si>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</si>
  <si>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</si>
  <si>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</si>
  <si>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</si>
  <si>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</si>
  <si>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</si>
  <si>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</si>
  <si>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</si>
  <si>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</si>
  <si>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2022 BGS Auction</t>
  </si>
  <si>
    <t>2(C)</t>
  </si>
  <si>
    <t xml:space="preserve"> = 2(a) + 2(b)</t>
  </si>
  <si>
    <t>Transmission (¢/kWh)</t>
  </si>
  <si>
    <t>Average transmission cost included in bid for existing tranches only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</si>
  <si>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</si>
  <si>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</si>
  <si>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</si>
  <si>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</si>
  <si>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</si>
  <si>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</si>
  <si>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</si>
  <si>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</si>
  <si>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</si>
  <si>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</si>
  <si>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</si>
  <si>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</si>
  <si>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</si>
  <si>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</si>
  <si>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</si>
  <si>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</si>
  <si>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</si>
  <si>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(2c) / 100 * (8) * (10) * 1,000</t>
  </si>
  <si>
    <t>= (1) / Total Tranches * (2c)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</si>
  <si>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</si>
  <si>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</si>
  <si>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</si>
  <si>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</si>
  <si>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</si>
  <si>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</si>
  <si>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</si>
  <si>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</si>
  <si>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</si>
  <si>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</si>
  <si>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</si>
  <si>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</si>
  <si>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</si>
  <si>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</si>
  <si>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</si>
  <si>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</si>
  <si>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</si>
  <si>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</si>
  <si>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</si>
  <si>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</si>
  <si>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</si>
  <si>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</si>
  <si>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</si>
  <si>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</si>
  <si>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</si>
  <si>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DISCUSS THIS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</si>
  <si>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</si>
  <si>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</si>
  <si>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</si>
  <si>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</si>
  <si>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</si>
  <si>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</si>
  <si>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</si>
  <si>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</si>
  <si>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</si>
  <si>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</si>
  <si>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</si>
  <si>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</si>
  <si>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</si>
  <si>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</si>
  <si>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</si>
  <si>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</si>
  <si>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</si>
  <si>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</si>
  <si>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</si>
  <si>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</si>
  <si>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</si>
  <si>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</si>
  <si>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</si>
  <si>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</si>
  <si>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</si>
  <si>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</si>
  <si>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</si>
  <si>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</si>
  <si>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</si>
  <si>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</si>
  <si>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</si>
  <si>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</si>
  <si>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</si>
  <si>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</si>
  <si>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</si>
  <si>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</si>
  <si>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</si>
  <si>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</si>
  <si>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</si>
  <si>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</si>
  <si>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</si>
  <si>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</si>
  <si>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</si>
  <si>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</si>
  <si>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</si>
  <si>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</si>
  <si>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</si>
  <si>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</si>
  <si>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</si>
  <si>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</si>
  <si>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2021 to May 2022 Forwards @ PJM West as of January 07, 2021</t>
  </si>
  <si>
    <t>Based on May 2022 to Apr 2023 Forwards @ NYISO Zone G and Lower Hudson Valley (LHV) as of January 05,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</si>
</sst>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_(* #,##0.000000_);_(* \(#,##0.000000\);_(* &quot;-&quot;??_);_(@_)"/>
    <numFmt numFmtId="179" formatCode="#,##0.000_);\(#,##0.000\)"/>
    <numFmt numFmtId="180" formatCode="0.00_);\(0.00\)"/>
  </numFmts>
  <fonts count="2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0" fontId="2" fillId="0" borderId="0" xfId="3" quotePrefix="1" applyNumberFormat="1" applyFont="1" applyFill="1"/>
    <xf numFmtId="44" fontId="2" fillId="0" borderId="0" xfId="2" quotePrefix="1" applyFont="1" applyFill="1"/>
    <xf numFmtId="166" fontId="2" fillId="0" borderId="0" xfId="2" quotePrefix="1" applyNumberFormat="1" applyFont="1" applyFill="1"/>
    <xf numFmtId="7" fontId="2" fillId="0" borderId="0" xfId="2" applyNumberFormat="1" applyFont="1" applyFill="1"/>
    <xf numFmtId="44" fontId="2" fillId="0" borderId="0" xfId="2" quotePrefix="1" applyFont="1" applyFill="1" applyAlignment="1">
      <alignment horizontal="left"/>
    </xf>
    <xf numFmtId="171" fontId="2" fillId="0" borderId="0" xfId="2" quotePrefix="1" applyNumberFormat="1" applyFont="1" applyFill="1"/>
    <xf numFmtId="173" fontId="7" fillId="0" borderId="0" xfId="1" quotePrefix="1" applyNumberFormat="1" applyFont="1" applyFill="1" applyBorder="1"/>
    <xf numFmtId="44" fontId="7" fillId="0" borderId="0" xfId="2" quotePrefix="1" applyFont="1" applyFill="1" applyBorder="1"/>
    <xf numFmtId="43" fontId="2" fillId="0" borderId="0" xfId="1" quotePrefix="1" applyFont="1" applyFill="1"/>
    <xf numFmtId="9" fontId="2" fillId="0" borderId="0" xfId="3" applyFont="1" applyFill="1"/>
    <xf numFmtId="9" fontId="2" fillId="0" borderId="0" xfId="1" applyNumberFormat="1" applyFont="1" applyFill="1"/>
    <xf numFmtId="0" fontId="14" fillId="0" borderId="0" xfId="0" applyFont="1"/>
    <xf numFmtId="0" fontId="2" fillId="0" borderId="0" xfId="0" applyFont="1" applyAlignment="1">
      <alignment horizontal="left"/>
    </xf>
    <xf numFmtId="166" fontId="9" fillId="0" borderId="0" xfId="2" applyNumberFormat="1" applyFont="1" applyFill="1"/>
    <xf numFmtId="166" fontId="9" fillId="0" borderId="0" xfId="0" applyNumberFormat="1" applyFont="1"/>
    <xf numFmtId="166" fontId="2" fillId="0" borderId="0" xfId="0" applyNumberFormat="1" applyFont="1"/>
    <xf numFmtId="177" fontId="6" fillId="0" borderId="0" xfId="3" applyNumberFormat="1" applyFont="1" applyFill="1"/>
    <xf numFmtId="173" fontId="2" fillId="0" borderId="0" xfId="1" quotePrefix="1" applyNumberFormat="1" applyFont="1" applyFill="1" applyBorder="1"/>
    <xf numFmtId="43" fontId="18" fillId="0" borderId="0" xfId="1" applyFont="1" applyFill="1" applyAlignment="1">
      <alignment horizontal="right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179" fontId="0" fillId="2" borderId="0" xfId="0" applyNumberFormat="1" applyFill="1"/>
    <xf numFmtId="164" fontId="0" fillId="2" borderId="0" xfId="3" quotePrefix="1" applyNumberFormat="1" applyFont="1" applyFill="1" applyAlignment="1">
      <alignment horizontal="right"/>
    </xf>
    <xf numFmtId="10" fontId="2" fillId="0" borderId="0" xfId="3" applyNumberFormat="1" applyFont="1" applyFill="1"/>
    <xf numFmtId="164" fontId="2" fillId="0" borderId="0" xfId="3" quotePrefix="1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6" fontId="2" fillId="0" borderId="0" xfId="2" quotePrefix="1" applyNumberFormat="1" applyFont="1" applyFill="1" applyAlignment="1">
      <alignment horizontal="left"/>
    </xf>
    <xf numFmtId="166" fontId="2" fillId="0" borderId="0" xfId="2" applyNumberFormat="1" applyFont="1" applyFill="1"/>
    <xf numFmtId="166" fontId="2" fillId="0" borderId="0" xfId="3" applyNumberFormat="1" applyFont="1" applyFill="1"/>
    <xf numFmtId="43" fontId="2" fillId="0" borderId="0" xfId="2" applyNumberFormat="1" applyFont="1" applyFill="1"/>
    <xf numFmtId="7" fontId="2" fillId="0" borderId="0" xfId="3" applyNumberFormat="1" applyFont="1" applyFill="1"/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2" fillId="0" borderId="0" xfId="0" applyFont="1" applyFill="1"/>
    <xf numFmtId="0" fontId="20" fillId="0" borderId="0" xfId="0" applyFont="1" applyFill="1"/>
    <xf numFmtId="1" fontId="7" fillId="0" borderId="0" xfId="1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quotePrefix="1" applyFont="1" applyFill="1"/>
    <xf numFmtId="39" fontId="2" fillId="0" borderId="0" xfId="0" quotePrefix="1" applyNumberFormat="1" applyFont="1" applyFill="1"/>
    <xf numFmtId="0" fontId="5" fillId="0" borderId="0" xfId="0" applyFont="1" applyFill="1"/>
    <xf numFmtId="0" fontId="7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quotePrefix="1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" fontId="2" fillId="0" borderId="0" xfId="0" applyNumberFormat="1" applyFont="1" applyFill="1"/>
    <xf numFmtId="164" fontId="2" fillId="0" borderId="0" xfId="3" quotePrefix="1" applyNumberFormat="1" applyFont="1" applyFill="1"/>
    <xf numFmtId="9" fontId="2" fillId="0" borderId="0" xfId="3" quotePrefix="1" applyFont="1" applyFill="1"/>
    <xf numFmtId="10" fontId="2" fillId="0" borderId="0" xfId="0" applyNumberFormat="1" applyFont="1" applyFill="1"/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9" fontId="2" fillId="0" borderId="0" xfId="3" quotePrefix="1" applyFont="1" applyFill="1" applyAlignment="1">
      <alignment horizontal="center"/>
    </xf>
    <xf numFmtId="17" fontId="7" fillId="0" borderId="0" xfId="0" applyNumberFormat="1" applyFont="1" applyFill="1"/>
    <xf numFmtId="0" fontId="7" fillId="0" borderId="0" xfId="0" applyFont="1" applyFill="1"/>
    <xf numFmtId="17" fontId="5" fillId="0" borderId="0" xfId="0" quotePrefix="1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3" fontId="2" fillId="0" borderId="0" xfId="0" quotePrefix="1" applyNumberFormat="1" applyFont="1" applyFill="1"/>
    <xf numFmtId="0" fontId="2" fillId="0" borderId="0" xfId="0" quotePrefix="1" applyFont="1" applyFill="1" applyAlignment="1">
      <alignment horizontal="right"/>
    </xf>
    <xf numFmtId="3" fontId="9" fillId="0" borderId="0" xfId="0" applyNumberFormat="1" applyFont="1" applyFill="1"/>
    <xf numFmtId="17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4" xfId="0" applyFont="1" applyFill="1" applyBorder="1"/>
    <xf numFmtId="0" fontId="7" fillId="0" borderId="5" xfId="0" applyFont="1" applyFill="1" applyBorder="1" applyAlignment="1">
      <alignment horizontal="center"/>
    </xf>
    <xf numFmtId="3" fontId="2" fillId="0" borderId="4" xfId="0" applyNumberFormat="1" applyFont="1" applyFill="1" applyBorder="1"/>
    <xf numFmtId="4" fontId="2" fillId="0" borderId="0" xfId="0" applyNumberFormat="1" applyFont="1" applyFill="1"/>
    <xf numFmtId="3" fontId="2" fillId="0" borderId="0" xfId="0" quotePrefix="1" applyNumberFormat="1" applyFont="1" applyFill="1" applyAlignment="1">
      <alignment horizontal="right"/>
    </xf>
    <xf numFmtId="165" fontId="2" fillId="0" borderId="0" xfId="0" applyNumberFormat="1" applyFont="1" applyFill="1"/>
    <xf numFmtId="0" fontId="6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/>
    <xf numFmtId="166" fontId="2" fillId="0" borderId="0" xfId="2" applyNumberFormat="1" applyFont="1" applyFill="1" applyBorder="1"/>
    <xf numFmtId="17" fontId="2" fillId="0" borderId="0" xfId="0" applyNumberFormat="1" applyFont="1" applyFill="1" applyAlignment="1">
      <alignment horizontal="right"/>
    </xf>
    <xf numFmtId="44" fontId="2" fillId="0" borderId="0" xfId="0" applyNumberFormat="1" applyFont="1" applyFill="1"/>
    <xf numFmtId="44" fontId="2" fillId="0" borderId="0" xfId="2" applyFont="1" applyFill="1"/>
    <xf numFmtId="166" fontId="2" fillId="0" borderId="0" xfId="0" applyNumberFormat="1" applyFont="1" applyFill="1"/>
    <xf numFmtId="39" fontId="2" fillId="0" borderId="0" xfId="0" applyNumberFormat="1" applyFont="1" applyFill="1"/>
    <xf numFmtId="14" fontId="2" fillId="0" borderId="0" xfId="0" applyNumberFormat="1" applyFont="1" applyFill="1"/>
    <xf numFmtId="167" fontId="2" fillId="0" borderId="0" xfId="0" applyNumberFormat="1" applyFont="1" applyFill="1"/>
    <xf numFmtId="168" fontId="2" fillId="0" borderId="0" xfId="0" applyNumberFormat="1" applyFont="1" applyFill="1"/>
    <xf numFmtId="168" fontId="7" fillId="0" borderId="0" xfId="0" applyNumberFormat="1" applyFont="1" applyFill="1"/>
    <xf numFmtId="169" fontId="2" fillId="0" borderId="0" xfId="0" applyNumberFormat="1" applyFont="1" applyFill="1"/>
    <xf numFmtId="168" fontId="2" fillId="0" borderId="0" xfId="0" applyNumberFormat="1" applyFont="1" applyFill="1" applyAlignment="1">
      <alignment horizontal="right"/>
    </xf>
    <xf numFmtId="43" fontId="2" fillId="0" borderId="0" xfId="1" applyFont="1" applyFill="1"/>
    <xf numFmtId="0" fontId="2" fillId="0" borderId="0" xfId="0" quotePrefix="1" applyFont="1" applyFill="1"/>
    <xf numFmtId="43" fontId="2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0" fontId="2" fillId="0" borderId="0" xfId="0" applyNumberFormat="1" applyFont="1" applyFill="1"/>
    <xf numFmtId="7" fontId="2" fillId="0" borderId="0" xfId="0" applyNumberFormat="1" applyFont="1" applyFill="1"/>
    <xf numFmtId="5" fontId="2" fillId="0" borderId="0" xfId="0" applyNumberFormat="1" applyFont="1" applyFill="1"/>
    <xf numFmtId="0" fontId="9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right"/>
    </xf>
    <xf numFmtId="171" fontId="2" fillId="0" borderId="0" xfId="0" applyNumberFormat="1" applyFont="1" applyFill="1"/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17" fontId="9" fillId="0" borderId="0" xfId="0" applyNumberFormat="1" applyFont="1" applyFill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0" fontId="12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9" fontId="11" fillId="0" borderId="0" xfId="0" applyNumberFormat="1" applyFont="1" applyFill="1"/>
    <xf numFmtId="171" fontId="11" fillId="0" borderId="0" xfId="2" quotePrefix="1" applyNumberFormat="1" applyFont="1" applyFill="1"/>
    <xf numFmtId="3" fontId="11" fillId="0" borderId="0" xfId="0" quotePrefix="1" applyNumberFormat="1" applyFont="1" applyFill="1"/>
    <xf numFmtId="3" fontId="11" fillId="0" borderId="0" xfId="0" applyNumberFormat="1" applyFont="1" applyFill="1"/>
    <xf numFmtId="4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11" fillId="0" borderId="0" xfId="0" quotePrefix="1" applyFont="1" applyFill="1"/>
    <xf numFmtId="44" fontId="11" fillId="0" borderId="0" xfId="2" applyFont="1" applyFill="1"/>
    <xf numFmtId="44" fontId="11" fillId="0" borderId="0" xfId="0" applyNumberFormat="1" applyFont="1" applyFill="1"/>
    <xf numFmtId="166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2" fillId="0" borderId="10" xfId="0" applyFont="1" applyFill="1" applyBorder="1"/>
    <xf numFmtId="3" fontId="2" fillId="0" borderId="11" xfId="0" applyNumberFormat="1" applyFont="1" applyFill="1" applyBorder="1"/>
    <xf numFmtId="172" fontId="2" fillId="0" borderId="0" xfId="0" applyNumberFormat="1" applyFont="1" applyFill="1"/>
    <xf numFmtId="43" fontId="2" fillId="0" borderId="0" xfId="1" quotePrefix="1" applyFont="1" applyFill="1" applyBorder="1"/>
    <xf numFmtId="43" fontId="7" fillId="0" borderId="0" xfId="1" quotePrefix="1" applyFont="1" applyFill="1" applyBorder="1"/>
    <xf numFmtId="0" fontId="7" fillId="0" borderId="0" xfId="0" quotePrefix="1" applyFont="1" applyFill="1" applyAlignment="1">
      <alignment horizontal="right"/>
    </xf>
    <xf numFmtId="173" fontId="2" fillId="0" borderId="0" xfId="1" quotePrefix="1" applyNumberFormat="1" applyFont="1" applyFill="1"/>
    <xf numFmtId="0" fontId="7" fillId="0" borderId="4" xfId="0" applyFont="1" applyFill="1" applyBorder="1"/>
    <xf numFmtId="171" fontId="7" fillId="0" borderId="0" xfId="0" applyNumberFormat="1" applyFont="1" applyFill="1"/>
    <xf numFmtId="17" fontId="2" fillId="0" borderId="0" xfId="0" quotePrefix="1" applyNumberFormat="1" applyFont="1" applyFill="1" applyAlignment="1">
      <alignment horizontal="right"/>
    </xf>
    <xf numFmtId="44" fontId="7" fillId="0" borderId="0" xfId="0" applyNumberFormat="1" applyFont="1" applyFill="1"/>
    <xf numFmtId="0" fontId="2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17" fontId="9" fillId="0" borderId="0" xfId="0" quotePrefix="1" applyNumberFormat="1" applyFont="1" applyFill="1" applyAlignment="1">
      <alignment horizontal="left"/>
    </xf>
    <xf numFmtId="0" fontId="8" fillId="0" borderId="0" xfId="0" quotePrefix="1" applyFont="1" applyFill="1" applyAlignment="1">
      <alignment horizontal="right"/>
    </xf>
    <xf numFmtId="173" fontId="7" fillId="0" borderId="0" xfId="0" applyNumberFormat="1" applyFont="1" applyFill="1"/>
    <xf numFmtId="173" fontId="2" fillId="0" borderId="0" xfId="0" applyNumberFormat="1" applyFont="1" applyFill="1"/>
    <xf numFmtId="166" fontId="2" fillId="0" borderId="0" xfId="0" quotePrefix="1" applyNumberFormat="1" applyFont="1" applyFill="1" applyAlignment="1">
      <alignment horizontal="left"/>
    </xf>
    <xf numFmtId="174" fontId="7" fillId="0" borderId="0" xfId="1" applyNumberFormat="1" applyFont="1" applyFill="1"/>
    <xf numFmtId="43" fontId="7" fillId="0" borderId="0" xfId="1" applyFont="1" applyFill="1"/>
    <xf numFmtId="0" fontId="2" fillId="0" borderId="5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175" fontId="2" fillId="0" borderId="0" xfId="0" applyNumberFormat="1" applyFont="1" applyFill="1"/>
    <xf numFmtId="4" fontId="2" fillId="0" borderId="5" xfId="0" applyNumberFormat="1" applyFont="1" applyFill="1" applyBorder="1"/>
    <xf numFmtId="164" fontId="2" fillId="0" borderId="0" xfId="0" applyNumberFormat="1" applyFont="1" applyFill="1"/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/>
    <xf numFmtId="0" fontId="9" fillId="0" borderId="0" xfId="0" applyFont="1" applyFill="1" applyAlignment="1">
      <alignment horizontal="right"/>
    </xf>
    <xf numFmtId="7" fontId="2" fillId="0" borderId="0" xfId="0" applyNumberFormat="1" applyFont="1" applyFill="1" applyAlignment="1">
      <alignment horizontal="right"/>
    </xf>
    <xf numFmtId="0" fontId="14" fillId="0" borderId="6" xfId="0" applyFont="1" applyFill="1" applyBorder="1"/>
    <xf numFmtId="2" fontId="2" fillId="0" borderId="12" xfId="0" applyNumberFormat="1" applyFont="1" applyFill="1" applyBorder="1"/>
    <xf numFmtId="0" fontId="14" fillId="0" borderId="8" xfId="0" applyFont="1" applyFill="1" applyBorder="1"/>
    <xf numFmtId="2" fontId="2" fillId="0" borderId="0" xfId="0" applyNumberFormat="1" applyFont="1" applyFill="1"/>
    <xf numFmtId="169" fontId="2" fillId="0" borderId="0" xfId="1" applyNumberFormat="1" applyFont="1" applyFill="1"/>
    <xf numFmtId="176" fontId="2" fillId="0" borderId="0" xfId="0" applyNumberFormat="1" applyFont="1" applyFill="1"/>
    <xf numFmtId="0" fontId="14" fillId="0" borderId="10" xfId="0" applyFont="1" applyFill="1" applyBorder="1"/>
    <xf numFmtId="2" fontId="2" fillId="0" borderId="13" xfId="0" applyNumberFormat="1" applyFont="1" applyFill="1" applyBorder="1"/>
    <xf numFmtId="0" fontId="2" fillId="0" borderId="11" xfId="0" applyFont="1" applyFill="1" applyBorder="1"/>
    <xf numFmtId="0" fontId="14" fillId="0" borderId="0" xfId="0" applyFont="1" applyFill="1"/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/>
    <xf numFmtId="44" fontId="6" fillId="0" borderId="0" xfId="0" quotePrefix="1" applyNumberFormat="1" applyFont="1" applyFill="1"/>
    <xf numFmtId="44" fontId="9" fillId="0" borderId="0" xfId="0" applyNumberFormat="1" applyFont="1" applyFill="1"/>
    <xf numFmtId="44" fontId="14" fillId="0" borderId="0" xfId="0" applyNumberFormat="1" applyFont="1" applyFill="1"/>
    <xf numFmtId="176" fontId="2" fillId="0" borderId="0" xfId="0" applyNumberFormat="1" applyFont="1" applyFill="1" applyAlignment="1">
      <alignment horizontal="left"/>
    </xf>
    <xf numFmtId="0" fontId="9" fillId="0" borderId="0" xfId="0" applyFont="1" applyFill="1"/>
    <xf numFmtId="177" fontId="2" fillId="0" borderId="0" xfId="0" applyNumberFormat="1" applyFont="1" applyFill="1"/>
    <xf numFmtId="170" fontId="2" fillId="0" borderId="0" xfId="0" quotePrefix="1" applyNumberFormat="1" applyFont="1" applyFill="1" applyAlignment="1">
      <alignment horizontal="right"/>
    </xf>
    <xf numFmtId="2" fontId="2" fillId="0" borderId="0" xfId="0" quotePrefix="1" applyNumberFormat="1" applyFont="1" applyFill="1" applyAlignment="1">
      <alignment horizontal="right"/>
    </xf>
    <xf numFmtId="178" fontId="2" fillId="0" borderId="0" xfId="1" quotePrefix="1" applyNumberFormat="1" applyFont="1" applyFill="1"/>
    <xf numFmtId="174" fontId="2" fillId="0" borderId="0" xfId="1" quotePrefix="1" applyNumberFormat="1" applyFont="1" applyFill="1"/>
    <xf numFmtId="166" fontId="9" fillId="0" borderId="0" xfId="2" quotePrefix="1" applyNumberFormat="1" applyFont="1" applyFill="1"/>
    <xf numFmtId="166" fontId="9" fillId="0" borderId="0" xfId="0" applyNumberFormat="1" applyFont="1" applyFill="1"/>
    <xf numFmtId="166" fontId="7" fillId="0" borderId="0" xfId="0" applyNumberFormat="1" applyFont="1" applyFill="1"/>
    <xf numFmtId="166" fontId="9" fillId="0" borderId="0" xfId="0" quotePrefix="1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4" fillId="0" borderId="0" xfId="0" quotePrefix="1" applyFont="1" applyFill="1" applyAlignment="1">
      <alignment horizontal="left"/>
    </xf>
    <xf numFmtId="170" fontId="14" fillId="0" borderId="0" xfId="0" applyNumberFormat="1" applyFont="1" applyFill="1"/>
    <xf numFmtId="170" fontId="17" fillId="0" borderId="0" xfId="0" applyNumberFormat="1" applyFont="1" applyFill="1"/>
    <xf numFmtId="9" fontId="14" fillId="0" borderId="0" xfId="3" applyFont="1" applyFill="1" applyAlignment="1">
      <alignment horizontal="right"/>
    </xf>
    <xf numFmtId="175" fontId="14" fillId="0" borderId="0" xfId="0" applyNumberFormat="1" applyFont="1" applyFill="1"/>
    <xf numFmtId="0" fontId="14" fillId="0" borderId="0" xfId="0" applyFont="1" applyFill="1" applyAlignment="1">
      <alignment horizontal="right"/>
    </xf>
    <xf numFmtId="3" fontId="14" fillId="0" borderId="0" xfId="0" applyNumberFormat="1" applyFont="1" applyFill="1"/>
    <xf numFmtId="3" fontId="16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right"/>
    </xf>
    <xf numFmtId="0" fontId="17" fillId="0" borderId="0" xfId="0" applyFont="1" applyFill="1"/>
    <xf numFmtId="170" fontId="17" fillId="0" borderId="15" xfId="0" applyNumberFormat="1" applyFont="1" applyFill="1" applyBorder="1"/>
    <xf numFmtId="0" fontId="14" fillId="0" borderId="0" xfId="0" applyFont="1" applyFill="1" applyAlignment="1">
      <alignment horizontal="left"/>
    </xf>
    <xf numFmtId="44" fontId="2" fillId="0" borderId="0" xfId="0" quotePrefix="1" applyNumberFormat="1" applyFont="1" applyFill="1"/>
    <xf numFmtId="166" fontId="18" fillId="0" borderId="0" xfId="0" applyNumberFormat="1" applyFont="1" applyFill="1"/>
    <xf numFmtId="179" fontId="2" fillId="0" borderId="0" xfId="0" quotePrefix="1" applyNumberFormat="1" applyFont="1" applyFill="1" applyAlignment="1">
      <alignment horizontal="right"/>
    </xf>
    <xf numFmtId="179" fontId="2" fillId="0" borderId="0" xfId="0" applyNumberFormat="1" applyFont="1" applyFill="1"/>
    <xf numFmtId="179" fontId="2" fillId="0" borderId="0" xfId="0" applyNumberFormat="1" applyFont="1" applyFill="1" applyAlignment="1">
      <alignment horizontal="right"/>
    </xf>
    <xf numFmtId="175" fontId="2" fillId="0" borderId="0" xfId="0" quotePrefix="1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39" fontId="2" fillId="0" borderId="12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39" fontId="8" fillId="0" borderId="0" xfId="0" applyNumberFormat="1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169" fontId="2" fillId="0" borderId="0" xfId="1" applyNumberFormat="1" applyFont="1" applyFill="1" applyBorder="1" applyAlignment="1">
      <alignment horizontal="right"/>
    </xf>
    <xf numFmtId="169" fontId="2" fillId="0" borderId="9" xfId="1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69" fontId="7" fillId="0" borderId="19" xfId="1" applyNumberFormat="1" applyFont="1" applyFill="1" applyBorder="1" applyAlignment="1">
      <alignment horizontal="right"/>
    </xf>
    <xf numFmtId="43" fontId="2" fillId="0" borderId="8" xfId="1" quotePrefix="1" applyFont="1" applyFill="1" applyBorder="1"/>
    <xf numFmtId="0" fontId="2" fillId="0" borderId="13" xfId="0" applyFont="1" applyFill="1" applyBorder="1"/>
    <xf numFmtId="39" fontId="2" fillId="0" borderId="13" xfId="0" applyNumberFormat="1" applyFont="1" applyFill="1" applyBorder="1"/>
    <xf numFmtId="0" fontId="19" fillId="0" borderId="0" xfId="0" applyFont="1" applyFill="1"/>
    <xf numFmtId="0" fontId="1" fillId="0" borderId="9" xfId="0" applyFont="1" applyFill="1" applyBorder="1"/>
    <xf numFmtId="0" fontId="19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7" fillId="0" borderId="9" xfId="0" applyFont="1" applyFill="1" applyBorder="1"/>
    <xf numFmtId="2" fontId="2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 horizontal="center"/>
    </xf>
    <xf numFmtId="37" fontId="2" fillId="0" borderId="8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18" xfId="0" applyFont="1" applyFill="1" applyBorder="1"/>
    <xf numFmtId="37" fontId="2" fillId="0" borderId="15" xfId="0" applyNumberFormat="1" applyFont="1" applyFill="1" applyBorder="1" applyAlignment="1">
      <alignment horizontal="center"/>
    </xf>
    <xf numFmtId="37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7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7" fontId="2" fillId="0" borderId="0" xfId="0" applyNumberFormat="1" applyFont="1" applyFill="1"/>
    <xf numFmtId="180" fontId="2" fillId="0" borderId="0" xfId="0" applyNumberFormat="1" applyFont="1" applyFill="1"/>
    <xf numFmtId="37" fontId="9" fillId="0" borderId="0" xfId="0" applyNumberFormat="1" applyFont="1" applyFill="1"/>
    <xf numFmtId="180" fontId="9" fillId="0" borderId="0" xfId="0" applyNumberFormat="1" applyFont="1" applyFill="1"/>
    <xf numFmtId="43" fontId="21" fillId="0" borderId="0" xfId="1" quotePrefix="1" applyFont="1" applyFill="1"/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0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 refreshError="1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</row>
      </sheetData>
      <sheetData sheetId="13"/>
      <sheetData sheetId="14">
        <row r="8">
          <cell r="C8">
            <v>6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D0799-D3E3-4269-963A-A7CCCEC671B9}">
  <sheetPr codeName="Sheet3">
    <tabColor rgb="FF7030A0"/>
  </sheetPr>
  <dimension ref="A1:AK610"/>
  <sheetViews>
    <sheetView tabSelected="1" zoomScale="90" zoomScaleNormal="90" workbookViewId="0"/>
  </sheetViews>
  <sheetFormatPr defaultColWidth="9.234375" defaultRowHeight="12.7" x14ac:dyDescent="0.4"/>
  <cols>
    <col min="1" max="1" width="10.703125" style="15" customWidth="1"/>
    <col min="2" max="2" width="27.8203125" style="2" customWidth="1"/>
    <col min="3" max="3" width="16.3515625" style="2" customWidth="1"/>
    <col min="4" max="4" width="16.17578125" style="2" customWidth="1"/>
    <col min="5" max="5" width="12.703125" style="2" customWidth="1"/>
    <col min="6" max="7" width="13.3515625" style="2" customWidth="1"/>
    <col min="8" max="8" width="12.703125" style="2" customWidth="1"/>
    <col min="9" max="9" width="14.8203125" style="2" customWidth="1"/>
    <col min="10" max="10" width="12.703125" style="2" customWidth="1"/>
    <col min="11" max="11" width="17.29296875" style="2" customWidth="1"/>
    <col min="12" max="12" width="15.234375" style="2" bestFit="1" customWidth="1"/>
    <col min="13" max="13" width="13.3515625" style="2" customWidth="1"/>
    <col min="14" max="14" width="12" style="2" customWidth="1"/>
    <col min="15" max="15" width="11.17578125" style="2" customWidth="1"/>
    <col min="16" max="16" width="12.29296875" style="2" customWidth="1"/>
    <col min="17" max="17" width="13" style="2" customWidth="1"/>
    <col min="18" max="18" width="9.9375" style="2" bestFit="1" customWidth="1"/>
    <col min="19" max="19" width="10.703125" style="2" customWidth="1"/>
    <col min="20" max="22" width="11.703125" style="2" customWidth="1"/>
    <col min="23" max="23" width="9.234375" style="2"/>
    <col min="24" max="24" width="11.05859375" style="2" bestFit="1" customWidth="1"/>
    <col min="25" max="25" width="9.234375" style="2"/>
    <col min="26" max="26" width="14.05859375" style="2" bestFit="1" customWidth="1"/>
    <col min="27" max="27" width="15.29296875" style="2" customWidth="1"/>
    <col min="28" max="28" width="13.52734375" style="2" customWidth="1"/>
    <col min="29" max="16384" width="9.234375" style="2"/>
  </cols>
  <sheetData>
    <row r="1" spans="1:37" ht="15.35" x14ac:dyDescent="0.5">
      <c r="A1" s="35"/>
      <c r="B1" s="36" t="str">
        <f>"Development of BGS Cost and Bid Factors for Rates Effective June 1, " &amp;M1</f>
        <v>Development of BGS Cost and Bid Factors for Rates Effective June 1, 2021</v>
      </c>
      <c r="C1" s="37"/>
      <c r="D1" s="37"/>
      <c r="E1" s="37"/>
      <c r="F1" s="37"/>
      <c r="G1" s="38"/>
      <c r="H1" s="37"/>
      <c r="I1" s="37"/>
      <c r="J1" s="37"/>
      <c r="K1" s="37"/>
      <c r="L1" s="37"/>
      <c r="M1" s="39">
        <v>2021</v>
      </c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15" x14ac:dyDescent="0.45">
      <c r="A2" s="40"/>
      <c r="B2" s="37"/>
      <c r="C2" s="37"/>
      <c r="D2" s="37"/>
      <c r="E2" s="37"/>
      <c r="F2" s="37"/>
      <c r="G2" s="37"/>
      <c r="H2" s="37"/>
      <c r="I2" s="4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x14ac:dyDescent="0.4">
      <c r="A3" s="35"/>
      <c r="B3" s="37"/>
      <c r="C3" s="37"/>
      <c r="D3" s="42" t="str">
        <f>"Based on " &amp;M1-1  &amp;" Load Profile Information"</f>
        <v>Based on 2020 Load Profile Information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x14ac:dyDescent="0.4">
      <c r="A4" s="43" t="s">
        <v>1</v>
      </c>
      <c r="B4" s="44" t="s">
        <v>2</v>
      </c>
      <c r="C4" s="45"/>
      <c r="D4" s="46" t="s">
        <v>3</v>
      </c>
      <c r="E4" s="37"/>
      <c r="F4" s="37"/>
      <c r="G4" s="37"/>
      <c r="H4" s="37"/>
      <c r="I4" s="37"/>
      <c r="J4" s="37"/>
      <c r="K4" s="44"/>
      <c r="L4" s="47" t="str">
        <f>"'% usage during Off-Peak period (from "&amp;M1-1&amp;" profiles)"</f>
        <v>'% usage during Off-Peak period (from 2020 profiles)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25.35" x14ac:dyDescent="0.4">
      <c r="A5" s="48"/>
      <c r="B5" s="37"/>
      <c r="C5" s="49" t="s">
        <v>4</v>
      </c>
      <c r="D5" s="49" t="s">
        <v>4</v>
      </c>
      <c r="E5" s="49" t="s">
        <v>4</v>
      </c>
      <c r="F5" s="46" t="s">
        <v>5</v>
      </c>
      <c r="G5" s="50"/>
      <c r="H5" s="49" t="s">
        <v>4</v>
      </c>
      <c r="I5" s="49"/>
      <c r="J5" s="49"/>
      <c r="K5" s="46"/>
      <c r="L5" s="49" t="s">
        <v>4</v>
      </c>
      <c r="M5" s="49" t="s">
        <v>4</v>
      </c>
      <c r="N5" s="49" t="s">
        <v>4</v>
      </c>
      <c r="O5" s="46" t="s">
        <v>6</v>
      </c>
      <c r="P5" s="50"/>
      <c r="Q5" s="49" t="s">
        <v>4</v>
      </c>
      <c r="R5" s="49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x14ac:dyDescent="0.4">
      <c r="A6" s="48"/>
      <c r="B6" s="51"/>
      <c r="C6" s="52" t="s">
        <v>7</v>
      </c>
      <c r="D6" s="52" t="s">
        <v>8</v>
      </c>
      <c r="E6" s="52" t="s">
        <v>9</v>
      </c>
      <c r="F6" s="52" t="s">
        <v>10</v>
      </c>
      <c r="G6" s="52" t="s">
        <v>11</v>
      </c>
      <c r="H6" s="52" t="s">
        <v>12</v>
      </c>
      <c r="I6" s="53"/>
      <c r="J6" s="53"/>
      <c r="K6" s="54"/>
      <c r="L6" s="53" t="str">
        <f t="shared" ref="L6:Q6" si="0">+C6</f>
        <v>SC1/SC5</v>
      </c>
      <c r="M6" s="53" t="str">
        <f t="shared" si="0"/>
        <v>SC3</v>
      </c>
      <c r="N6" s="53" t="str">
        <f t="shared" si="0"/>
        <v>SC2 ND</v>
      </c>
      <c r="O6" s="53" t="str">
        <f t="shared" si="0"/>
        <v>SC4</v>
      </c>
      <c r="P6" s="53" t="str">
        <f t="shared" si="0"/>
        <v>SC6</v>
      </c>
      <c r="Q6" s="53" t="str">
        <f t="shared" si="0"/>
        <v>SC2 Dem</v>
      </c>
      <c r="R6" s="53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x14ac:dyDescent="0.4">
      <c r="A7" s="48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x14ac:dyDescent="0.4">
      <c r="A8" s="48"/>
      <c r="B8" s="55" t="s">
        <v>13</v>
      </c>
      <c r="C8" s="3">
        <v>0.45648210987814286</v>
      </c>
      <c r="D8" s="3">
        <v>0.49815455167767375</v>
      </c>
      <c r="E8" s="3">
        <v>0.35762574167388106</v>
      </c>
      <c r="F8" s="3">
        <v>0.53525497819623891</v>
      </c>
      <c r="G8" s="3">
        <f>F8</f>
        <v>0.53525497819623891</v>
      </c>
      <c r="H8" s="3">
        <v>0.52398694077053742</v>
      </c>
      <c r="I8" s="56"/>
      <c r="J8" s="56"/>
      <c r="K8" s="57"/>
      <c r="L8" s="56">
        <f t="shared" ref="L8:Q19" si="1">1-C8</f>
        <v>0.54351789012185714</v>
      </c>
      <c r="M8" s="56">
        <f t="shared" si="1"/>
        <v>0.50184544832232625</v>
      </c>
      <c r="N8" s="56">
        <f t="shared" si="1"/>
        <v>0.64237425832611894</v>
      </c>
      <c r="O8" s="56">
        <f t="shared" si="1"/>
        <v>0.46474502180376109</v>
      </c>
      <c r="P8" s="56">
        <f t="shared" si="1"/>
        <v>0.46474502180376109</v>
      </c>
      <c r="Q8" s="56">
        <f t="shared" si="1"/>
        <v>0.47601305922946258</v>
      </c>
      <c r="R8" s="57"/>
      <c r="S8" s="58"/>
      <c r="T8" s="58"/>
      <c r="U8" s="58"/>
      <c r="V8" s="58"/>
      <c r="W8" s="58"/>
      <c r="X8" s="58"/>
      <c r="Y8" s="58"/>
      <c r="Z8" s="58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x14ac:dyDescent="0.4">
      <c r="A9" s="48"/>
      <c r="B9" s="55" t="s">
        <v>14</v>
      </c>
      <c r="C9" s="3">
        <v>0.43822996022901062</v>
      </c>
      <c r="D9" s="3">
        <v>0.47576391977646199</v>
      </c>
      <c r="E9" s="3">
        <v>0.35225625432959001</v>
      </c>
      <c r="F9" s="3">
        <v>0.51405661847539641</v>
      </c>
      <c r="G9" s="3">
        <f t="shared" ref="G9:G19" si="2">F9</f>
        <v>0.51405661847539641</v>
      </c>
      <c r="H9" s="3">
        <v>0.50476395482681369</v>
      </c>
      <c r="I9" s="56"/>
      <c r="J9" s="56"/>
      <c r="K9" s="57"/>
      <c r="L9" s="56">
        <f t="shared" si="1"/>
        <v>0.56177003977098938</v>
      </c>
      <c r="M9" s="56">
        <f t="shared" si="1"/>
        <v>0.52423608022353796</v>
      </c>
      <c r="N9" s="56">
        <f t="shared" si="1"/>
        <v>0.64774374567041004</v>
      </c>
      <c r="O9" s="56">
        <f t="shared" si="1"/>
        <v>0.48594338152460359</v>
      </c>
      <c r="P9" s="56">
        <f t="shared" si="1"/>
        <v>0.48594338152460359</v>
      </c>
      <c r="Q9" s="56">
        <f t="shared" si="1"/>
        <v>0.49523604517318631</v>
      </c>
      <c r="R9" s="57"/>
      <c r="S9" s="58"/>
      <c r="T9" s="58"/>
      <c r="U9" s="58"/>
      <c r="V9" s="58"/>
      <c r="W9" s="58"/>
      <c r="X9" s="58"/>
      <c r="Y9" s="58"/>
      <c r="Z9" s="58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x14ac:dyDescent="0.4">
      <c r="A10" s="48"/>
      <c r="B10" s="55" t="s">
        <v>15</v>
      </c>
      <c r="C10" s="3">
        <v>0.45829998666683125</v>
      </c>
      <c r="D10" s="3">
        <v>0.49069391842226501</v>
      </c>
      <c r="E10" s="3">
        <v>0.35547823944018037</v>
      </c>
      <c r="F10" s="3">
        <v>0.53153102204981884</v>
      </c>
      <c r="G10" s="3">
        <f t="shared" si="2"/>
        <v>0.53153102204981884</v>
      </c>
      <c r="H10" s="3">
        <v>0.52391347710811198</v>
      </c>
      <c r="I10" s="56"/>
      <c r="J10" s="56"/>
      <c r="K10" s="57"/>
      <c r="L10" s="56">
        <f t="shared" si="1"/>
        <v>0.54170001333316875</v>
      </c>
      <c r="M10" s="56">
        <f t="shared" si="1"/>
        <v>0.50930608157773505</v>
      </c>
      <c r="N10" s="56">
        <f t="shared" si="1"/>
        <v>0.64452176055981969</v>
      </c>
      <c r="O10" s="56">
        <f t="shared" si="1"/>
        <v>0.46846897795018116</v>
      </c>
      <c r="P10" s="56">
        <f t="shared" si="1"/>
        <v>0.46846897795018116</v>
      </c>
      <c r="Q10" s="56">
        <f t="shared" si="1"/>
        <v>0.47608652289188802</v>
      </c>
      <c r="R10" s="57"/>
      <c r="S10" s="58"/>
      <c r="T10" s="58"/>
      <c r="U10" s="58"/>
      <c r="V10" s="58"/>
      <c r="W10" s="58"/>
      <c r="X10" s="58"/>
      <c r="Y10" s="58"/>
      <c r="Z10" s="58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x14ac:dyDescent="0.4">
      <c r="A11" s="48"/>
      <c r="B11" s="55" t="s">
        <v>16</v>
      </c>
      <c r="C11" s="3">
        <v>0.47413489677081183</v>
      </c>
      <c r="D11" s="3">
        <v>0.50360598145364277</v>
      </c>
      <c r="E11" s="3">
        <v>0.36684240558997211</v>
      </c>
      <c r="F11" s="3">
        <v>0.54549117205431563</v>
      </c>
      <c r="G11" s="3">
        <f t="shared" si="2"/>
        <v>0.54549117205431563</v>
      </c>
      <c r="H11" s="3">
        <v>0.54241910273082705</v>
      </c>
      <c r="I11" s="56"/>
      <c r="J11" s="56"/>
      <c r="K11" s="57"/>
      <c r="L11" s="56">
        <f t="shared" si="1"/>
        <v>0.52586510322918811</v>
      </c>
      <c r="M11" s="56">
        <f t="shared" si="1"/>
        <v>0.49639401854635723</v>
      </c>
      <c r="N11" s="56">
        <f t="shared" si="1"/>
        <v>0.63315759441002784</v>
      </c>
      <c r="O11" s="56">
        <f t="shared" si="1"/>
        <v>0.45450882794568437</v>
      </c>
      <c r="P11" s="56">
        <f t="shared" si="1"/>
        <v>0.45450882794568437</v>
      </c>
      <c r="Q11" s="56">
        <f t="shared" si="1"/>
        <v>0.45758089726917295</v>
      </c>
      <c r="R11" s="57"/>
      <c r="S11" s="58"/>
      <c r="T11" s="58"/>
      <c r="U11" s="58"/>
      <c r="V11" s="58"/>
      <c r="W11" s="58"/>
      <c r="X11" s="58"/>
      <c r="Y11" s="58"/>
      <c r="Z11" s="58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x14ac:dyDescent="0.4">
      <c r="A12" s="48"/>
      <c r="B12" s="55" t="s">
        <v>17</v>
      </c>
      <c r="C12" s="3">
        <v>0.42048957086327132</v>
      </c>
      <c r="D12" s="3">
        <v>0.45507554736848532</v>
      </c>
      <c r="E12" s="3">
        <v>0.29848170836604337</v>
      </c>
      <c r="F12" s="3">
        <v>0.48919255188755595</v>
      </c>
      <c r="G12" s="3">
        <f t="shared" si="2"/>
        <v>0.48919255188755595</v>
      </c>
      <c r="H12" s="3">
        <v>0.49389307041401381</v>
      </c>
      <c r="I12" s="56"/>
      <c r="J12" s="56"/>
      <c r="K12" s="57"/>
      <c r="L12" s="56">
        <f t="shared" si="1"/>
        <v>0.57951042913672868</v>
      </c>
      <c r="M12" s="56">
        <f t="shared" si="1"/>
        <v>0.54492445263151468</v>
      </c>
      <c r="N12" s="56">
        <f t="shared" si="1"/>
        <v>0.70151829163395663</v>
      </c>
      <c r="O12" s="56">
        <f t="shared" si="1"/>
        <v>0.51080744811244405</v>
      </c>
      <c r="P12" s="56">
        <f t="shared" si="1"/>
        <v>0.51080744811244405</v>
      </c>
      <c r="Q12" s="56">
        <f t="shared" si="1"/>
        <v>0.50610692958598613</v>
      </c>
      <c r="R12" s="57"/>
      <c r="S12" s="58"/>
      <c r="T12" s="58"/>
      <c r="U12" s="58"/>
      <c r="V12" s="58"/>
      <c r="W12" s="58"/>
      <c r="X12" s="58"/>
      <c r="Y12" s="58"/>
      <c r="Z12" s="58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x14ac:dyDescent="0.4">
      <c r="A13" s="48"/>
      <c r="B13" s="55" t="s">
        <v>18</v>
      </c>
      <c r="C13" s="3">
        <v>0.48780629688958466</v>
      </c>
      <c r="D13" s="3">
        <v>0.51141956007787193</v>
      </c>
      <c r="E13" s="3">
        <v>0.3153795027029821</v>
      </c>
      <c r="F13" s="3">
        <v>0.54799900649257038</v>
      </c>
      <c r="G13" s="3">
        <f t="shared" si="2"/>
        <v>0.54799900649257038</v>
      </c>
      <c r="H13" s="3">
        <v>0.55197738665043572</v>
      </c>
      <c r="I13" s="56"/>
      <c r="J13" s="56"/>
      <c r="K13" s="57"/>
      <c r="L13" s="56">
        <f t="shared" si="1"/>
        <v>0.51219370311041534</v>
      </c>
      <c r="M13" s="56">
        <f t="shared" si="1"/>
        <v>0.48858043992212807</v>
      </c>
      <c r="N13" s="56">
        <f t="shared" si="1"/>
        <v>0.6846204972970179</v>
      </c>
      <c r="O13" s="56">
        <f t="shared" si="1"/>
        <v>0.45200099350742962</v>
      </c>
      <c r="P13" s="56">
        <f t="shared" si="1"/>
        <v>0.45200099350742962</v>
      </c>
      <c r="Q13" s="56">
        <f t="shared" si="1"/>
        <v>0.44802261334956428</v>
      </c>
      <c r="R13" s="57"/>
      <c r="S13" s="58"/>
      <c r="T13" s="58"/>
      <c r="U13" s="58"/>
      <c r="V13" s="58"/>
      <c r="W13" s="58"/>
      <c r="X13" s="58"/>
      <c r="Y13" s="58"/>
      <c r="Z13" s="58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x14ac:dyDescent="0.4">
      <c r="A14" s="48"/>
      <c r="B14" s="55" t="s">
        <v>19</v>
      </c>
      <c r="C14" s="3">
        <v>0.49701654925977123</v>
      </c>
      <c r="D14" s="3">
        <v>0.52852737628219459</v>
      </c>
      <c r="E14" s="3">
        <v>0.31574873247891666</v>
      </c>
      <c r="F14" s="3">
        <v>0.54948724247608183</v>
      </c>
      <c r="G14" s="3">
        <f t="shared" si="2"/>
        <v>0.54948724247608183</v>
      </c>
      <c r="H14" s="3">
        <v>0.55139978052403349</v>
      </c>
      <c r="I14" s="56"/>
      <c r="J14" s="56"/>
      <c r="K14" s="57"/>
      <c r="L14" s="56">
        <f t="shared" si="1"/>
        <v>0.50298345074022877</v>
      </c>
      <c r="M14" s="56">
        <f t="shared" si="1"/>
        <v>0.47147262371780541</v>
      </c>
      <c r="N14" s="56">
        <f t="shared" si="1"/>
        <v>0.68425126752108334</v>
      </c>
      <c r="O14" s="56">
        <f t="shared" si="1"/>
        <v>0.45051275752391817</v>
      </c>
      <c r="P14" s="56">
        <f t="shared" si="1"/>
        <v>0.45051275752391817</v>
      </c>
      <c r="Q14" s="56">
        <f t="shared" si="1"/>
        <v>0.44860021947596651</v>
      </c>
      <c r="R14" s="57"/>
      <c r="S14" s="58"/>
      <c r="T14" s="58"/>
      <c r="U14" s="58"/>
      <c r="V14" s="58"/>
      <c r="W14" s="58"/>
      <c r="X14" s="58"/>
      <c r="Y14" s="58"/>
      <c r="Z14" s="58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x14ac:dyDescent="0.4">
      <c r="A15" s="48"/>
      <c r="B15" s="55" t="s">
        <v>20</v>
      </c>
      <c r="C15" s="3">
        <v>0.47144417532959454</v>
      </c>
      <c r="D15" s="3">
        <v>0.48479482564303428</v>
      </c>
      <c r="E15" s="3">
        <v>0.28982694823700506</v>
      </c>
      <c r="F15" s="3">
        <v>0.51448423892365525</v>
      </c>
      <c r="G15" s="3">
        <f t="shared" si="2"/>
        <v>0.51448423892365525</v>
      </c>
      <c r="H15" s="3">
        <v>0.51593748788247129</v>
      </c>
      <c r="I15" s="56"/>
      <c r="J15" s="56"/>
      <c r="K15" s="57"/>
      <c r="L15" s="56">
        <f t="shared" si="1"/>
        <v>0.52855582467040541</v>
      </c>
      <c r="M15" s="56">
        <f t="shared" si="1"/>
        <v>0.51520517435696567</v>
      </c>
      <c r="N15" s="56">
        <f t="shared" si="1"/>
        <v>0.71017305176299494</v>
      </c>
      <c r="O15" s="56">
        <f t="shared" si="1"/>
        <v>0.48551576107634475</v>
      </c>
      <c r="P15" s="56">
        <f t="shared" si="1"/>
        <v>0.48551576107634475</v>
      </c>
      <c r="Q15" s="56">
        <f t="shared" si="1"/>
        <v>0.48406251211752871</v>
      </c>
      <c r="R15" s="57"/>
      <c r="S15" s="58"/>
      <c r="T15" s="58"/>
      <c r="U15" s="58"/>
      <c r="V15" s="58"/>
      <c r="W15" s="58"/>
      <c r="X15" s="58"/>
      <c r="Y15" s="58"/>
      <c r="Z15" s="58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x14ac:dyDescent="0.4">
      <c r="A16" s="48"/>
      <c r="B16" s="55" t="s">
        <v>21</v>
      </c>
      <c r="C16" s="3">
        <v>0.47284370453343649</v>
      </c>
      <c r="D16" s="3">
        <v>0.49593197739972605</v>
      </c>
      <c r="E16" s="3">
        <v>0.35055212201445851</v>
      </c>
      <c r="F16" s="3">
        <v>0.53198902869846421</v>
      </c>
      <c r="G16" s="3">
        <f t="shared" si="2"/>
        <v>0.53198902869846421</v>
      </c>
      <c r="H16" s="3">
        <v>0.53309653379942468</v>
      </c>
      <c r="I16" s="56"/>
      <c r="J16" s="56"/>
      <c r="K16" s="57"/>
      <c r="L16" s="56">
        <f t="shared" si="1"/>
        <v>0.52715629546656351</v>
      </c>
      <c r="M16" s="56">
        <f t="shared" si="1"/>
        <v>0.50406802260027395</v>
      </c>
      <c r="N16" s="56">
        <f t="shared" si="1"/>
        <v>0.64944787798554149</v>
      </c>
      <c r="O16" s="56">
        <f t="shared" si="1"/>
        <v>0.46801097130153579</v>
      </c>
      <c r="P16" s="56">
        <f t="shared" si="1"/>
        <v>0.46801097130153579</v>
      </c>
      <c r="Q16" s="56">
        <f t="shared" si="1"/>
        <v>0.46690346620057532</v>
      </c>
      <c r="R16" s="57"/>
      <c r="S16" s="58"/>
      <c r="T16" s="58"/>
      <c r="U16" s="58"/>
      <c r="V16" s="58"/>
      <c r="W16" s="58"/>
      <c r="X16" s="58"/>
      <c r="Y16" s="58"/>
      <c r="Z16" s="58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x14ac:dyDescent="0.4">
      <c r="A17" s="48"/>
      <c r="B17" s="55" t="s">
        <v>22</v>
      </c>
      <c r="C17" s="3">
        <v>0.47103653946598389</v>
      </c>
      <c r="D17" s="3">
        <v>0.51528432027714777</v>
      </c>
      <c r="E17" s="3">
        <v>0.35617459224689085</v>
      </c>
      <c r="F17" s="27">
        <v>0.53591817338457626</v>
      </c>
      <c r="G17" s="3">
        <f t="shared" si="2"/>
        <v>0.53591817338457626</v>
      </c>
      <c r="H17" s="3">
        <v>0.53293831397185321</v>
      </c>
      <c r="I17" s="56"/>
      <c r="J17" s="56"/>
      <c r="K17" s="57"/>
      <c r="L17" s="56">
        <f t="shared" si="1"/>
        <v>0.52896346053401611</v>
      </c>
      <c r="M17" s="56">
        <f t="shared" si="1"/>
        <v>0.48471567972285223</v>
      </c>
      <c r="N17" s="56">
        <f t="shared" si="1"/>
        <v>0.64382540775310915</v>
      </c>
      <c r="O17" s="56">
        <f t="shared" si="1"/>
        <v>0.46408182661542374</v>
      </c>
      <c r="P17" s="56">
        <f t="shared" si="1"/>
        <v>0.46408182661542374</v>
      </c>
      <c r="Q17" s="56">
        <f t="shared" si="1"/>
        <v>0.46706168602814679</v>
      </c>
      <c r="R17" s="57"/>
      <c r="S17" s="58"/>
      <c r="T17" s="58"/>
      <c r="U17" s="58"/>
      <c r="V17" s="58"/>
      <c r="W17" s="58"/>
      <c r="X17" s="58"/>
      <c r="Y17" s="58"/>
      <c r="Z17" s="58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x14ac:dyDescent="0.4">
      <c r="A18" s="48"/>
      <c r="B18" s="55" t="s">
        <v>23</v>
      </c>
      <c r="C18" s="3">
        <v>0.42874342682695032</v>
      </c>
      <c r="D18" s="3">
        <v>0.48271593609680846</v>
      </c>
      <c r="E18" s="3">
        <v>0.34159749208280854</v>
      </c>
      <c r="F18" s="3">
        <v>0.50583173400966452</v>
      </c>
      <c r="G18" s="3">
        <f t="shared" si="2"/>
        <v>0.50583173400966452</v>
      </c>
      <c r="H18" s="3">
        <v>0.49406724089837589</v>
      </c>
      <c r="I18" s="56"/>
      <c r="J18" s="56"/>
      <c r="K18" s="57"/>
      <c r="L18" s="56">
        <f t="shared" si="1"/>
        <v>0.57125657317304968</v>
      </c>
      <c r="M18" s="56">
        <f t="shared" si="1"/>
        <v>0.51728406390319148</v>
      </c>
      <c r="N18" s="56">
        <f t="shared" si="1"/>
        <v>0.65840250791719146</v>
      </c>
      <c r="O18" s="56">
        <f t="shared" si="1"/>
        <v>0.49416826599033548</v>
      </c>
      <c r="P18" s="56">
        <f t="shared" si="1"/>
        <v>0.49416826599033548</v>
      </c>
      <c r="Q18" s="56">
        <f t="shared" si="1"/>
        <v>0.50593275910162405</v>
      </c>
      <c r="R18" s="57"/>
      <c r="S18" s="58"/>
      <c r="T18" s="58"/>
      <c r="U18" s="58"/>
      <c r="V18" s="58"/>
      <c r="W18" s="58"/>
      <c r="X18" s="58"/>
      <c r="Y18" s="58"/>
      <c r="Z18" s="58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x14ac:dyDescent="0.4">
      <c r="A19" s="48"/>
      <c r="B19" s="55" t="s">
        <v>24</v>
      </c>
      <c r="C19" s="3">
        <v>0.45160460745295933</v>
      </c>
      <c r="D19" s="3">
        <v>0.50829017064535242</v>
      </c>
      <c r="E19" s="3">
        <v>0.36232342155924663</v>
      </c>
      <c r="F19" s="3">
        <v>0.52862178767657597</v>
      </c>
      <c r="G19" s="3">
        <f t="shared" si="2"/>
        <v>0.52862178767657597</v>
      </c>
      <c r="H19" s="3">
        <v>0.52134450803206656</v>
      </c>
      <c r="I19" s="56"/>
      <c r="J19" s="56"/>
      <c r="K19" s="57"/>
      <c r="L19" s="56">
        <f t="shared" si="1"/>
        <v>0.54839539254704062</v>
      </c>
      <c r="M19" s="56">
        <f t="shared" si="1"/>
        <v>0.49170982935464758</v>
      </c>
      <c r="N19" s="56">
        <f t="shared" si="1"/>
        <v>0.63767657844075343</v>
      </c>
      <c r="O19" s="56">
        <f t="shared" si="1"/>
        <v>0.47137821232342403</v>
      </c>
      <c r="P19" s="56">
        <f t="shared" si="1"/>
        <v>0.47137821232342403</v>
      </c>
      <c r="Q19" s="56">
        <f t="shared" si="1"/>
        <v>0.47865549196793344</v>
      </c>
      <c r="R19" s="57"/>
      <c r="S19" s="58"/>
      <c r="T19" s="58"/>
      <c r="U19" s="58"/>
      <c r="V19" s="58"/>
      <c r="W19" s="58"/>
      <c r="X19" s="58"/>
      <c r="Y19" s="58"/>
      <c r="Z19" s="58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x14ac:dyDescent="0.4">
      <c r="A20" s="48"/>
      <c r="B20" s="55"/>
      <c r="C20" s="57"/>
      <c r="D20" s="57"/>
      <c r="E20" s="57"/>
      <c r="F20" s="12"/>
      <c r="G20" s="12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x14ac:dyDescent="0.4">
      <c r="A21" s="48"/>
      <c r="B21" s="55"/>
      <c r="C21" s="57"/>
      <c r="D21" s="57"/>
      <c r="E21" s="57"/>
      <c r="F21" s="12"/>
      <c r="G21" s="1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x14ac:dyDescent="0.4">
      <c r="A22" s="43" t="s">
        <v>25</v>
      </c>
      <c r="B22" s="47" t="s">
        <v>26</v>
      </c>
      <c r="C22" s="57"/>
      <c r="D22" s="57"/>
      <c r="E22" s="59" t="s">
        <v>27</v>
      </c>
      <c r="F22" s="12"/>
      <c r="G22" s="1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38" x14ac:dyDescent="0.4">
      <c r="A23" s="48"/>
      <c r="B23" s="37"/>
      <c r="C23" s="49" t="s">
        <v>28</v>
      </c>
      <c r="D23" s="49"/>
      <c r="E23" s="49" t="s">
        <v>28</v>
      </c>
      <c r="F23" s="49" t="s">
        <v>28</v>
      </c>
      <c r="G23" s="49" t="s">
        <v>28</v>
      </c>
      <c r="H23" s="49" t="s">
        <v>28</v>
      </c>
      <c r="I23" s="49"/>
      <c r="J23" s="49"/>
      <c r="K23" s="46"/>
      <c r="L23" s="49" t="s">
        <v>28</v>
      </c>
      <c r="M23" s="60" t="str">
        <f>M1-2&amp;" Forecasted Billed Sales"</f>
        <v>2019 Forecasted Billed Sales</v>
      </c>
      <c r="N23" s="49" t="s">
        <v>28</v>
      </c>
      <c r="O23" s="49" t="s">
        <v>28</v>
      </c>
      <c r="P23" s="49" t="s">
        <v>28</v>
      </c>
      <c r="Q23" s="49" t="s">
        <v>28</v>
      </c>
      <c r="R23" s="4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x14ac:dyDescent="0.4">
      <c r="A24" s="48"/>
      <c r="B24" s="51" t="s">
        <v>29</v>
      </c>
      <c r="C24" s="52" t="str">
        <f>+C6</f>
        <v>SC1/SC5</v>
      </c>
      <c r="D24" s="52" t="str">
        <f t="shared" ref="D24:H24" si="3">+D6</f>
        <v>SC3</v>
      </c>
      <c r="E24" s="52" t="str">
        <f t="shared" si="3"/>
        <v>SC2 ND</v>
      </c>
      <c r="F24" s="52" t="str">
        <f t="shared" si="3"/>
        <v>SC4</v>
      </c>
      <c r="G24" s="52" t="str">
        <f t="shared" si="3"/>
        <v>SC6</v>
      </c>
      <c r="H24" s="52" t="str">
        <f t="shared" si="3"/>
        <v>SC2 Dem</v>
      </c>
      <c r="I24" s="53"/>
      <c r="J24" s="53"/>
      <c r="K24" s="54"/>
      <c r="L24" s="53" t="str">
        <f t="shared" ref="L24:Q24" si="4">+C6</f>
        <v>SC1/SC5</v>
      </c>
      <c r="M24" s="53" t="str">
        <f t="shared" si="4"/>
        <v>SC3</v>
      </c>
      <c r="N24" s="53" t="str">
        <f t="shared" si="4"/>
        <v>SC2 ND</v>
      </c>
      <c r="O24" s="53" t="str">
        <f t="shared" si="4"/>
        <v>SC4</v>
      </c>
      <c r="P24" s="53" t="str">
        <f t="shared" si="4"/>
        <v>SC6</v>
      </c>
      <c r="Q24" s="53" t="str">
        <f t="shared" si="4"/>
        <v>SC2 Dem</v>
      </c>
      <c r="R24" s="5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x14ac:dyDescent="0.4">
      <c r="A25" s="4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x14ac:dyDescent="0.4">
      <c r="A26" s="48"/>
      <c r="B26" s="55" t="s">
        <v>13</v>
      </c>
      <c r="C26" s="61" t="s">
        <v>30</v>
      </c>
      <c r="D26" s="28">
        <v>0.36141957122784751</v>
      </c>
      <c r="E26" s="61" t="s">
        <v>30</v>
      </c>
      <c r="F26" s="61" t="s">
        <v>30</v>
      </c>
      <c r="G26" s="61" t="s">
        <v>30</v>
      </c>
      <c r="H26" s="61" t="s">
        <v>30</v>
      </c>
      <c r="I26" s="56"/>
      <c r="J26" s="56"/>
      <c r="K26" s="57"/>
      <c r="L26" s="57"/>
      <c r="M26" s="56">
        <f t="shared" ref="M26:M37" si="5">1-D26</f>
        <v>0.63858042877215249</v>
      </c>
      <c r="N26" s="57"/>
      <c r="O26" s="57"/>
      <c r="P26" s="57"/>
      <c r="Q26" s="57"/>
      <c r="R26" s="5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x14ac:dyDescent="0.4">
      <c r="A27" s="48"/>
      <c r="B27" s="55" t="s">
        <v>14</v>
      </c>
      <c r="C27" s="61" t="s">
        <v>30</v>
      </c>
      <c r="D27" s="28">
        <v>0.36468281036834926</v>
      </c>
      <c r="E27" s="61" t="s">
        <v>30</v>
      </c>
      <c r="F27" s="61" t="s">
        <v>30</v>
      </c>
      <c r="G27" s="61" t="s">
        <v>30</v>
      </c>
      <c r="H27" s="61" t="s">
        <v>30</v>
      </c>
      <c r="I27" s="56"/>
      <c r="J27" s="56"/>
      <c r="K27" s="57"/>
      <c r="L27" s="57"/>
      <c r="M27" s="56">
        <f t="shared" si="5"/>
        <v>0.63531718963165074</v>
      </c>
      <c r="N27" s="57"/>
      <c r="O27" s="57"/>
      <c r="P27" s="57"/>
      <c r="Q27" s="57"/>
      <c r="R27" s="5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x14ac:dyDescent="0.4">
      <c r="A28" s="48"/>
      <c r="B28" s="55" t="s">
        <v>15</v>
      </c>
      <c r="C28" s="61" t="s">
        <v>30</v>
      </c>
      <c r="D28" s="28">
        <v>0.35472020504058094</v>
      </c>
      <c r="E28" s="61" t="s">
        <v>30</v>
      </c>
      <c r="F28" s="61" t="s">
        <v>30</v>
      </c>
      <c r="G28" s="61" t="s">
        <v>30</v>
      </c>
      <c r="H28" s="61" t="s">
        <v>30</v>
      </c>
      <c r="I28" s="56"/>
      <c r="J28" s="56"/>
      <c r="K28" s="57"/>
      <c r="L28" s="57"/>
      <c r="M28" s="56">
        <f t="shared" si="5"/>
        <v>0.64527979495941912</v>
      </c>
      <c r="N28" s="57"/>
      <c r="O28" s="57"/>
      <c r="P28" s="57"/>
      <c r="Q28" s="57"/>
      <c r="R28" s="5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x14ac:dyDescent="0.4">
      <c r="A29" s="48"/>
      <c r="B29" s="55" t="s">
        <v>16</v>
      </c>
      <c r="C29" s="61" t="s">
        <v>30</v>
      </c>
      <c r="D29" s="28">
        <v>0.30855172771340433</v>
      </c>
      <c r="E29" s="61" t="s">
        <v>30</v>
      </c>
      <c r="F29" s="61" t="s">
        <v>30</v>
      </c>
      <c r="G29" s="61" t="s">
        <v>30</v>
      </c>
      <c r="H29" s="61" t="s">
        <v>30</v>
      </c>
      <c r="I29" s="56"/>
      <c r="J29" s="56"/>
      <c r="K29" s="57"/>
      <c r="L29" s="57"/>
      <c r="M29" s="56">
        <f t="shared" si="5"/>
        <v>0.69144827228659567</v>
      </c>
      <c r="N29" s="57"/>
      <c r="O29" s="57"/>
      <c r="P29" s="57"/>
      <c r="Q29" s="57"/>
      <c r="R29" s="5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x14ac:dyDescent="0.4">
      <c r="A30" s="48"/>
      <c r="B30" s="55" t="s">
        <v>17</v>
      </c>
      <c r="C30" s="61" t="s">
        <v>30</v>
      </c>
      <c r="D30" s="28">
        <v>0.35807521780919604</v>
      </c>
      <c r="E30" s="61" t="s">
        <v>30</v>
      </c>
      <c r="F30" s="61" t="s">
        <v>30</v>
      </c>
      <c r="G30" s="61" t="s">
        <v>30</v>
      </c>
      <c r="H30" s="61" t="s">
        <v>30</v>
      </c>
      <c r="I30" s="56"/>
      <c r="J30" s="56"/>
      <c r="K30" s="57"/>
      <c r="L30" s="57"/>
      <c r="M30" s="56">
        <f t="shared" si="5"/>
        <v>0.64192478219080396</v>
      </c>
      <c r="N30" s="57"/>
      <c r="O30" s="57"/>
      <c r="P30" s="57"/>
      <c r="Q30" s="57"/>
      <c r="R30" s="5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x14ac:dyDescent="0.4">
      <c r="A31" s="48"/>
      <c r="B31" s="55" t="s">
        <v>18</v>
      </c>
      <c r="C31" s="61" t="s">
        <v>30</v>
      </c>
      <c r="D31" s="28">
        <v>0.35964194094208829</v>
      </c>
      <c r="E31" s="61" t="s">
        <v>30</v>
      </c>
      <c r="F31" s="61" t="s">
        <v>30</v>
      </c>
      <c r="G31" s="61" t="s">
        <v>30</v>
      </c>
      <c r="H31" s="61" t="s">
        <v>30</v>
      </c>
      <c r="I31" s="56"/>
      <c r="J31" s="56"/>
      <c r="K31" s="57"/>
      <c r="L31" s="57"/>
      <c r="M31" s="56">
        <f t="shared" si="5"/>
        <v>0.64035805905791165</v>
      </c>
      <c r="N31" s="57"/>
      <c r="O31" s="57"/>
      <c r="P31" s="57"/>
      <c r="Q31" s="57"/>
      <c r="R31" s="5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x14ac:dyDescent="0.4">
      <c r="A32" s="48"/>
      <c r="B32" s="55" t="s">
        <v>19</v>
      </c>
      <c r="C32" s="61" t="s">
        <v>30</v>
      </c>
      <c r="D32" s="28">
        <v>0.38509532062391683</v>
      </c>
      <c r="E32" s="61" t="s">
        <v>30</v>
      </c>
      <c r="F32" s="61" t="s">
        <v>30</v>
      </c>
      <c r="G32" s="61" t="s">
        <v>30</v>
      </c>
      <c r="H32" s="61" t="s">
        <v>30</v>
      </c>
      <c r="I32" s="56"/>
      <c r="J32" s="56"/>
      <c r="K32" s="57"/>
      <c r="L32" s="57"/>
      <c r="M32" s="56">
        <f t="shared" si="5"/>
        <v>0.61490467937608317</v>
      </c>
      <c r="N32" s="57"/>
      <c r="O32" s="57"/>
      <c r="P32" s="57"/>
      <c r="Q32" s="57"/>
      <c r="R32" s="5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x14ac:dyDescent="0.4">
      <c r="A33" s="48"/>
      <c r="B33" s="55" t="s">
        <v>20</v>
      </c>
      <c r="C33" s="61" t="s">
        <v>30</v>
      </c>
      <c r="D33" s="28">
        <v>0.40689720243430672</v>
      </c>
      <c r="E33" s="61" t="s">
        <v>30</v>
      </c>
      <c r="F33" s="61" t="s">
        <v>30</v>
      </c>
      <c r="G33" s="61" t="s">
        <v>30</v>
      </c>
      <c r="H33" s="61" t="s">
        <v>30</v>
      </c>
      <c r="I33" s="56"/>
      <c r="J33" s="56"/>
      <c r="K33" s="57"/>
      <c r="L33" s="57"/>
      <c r="M33" s="56">
        <f t="shared" si="5"/>
        <v>0.59310279756569328</v>
      </c>
      <c r="N33" s="57"/>
      <c r="O33" s="57"/>
      <c r="P33" s="57"/>
      <c r="Q33" s="57"/>
      <c r="R33" s="5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x14ac:dyDescent="0.4">
      <c r="A34" s="48"/>
      <c r="B34" s="55" t="s">
        <v>21</v>
      </c>
      <c r="C34" s="61" t="s">
        <v>30</v>
      </c>
      <c r="D34" s="28">
        <v>0.2942009093248692</v>
      </c>
      <c r="E34" s="61" t="s">
        <v>30</v>
      </c>
      <c r="F34" s="61" t="s">
        <v>30</v>
      </c>
      <c r="G34" s="61" t="s">
        <v>30</v>
      </c>
      <c r="H34" s="61" t="s">
        <v>30</v>
      </c>
      <c r="I34" s="56"/>
      <c r="J34" s="56"/>
      <c r="K34" s="57"/>
      <c r="L34" s="57"/>
      <c r="M34" s="56">
        <f t="shared" si="5"/>
        <v>0.7057990906751308</v>
      </c>
      <c r="N34" s="57"/>
      <c r="O34" s="57"/>
      <c r="P34" s="57"/>
      <c r="Q34" s="57"/>
      <c r="R34" s="5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x14ac:dyDescent="0.4">
      <c r="A35" s="48"/>
      <c r="B35" s="55" t="s">
        <v>22</v>
      </c>
      <c r="C35" s="61" t="s">
        <v>30</v>
      </c>
      <c r="D35" s="28">
        <v>0.40175934249390011</v>
      </c>
      <c r="E35" s="61" t="s">
        <v>30</v>
      </c>
      <c r="F35" s="61" t="s">
        <v>30</v>
      </c>
      <c r="G35" s="61" t="s">
        <v>30</v>
      </c>
      <c r="H35" s="61" t="s">
        <v>30</v>
      </c>
      <c r="I35" s="56"/>
      <c r="J35" s="56"/>
      <c r="K35" s="57"/>
      <c r="L35" s="57"/>
      <c r="M35" s="56">
        <f t="shared" si="5"/>
        <v>0.59824065750609989</v>
      </c>
      <c r="N35" s="57"/>
      <c r="O35" s="57"/>
      <c r="P35" s="57"/>
      <c r="Q35" s="57"/>
      <c r="R35" s="5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x14ac:dyDescent="0.4">
      <c r="A36" s="48"/>
      <c r="B36" s="55" t="s">
        <v>23</v>
      </c>
      <c r="C36" s="61" t="s">
        <v>30</v>
      </c>
      <c r="D36" s="28">
        <v>0.32607058317193888</v>
      </c>
      <c r="E36" s="61" t="s">
        <v>30</v>
      </c>
      <c r="F36" s="61" t="s">
        <v>30</v>
      </c>
      <c r="G36" s="61" t="s">
        <v>30</v>
      </c>
      <c r="H36" s="61" t="s">
        <v>30</v>
      </c>
      <c r="I36" s="56"/>
      <c r="J36" s="56"/>
      <c r="K36" s="57"/>
      <c r="L36" s="57"/>
      <c r="M36" s="56">
        <f t="shared" si="5"/>
        <v>0.67392941682806118</v>
      </c>
      <c r="N36" s="57"/>
      <c r="O36" s="57"/>
      <c r="P36" s="57"/>
      <c r="Q36" s="57"/>
      <c r="R36" s="5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x14ac:dyDescent="0.4">
      <c r="A37" s="48"/>
      <c r="B37" s="55" t="s">
        <v>24</v>
      </c>
      <c r="C37" s="61" t="s">
        <v>30</v>
      </c>
      <c r="D37" s="28">
        <v>0.35336260688698867</v>
      </c>
      <c r="E37" s="61" t="s">
        <v>30</v>
      </c>
      <c r="F37" s="61" t="s">
        <v>30</v>
      </c>
      <c r="G37" s="61" t="s">
        <v>30</v>
      </c>
      <c r="H37" s="61" t="s">
        <v>30</v>
      </c>
      <c r="I37" s="56"/>
      <c r="J37" s="56"/>
      <c r="K37" s="57"/>
      <c r="L37" s="57"/>
      <c r="M37" s="56">
        <f t="shared" si="5"/>
        <v>0.64663739311301138</v>
      </c>
      <c r="N37" s="57"/>
      <c r="O37" s="57"/>
      <c r="P37" s="57"/>
      <c r="Q37" s="57"/>
      <c r="R37" s="5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x14ac:dyDescent="0.4">
      <c r="A38" s="48"/>
      <c r="B38" s="55"/>
      <c r="C38" s="57"/>
      <c r="D38" s="57"/>
      <c r="E38" s="57"/>
      <c r="F38" s="12"/>
      <c r="G38" s="12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x14ac:dyDescent="0.4">
      <c r="A39" s="48"/>
      <c r="B39" s="55"/>
      <c r="C39" s="57"/>
      <c r="D39" s="57"/>
      <c r="E39" s="57"/>
      <c r="F39" s="12"/>
      <c r="G39" s="12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x14ac:dyDescent="0.4">
      <c r="A40" s="43" t="s">
        <v>31</v>
      </c>
      <c r="B40" s="62" t="s">
        <v>32</v>
      </c>
      <c r="C40" s="37"/>
      <c r="D40" s="37"/>
      <c r="E40" s="37"/>
      <c r="F40" s="37"/>
      <c r="G40" s="37"/>
      <c r="H40" s="37"/>
      <c r="I40" s="37"/>
      <c r="J40" s="37"/>
      <c r="K40" s="37"/>
      <c r="L40" s="63" t="s">
        <v>33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x14ac:dyDescent="0.4">
      <c r="A41" s="48"/>
      <c r="B41" s="64" t="str">
        <f>"Calendar month billed sales forecasted for " &amp;M1</f>
        <v>Calendar month billed sales forecasted for 2021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x14ac:dyDescent="0.4">
      <c r="A42" s="48"/>
      <c r="B42" s="46" t="s">
        <v>34</v>
      </c>
      <c r="C42" s="65" t="str">
        <f>+C6</f>
        <v>SC1/SC5</v>
      </c>
      <c r="D42" s="65" t="str">
        <f t="shared" ref="D42:H42" si="6">+D6</f>
        <v>SC3</v>
      </c>
      <c r="E42" s="65" t="str">
        <f t="shared" si="6"/>
        <v>SC2 ND</v>
      </c>
      <c r="F42" s="65" t="str">
        <f t="shared" si="6"/>
        <v>SC4</v>
      </c>
      <c r="G42" s="65" t="str">
        <f t="shared" si="6"/>
        <v>SC6</v>
      </c>
      <c r="H42" s="65" t="str">
        <f t="shared" si="6"/>
        <v>SC2 Dem</v>
      </c>
      <c r="I42" s="65" t="s">
        <v>35</v>
      </c>
      <c r="J42" s="53"/>
      <c r="K42" s="53"/>
      <c r="L42" s="53" t="str">
        <f t="shared" ref="L42:Q42" si="7">+C6</f>
        <v>SC1/SC5</v>
      </c>
      <c r="M42" s="53" t="str">
        <f t="shared" si="7"/>
        <v>SC3</v>
      </c>
      <c r="N42" s="53" t="str">
        <f t="shared" si="7"/>
        <v>SC2 ND</v>
      </c>
      <c r="O42" s="53" t="str">
        <f t="shared" si="7"/>
        <v>SC4</v>
      </c>
      <c r="P42" s="53" t="str">
        <f t="shared" si="7"/>
        <v>SC6</v>
      </c>
      <c r="Q42" s="53" t="str">
        <f t="shared" si="7"/>
        <v>SC2 Dem</v>
      </c>
      <c r="R42" s="5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x14ac:dyDescent="0.4">
      <c r="A43" s="4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x14ac:dyDescent="0.4">
      <c r="A44" s="48"/>
      <c r="B44" s="55" t="s">
        <v>13</v>
      </c>
      <c r="C44" s="66">
        <v>55279</v>
      </c>
      <c r="D44" s="66">
        <v>46</v>
      </c>
      <c r="E44" s="66">
        <v>2092</v>
      </c>
      <c r="F44" s="66">
        <v>594</v>
      </c>
      <c r="G44" s="66">
        <v>490.5</v>
      </c>
      <c r="H44" s="66">
        <v>30081.333999999999</v>
      </c>
      <c r="I44" s="66">
        <f t="shared" ref="I44:I55" si="8">SUM(C44:H44)</f>
        <v>88582.834000000003</v>
      </c>
      <c r="J44" s="66"/>
      <c r="K44" s="67" t="s">
        <v>36</v>
      </c>
      <c r="L44" s="68">
        <f t="shared" ref="L44:Q44" si="9">SUM(C44:C48,C53:C55)</f>
        <v>366466</v>
      </c>
      <c r="M44" s="66">
        <f t="shared" si="9"/>
        <v>261</v>
      </c>
      <c r="N44" s="66">
        <f t="shared" si="9"/>
        <v>13027</v>
      </c>
      <c r="O44" s="66">
        <f t="shared" si="9"/>
        <v>4102.5</v>
      </c>
      <c r="P44" s="66">
        <f t="shared" si="9"/>
        <v>3568</v>
      </c>
      <c r="Q44" s="66">
        <f t="shared" si="9"/>
        <v>215358.18199999997</v>
      </c>
      <c r="R44" s="6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x14ac:dyDescent="0.4">
      <c r="A45" s="48"/>
      <c r="B45" s="55" t="s">
        <v>14</v>
      </c>
      <c r="C45" s="66">
        <v>48001</v>
      </c>
      <c r="D45" s="66">
        <v>35.5</v>
      </c>
      <c r="E45" s="66">
        <v>2264</v>
      </c>
      <c r="F45" s="66">
        <v>484</v>
      </c>
      <c r="G45" s="66">
        <v>416</v>
      </c>
      <c r="H45" s="66">
        <v>26354.2235</v>
      </c>
      <c r="I45" s="66">
        <f t="shared" si="8"/>
        <v>77554.723499999993</v>
      </c>
      <c r="J45" s="66"/>
      <c r="K45" s="67" t="s">
        <v>37</v>
      </c>
      <c r="L45" s="68"/>
      <c r="M45" s="66">
        <f>SUMPRODUCT(D26:D30,D44:D48)+SUMPRODUCT(D35:D37,D53:D55)</f>
        <v>91.662141908682827</v>
      </c>
      <c r="N45" s="37"/>
      <c r="O45" s="37"/>
      <c r="P45" s="37"/>
      <c r="Q45" s="37"/>
      <c r="R45" s="6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x14ac:dyDescent="0.4">
      <c r="A46" s="48"/>
      <c r="B46" s="55" t="s">
        <v>15</v>
      </c>
      <c r="C46" s="66">
        <v>43497</v>
      </c>
      <c r="D46" s="66">
        <v>59</v>
      </c>
      <c r="E46" s="66">
        <v>2094</v>
      </c>
      <c r="F46" s="66">
        <v>499</v>
      </c>
      <c r="G46" s="66">
        <v>392.5</v>
      </c>
      <c r="H46" s="66">
        <v>24947.349000000002</v>
      </c>
      <c r="I46" s="66">
        <f t="shared" si="8"/>
        <v>71488.849000000002</v>
      </c>
      <c r="J46" s="66"/>
      <c r="K46" s="67" t="s">
        <v>38</v>
      </c>
      <c r="L46" s="68"/>
      <c r="M46" s="66">
        <f>+M44-M45</f>
        <v>169.33785809131717</v>
      </c>
      <c r="N46" s="37"/>
      <c r="O46" s="37"/>
      <c r="P46" s="37"/>
      <c r="Q46" s="37"/>
      <c r="R46" s="6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x14ac:dyDescent="0.4">
      <c r="A47" s="48"/>
      <c r="B47" s="55" t="s">
        <v>16</v>
      </c>
      <c r="C47" s="66">
        <v>39317</v>
      </c>
      <c r="D47" s="66">
        <v>37</v>
      </c>
      <c r="E47" s="66">
        <v>1475</v>
      </c>
      <c r="F47" s="66">
        <v>425</v>
      </c>
      <c r="G47" s="66">
        <v>381.5</v>
      </c>
      <c r="H47" s="66">
        <v>26776.409</v>
      </c>
      <c r="I47" s="66">
        <f t="shared" si="8"/>
        <v>68411.909</v>
      </c>
      <c r="J47" s="6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x14ac:dyDescent="0.4">
      <c r="A48" s="48"/>
      <c r="B48" s="55" t="s">
        <v>17</v>
      </c>
      <c r="C48" s="66">
        <v>39173.5</v>
      </c>
      <c r="D48" s="66">
        <v>33.5</v>
      </c>
      <c r="E48" s="66">
        <v>1083</v>
      </c>
      <c r="F48" s="66">
        <v>387</v>
      </c>
      <c r="G48" s="66">
        <v>385</v>
      </c>
      <c r="H48" s="66">
        <v>25809.445500000002</v>
      </c>
      <c r="I48" s="66">
        <f t="shared" si="8"/>
        <v>66871.445500000002</v>
      </c>
      <c r="J48" s="66"/>
      <c r="K48" s="67" t="s">
        <v>39</v>
      </c>
      <c r="L48" s="68">
        <f>SUM(C49:C52)</f>
        <v>285359.5</v>
      </c>
      <c r="M48" s="66">
        <f>+SUM(D49:D52)</f>
        <v>83</v>
      </c>
      <c r="N48" s="66">
        <f>+SUM(E49:E52)</f>
        <v>5048</v>
      </c>
      <c r="O48" s="66">
        <f>+SUM(F49:F52)</f>
        <v>1589</v>
      </c>
      <c r="P48" s="66">
        <f>+SUM(G49:G52)</f>
        <v>1482</v>
      </c>
      <c r="Q48" s="66">
        <f>+SUM(H49:H52)</f>
        <v>121320.14950000001</v>
      </c>
      <c r="R48" s="6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x14ac:dyDescent="0.4">
      <c r="A49" s="48"/>
      <c r="B49" s="55" t="s">
        <v>18</v>
      </c>
      <c r="C49" s="66">
        <v>57160</v>
      </c>
      <c r="D49" s="66">
        <v>19.5</v>
      </c>
      <c r="E49" s="66">
        <v>1117</v>
      </c>
      <c r="F49" s="66">
        <v>352</v>
      </c>
      <c r="G49" s="66">
        <v>346.5</v>
      </c>
      <c r="H49" s="66">
        <v>28087.733500000002</v>
      </c>
      <c r="I49" s="66">
        <f t="shared" si="8"/>
        <v>87082.733500000002</v>
      </c>
      <c r="J49" s="66"/>
      <c r="K49" s="67" t="s">
        <v>37</v>
      </c>
      <c r="L49" s="68"/>
      <c r="M49" s="66">
        <f>+SUMPRODUCT(D31:D34,D49:D52)</f>
        <v>29.875758798988837</v>
      </c>
      <c r="N49" s="37"/>
      <c r="O49" s="37"/>
      <c r="P49" s="37"/>
      <c r="Q49" s="37"/>
      <c r="R49" s="6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x14ac:dyDescent="0.4">
      <c r="A50" s="48"/>
      <c r="B50" s="55" t="s">
        <v>19</v>
      </c>
      <c r="C50" s="66">
        <v>78550</v>
      </c>
      <c r="D50" s="66">
        <v>30.5</v>
      </c>
      <c r="E50" s="66">
        <v>1412</v>
      </c>
      <c r="F50" s="66">
        <v>368</v>
      </c>
      <c r="G50" s="66">
        <v>360</v>
      </c>
      <c r="H50" s="66">
        <v>30735.827499999999</v>
      </c>
      <c r="I50" s="66">
        <f t="shared" si="8"/>
        <v>111456.3275</v>
      </c>
      <c r="J50" s="66"/>
      <c r="K50" s="67" t="s">
        <v>38</v>
      </c>
      <c r="L50" s="68"/>
      <c r="M50" s="66">
        <f>+M48-M49</f>
        <v>53.124241201011159</v>
      </c>
      <c r="N50" s="37"/>
      <c r="O50" s="37"/>
      <c r="P50" s="37"/>
      <c r="Q50" s="37"/>
      <c r="R50" s="6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x14ac:dyDescent="0.4">
      <c r="A51" s="48"/>
      <c r="B51" s="55" t="s">
        <v>20</v>
      </c>
      <c r="C51" s="66">
        <v>81532</v>
      </c>
      <c r="D51" s="66">
        <v>12.5</v>
      </c>
      <c r="E51" s="66">
        <v>1268</v>
      </c>
      <c r="F51" s="66">
        <v>417</v>
      </c>
      <c r="G51" s="66">
        <v>358.5</v>
      </c>
      <c r="H51" s="66">
        <v>33490.576500000003</v>
      </c>
      <c r="I51" s="66">
        <f t="shared" si="8"/>
        <v>117078.5765</v>
      </c>
      <c r="J51" s="66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x14ac:dyDescent="0.4">
      <c r="A52" s="48"/>
      <c r="B52" s="55" t="s">
        <v>21</v>
      </c>
      <c r="C52" s="66">
        <v>68117.5</v>
      </c>
      <c r="D52" s="66">
        <v>20.5</v>
      </c>
      <c r="E52" s="66">
        <v>1251</v>
      </c>
      <c r="F52" s="66">
        <v>452</v>
      </c>
      <c r="G52" s="66">
        <v>417</v>
      </c>
      <c r="H52" s="66">
        <v>29006.011999999999</v>
      </c>
      <c r="I52" s="66">
        <f t="shared" si="8"/>
        <v>99264.012000000002</v>
      </c>
      <c r="J52" s="66"/>
      <c r="K52" s="67" t="s">
        <v>40</v>
      </c>
      <c r="L52" s="68">
        <f>ROUND(L48*E156,0)</f>
        <v>125416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x14ac:dyDescent="0.4">
      <c r="A53" s="48"/>
      <c r="B53" s="55" t="s">
        <v>22</v>
      </c>
      <c r="C53" s="66">
        <v>49853.5</v>
      </c>
      <c r="D53" s="66">
        <v>11</v>
      </c>
      <c r="E53" s="66">
        <v>1182</v>
      </c>
      <c r="F53" s="66">
        <v>532</v>
      </c>
      <c r="G53" s="66">
        <v>463</v>
      </c>
      <c r="H53" s="66">
        <v>27746.897499999999</v>
      </c>
      <c r="I53" s="66">
        <f t="shared" si="8"/>
        <v>79788.397499999992</v>
      </c>
      <c r="J53" s="66"/>
      <c r="K53" s="69" t="s">
        <v>41</v>
      </c>
      <c r="L53" s="68">
        <f>L48-L52</f>
        <v>159943.5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x14ac:dyDescent="0.4">
      <c r="A54" s="48"/>
      <c r="B54" s="55" t="s">
        <v>23</v>
      </c>
      <c r="C54" s="66">
        <v>41400</v>
      </c>
      <c r="D54" s="66">
        <v>16.5</v>
      </c>
      <c r="E54" s="66">
        <v>1239</v>
      </c>
      <c r="F54" s="66">
        <v>568.5</v>
      </c>
      <c r="G54" s="66">
        <v>519</v>
      </c>
      <c r="H54" s="66">
        <v>25465.6335</v>
      </c>
      <c r="I54" s="66">
        <f t="shared" si="8"/>
        <v>69208.633499999996</v>
      </c>
      <c r="J54" s="66"/>
      <c r="K54" s="69" t="s">
        <v>42</v>
      </c>
      <c r="L54" s="68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x14ac:dyDescent="0.4">
      <c r="A55" s="48"/>
      <c r="B55" s="55" t="s">
        <v>24</v>
      </c>
      <c r="C55" s="70">
        <v>49945</v>
      </c>
      <c r="D55" s="70">
        <v>22.5</v>
      </c>
      <c r="E55" s="70">
        <v>1598</v>
      </c>
      <c r="F55" s="70">
        <v>613</v>
      </c>
      <c r="G55" s="70">
        <v>520.5</v>
      </c>
      <c r="H55" s="70">
        <v>28176.89</v>
      </c>
      <c r="I55" s="70">
        <f t="shared" si="8"/>
        <v>80875.89</v>
      </c>
      <c r="J55" s="66"/>
      <c r="K55" s="37"/>
      <c r="L55" s="37"/>
      <c r="M55" s="68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x14ac:dyDescent="0.4">
      <c r="A56" s="48"/>
      <c r="B56" s="71" t="s">
        <v>35</v>
      </c>
      <c r="C56" s="66">
        <f>SUM(C44:C55)</f>
        <v>651825.5</v>
      </c>
      <c r="D56" s="66">
        <f t="shared" ref="D56:H56" si="10">SUM(D44:D55)</f>
        <v>344</v>
      </c>
      <c r="E56" s="66">
        <f t="shared" si="10"/>
        <v>18075</v>
      </c>
      <c r="F56" s="66">
        <f>SUM(F44:F55)</f>
        <v>5691.5</v>
      </c>
      <c r="G56" s="66">
        <f>SUM(G44:G55)</f>
        <v>5050</v>
      </c>
      <c r="H56" s="66">
        <f t="shared" si="10"/>
        <v>336678.33149999997</v>
      </c>
      <c r="I56" s="66">
        <f>SUM(I44:I55)</f>
        <v>1017664.3314999999</v>
      </c>
      <c r="J56" s="66"/>
      <c r="K56" s="37"/>
      <c r="L56" s="37"/>
      <c r="M56" s="68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x14ac:dyDescent="0.4">
      <c r="A57" s="48"/>
      <c r="B57" s="5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68"/>
      <c r="O57" s="63" t="s">
        <v>43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x14ac:dyDescent="0.4">
      <c r="A58" s="48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72"/>
      <c r="P58" s="73"/>
      <c r="Q58" s="73"/>
      <c r="R58" s="73"/>
      <c r="S58" s="73"/>
      <c r="T58" s="73"/>
      <c r="U58" s="73"/>
      <c r="V58" s="73"/>
      <c r="W58" s="74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x14ac:dyDescent="0.4">
      <c r="A59" s="43" t="s">
        <v>44</v>
      </c>
      <c r="B59" s="63" t="s">
        <v>45</v>
      </c>
      <c r="C59" s="37"/>
      <c r="D59" s="37"/>
      <c r="E59" s="37"/>
      <c r="F59" s="37"/>
      <c r="G59" s="75"/>
      <c r="H59" s="63"/>
      <c r="I59" s="37"/>
      <c r="J59" s="37"/>
      <c r="K59" s="37"/>
      <c r="L59" s="37"/>
      <c r="M59" s="37"/>
      <c r="N59" s="68"/>
      <c r="O59" s="76"/>
      <c r="P59" s="37" t="s">
        <v>46</v>
      </c>
      <c r="Q59" s="37"/>
      <c r="R59" s="37"/>
      <c r="S59" s="37"/>
      <c r="T59" s="37"/>
      <c r="U59" s="37"/>
      <c r="V59" s="37"/>
      <c r="W59" s="7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x14ac:dyDescent="0.4">
      <c r="A60" s="48"/>
      <c r="B60" s="42" t="s">
        <v>47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68"/>
      <c r="O60" s="78"/>
      <c r="P60" s="53"/>
      <c r="Q60" s="53"/>
      <c r="R60" s="53"/>
      <c r="S60" s="52" t="str">
        <f>D6</f>
        <v>SC3</v>
      </c>
      <c r="T60" s="52"/>
      <c r="U60" s="52"/>
      <c r="V60" s="37"/>
      <c r="W60" s="79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x14ac:dyDescent="0.4">
      <c r="A61" s="48"/>
      <c r="B61" s="37"/>
      <c r="C61" s="65" t="s">
        <v>48</v>
      </c>
      <c r="D61" s="65" t="s">
        <v>49</v>
      </c>
      <c r="E61" s="37"/>
      <c r="F61" s="37"/>
      <c r="G61" s="53"/>
      <c r="H61" s="53"/>
      <c r="I61" s="53"/>
      <c r="J61" s="37"/>
      <c r="K61" s="37"/>
      <c r="L61" s="37"/>
      <c r="M61" s="37"/>
      <c r="N61" s="68"/>
      <c r="O61" s="80"/>
      <c r="P61" s="37"/>
      <c r="Q61" s="37"/>
      <c r="R61" s="37"/>
      <c r="S61" s="37"/>
      <c r="T61" s="37"/>
      <c r="U61" s="37"/>
      <c r="V61" s="37"/>
      <c r="W61" s="7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x14ac:dyDescent="0.4">
      <c r="A62" s="48"/>
      <c r="B62" s="55" t="s">
        <v>13</v>
      </c>
      <c r="C62" s="81">
        <f t="shared" ref="C62:D73" si="11">G428</f>
        <v>44.03</v>
      </c>
      <c r="D62" s="81">
        <f t="shared" si="11"/>
        <v>35.18</v>
      </c>
      <c r="E62" s="37"/>
      <c r="F62" s="37"/>
      <c r="G62" s="37"/>
      <c r="H62" s="53"/>
      <c r="I62" s="53"/>
      <c r="J62" s="37"/>
      <c r="K62" s="37"/>
      <c r="L62" s="37"/>
      <c r="M62" s="37"/>
      <c r="N62" s="37"/>
      <c r="O62" s="78"/>
      <c r="P62" s="66"/>
      <c r="Q62" s="67" t="s">
        <v>36</v>
      </c>
      <c r="R62" s="66"/>
      <c r="S62" s="82">
        <f>SUM(D44:D48,D53:D55)</f>
        <v>261</v>
      </c>
      <c r="T62" s="66"/>
      <c r="U62" s="82"/>
      <c r="V62" s="66"/>
      <c r="W62" s="7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x14ac:dyDescent="0.4">
      <c r="A63" s="48"/>
      <c r="B63" s="55" t="s">
        <v>14</v>
      </c>
      <c r="C63" s="81">
        <f t="shared" si="11"/>
        <v>41.63</v>
      </c>
      <c r="D63" s="81">
        <f t="shared" si="11"/>
        <v>33.22</v>
      </c>
      <c r="E63" s="37"/>
      <c r="F63" s="37"/>
      <c r="G63" s="37"/>
      <c r="H63" s="53"/>
      <c r="I63" s="53"/>
      <c r="J63" s="37"/>
      <c r="K63" s="37"/>
      <c r="L63" s="37"/>
      <c r="M63" s="37"/>
      <c r="N63" s="37"/>
      <c r="O63" s="78"/>
      <c r="P63" s="66"/>
      <c r="Q63" s="67" t="s">
        <v>37</v>
      </c>
      <c r="R63" s="37"/>
      <c r="S63" s="82">
        <f>SUMPRODUCT(D26:D30,D44:D48)+SUMPRODUCT(D35:D37,D53:D55)</f>
        <v>91.662141908682827</v>
      </c>
      <c r="T63" s="37">
        <f>S63/S62</f>
        <v>0.35119594601027904</v>
      </c>
      <c r="U63" s="82"/>
      <c r="V63" s="37"/>
      <c r="W63" s="7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x14ac:dyDescent="0.4">
      <c r="A64" s="48"/>
      <c r="B64" s="55" t="s">
        <v>15</v>
      </c>
      <c r="C64" s="81">
        <f t="shared" si="11"/>
        <v>33.18</v>
      </c>
      <c r="D64" s="81">
        <f t="shared" si="11"/>
        <v>26.28</v>
      </c>
      <c r="E64" s="37"/>
      <c r="F64" s="37"/>
      <c r="G64" s="37"/>
      <c r="H64" s="53"/>
      <c r="I64" s="53"/>
      <c r="J64" s="37"/>
      <c r="K64" s="37"/>
      <c r="L64" s="37"/>
      <c r="M64" s="53"/>
      <c r="N64" s="53"/>
      <c r="O64" s="78"/>
      <c r="P64" s="66"/>
      <c r="Q64" s="67" t="s">
        <v>38</v>
      </c>
      <c r="R64" s="37"/>
      <c r="S64" s="82">
        <f>SUMPRODUCT(M26:M30,D44:D48)+SUMPRODUCT(M35:M37,D53:D55)</f>
        <v>169.33785809131717</v>
      </c>
      <c r="T64" s="37"/>
      <c r="U64" s="82"/>
      <c r="V64" s="37"/>
      <c r="W64" s="7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x14ac:dyDescent="0.4">
      <c r="A65" s="48"/>
      <c r="B65" s="55" t="s">
        <v>16</v>
      </c>
      <c r="C65" s="81">
        <f t="shared" si="11"/>
        <v>28.67</v>
      </c>
      <c r="D65" s="81">
        <f t="shared" si="11"/>
        <v>22.87</v>
      </c>
      <c r="E65" s="37"/>
      <c r="F65" s="37"/>
      <c r="G65" s="37"/>
      <c r="H65" s="53"/>
      <c r="I65" s="53"/>
      <c r="J65" s="37"/>
      <c r="K65" s="37"/>
      <c r="L65" s="37"/>
      <c r="M65" s="37"/>
      <c r="N65" s="37"/>
      <c r="O65" s="80"/>
      <c r="P65" s="37"/>
      <c r="Q65" s="37"/>
      <c r="R65" s="37"/>
      <c r="S65" s="37"/>
      <c r="T65" s="37"/>
      <c r="U65" s="37"/>
      <c r="V65" s="37"/>
      <c r="W65" s="7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7" x14ac:dyDescent="0.4">
      <c r="A66" s="48"/>
      <c r="B66" s="55" t="s">
        <v>17</v>
      </c>
      <c r="C66" s="81">
        <f t="shared" si="11"/>
        <v>28.95</v>
      </c>
      <c r="D66" s="81">
        <f t="shared" si="11"/>
        <v>22.98</v>
      </c>
      <c r="E66" s="37"/>
      <c r="F66" s="37"/>
      <c r="G66" s="37"/>
      <c r="H66" s="53"/>
      <c r="I66" s="53"/>
      <c r="J66" s="37"/>
      <c r="K66" s="37"/>
      <c r="L66" s="37"/>
      <c r="M66" s="37"/>
      <c r="N66" s="68"/>
      <c r="O66" s="78"/>
      <c r="P66" s="66"/>
      <c r="Q66" s="67" t="s">
        <v>39</v>
      </c>
      <c r="R66" s="66"/>
      <c r="S66" s="82">
        <f>+SUM(D49:D52)</f>
        <v>83</v>
      </c>
      <c r="T66" s="66"/>
      <c r="U66" s="82"/>
      <c r="V66" s="66"/>
      <c r="W66" s="7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x14ac:dyDescent="0.4">
      <c r="A67" s="48"/>
      <c r="B67" s="55" t="s">
        <v>18</v>
      </c>
      <c r="C67" s="81">
        <f t="shared" si="11"/>
        <v>28.18</v>
      </c>
      <c r="D67" s="81">
        <f t="shared" si="11"/>
        <v>18.829999999999998</v>
      </c>
      <c r="E67" s="37"/>
      <c r="F67" s="37"/>
      <c r="G67" s="37"/>
      <c r="H67" s="53"/>
      <c r="I67" s="53"/>
      <c r="J67" s="37"/>
      <c r="K67" s="37"/>
      <c r="L67" s="37"/>
      <c r="M67" s="37"/>
      <c r="N67" s="68"/>
      <c r="O67" s="78"/>
      <c r="P67" s="66"/>
      <c r="Q67" s="67" t="s">
        <v>37</v>
      </c>
      <c r="R67" s="37"/>
      <c r="S67" s="82">
        <f>+SUMPRODUCT(D31:D34,D49:D52)</f>
        <v>29.875758798988837</v>
      </c>
      <c r="T67" s="83">
        <f>S67/S66</f>
        <v>0.35994890119263662</v>
      </c>
      <c r="U67" s="82"/>
      <c r="V67" s="83"/>
      <c r="W67" s="7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x14ac:dyDescent="0.4">
      <c r="A68" s="48"/>
      <c r="B68" s="55" t="s">
        <v>19</v>
      </c>
      <c r="C68" s="81">
        <f t="shared" si="11"/>
        <v>34.08</v>
      </c>
      <c r="D68" s="81">
        <f t="shared" si="11"/>
        <v>22.5</v>
      </c>
      <c r="E68" s="37"/>
      <c r="F68" s="37"/>
      <c r="G68" s="37"/>
      <c r="H68" s="53"/>
      <c r="I68" s="53"/>
      <c r="J68" s="37"/>
      <c r="K68" s="37"/>
      <c r="L68" s="37"/>
      <c r="M68" s="37"/>
      <c r="N68" s="68"/>
      <c r="O68" s="78"/>
      <c r="P68" s="66"/>
      <c r="Q68" s="67" t="s">
        <v>38</v>
      </c>
      <c r="R68" s="37"/>
      <c r="S68" s="82">
        <f>SUMPRODUCT(M31:M34,D49:D52)</f>
        <v>53.124241201011159</v>
      </c>
      <c r="T68" s="37"/>
      <c r="U68" s="82"/>
      <c r="V68" s="37"/>
      <c r="W68" s="7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x14ac:dyDescent="0.4">
      <c r="A69" s="48"/>
      <c r="B69" s="55" t="s">
        <v>20</v>
      </c>
      <c r="C69" s="81">
        <f t="shared" si="11"/>
        <v>31.29</v>
      </c>
      <c r="D69" s="81">
        <f t="shared" si="11"/>
        <v>20.7</v>
      </c>
      <c r="E69" s="37"/>
      <c r="F69" s="37"/>
      <c r="G69" s="37"/>
      <c r="H69" s="53"/>
      <c r="I69" s="53"/>
      <c r="J69" s="37"/>
      <c r="K69" s="37"/>
      <c r="L69" s="37"/>
      <c r="M69" s="37"/>
      <c r="N69" s="37"/>
      <c r="O69" s="78"/>
      <c r="P69" s="37"/>
      <c r="Q69" s="37"/>
      <c r="R69" s="37"/>
      <c r="S69" s="37"/>
      <c r="T69" s="37"/>
      <c r="U69" s="37"/>
      <c r="V69" s="37"/>
      <c r="W69" s="7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x14ac:dyDescent="0.4">
      <c r="A70" s="48"/>
      <c r="B70" s="55" t="s">
        <v>21</v>
      </c>
      <c r="C70" s="81">
        <f t="shared" si="11"/>
        <v>29.37</v>
      </c>
      <c r="D70" s="81">
        <f t="shared" si="11"/>
        <v>19.510000000000002</v>
      </c>
      <c r="E70" s="37"/>
      <c r="F70" s="37"/>
      <c r="G70" s="37"/>
      <c r="H70" s="53"/>
      <c r="I70" s="53"/>
      <c r="J70" s="37"/>
      <c r="K70" s="37"/>
      <c r="L70" s="37"/>
      <c r="M70" s="37"/>
      <c r="N70" s="68"/>
      <c r="O70" s="76"/>
      <c r="P70" s="37" t="s">
        <v>50</v>
      </c>
      <c r="Q70" s="37"/>
      <c r="R70" s="37"/>
      <c r="S70" s="37"/>
      <c r="T70" s="37"/>
      <c r="U70" s="37"/>
      <c r="V70" s="37"/>
      <c r="W70" s="7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x14ac:dyDescent="0.4">
      <c r="A71" s="48"/>
      <c r="B71" s="55" t="s">
        <v>22</v>
      </c>
      <c r="C71" s="81">
        <f t="shared" si="11"/>
        <v>28.69</v>
      </c>
      <c r="D71" s="81">
        <f t="shared" si="11"/>
        <v>22.95</v>
      </c>
      <c r="E71" s="37"/>
      <c r="F71" s="37"/>
      <c r="G71" s="37"/>
      <c r="H71" s="53"/>
      <c r="I71" s="53"/>
      <c r="J71" s="37"/>
      <c r="K71" s="37"/>
      <c r="L71" s="37"/>
      <c r="M71" s="37"/>
      <c r="N71" s="68"/>
      <c r="O71" s="78"/>
      <c r="P71" s="53"/>
      <c r="Q71" s="53"/>
      <c r="R71" s="53"/>
      <c r="S71" s="53" t="str">
        <f>S60</f>
        <v>SC3</v>
      </c>
      <c r="T71" s="53"/>
      <c r="U71" s="53"/>
      <c r="V71" s="53"/>
      <c r="W71" s="7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x14ac:dyDescent="0.4">
      <c r="A72" s="48"/>
      <c r="B72" s="55" t="s">
        <v>23</v>
      </c>
      <c r="C72" s="81">
        <f t="shared" si="11"/>
        <v>29.46</v>
      </c>
      <c r="D72" s="81">
        <f t="shared" si="11"/>
        <v>23.2</v>
      </c>
      <c r="E72" s="37"/>
      <c r="F72" s="37"/>
      <c r="G72" s="37"/>
      <c r="H72" s="53"/>
      <c r="I72" s="53"/>
      <c r="J72" s="37"/>
      <c r="K72" s="37"/>
      <c r="L72" s="37"/>
      <c r="M72" s="37"/>
      <c r="N72" s="68"/>
      <c r="O72" s="80"/>
      <c r="P72" s="37"/>
      <c r="Q72" s="37"/>
      <c r="R72" s="37"/>
      <c r="S72" s="37"/>
      <c r="T72" s="37"/>
      <c r="U72" s="37"/>
      <c r="V72" s="37"/>
      <c r="W72" s="7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x14ac:dyDescent="0.4">
      <c r="A73" s="48"/>
      <c r="B73" s="55" t="s">
        <v>24</v>
      </c>
      <c r="C73" s="81">
        <f t="shared" si="11"/>
        <v>32.369999999999997</v>
      </c>
      <c r="D73" s="81">
        <f t="shared" si="11"/>
        <v>25.72</v>
      </c>
      <c r="E73" s="37"/>
      <c r="F73" s="37"/>
      <c r="G73" s="37"/>
      <c r="H73" s="53"/>
      <c r="I73" s="53"/>
      <c r="J73" s="37"/>
      <c r="K73" s="37"/>
      <c r="L73" s="37"/>
      <c r="M73" s="37"/>
      <c r="N73" s="37"/>
      <c r="O73" s="78"/>
      <c r="P73" s="66"/>
      <c r="Q73" s="67" t="s">
        <v>36</v>
      </c>
      <c r="R73" s="66"/>
      <c r="S73" s="82">
        <f>SUM(D44:D48,D53:D55)</f>
        <v>261</v>
      </c>
      <c r="T73" s="66"/>
      <c r="U73" s="82"/>
      <c r="V73" s="66"/>
      <c r="W73" s="7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x14ac:dyDescent="0.4">
      <c r="A74" s="48"/>
      <c r="B74" s="55"/>
      <c r="C74" s="81"/>
      <c r="D74" s="81"/>
      <c r="E74" s="37"/>
      <c r="F74" s="37"/>
      <c r="G74" s="12"/>
      <c r="H74" s="37"/>
      <c r="I74" s="37"/>
      <c r="J74" s="37"/>
      <c r="K74" s="37"/>
      <c r="L74" s="37"/>
      <c r="M74" s="53"/>
      <c r="N74" s="53"/>
      <c r="O74" s="78"/>
      <c r="P74" s="66"/>
      <c r="Q74" s="67" t="s">
        <v>37</v>
      </c>
      <c r="R74" s="37"/>
      <c r="S74" s="82">
        <f>SUMPRODUCT(D8:D12,D44:D48)+SUMPRODUCT(D17:D19,D53:D55)</f>
        <v>127.70359117494647</v>
      </c>
      <c r="T74" s="37">
        <f>S74/S73</f>
        <v>0.48928578994232363</v>
      </c>
      <c r="U74" s="82"/>
      <c r="V74" s="37"/>
      <c r="W74" s="7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</row>
    <row r="75" spans="1:37" x14ac:dyDescent="0.4">
      <c r="A75" s="48"/>
      <c r="B75" s="55"/>
      <c r="C75" s="81"/>
      <c r="D75" s="81"/>
      <c r="E75" s="37"/>
      <c r="F75" s="37"/>
      <c r="G75" s="37"/>
      <c r="H75" s="37"/>
      <c r="I75" s="12"/>
      <c r="J75" s="37"/>
      <c r="K75" s="37"/>
      <c r="L75" s="37"/>
      <c r="M75" s="37"/>
      <c r="N75" s="37"/>
      <c r="O75" s="78"/>
      <c r="P75" s="66"/>
      <c r="Q75" s="67" t="s">
        <v>38</v>
      </c>
      <c r="R75" s="37"/>
      <c r="S75" s="82">
        <f>SUMPRODUCT(M8:M12,D44:D48)+SUMPRODUCT(M17:M19,D53:D55)</f>
        <v>133.29640882505353</v>
      </c>
      <c r="T75" s="37"/>
      <c r="U75" s="82"/>
      <c r="V75" s="37"/>
      <c r="W75" s="7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1:37" x14ac:dyDescent="0.4">
      <c r="A76" s="84" t="s">
        <v>51</v>
      </c>
      <c r="B76" s="62" t="s">
        <v>52</v>
      </c>
      <c r="C76" s="65" t="str">
        <f t="shared" ref="C76:H76" si="12">+C6</f>
        <v>SC1/SC5</v>
      </c>
      <c r="D76" s="65" t="str">
        <f t="shared" si="12"/>
        <v>SC3</v>
      </c>
      <c r="E76" s="65" t="str">
        <f t="shared" si="12"/>
        <v>SC2 ND</v>
      </c>
      <c r="F76" s="65" t="str">
        <f t="shared" si="12"/>
        <v>SC4</v>
      </c>
      <c r="G76" s="65" t="str">
        <f t="shared" si="12"/>
        <v>SC6</v>
      </c>
      <c r="H76" s="65" t="str">
        <f t="shared" si="12"/>
        <v>SC2 Dem</v>
      </c>
      <c r="I76" s="37"/>
      <c r="J76" s="53"/>
      <c r="K76" s="37"/>
      <c r="L76" s="37"/>
      <c r="M76" s="37"/>
      <c r="N76" s="68"/>
      <c r="O76" s="80"/>
      <c r="P76" s="37"/>
      <c r="Q76" s="37"/>
      <c r="R76" s="37"/>
      <c r="S76" s="37"/>
      <c r="T76" s="37"/>
      <c r="U76" s="37"/>
      <c r="V76" s="37"/>
      <c r="W76" s="7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x14ac:dyDescent="0.4">
      <c r="A77" s="48"/>
      <c r="B77" s="37"/>
      <c r="C77" s="85"/>
      <c r="D77" s="85"/>
      <c r="E77" s="85"/>
      <c r="F77" s="37"/>
      <c r="G77" s="37"/>
      <c r="H77" s="37"/>
      <c r="I77" s="37"/>
      <c r="J77" s="37"/>
      <c r="K77" s="37"/>
      <c r="L77" s="37"/>
      <c r="M77" s="37"/>
      <c r="N77" s="68"/>
      <c r="O77" s="78"/>
      <c r="P77" s="53"/>
      <c r="Q77" s="67" t="s">
        <v>39</v>
      </c>
      <c r="R77" s="53"/>
      <c r="S77" s="82">
        <f>+SUM(D49:D52)</f>
        <v>83</v>
      </c>
      <c r="T77" s="53"/>
      <c r="U77" s="82"/>
      <c r="V77" s="53"/>
      <c r="W77" s="7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x14ac:dyDescent="0.4">
      <c r="A78" s="48"/>
      <c r="B78" s="37" t="s">
        <v>53</v>
      </c>
      <c r="C78" s="83">
        <v>1.0861261013242314</v>
      </c>
      <c r="D78" s="83">
        <v>1.0861261013242314</v>
      </c>
      <c r="E78" s="83">
        <v>1.0861261013242314</v>
      </c>
      <c r="F78" s="83">
        <v>1.082344318201282</v>
      </c>
      <c r="G78" s="83">
        <v>1.082344318201282</v>
      </c>
      <c r="H78" s="83">
        <v>1.0861261013242314</v>
      </c>
      <c r="I78" s="83"/>
      <c r="J78" s="86"/>
      <c r="K78" s="37"/>
      <c r="L78" s="37"/>
      <c r="M78" s="37"/>
      <c r="N78" s="68"/>
      <c r="O78" s="78"/>
      <c r="P78" s="66"/>
      <c r="Q78" s="67" t="s">
        <v>37</v>
      </c>
      <c r="R78" s="37"/>
      <c r="S78" s="82">
        <f>+SUMPRODUCT(D13:D16,D49:D52)</f>
        <v>42.319307255357749</v>
      </c>
      <c r="T78" s="37">
        <f>S78/S77</f>
        <v>0.50987117175129815</v>
      </c>
      <c r="U78" s="82"/>
      <c r="V78" s="37"/>
      <c r="W78" s="7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1:37" x14ac:dyDescent="0.4">
      <c r="A79" s="48"/>
      <c r="B79" s="37"/>
      <c r="C79" s="37"/>
      <c r="D79" s="37"/>
      <c r="E79" s="37"/>
      <c r="F79" s="37"/>
      <c r="G79" s="37"/>
      <c r="H79" s="37"/>
      <c r="I79" s="83"/>
      <c r="J79" s="83"/>
      <c r="K79" s="37"/>
      <c r="L79" s="37"/>
      <c r="M79" s="37"/>
      <c r="N79" s="37"/>
      <c r="O79" s="78"/>
      <c r="P79" s="66"/>
      <c r="Q79" s="67" t="s">
        <v>38</v>
      </c>
      <c r="R79" s="37"/>
      <c r="S79" s="82">
        <f>SUMPRODUCT(M13:M16,D49:D52)</f>
        <v>40.680692744642251</v>
      </c>
      <c r="T79" s="37"/>
      <c r="U79" s="82"/>
      <c r="V79" s="37"/>
      <c r="W79" s="7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1:37" x14ac:dyDescent="0.4">
      <c r="A80" s="48"/>
      <c r="B80" s="37" t="s">
        <v>54</v>
      </c>
      <c r="C80" s="83"/>
      <c r="D80" s="37"/>
      <c r="E80" s="37"/>
      <c r="F80" s="37"/>
      <c r="G80" s="37"/>
      <c r="H80" s="37"/>
      <c r="I80" s="83"/>
      <c r="J80" s="83"/>
      <c r="K80" s="37"/>
      <c r="L80" s="37"/>
      <c r="M80" s="37"/>
      <c r="N80" s="37"/>
      <c r="O80" s="78"/>
      <c r="P80" s="66"/>
      <c r="Q80" s="67"/>
      <c r="R80" s="37"/>
      <c r="S80" s="82"/>
      <c r="T80" s="37"/>
      <c r="U80" s="82"/>
      <c r="V80" s="37"/>
      <c r="W80" s="7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7" x14ac:dyDescent="0.4">
      <c r="A81" s="48"/>
      <c r="B81" s="37" t="s">
        <v>55</v>
      </c>
      <c r="C81" s="83">
        <v>1.0759868023743153</v>
      </c>
      <c r="D81" s="83">
        <v>1.0759868023743153</v>
      </c>
      <c r="E81" s="83">
        <v>1.0736499339056849</v>
      </c>
      <c r="F81" s="83">
        <v>1.0722403232824547</v>
      </c>
      <c r="G81" s="83">
        <v>1.0660419148399998</v>
      </c>
      <c r="H81" s="83">
        <v>1.0759868023743153</v>
      </c>
      <c r="I81" s="83"/>
      <c r="J81" s="83"/>
      <c r="K81" s="37"/>
      <c r="L81" s="37"/>
      <c r="M81" s="37"/>
      <c r="N81" s="37"/>
      <c r="O81" s="78"/>
      <c r="P81" s="66"/>
      <c r="Q81" s="67"/>
      <c r="R81" s="37"/>
      <c r="S81" s="82"/>
      <c r="T81" s="37"/>
      <c r="U81" s="82"/>
      <c r="V81" s="37"/>
      <c r="W81" s="7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x14ac:dyDescent="0.4">
      <c r="A82" s="48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68"/>
      <c r="O82" s="76"/>
      <c r="P82" s="37"/>
      <c r="Q82" s="37"/>
      <c r="R82" s="37"/>
      <c r="S82" s="37"/>
      <c r="T82" s="37"/>
      <c r="U82" s="37"/>
      <c r="V82" s="37"/>
      <c r="W82" s="7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1:37" x14ac:dyDescent="0.4">
      <c r="A83" s="84" t="s">
        <v>56</v>
      </c>
      <c r="B83" s="63" t="s">
        <v>57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68"/>
      <c r="O83" s="78"/>
      <c r="P83" s="37" t="s">
        <v>58</v>
      </c>
      <c r="Q83" s="37"/>
      <c r="R83" s="37"/>
      <c r="S83" s="37"/>
      <c r="T83" s="37"/>
      <c r="U83" s="37"/>
      <c r="V83" s="37"/>
      <c r="W83" s="7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7" x14ac:dyDescent="0.4">
      <c r="A84" s="48"/>
      <c r="B84" s="42" t="s">
        <v>59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68"/>
      <c r="O84" s="80"/>
      <c r="P84" s="53"/>
      <c r="Q84" s="53"/>
      <c r="R84" s="53"/>
      <c r="S84" s="53" t="str">
        <f>S60</f>
        <v>SC3</v>
      </c>
      <c r="T84" s="53"/>
      <c r="U84" s="53"/>
      <c r="V84" s="53"/>
      <c r="W84" s="7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1:37" x14ac:dyDescent="0.4">
      <c r="A85" s="48"/>
      <c r="B85" s="46" t="s">
        <v>60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78"/>
      <c r="P85" s="37"/>
      <c r="Q85" s="37"/>
      <c r="R85" s="37"/>
      <c r="S85" s="37"/>
      <c r="T85" s="37"/>
      <c r="U85" s="37"/>
      <c r="V85" s="37"/>
      <c r="W85" s="7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x14ac:dyDescent="0.4">
      <c r="A86" s="48"/>
      <c r="B86" s="63"/>
      <c r="C86" s="65" t="str">
        <f t="shared" ref="C86:H86" si="13">+C6</f>
        <v>SC1/SC5</v>
      </c>
      <c r="D86" s="65" t="str">
        <f t="shared" si="13"/>
        <v>SC3</v>
      </c>
      <c r="E86" s="65" t="str">
        <f t="shared" si="13"/>
        <v>SC2 ND</v>
      </c>
      <c r="F86" s="65" t="str">
        <f t="shared" si="13"/>
        <v>SC4</v>
      </c>
      <c r="G86" s="65" t="str">
        <f t="shared" si="13"/>
        <v>SC6</v>
      </c>
      <c r="H86" s="65" t="str">
        <f t="shared" si="13"/>
        <v>SC2 Dem</v>
      </c>
      <c r="I86" s="53"/>
      <c r="J86" s="53"/>
      <c r="K86" s="37"/>
      <c r="L86" s="37"/>
      <c r="M86" s="37"/>
      <c r="N86" s="37"/>
      <c r="O86" s="78"/>
      <c r="P86" s="66"/>
      <c r="Q86" s="67" t="s">
        <v>61</v>
      </c>
      <c r="R86" s="66"/>
      <c r="S86" s="66"/>
      <c r="T86" s="66"/>
      <c r="U86" s="66"/>
      <c r="V86" s="66"/>
      <c r="W86" s="7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1:37" x14ac:dyDescent="0.4">
      <c r="A87" s="48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78"/>
      <c r="P87" s="66"/>
      <c r="Q87" s="69" t="s">
        <v>62</v>
      </c>
      <c r="R87" s="37"/>
      <c r="S87" s="66">
        <f>S74-S63</f>
        <v>36.041449266263641</v>
      </c>
      <c r="T87" s="37"/>
      <c r="U87" s="66"/>
      <c r="V87" s="37"/>
      <c r="W87" s="7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37" x14ac:dyDescent="0.4">
      <c r="A88" s="48"/>
      <c r="B88" s="55" t="s">
        <v>63</v>
      </c>
      <c r="C88" s="4">
        <f t="shared" ref="C88:H88" si="14">(SUMPRODUCT(C13:C16,C49:C52,$C67:$C70)*C78+SUMPRODUCT(L13:L16,C49:C52,$D67:$D70)*C78)/SUM(C49:C52)</f>
        <v>27.776710109958824</v>
      </c>
      <c r="D88" s="4">
        <f t="shared" si="14"/>
        <v>28.219291309512379</v>
      </c>
      <c r="E88" s="4">
        <f t="shared" si="14"/>
        <v>25.84716874134504</v>
      </c>
      <c r="F88" s="4">
        <f t="shared" si="14"/>
        <v>28.026972508704034</v>
      </c>
      <c r="G88" s="4">
        <f t="shared" si="14"/>
        <v>28.035708353073819</v>
      </c>
      <c r="H88" s="4">
        <f t="shared" si="14"/>
        <v>28.256753569200324</v>
      </c>
      <c r="I88" s="4"/>
      <c r="J88" s="4"/>
      <c r="K88" s="37"/>
      <c r="L88" s="37"/>
      <c r="M88" s="37"/>
      <c r="N88" s="37"/>
      <c r="O88" s="80"/>
      <c r="P88" s="66"/>
      <c r="Q88" s="67" t="s">
        <v>64</v>
      </c>
      <c r="R88" s="37"/>
      <c r="S88" s="87">
        <f>S87*(D93-D94)</f>
        <v>277.38625547847749</v>
      </c>
      <c r="T88" s="37"/>
      <c r="U88" s="87"/>
      <c r="V88" s="37"/>
      <c r="W88" s="7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</row>
    <row r="89" spans="1:37" x14ac:dyDescent="0.4">
      <c r="A89" s="48"/>
      <c r="B89" s="88" t="s">
        <v>65</v>
      </c>
      <c r="C89" s="4">
        <f t="shared" ref="C89:H89" si="15">(SUMPRODUCT(C13:C16,C49:C52,$C67:$C70)*C78)/SUMPRODUCT(C13:C16,C49:C52)</f>
        <v>33.67197385624263</v>
      </c>
      <c r="D89" s="4">
        <f t="shared" si="15"/>
        <v>33.842191125928721</v>
      </c>
      <c r="E89" s="4">
        <f t="shared" si="15"/>
        <v>33.515202755811465</v>
      </c>
      <c r="F89" s="4">
        <f t="shared" si="15"/>
        <v>33.233248193353113</v>
      </c>
      <c r="G89" s="4">
        <f t="shared" si="15"/>
        <v>33.233272018263527</v>
      </c>
      <c r="H89" s="4">
        <f t="shared" si="15"/>
        <v>33.474729209830315</v>
      </c>
      <c r="I89" s="4"/>
      <c r="J89" s="4"/>
      <c r="K89" s="37"/>
      <c r="L89" s="37"/>
      <c r="M89" s="37"/>
      <c r="N89" s="37"/>
      <c r="O89" s="78"/>
      <c r="P89" s="37"/>
      <c r="Q89" s="67" t="s">
        <v>66</v>
      </c>
      <c r="R89" s="37"/>
      <c r="S89" s="89">
        <f>ROUND(S88/S73,2)</f>
        <v>1.06</v>
      </c>
      <c r="T89" s="37"/>
      <c r="U89" s="89"/>
      <c r="V89" s="37"/>
      <c r="W89" s="7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7" x14ac:dyDescent="0.4">
      <c r="A90" s="48"/>
      <c r="B90" s="88" t="s">
        <v>67</v>
      </c>
      <c r="C90" s="4">
        <f t="shared" ref="C90:H90" si="16">(SUMPRODUCT(L13:L16,C49:C52,$D67:$D70)*C78)/SUMPRODUCT(L13:L16,C49:C52)</f>
        <v>22.289069195287841</v>
      </c>
      <c r="D90" s="4">
        <f t="shared" si="16"/>
        <v>22.369901612765943</v>
      </c>
      <c r="E90" s="4">
        <f t="shared" si="16"/>
        <v>22.275363980891523</v>
      </c>
      <c r="F90" s="4">
        <f t="shared" si="16"/>
        <v>22.037093923136993</v>
      </c>
      <c r="G90" s="4">
        <f t="shared" si="16"/>
        <v>22.03769756160785</v>
      </c>
      <c r="H90" s="4">
        <f t="shared" si="16"/>
        <v>22.19583786070865</v>
      </c>
      <c r="I90" s="4"/>
      <c r="J90" s="4"/>
      <c r="K90" s="37"/>
      <c r="L90" s="37"/>
      <c r="M90" s="37"/>
      <c r="N90" s="37"/>
      <c r="O90" s="78"/>
      <c r="P90" s="53"/>
      <c r="Q90" s="37"/>
      <c r="R90" s="37"/>
      <c r="S90" s="37"/>
      <c r="T90" s="37"/>
      <c r="U90" s="37"/>
      <c r="V90" s="53"/>
      <c r="W90" s="7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37" x14ac:dyDescent="0.4">
      <c r="A91" s="48"/>
      <c r="B91" s="37"/>
      <c r="C91" s="90"/>
      <c r="D91" s="90"/>
      <c r="E91" s="90"/>
      <c r="F91" s="90"/>
      <c r="G91" s="90"/>
      <c r="H91" s="90"/>
      <c r="I91" s="90"/>
      <c r="J91" s="90"/>
      <c r="K91" s="37"/>
      <c r="L91" s="37"/>
      <c r="M91" s="37"/>
      <c r="N91" s="37"/>
      <c r="O91" s="78"/>
      <c r="P91" s="66"/>
      <c r="Q91" s="67" t="s">
        <v>68</v>
      </c>
      <c r="R91" s="53"/>
      <c r="S91" s="91"/>
      <c r="T91" s="53"/>
      <c r="U91" s="91"/>
      <c r="V91" s="37"/>
      <c r="W91" s="7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</row>
    <row r="92" spans="1:37" x14ac:dyDescent="0.4">
      <c r="A92" s="48"/>
      <c r="B92" s="55" t="s">
        <v>69</v>
      </c>
      <c r="C92" s="4">
        <f t="shared" ref="C92:H92" si="17">(SUMPRODUCT(C8:C12,C44:C48,$C62:$C66)*C78+SUMPRODUCT(L8:L12,C44:C48,$D62:$D66)*C78+SUMPRODUCT(C17:C19,C53:C55,$C71:$C73)*C78+SUMPRODUCT(L17:L19,C53:C55,$D71:$D73)*C78)/SUM(C44:C48,C53:C55)</f>
        <v>32.634629237223429</v>
      </c>
      <c r="D92" s="4">
        <f t="shared" si="17"/>
        <v>33.625033759504042</v>
      </c>
      <c r="E92" s="4">
        <f t="shared" si="17"/>
        <v>32.6728821633791</v>
      </c>
      <c r="F92" s="4">
        <f t="shared" si="17"/>
        <v>32.89109600488549</v>
      </c>
      <c r="G92" s="4">
        <f t="shared" si="17"/>
        <v>32.70287950000489</v>
      </c>
      <c r="H92" s="4">
        <f t="shared" si="17"/>
        <v>32.834059009571384</v>
      </c>
      <c r="I92" s="4"/>
      <c r="J92" s="4"/>
      <c r="K92" s="37"/>
      <c r="L92" s="37"/>
      <c r="M92" s="37"/>
      <c r="N92" s="37"/>
      <c r="O92" s="78"/>
      <c r="P92" s="66"/>
      <c r="Q92" s="69" t="s">
        <v>62</v>
      </c>
      <c r="R92" s="37"/>
      <c r="S92" s="66">
        <f>S78-S67</f>
        <v>12.443548456368912</v>
      </c>
      <c r="T92" s="37"/>
      <c r="U92" s="66"/>
      <c r="V92" s="37"/>
      <c r="W92" s="7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</row>
    <row r="93" spans="1:37" x14ac:dyDescent="0.4">
      <c r="A93" s="48"/>
      <c r="B93" s="88" t="s">
        <v>65</v>
      </c>
      <c r="C93" s="4">
        <f t="shared" ref="C93" si="18">(SUMPRODUCT(C8:C12,C44:C48,$C62:$C66)*C78+SUMPRODUCT(C17:C19,C53:C55,$C71:$C73)*C78)/(SUMPRODUCT(C8:C12,C44:C48)+SUMPRODUCT(C17:C19,C53:C55))</f>
        <v>36.748452635584783</v>
      </c>
      <c r="D93" s="4">
        <f>(SUMPRODUCT(D8:D12,D44:D48,$C62:$C66)*D78+SUMPRODUCT(D17:D19,D53:D55,$C71:$C73)*D78)/(SUMPRODUCT(D8:D12,D44:D48)+SUMPRODUCT(D17:D19,D53:D55))</f>
        <v>37.55564990373751</v>
      </c>
      <c r="E93" s="4">
        <f>(SUMPRODUCT(E8:E12,E44:E48,$C62:$C66)*E78+SUMPRODUCT(E17:E19,E53:E55,$C71:$C73)*E78)/(SUMPRODUCT(E8:E12,E44:E48)+SUMPRODUCT(E17:E19,E53:E55))</f>
        <v>37.725831552300008</v>
      </c>
      <c r="F93" s="4">
        <f>(SUMPRODUCT(F8:F12,F44:F48,$C62:$C66)*F78+SUMPRODUCT(F17:F19,F53:F55,$C71:$C73)*F78)/(SUMPRODUCT(F8:F12,F44:F48)+SUMPRODUCT(F17:F19,F53:F55))</f>
        <v>36.462614634252233</v>
      </c>
      <c r="G93" s="4">
        <f>(SUMPRODUCT(G8:G12,G44:G48,$C62:$C66)*G78+SUMPRODUCT(G17:G19,G53:G55,$C71:$C73)*G78)/(SUMPRODUCT(G8:G12,G44:G48)+SUMPRODUCT(G17:G19,G53:G55))</f>
        <v>36.263909953377528</v>
      </c>
      <c r="H93" s="4">
        <f>(SUMPRODUCT(H8:H12,H44:H48,$C62:$C66)*H78+SUMPRODUCT(H17:H19,H53:H55,$C71:$C73)*H78)/(SUMPRODUCT(H8:H12,H44:H48)+SUMPRODUCT(H17:H19,H53:H55))</f>
        <v>36.416764961444599</v>
      </c>
      <c r="I93" s="4"/>
      <c r="J93" s="4"/>
      <c r="K93" s="37"/>
      <c r="L93" s="37"/>
      <c r="M93" s="37"/>
      <c r="N93" s="37"/>
      <c r="O93" s="37"/>
      <c r="P93" s="37"/>
      <c r="Q93" s="67" t="s">
        <v>64</v>
      </c>
      <c r="R93" s="37"/>
      <c r="S93" s="87">
        <f>S92*(D89-D90)</f>
        <v>142.75599046253396</v>
      </c>
      <c r="T93" s="37"/>
      <c r="U93" s="8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x14ac:dyDescent="0.4">
      <c r="A94" s="48"/>
      <c r="B94" s="88" t="s">
        <v>67</v>
      </c>
      <c r="C94" s="4">
        <f t="shared" ref="C94:H94" si="19">(SUMPRODUCT(L8:L12,C44:C48,$D62:$D66)*C78+SUMPRODUCT(L17:L19,C53:C55,$D71:$D73)*C78)/(SUMPRODUCT(L8:L12,C44:C48)+SUMPRODUCT(L17:L19,C53:C55))</f>
        <v>29.261488498682098</v>
      </c>
      <c r="D94" s="4">
        <f t="shared" si="19"/>
        <v>29.859337432248662</v>
      </c>
      <c r="E94" s="4">
        <f t="shared" si="19"/>
        <v>29.935354088892087</v>
      </c>
      <c r="F94" s="4">
        <f t="shared" si="19"/>
        <v>28.958889847026676</v>
      </c>
      <c r="G94" s="4">
        <f t="shared" si="19"/>
        <v>28.79316770693994</v>
      </c>
      <c r="H94" s="4">
        <f t="shared" si="19"/>
        <v>28.990223321070872</v>
      </c>
      <c r="I94" s="4"/>
      <c r="J94" s="4"/>
      <c r="K94" s="37"/>
      <c r="L94" s="37"/>
      <c r="M94" s="37"/>
      <c r="N94" s="37"/>
      <c r="O94" s="37"/>
      <c r="P94" s="37"/>
      <c r="Q94" s="67" t="s">
        <v>66</v>
      </c>
      <c r="R94" s="37"/>
      <c r="S94" s="89">
        <f>ROUND(S93/S77,2)</f>
        <v>1.72</v>
      </c>
      <c r="T94" s="37"/>
      <c r="U94" s="89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</row>
    <row r="95" spans="1:37" x14ac:dyDescent="0.4">
      <c r="A95" s="48"/>
      <c r="B95" s="37"/>
      <c r="C95" s="90"/>
      <c r="D95" s="90"/>
      <c r="E95" s="90"/>
      <c r="F95" s="90"/>
      <c r="G95" s="90"/>
      <c r="H95" s="90"/>
      <c r="I95" s="90"/>
      <c r="J95" s="90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</row>
    <row r="96" spans="1:37" x14ac:dyDescent="0.4">
      <c r="A96" s="48"/>
      <c r="B96" s="37" t="s">
        <v>70</v>
      </c>
      <c r="C96" s="4">
        <f t="shared" ref="C96" si="20">(C88*SUM(C49:C52)+C92*SUM(C44:C48,C53:C55))/C56</f>
        <v>30.507904564444189</v>
      </c>
      <c r="D96" s="90">
        <f>(D88*SUM(D49:D52)+D92*SUM(D44:D48,D53:D55))/D56</f>
        <v>32.320741249767678</v>
      </c>
      <c r="E96" s="90">
        <f>(E88*SUM(E49:E52)+E92*SUM(E44:E48,E53:E55))/E56</f>
        <v>30.766591632013792</v>
      </c>
      <c r="F96" s="90">
        <f>(F88*SUM(F49:F52)+F92*SUM(F44:F48,F53:F55))/F56</f>
        <v>31.533089813998672</v>
      </c>
      <c r="G96" s="90">
        <f>(G88*SUM(G49:G52)+G92*SUM(G44:G48,G53:G55))/G56</f>
        <v>31.333226502034226</v>
      </c>
      <c r="H96" s="90">
        <f>(H88*SUM(H49:H52)+H92*SUM(H44:H48,H53:H55))/H56</f>
        <v>31.18465265229597</v>
      </c>
      <c r="I96" s="90"/>
      <c r="J96" s="90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</row>
    <row r="97" spans="1:37" x14ac:dyDescent="0.4">
      <c r="A97" s="48"/>
      <c r="B97" s="37"/>
      <c r="C97" s="4"/>
      <c r="D97" s="90"/>
      <c r="E97" s="90"/>
      <c r="F97" s="90"/>
      <c r="G97" s="90"/>
      <c r="H97" s="90"/>
      <c r="I97" s="90"/>
      <c r="J97" s="90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</row>
    <row r="98" spans="1:37" x14ac:dyDescent="0.4">
      <c r="A98" s="48"/>
      <c r="B98" s="37" t="s">
        <v>71</v>
      </c>
      <c r="C98" s="4">
        <f>SUMPRODUCT(C96:H96,C56:H56)/SUM(C56:H56)</f>
        <v>30.746832580034656</v>
      </c>
      <c r="D98" s="90"/>
      <c r="E98" s="90"/>
      <c r="F98" s="90"/>
      <c r="G98" s="90"/>
      <c r="H98" s="90"/>
      <c r="I98" s="90"/>
      <c r="J98" s="90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</row>
    <row r="99" spans="1:37" x14ac:dyDescent="0.4">
      <c r="A99" s="48"/>
      <c r="B99" s="37"/>
      <c r="C99" s="4"/>
      <c r="D99" s="90"/>
      <c r="E99" s="90"/>
      <c r="F99" s="90"/>
      <c r="G99" s="90"/>
      <c r="H99" s="90"/>
      <c r="I99" s="90"/>
      <c r="J99" s="90"/>
      <c r="K99" s="90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</row>
    <row r="100" spans="1:37" x14ac:dyDescent="0.4">
      <c r="A100" s="48"/>
      <c r="B100" s="37"/>
      <c r="C100" s="90"/>
      <c r="D100" s="90"/>
      <c r="E100" s="90"/>
      <c r="F100" s="90"/>
      <c r="G100" s="90"/>
      <c r="H100" s="90"/>
      <c r="I100" s="90"/>
      <c r="J100" s="90"/>
      <c r="K100" s="90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</row>
    <row r="101" spans="1:37" x14ac:dyDescent="0.4">
      <c r="A101" s="84" t="s">
        <v>72</v>
      </c>
      <c r="B101" s="63" t="s">
        <v>73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1:37" x14ac:dyDescent="0.4">
      <c r="A102" s="48"/>
      <c r="B102" s="46" t="s">
        <v>59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1:37" x14ac:dyDescent="0.4">
      <c r="A103" s="48"/>
      <c r="B103" s="46" t="s">
        <v>74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</row>
    <row r="104" spans="1:37" x14ac:dyDescent="0.4">
      <c r="A104" s="48"/>
      <c r="B104" s="63"/>
      <c r="C104" s="65" t="str">
        <f t="shared" ref="C104:H104" si="21">+C6</f>
        <v>SC1/SC5</v>
      </c>
      <c r="D104" s="65" t="str">
        <f t="shared" si="21"/>
        <v>SC3</v>
      </c>
      <c r="E104" s="65" t="str">
        <f t="shared" si="21"/>
        <v>SC2 ND</v>
      </c>
      <c r="F104" s="65" t="str">
        <f t="shared" si="21"/>
        <v>SC4</v>
      </c>
      <c r="G104" s="65" t="str">
        <f t="shared" si="21"/>
        <v>SC6</v>
      </c>
      <c r="H104" s="65" t="str">
        <f t="shared" si="21"/>
        <v>SC2 Dem</v>
      </c>
      <c r="I104" s="53"/>
      <c r="J104" s="53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x14ac:dyDescent="0.4">
      <c r="A105" s="48"/>
      <c r="B105" s="37"/>
      <c r="C105" s="91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x14ac:dyDescent="0.4">
      <c r="A106" s="48"/>
      <c r="B106" s="55" t="s">
        <v>63</v>
      </c>
      <c r="C106" s="5">
        <f t="shared" ref="C106" si="22">SUM(C49:C52)*C88/1000</f>
        <v>7926.3481086227948</v>
      </c>
      <c r="D106" s="5">
        <f>SUM(D49:D52)*D88/1000</f>
        <v>2.3422011786895274</v>
      </c>
      <c r="E106" s="5">
        <f>SUM(E49:E52)*E88/1000</f>
        <v>130.47650780630977</v>
      </c>
      <c r="F106" s="5">
        <f>SUM(F49:F52)*F88/1000</f>
        <v>44.53485931633071</v>
      </c>
      <c r="G106" s="5">
        <f>SUM(G49:G52)*G88/1000</f>
        <v>41.548919779255399</v>
      </c>
      <c r="H106" s="5">
        <f>SUM(H49:H52)*H88/1000</f>
        <v>3428.1135674000425</v>
      </c>
      <c r="I106" s="5"/>
      <c r="J106" s="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</row>
    <row r="107" spans="1:37" x14ac:dyDescent="0.4">
      <c r="A107" s="48"/>
      <c r="B107" s="88" t="s">
        <v>65</v>
      </c>
      <c r="C107" s="5">
        <f t="shared" ref="C107" si="23">SUMPRODUCT(C49:C52,C13:C16)*C89/1000</f>
        <v>4632.2660845725122</v>
      </c>
      <c r="D107" s="5">
        <f>SUMPRODUCT(D49:D52,D13:D16)*D89/1000</f>
        <v>1.432178084452719</v>
      </c>
      <c r="E107" s="5">
        <f>SUMPRODUCT(E49:E52,E13:E16)*E89/1000</f>
        <v>53.763660170846428</v>
      </c>
      <c r="F107" s="5">
        <f>SUMPRODUCT(F49:F52,F13:F16)*F89/1000</f>
        <v>28.251781166901587</v>
      </c>
      <c r="G107" s="5">
        <f>SUMPRODUCT(G49:G52,G13:G16)*G89/1000</f>
        <v>26.386522997099075</v>
      </c>
      <c r="H107" s="5">
        <f>SUMPRODUCT(H49:H52,H13:H16)*H89/1000</f>
        <v>2182.3371232512895</v>
      </c>
      <c r="I107" s="5"/>
      <c r="J107" s="5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x14ac:dyDescent="0.4">
      <c r="A108" s="48"/>
      <c r="B108" s="88" t="s">
        <v>67</v>
      </c>
      <c r="C108" s="5">
        <f t="shared" ref="C108:H108" si="24">SUMPRODUCT(C49:C52,L13:L16)*C90/1000</f>
        <v>3294.0820240502826</v>
      </c>
      <c r="D108" s="5">
        <f t="shared" si="24"/>
        <v>0.91002309423680849</v>
      </c>
      <c r="E108" s="5">
        <f t="shared" si="24"/>
        <v>76.712847635463334</v>
      </c>
      <c r="F108" s="5">
        <f t="shared" si="24"/>
        <v>16.28307814942913</v>
      </c>
      <c r="G108" s="5">
        <f t="shared" si="24"/>
        <v>15.162396782156321</v>
      </c>
      <c r="H108" s="5">
        <f t="shared" si="24"/>
        <v>1245.7764441487529</v>
      </c>
      <c r="I108" s="5"/>
      <c r="J108" s="5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x14ac:dyDescent="0.4">
      <c r="A109" s="48"/>
      <c r="B109" s="37"/>
      <c r="C109" s="31"/>
      <c r="D109" s="31"/>
      <c r="E109" s="31"/>
      <c r="F109" s="31"/>
      <c r="G109" s="31"/>
      <c r="H109" s="31"/>
      <c r="I109" s="31"/>
      <c r="J109" s="31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x14ac:dyDescent="0.4">
      <c r="A110" s="48"/>
      <c r="B110" s="55" t="s">
        <v>69</v>
      </c>
      <c r="C110" s="31">
        <f t="shared" ref="C110" si="25">SUM(C44:C48,C53:C55)*C92/1000</f>
        <v>11959.482038048322</v>
      </c>
      <c r="D110" s="31">
        <f>SUM(D44:D48,D53:D55)*D92/1000</f>
        <v>8.7761338112305545</v>
      </c>
      <c r="E110" s="31">
        <f>SUM(E44:E48,E53:E55)*E92/1000</f>
        <v>425.62963594233958</v>
      </c>
      <c r="F110" s="31">
        <f>SUM(F44:F48,F53:F55)*F92/1000</f>
        <v>134.93572136004272</v>
      </c>
      <c r="G110" s="31">
        <f>SUM(G44:G48,G53:G55)*G92/1000</f>
        <v>116.68387405601744</v>
      </c>
      <c r="H110" s="31">
        <f>SUM(H44:H48,H53:H55)*H92/1000</f>
        <v>7071.0832559820128</v>
      </c>
      <c r="I110" s="31"/>
      <c r="J110" s="31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x14ac:dyDescent="0.4">
      <c r="A111" s="48"/>
      <c r="B111" s="88" t="s">
        <v>65</v>
      </c>
      <c r="C111" s="5">
        <f t="shared" ref="C111" si="26">(SUMPRODUCT(C44:C48,C8:C12)+SUMPRODUCT(C53:C55,C17:C19))*C93/1000</f>
        <v>6067.3836061749298</v>
      </c>
      <c r="D111" s="5">
        <f>(SUMPRODUCT(D44:D48,D8:D12)+SUMPRODUCT(D53:D55,D17:D19))*D93/1000</f>
        <v>4.7959913616163128</v>
      </c>
      <c r="E111" s="5">
        <f>(SUMPRODUCT(E44:E48,E8:E12)+SUMPRODUCT(E53:E55,E17:E19))*E93/1000</f>
        <v>172.69419551519292</v>
      </c>
      <c r="F111" s="5">
        <f>(SUMPRODUCT(F44:F48,F8:F12)+SUMPRODUCT(F53:F55,F17:F19))*F93/1000</f>
        <v>78.389118196508292</v>
      </c>
      <c r="G111" s="5">
        <f>(SUMPRODUCT(G44:G48,G8:G12)+SUMPRODUCT(G53:G55,G17:G19))*G93/1000</f>
        <v>67.714311164022078</v>
      </c>
      <c r="H111" s="5">
        <f>(SUMPRODUCT(H44:H48,H8:H12)+SUMPRODUCT(H53:H55,H17:H19))*H93/1000</f>
        <v>4059.2045226332643</v>
      </c>
      <c r="I111" s="5"/>
      <c r="J111" s="5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x14ac:dyDescent="0.4">
      <c r="A112" s="48"/>
      <c r="B112" s="88" t="s">
        <v>67</v>
      </c>
      <c r="C112" s="5">
        <f t="shared" ref="C112:H112" si="27">+(SUMPRODUCT(C44:C48,L8:L12)+SUMPRODUCT(C53:C55,L17:L19))*C94/1000</f>
        <v>5892.0984318733917</v>
      </c>
      <c r="D112" s="5">
        <f t="shared" si="27"/>
        <v>3.9801424496142417</v>
      </c>
      <c r="E112" s="5">
        <f t="shared" si="27"/>
        <v>252.93544042714666</v>
      </c>
      <c r="F112" s="5">
        <f t="shared" si="27"/>
        <v>56.546603163534428</v>
      </c>
      <c r="G112" s="5">
        <f t="shared" si="27"/>
        <v>48.969562891995373</v>
      </c>
      <c r="H112" s="5">
        <f t="shared" si="27"/>
        <v>3011.8787333487489</v>
      </c>
      <c r="I112" s="5"/>
      <c r="J112" s="5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x14ac:dyDescent="0.4">
      <c r="A113" s="48"/>
      <c r="B113" s="37"/>
      <c r="C113" s="90"/>
      <c r="D113" s="90"/>
      <c r="E113" s="90"/>
      <c r="F113" s="90"/>
      <c r="G113" s="90"/>
      <c r="H113" s="90"/>
      <c r="I113" s="90"/>
      <c r="J113" s="90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x14ac:dyDescent="0.4">
      <c r="A114" s="48"/>
      <c r="B114" s="37" t="s">
        <v>70</v>
      </c>
      <c r="C114" s="31">
        <f>+C106+C110</f>
        <v>19885.830146671116</v>
      </c>
      <c r="D114" s="31">
        <f t="shared" ref="D114:H114" si="28">+D106+D110</f>
        <v>11.118334989920083</v>
      </c>
      <c r="E114" s="31">
        <f t="shared" si="28"/>
        <v>556.1061437486494</v>
      </c>
      <c r="F114" s="31">
        <f t="shared" si="28"/>
        <v>179.47058067637343</v>
      </c>
      <c r="G114" s="31">
        <f t="shared" si="28"/>
        <v>158.23279383527284</v>
      </c>
      <c r="H114" s="31">
        <f t="shared" si="28"/>
        <v>10499.196823382055</v>
      </c>
      <c r="I114" s="31"/>
      <c r="J114" s="31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x14ac:dyDescent="0.4">
      <c r="A115" s="48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x14ac:dyDescent="0.4">
      <c r="A116" s="48"/>
      <c r="B116" s="37" t="s">
        <v>71</v>
      </c>
      <c r="C116" s="5">
        <f>SUM(C114:H114)</f>
        <v>31289.954823303386</v>
      </c>
      <c r="D116" s="92"/>
      <c r="E116" s="4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x14ac:dyDescent="0.4">
      <c r="A117" s="48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x14ac:dyDescent="0.4">
      <c r="A118" s="48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x14ac:dyDescent="0.4">
      <c r="A119" s="84" t="s">
        <v>75</v>
      </c>
      <c r="B119" s="47" t="s">
        <v>76</v>
      </c>
      <c r="C119" s="90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x14ac:dyDescent="0.4">
      <c r="A120" s="48"/>
      <c r="B120" s="42" t="s">
        <v>77</v>
      </c>
      <c r="C120" s="90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x14ac:dyDescent="0.4">
      <c r="A121" s="48"/>
      <c r="B121" s="46"/>
      <c r="C121" s="90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x14ac:dyDescent="0.4">
      <c r="A122" s="48"/>
      <c r="B122" s="63"/>
      <c r="C122" s="65" t="str">
        <f t="shared" ref="C122:H122" si="29">+C6</f>
        <v>SC1/SC5</v>
      </c>
      <c r="D122" s="65" t="str">
        <f t="shared" si="29"/>
        <v>SC3</v>
      </c>
      <c r="E122" s="65" t="str">
        <f t="shared" si="29"/>
        <v>SC2 ND</v>
      </c>
      <c r="F122" s="65" t="str">
        <f t="shared" si="29"/>
        <v>SC4</v>
      </c>
      <c r="G122" s="65" t="str">
        <f t="shared" si="29"/>
        <v>SC6</v>
      </c>
      <c r="H122" s="65" t="str">
        <f t="shared" si="29"/>
        <v>SC2 Dem</v>
      </c>
      <c r="I122" s="53"/>
      <c r="J122" s="53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x14ac:dyDescent="0.4">
      <c r="A123" s="48"/>
      <c r="B123" s="37"/>
      <c r="C123" s="91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x14ac:dyDescent="0.4">
      <c r="A124" s="48"/>
      <c r="B124" s="55" t="s">
        <v>63</v>
      </c>
      <c r="C124" s="4">
        <f t="shared" ref="C124" si="30">+C106/SUM(C49:C52)*1000</f>
        <v>27.776710109958824</v>
      </c>
      <c r="D124" s="4">
        <f>+D106/SUM(D49:D52)*1000</f>
        <v>28.219291309512379</v>
      </c>
      <c r="E124" s="4">
        <f>+E106/SUM(E49:E52)*1000</f>
        <v>25.84716874134504</v>
      </c>
      <c r="F124" s="4">
        <f>+F106/SUM(F49:F52)*1000</f>
        <v>28.026972508704034</v>
      </c>
      <c r="G124" s="4">
        <f>+G106/SUM(G49:G52)*1000</f>
        <v>28.035708353073819</v>
      </c>
      <c r="H124" s="4">
        <f>+H106/SUM(H49:H52)*1000</f>
        <v>28.256753569200324</v>
      </c>
      <c r="I124" s="4"/>
      <c r="J124" s="4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x14ac:dyDescent="0.4">
      <c r="A125" s="48"/>
      <c r="B125" s="88" t="s">
        <v>78</v>
      </c>
      <c r="C125" s="5"/>
      <c r="D125" s="4">
        <f>D89+S94</f>
        <v>35.56219112592872</v>
      </c>
      <c r="E125" s="5"/>
      <c r="F125" s="5"/>
      <c r="G125" s="5"/>
      <c r="H125" s="5"/>
      <c r="I125" s="4"/>
      <c r="J125" s="4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x14ac:dyDescent="0.4">
      <c r="A126" s="48"/>
      <c r="B126" s="88" t="s">
        <v>79</v>
      </c>
      <c r="C126" s="5"/>
      <c r="D126" s="4">
        <f>D90+S94</f>
        <v>24.089901612765942</v>
      </c>
      <c r="E126" s="5"/>
      <c r="F126" s="5"/>
      <c r="G126" s="5"/>
      <c r="H126" s="5"/>
      <c r="I126" s="4"/>
      <c r="J126" s="4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x14ac:dyDescent="0.4">
      <c r="A127" s="48"/>
      <c r="B127" s="37"/>
      <c r="C127" s="31"/>
      <c r="D127" s="31"/>
      <c r="E127" s="31"/>
      <c r="F127" s="31"/>
      <c r="G127" s="31"/>
      <c r="H127" s="31"/>
      <c r="I127" s="31"/>
      <c r="J127" s="31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x14ac:dyDescent="0.4">
      <c r="A128" s="48"/>
      <c r="B128" s="55" t="s">
        <v>69</v>
      </c>
      <c r="C128" s="90">
        <f t="shared" ref="C128" si="31">+C110/SUM(C44:C48,C53:C55)*1000</f>
        <v>32.634629237223429</v>
      </c>
      <c r="D128" s="90">
        <f>+D110/SUM(D44:D48,D53:D55)*1000</f>
        <v>33.625033759504042</v>
      </c>
      <c r="E128" s="90">
        <f>+E110/SUM(E44:E48,E53:E55)*1000</f>
        <v>32.6728821633791</v>
      </c>
      <c r="F128" s="90">
        <f>+F110/SUM(F44:F48,F53:F55)*1000</f>
        <v>32.89109600488549</v>
      </c>
      <c r="G128" s="90">
        <f>+G110/SUM(G44:G48,G53:G55)*1000</f>
        <v>32.70287950000489</v>
      </c>
      <c r="H128" s="90">
        <f>+H110/SUM(H44:H48,H53:H55)*1000</f>
        <v>32.834059009571384</v>
      </c>
      <c r="I128" s="90"/>
      <c r="J128" s="90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x14ac:dyDescent="0.4">
      <c r="A129" s="48"/>
      <c r="B129" s="88" t="s">
        <v>78</v>
      </c>
      <c r="C129" s="5"/>
      <c r="D129" s="4">
        <f>D93+S89</f>
        <v>38.615649903737513</v>
      </c>
      <c r="E129" s="5"/>
      <c r="F129" s="5"/>
      <c r="G129" s="5"/>
      <c r="H129" s="5"/>
      <c r="I129" s="4"/>
      <c r="J129" s="4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x14ac:dyDescent="0.4">
      <c r="A130" s="48"/>
      <c r="B130" s="88" t="s">
        <v>79</v>
      </c>
      <c r="C130" s="5"/>
      <c r="D130" s="4">
        <f>D94+S89</f>
        <v>30.91933743224866</v>
      </c>
      <c r="E130" s="5"/>
      <c r="F130" s="5"/>
      <c r="G130" s="5"/>
      <c r="H130" s="5"/>
      <c r="I130" s="4"/>
      <c r="J130" s="4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x14ac:dyDescent="0.4">
      <c r="A131" s="48"/>
      <c r="B131" s="37"/>
      <c r="C131" s="90"/>
      <c r="D131" s="90"/>
      <c r="E131" s="90"/>
      <c r="F131" s="90"/>
      <c r="G131" s="90"/>
      <c r="H131" s="90"/>
      <c r="I131" s="90"/>
      <c r="J131" s="90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x14ac:dyDescent="0.4">
      <c r="A132" s="48"/>
      <c r="B132" s="37" t="s">
        <v>80</v>
      </c>
      <c r="C132" s="4">
        <f t="shared" ref="C132" si="32">(C124*SUM(C49:C52)+C128*SUM(C44:C48,C53:C55))/C56</f>
        <v>30.507904564444189</v>
      </c>
      <c r="D132" s="4">
        <f>(D124*SUM(D49:D52)+D128*SUM(D44:D48,D53:D55))/D56</f>
        <v>32.320741249767678</v>
      </c>
      <c r="E132" s="4">
        <f>(E124*SUM(E49:E52)+E128*SUM(E44:E48,E53:E55))/E56</f>
        <v>30.766591632013792</v>
      </c>
      <c r="F132" s="4">
        <f>(F124*SUM(F49:F52)+F128*SUM(F44:F48,F53:F55))/F56</f>
        <v>31.533089813998672</v>
      </c>
      <c r="G132" s="4">
        <f>(G124*SUM(G49:G52)+G128*SUM(G44:G48,G53:G55))/G56</f>
        <v>31.333226502034226</v>
      </c>
      <c r="H132" s="4">
        <f>(H124*SUM(H49:H52)+H128*SUM(H44:H48,H53:H55))/H56</f>
        <v>31.18465265229597</v>
      </c>
      <c r="I132" s="4"/>
      <c r="J132" s="4"/>
      <c r="K132" s="37"/>
      <c r="L132" s="37">
        <v>42644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x14ac:dyDescent="0.4">
      <c r="A133" s="48"/>
      <c r="B133" s="37" t="s">
        <v>81</v>
      </c>
      <c r="C133" s="4">
        <f>+C116/SUM(C56:H56)*1000</f>
        <v>30.746832580034653</v>
      </c>
      <c r="D133" s="37"/>
      <c r="E133" s="37"/>
      <c r="F133" s="37"/>
      <c r="G133" s="37"/>
      <c r="H133" s="37"/>
      <c r="I133" s="37"/>
      <c r="J133" s="37"/>
      <c r="K133" s="37"/>
      <c r="L133" s="37">
        <f>L136-L132</f>
        <v>2069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x14ac:dyDescent="0.4">
      <c r="A134" s="48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x14ac:dyDescent="0.4">
      <c r="A135" s="84" t="s">
        <v>82</v>
      </c>
      <c r="B135" s="47" t="s">
        <v>83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37" x14ac:dyDescent="0.4">
      <c r="A136" s="48"/>
      <c r="B136" s="42" t="str">
        <f>"Obligations - annual average forecasted for " &amp;M1-1 &amp;"; costs are market estimates"</f>
        <v>Obligations - annual average forecasted for 2020; costs are market estimates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93">
        <f>(DATE($M$1+1,6,1))</f>
        <v>44713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:37" x14ac:dyDescent="0.4">
      <c r="A137" s="48"/>
      <c r="B137" s="46" t="s">
        <v>84</v>
      </c>
      <c r="C137" s="65" t="str">
        <f t="shared" ref="C137:H137" si="33">+C6</f>
        <v>SC1/SC5</v>
      </c>
      <c r="D137" s="65" t="str">
        <f t="shared" si="33"/>
        <v>SC3</v>
      </c>
      <c r="E137" s="65" t="str">
        <f t="shared" si="33"/>
        <v>SC2 ND</v>
      </c>
      <c r="F137" s="65" t="str">
        <f t="shared" si="33"/>
        <v>SC4</v>
      </c>
      <c r="G137" s="65" t="str">
        <f t="shared" si="33"/>
        <v>SC6</v>
      </c>
      <c r="H137" s="65" t="str">
        <f t="shared" si="33"/>
        <v>SC2 Dem</v>
      </c>
      <c r="I137" s="65" t="s">
        <v>85</v>
      </c>
      <c r="J137" s="53"/>
      <c r="K137" s="37"/>
      <c r="L137" s="93">
        <f>(DATE($M$1,10,1))</f>
        <v>44470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x14ac:dyDescent="0.4">
      <c r="A138" s="48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>
        <f>L136-L137</f>
        <v>243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:37" x14ac:dyDescent="0.4">
      <c r="A139" s="48"/>
      <c r="B139" s="37" t="s">
        <v>86</v>
      </c>
      <c r="C139" s="94">
        <v>267.69</v>
      </c>
      <c r="D139" s="94">
        <v>0.109</v>
      </c>
      <c r="E139" s="94">
        <v>3.6619999999999999</v>
      </c>
      <c r="F139" s="95">
        <v>0</v>
      </c>
      <c r="G139" s="95">
        <v>0</v>
      </c>
      <c r="H139" s="94">
        <v>88.622</v>
      </c>
      <c r="I139" s="94">
        <f>SUM(C139:H139)</f>
        <v>360.08299999999997</v>
      </c>
      <c r="J139" s="96" t="b">
        <v>1</v>
      </c>
      <c r="K139" s="94"/>
      <c r="L139" s="94"/>
      <c r="M139" s="94"/>
      <c r="N139" s="94"/>
      <c r="O139" s="94"/>
      <c r="P139" s="94"/>
      <c r="Q139" s="94"/>
      <c r="R139" s="81"/>
      <c r="S139" s="81"/>
      <c r="T139" s="81"/>
      <c r="U139" s="81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:37" x14ac:dyDescent="0.4">
      <c r="A140" s="48"/>
      <c r="B140" s="37"/>
      <c r="C140" s="94"/>
      <c r="D140" s="94"/>
      <c r="E140" s="94"/>
      <c r="F140" s="94"/>
      <c r="G140" s="94"/>
      <c r="H140" s="94"/>
      <c r="I140" s="94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:37" x14ac:dyDescent="0.4">
      <c r="A141" s="48"/>
      <c r="B141" s="37" t="s">
        <v>87</v>
      </c>
      <c r="C141" s="94">
        <v>278.84999999999997</v>
      </c>
      <c r="D141" s="94">
        <v>0.11600000000000001</v>
      </c>
      <c r="E141" s="94">
        <v>3.202</v>
      </c>
      <c r="F141" s="95">
        <v>0</v>
      </c>
      <c r="G141" s="95">
        <v>0</v>
      </c>
      <c r="H141" s="94">
        <v>76.414000000000001</v>
      </c>
      <c r="I141" s="94">
        <f>SUM(C141:H141)</f>
        <v>358.58199999999994</v>
      </c>
      <c r="J141" s="96" t="b">
        <v>1</v>
      </c>
      <c r="K141" s="94"/>
      <c r="L141" s="94"/>
      <c r="M141" s="37"/>
      <c r="N141" s="37"/>
      <c r="O141" s="37"/>
      <c r="P141" s="94"/>
      <c r="Q141" s="94"/>
      <c r="R141" s="81"/>
      <c r="S141" s="81"/>
      <c r="T141" s="81"/>
      <c r="U141" s="81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x14ac:dyDescent="0.4">
      <c r="A142" s="48"/>
      <c r="B142" s="37"/>
      <c r="C142" s="95"/>
      <c r="D142" s="95"/>
      <c r="E142" s="95"/>
      <c r="F142" s="95"/>
      <c r="G142" s="95"/>
      <c r="H142" s="95"/>
      <c r="I142" s="95"/>
      <c r="J142" s="95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:37" x14ac:dyDescent="0.4">
      <c r="A143" s="48"/>
      <c r="B143" s="37" t="s">
        <v>88</v>
      </c>
      <c r="C143" s="37"/>
      <c r="D143" s="37"/>
      <c r="E143" s="37"/>
      <c r="F143" s="95"/>
      <c r="G143" s="95"/>
      <c r="H143" s="95"/>
      <c r="I143" s="95"/>
      <c r="J143" s="95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:37" x14ac:dyDescent="0.4">
      <c r="A144" s="48"/>
      <c r="B144" s="37"/>
      <c r="C144" s="37"/>
      <c r="D144" s="67" t="s">
        <v>89</v>
      </c>
      <c r="E144" s="97">
        <f>(DATE($M$1,10,1))-(DATE($M$1,6,1))</f>
        <v>122</v>
      </c>
      <c r="F144" s="37"/>
      <c r="G144" s="67" t="s">
        <v>90</v>
      </c>
      <c r="H144" s="37">
        <v>4</v>
      </c>
      <c r="I144" s="95"/>
      <c r="J144" s="95"/>
      <c r="K144" s="98"/>
      <c r="L144" s="99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:37" x14ac:dyDescent="0.4">
      <c r="A145" s="48"/>
      <c r="B145" s="37"/>
      <c r="C145" s="37"/>
      <c r="D145" s="69" t="s">
        <v>91</v>
      </c>
      <c r="E145" s="97">
        <f>(DATE($M$1+1,6,1))-(DATE($M$1,10,1))</f>
        <v>243</v>
      </c>
      <c r="F145" s="37"/>
      <c r="G145" s="69" t="s">
        <v>92</v>
      </c>
      <c r="H145" s="37">
        <v>8</v>
      </c>
      <c r="I145" s="95"/>
      <c r="J145" s="95"/>
      <c r="K145" s="98"/>
      <c r="L145" s="99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x14ac:dyDescent="0.4">
      <c r="A146" s="48"/>
      <c r="B146" s="37"/>
      <c r="C146" s="37"/>
      <c r="D146" s="37"/>
      <c r="E146" s="37"/>
      <c r="F146" s="37"/>
      <c r="G146" s="67" t="s">
        <v>93</v>
      </c>
      <c r="H146" s="37">
        <f>+H144+H145</f>
        <v>12</v>
      </c>
      <c r="I146" s="95"/>
      <c r="J146" s="95"/>
      <c r="K146" s="95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  <row r="147" spans="1:37" x14ac:dyDescent="0.4">
      <c r="A147" s="48"/>
      <c r="B147" s="37" t="s">
        <v>94</v>
      </c>
      <c r="C147" s="31">
        <v>42548</v>
      </c>
      <c r="D147" s="100" t="s">
        <v>95</v>
      </c>
      <c r="E147" s="101">
        <f>C147/SUM(E144:E145)</f>
        <v>116.56986301369864</v>
      </c>
      <c r="F147" s="101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</row>
    <row r="148" spans="1:37" x14ac:dyDescent="0.4">
      <c r="A148" s="4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</row>
    <row r="149" spans="1:37" x14ac:dyDescent="0.4">
      <c r="A149" s="48"/>
      <c r="B149" s="37" t="s">
        <v>96</v>
      </c>
      <c r="C149" s="37" t="s">
        <v>97</v>
      </c>
      <c r="D149" s="6">
        <f>F449</f>
        <v>156.1</v>
      </c>
      <c r="E149" s="100" t="s">
        <v>98</v>
      </c>
      <c r="F149" s="37"/>
      <c r="G149" s="69" t="s">
        <v>99</v>
      </c>
      <c r="H149" s="67" t="s">
        <v>100</v>
      </c>
      <c r="I149" s="90">
        <f>+D149*365/1000</f>
        <v>56.976500000000001</v>
      </c>
      <c r="J149" s="37" t="s">
        <v>101</v>
      </c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</row>
    <row r="150" spans="1:37" x14ac:dyDescent="0.4">
      <c r="A150" s="48"/>
      <c r="B150" s="102" t="s">
        <v>102</v>
      </c>
      <c r="C150" s="37" t="s">
        <v>103</v>
      </c>
      <c r="D150" s="6">
        <f>F451</f>
        <v>140.68</v>
      </c>
      <c r="E150" s="100" t="s">
        <v>98</v>
      </c>
      <c r="F150" s="37"/>
      <c r="G150" s="37"/>
      <c r="H150" s="67" t="s">
        <v>104</v>
      </c>
      <c r="I150" s="90">
        <f>+D150*365/1000</f>
        <v>51.348200000000006</v>
      </c>
      <c r="J150" s="37" t="s">
        <v>101</v>
      </c>
      <c r="K150" s="37"/>
      <c r="L150" s="93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</row>
    <row r="151" spans="1:37" x14ac:dyDescent="0.4">
      <c r="A151" s="48"/>
      <c r="B151" s="37"/>
      <c r="C151" s="37"/>
      <c r="D151" s="6"/>
      <c r="E151" s="100"/>
      <c r="F151" s="37"/>
      <c r="G151" s="37"/>
      <c r="H151" s="67"/>
      <c r="I151" s="90"/>
      <c r="J151" s="37"/>
      <c r="K151" s="37"/>
      <c r="L151" s="93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</row>
    <row r="152" spans="1:37" x14ac:dyDescent="0.4">
      <c r="A152" s="48"/>
      <c r="B152" s="102" t="s">
        <v>105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99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</row>
    <row r="153" spans="1:37" x14ac:dyDescent="0.4">
      <c r="A153" s="48"/>
      <c r="B153" s="42" t="s">
        <v>106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</row>
    <row r="154" spans="1:37" x14ac:dyDescent="0.4">
      <c r="A154" s="48"/>
      <c r="B154" s="46"/>
      <c r="C154" s="103" t="str">
        <f>" ---------- "&amp;C6&amp;" ----------"</f>
        <v xml:space="preserve"> ---------- SC1/SC5 ----------</v>
      </c>
      <c r="D154" s="104"/>
      <c r="E154" s="104"/>
      <c r="F154" s="37"/>
      <c r="G154" s="37"/>
      <c r="H154" s="103"/>
      <c r="I154" s="104"/>
      <c r="J154" s="104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</row>
    <row r="155" spans="1:37" x14ac:dyDescent="0.4">
      <c r="A155" s="48"/>
      <c r="B155" s="37"/>
      <c r="C155" s="67" t="s">
        <v>107</v>
      </c>
      <c r="D155" s="67"/>
      <c r="E155" s="67" t="s">
        <v>108</v>
      </c>
      <c r="F155" s="37"/>
      <c r="G155" s="37"/>
      <c r="H155" s="103"/>
      <c r="I155" s="104"/>
      <c r="J155" s="104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</row>
    <row r="156" spans="1:37" x14ac:dyDescent="0.4">
      <c r="A156" s="48"/>
      <c r="B156" s="69" t="s">
        <v>109</v>
      </c>
      <c r="C156" s="105">
        <v>5.9749999999999996</v>
      </c>
      <c r="D156" s="37" t="s">
        <v>110</v>
      </c>
      <c r="E156" s="58">
        <v>0.4395</v>
      </c>
      <c r="F156" s="37"/>
      <c r="G156" s="37"/>
      <c r="H156" s="103"/>
      <c r="I156" s="104"/>
      <c r="J156" s="104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</row>
    <row r="157" spans="1:37" x14ac:dyDescent="0.4">
      <c r="A157" s="48"/>
      <c r="B157" s="69" t="s">
        <v>111</v>
      </c>
      <c r="C157" s="105">
        <v>9.968</v>
      </c>
      <c r="D157" s="37" t="s">
        <v>110</v>
      </c>
      <c r="E157" s="58">
        <v>0.5605</v>
      </c>
      <c r="F157" s="37"/>
      <c r="G157" s="37"/>
      <c r="H157" s="103"/>
      <c r="I157" s="104"/>
      <c r="J157" s="104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</row>
    <row r="158" spans="1:37" x14ac:dyDescent="0.4">
      <c r="A158" s="48"/>
      <c r="B158" s="67" t="s">
        <v>112</v>
      </c>
      <c r="C158" s="105">
        <f>+C157-C156</f>
        <v>3.9930000000000003</v>
      </c>
      <c r="D158" s="37" t="s">
        <v>110</v>
      </c>
      <c r="E158" s="37"/>
      <c r="F158" s="37"/>
      <c r="G158" s="37"/>
      <c r="H158" s="103"/>
      <c r="I158" s="104"/>
      <c r="J158" s="104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</row>
    <row r="159" spans="1:37" x14ac:dyDescent="0.4">
      <c r="A159" s="37"/>
      <c r="B159" s="37"/>
      <c r="C159" s="37"/>
      <c r="D159" s="37"/>
      <c r="E159" s="37"/>
      <c r="F159" s="4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</row>
    <row r="160" spans="1:37" x14ac:dyDescent="0.4">
      <c r="A160" s="84" t="s">
        <v>113</v>
      </c>
      <c r="B160" s="63" t="s">
        <v>114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</row>
    <row r="161" spans="1:37" x14ac:dyDescent="0.4">
      <c r="A161" s="48"/>
      <c r="B161" s="46" t="s">
        <v>115</v>
      </c>
      <c r="C161" s="37"/>
      <c r="D161" s="106">
        <f>H461</f>
        <v>17.39</v>
      </c>
      <c r="E161" s="102" t="s">
        <v>116</v>
      </c>
      <c r="F161" s="100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</row>
    <row r="162" spans="1:37" x14ac:dyDescent="0.4">
      <c r="A162" s="48"/>
      <c r="B162" s="46"/>
      <c r="C162" s="37"/>
      <c r="D162" s="37"/>
      <c r="E162" s="37"/>
      <c r="F162" s="100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</row>
    <row r="163" spans="1:37" x14ac:dyDescent="0.4">
      <c r="A163" s="84" t="s">
        <v>117</v>
      </c>
      <c r="B163" s="63" t="s">
        <v>118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</row>
    <row r="164" spans="1:37" x14ac:dyDescent="0.4">
      <c r="A164" s="43"/>
      <c r="B164" s="63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</row>
    <row r="165" spans="1:37" x14ac:dyDescent="0.4">
      <c r="A165" s="43"/>
      <c r="B165" s="63"/>
      <c r="C165" s="65" t="str">
        <f t="shared" ref="C165" si="34">+C6</f>
        <v>SC1/SC5</v>
      </c>
      <c r="D165" s="65" t="str">
        <f>+D6</f>
        <v>SC3</v>
      </c>
      <c r="E165" s="65" t="str">
        <f>+E6</f>
        <v>SC2 ND</v>
      </c>
      <c r="F165" s="65" t="str">
        <f>+F6</f>
        <v>SC4</v>
      </c>
      <c r="G165" s="65" t="str">
        <f>+G6</f>
        <v>SC6</v>
      </c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</row>
    <row r="166" spans="1:37" x14ac:dyDescent="0.4">
      <c r="A166" s="43"/>
      <c r="B166" s="63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</row>
    <row r="167" spans="1:37" x14ac:dyDescent="0.4">
      <c r="A167" s="48"/>
      <c r="B167" s="67" t="s">
        <v>119</v>
      </c>
      <c r="C167" s="4">
        <f t="shared" ref="C167" si="35">(+$C$147*C141*$H$146/12)/C56</f>
        <v>18.20197246042077</v>
      </c>
      <c r="D167" s="4">
        <f>(+$C$147*D141*$H$146/12)/D56</f>
        <v>14.347581395348838</v>
      </c>
      <c r="E167" s="4">
        <f>(+$C$147*E141*$H$146/12)/E56</f>
        <v>7.5374105670816043</v>
      </c>
      <c r="F167" s="4">
        <f>(+$C$147*F141*$H$146/12)/F56</f>
        <v>0</v>
      </c>
      <c r="G167" s="4">
        <f>(+$C$147*G141*$H$146/12)/G56</f>
        <v>0</v>
      </c>
      <c r="H167" s="4"/>
      <c r="I167" s="4"/>
      <c r="J167" s="4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</row>
    <row r="168" spans="1:37" x14ac:dyDescent="0.4">
      <c r="A168" s="48"/>
      <c r="B168" s="67"/>
      <c r="C168" s="4"/>
      <c r="D168" s="4"/>
      <c r="E168" s="4"/>
      <c r="F168" s="4"/>
      <c r="G168" s="4"/>
      <c r="H168" s="4"/>
      <c r="I168" s="4"/>
      <c r="J168" s="4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</row>
    <row r="169" spans="1:37" x14ac:dyDescent="0.4">
      <c r="A169" s="48"/>
      <c r="B169" s="67" t="s">
        <v>120</v>
      </c>
      <c r="C169" s="4"/>
      <c r="D169" s="4"/>
      <c r="E169" s="4"/>
      <c r="F169" s="4"/>
      <c r="G169" s="4"/>
      <c r="H169" s="4"/>
      <c r="I169" s="4"/>
      <c r="J169" s="4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</row>
    <row r="170" spans="1:37" x14ac:dyDescent="0.4">
      <c r="A170" s="48"/>
      <c r="B170" s="67" t="s">
        <v>121</v>
      </c>
      <c r="C170" s="4">
        <f t="shared" ref="C170" si="36">((+$D$149*$E$144*C139)+($D$150*$E$145*C139))/C56</f>
        <v>21.860127892511109</v>
      </c>
      <c r="D170" s="4">
        <f>((+$D$149*$E$144*D139)+($D$150*$E$145*D139))/D56</f>
        <v>16.866305116279072</v>
      </c>
      <c r="E170" s="4">
        <f>((+$D$149*$E$144*E139)+($D$150*$E$145*E139))/E56</f>
        <v>10.784299268603043</v>
      </c>
      <c r="F170" s="4">
        <f>((+$D$149*$E$144*F139)+($D$150*$E$145*F139))/F56</f>
        <v>0</v>
      </c>
      <c r="G170" s="4">
        <f>((+$D$149*$E$144*G139)+($D$150*$E$145*G139))/G56</f>
        <v>0</v>
      </c>
      <c r="H170" s="4"/>
      <c r="I170" s="4"/>
      <c r="J170" s="4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</row>
    <row r="171" spans="1:37" x14ac:dyDescent="0.4">
      <c r="A171" s="48"/>
      <c r="B171" s="67" t="s">
        <v>122</v>
      </c>
      <c r="C171" s="4">
        <f t="shared" ref="C171" si="37">C$139*$D149*$E144/SUM(C$49:C$52)</f>
        <v>17.864980482514163</v>
      </c>
      <c r="D171" s="4">
        <f>D$139*$D149*$E144/SUM(D$49:D$52)</f>
        <v>25.009853012048197</v>
      </c>
      <c r="E171" s="4">
        <f>E$139*$D149*$E144/SUM(E$49:E$52)</f>
        <v>13.815344770206023</v>
      </c>
      <c r="F171" s="4">
        <f>F$139*$D149*$E144/SUM(F$49:F$52)</f>
        <v>0</v>
      </c>
      <c r="G171" s="4">
        <f>G$139*$D149*$E144/SUM(G$49:G$52)</f>
        <v>0</v>
      </c>
      <c r="H171" s="4"/>
      <c r="I171" s="4"/>
      <c r="J171" s="4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</row>
    <row r="172" spans="1:37" x14ac:dyDescent="0.4">
      <c r="A172" s="48"/>
      <c r="B172" s="67" t="s">
        <v>123</v>
      </c>
      <c r="C172" s="4">
        <f t="shared" ref="C172" si="38">C$139*$D150*$E145/(SUM(C$44:C$48)+SUM(C$53:C$55))</f>
        <v>24.971066608089156</v>
      </c>
      <c r="D172" s="4">
        <f>D$139*$D150*$E145/(SUM(D$44:D$48)+SUM(D$53:D$55))</f>
        <v>14.276594482758622</v>
      </c>
      <c r="E172" s="4">
        <f>E$139*$D150*$E145/(SUM(E$44:E$48)+SUM(E$53:E$55))</f>
        <v>9.6097604114531361</v>
      </c>
      <c r="F172" s="4">
        <f>F$139*$D150*$E145/(SUM(F$44:F$48)+SUM(F$53:F$55))</f>
        <v>0</v>
      </c>
      <c r="G172" s="4">
        <f>G$139*$D150*$E145/(SUM(G$44:G$48)+SUM(G$53:G$55))</f>
        <v>0</v>
      </c>
      <c r="H172" s="4"/>
      <c r="I172" s="4"/>
      <c r="J172" s="4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</row>
    <row r="173" spans="1:37" x14ac:dyDescent="0.4">
      <c r="A173" s="48"/>
      <c r="B173" s="37"/>
      <c r="C173" s="91"/>
      <c r="D173" s="91"/>
      <c r="E173" s="91"/>
      <c r="F173" s="91"/>
      <c r="G173" s="91"/>
      <c r="H173" s="91"/>
      <c r="I173" s="4"/>
      <c r="J173" s="4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</row>
    <row r="174" spans="1:37" x14ac:dyDescent="0.4">
      <c r="A174" s="48"/>
      <c r="B174" s="37"/>
      <c r="C174" s="107"/>
      <c r="D174" s="107"/>
      <c r="E174" s="107"/>
      <c r="F174" s="107"/>
      <c r="G174" s="10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</row>
    <row r="175" spans="1:37" x14ac:dyDescent="0.4">
      <c r="A175" s="84" t="s">
        <v>124</v>
      </c>
      <c r="B175" s="63" t="s">
        <v>125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</row>
    <row r="176" spans="1:37" x14ac:dyDescent="0.4">
      <c r="A176" s="48"/>
      <c r="B176" s="63"/>
      <c r="C176" s="91"/>
      <c r="D176" s="91"/>
      <c r="E176" s="91"/>
      <c r="F176" s="91"/>
      <c r="G176" s="91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</row>
    <row r="177" spans="1:37" x14ac:dyDescent="0.4">
      <c r="A177" s="48"/>
      <c r="B177" s="47" t="s">
        <v>126</v>
      </c>
      <c r="C177" s="107"/>
      <c r="D177" s="107"/>
      <c r="E177" s="107"/>
      <c r="F177" s="107"/>
      <c r="G177" s="10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</row>
    <row r="178" spans="1:37" x14ac:dyDescent="0.4">
      <c r="A178" s="48"/>
      <c r="B178" s="46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</row>
    <row r="179" spans="1:37" x14ac:dyDescent="0.4">
      <c r="A179" s="48"/>
      <c r="B179" s="37"/>
      <c r="C179" s="65" t="str">
        <f t="shared" ref="C179" si="39">+C6</f>
        <v>SC1/SC5</v>
      </c>
      <c r="D179" s="65" t="str">
        <f>+D6</f>
        <v>SC3</v>
      </c>
      <c r="E179" s="65" t="str">
        <f>+E6</f>
        <v>SC2 ND</v>
      </c>
      <c r="F179" s="65" t="str">
        <f>+F6</f>
        <v>SC4</v>
      </c>
      <c r="G179" s="65" t="str">
        <f>+G6</f>
        <v>SC6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</row>
    <row r="180" spans="1:37" x14ac:dyDescent="0.4">
      <c r="A180" s="48"/>
      <c r="B180" s="37"/>
      <c r="C180" s="53"/>
      <c r="D180" s="4"/>
      <c r="E180" s="53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</row>
    <row r="181" spans="1:37" x14ac:dyDescent="0.4">
      <c r="A181" s="48"/>
      <c r="B181" s="55" t="s">
        <v>63</v>
      </c>
      <c r="C181" s="7">
        <f t="shared" ref="C181" si="40">+C124+$D$161+C$167+C171</f>
        <v>81.23366305289376</v>
      </c>
      <c r="D181" s="4">
        <f>+D124+$D$161+D$167+D171</f>
        <v>84.966725716909423</v>
      </c>
      <c r="E181" s="4">
        <f>+E124+$D$161+E$167+E171</f>
        <v>64.589924078632677</v>
      </c>
      <c r="F181" s="4">
        <f>+F124+$D$161+F$167+F171</f>
        <v>45.416972508704035</v>
      </c>
      <c r="G181" s="4">
        <f>+G124+$D$161+G$167+G171</f>
        <v>45.425708353073816</v>
      </c>
      <c r="H181" s="4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</row>
    <row r="182" spans="1:37" x14ac:dyDescent="0.4">
      <c r="A182" s="48"/>
      <c r="B182" s="88" t="s">
        <v>78</v>
      </c>
      <c r="C182" s="4"/>
      <c r="D182" s="7">
        <f>+D125+$D$161+D$167+(D171*M48/M49)</f>
        <v>136.78144875138079</v>
      </c>
      <c r="E182" s="4"/>
      <c r="F182" s="4"/>
      <c r="G182" s="4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</row>
    <row r="183" spans="1:37" x14ac:dyDescent="0.4">
      <c r="A183" s="48"/>
      <c r="B183" s="88" t="s">
        <v>79</v>
      </c>
      <c r="C183" s="4"/>
      <c r="D183" s="7">
        <f>+D126+$D$161+D$167</f>
        <v>55.827483008114783</v>
      </c>
      <c r="E183" s="4"/>
      <c r="F183" s="4"/>
      <c r="G183" s="4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</row>
    <row r="184" spans="1:37" x14ac:dyDescent="0.4">
      <c r="A184" s="48"/>
      <c r="B184" s="67" t="s">
        <v>127</v>
      </c>
      <c r="C184" s="4">
        <f>(C181*SUM(C49:C52)-C158*10*E157*SUM(C49:C52))/SUM(C49:C52)</f>
        <v>58.852898052893757</v>
      </c>
      <c r="D184" s="4"/>
      <c r="E184" s="4"/>
      <c r="F184" s="4"/>
      <c r="G184" s="4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</row>
    <row r="185" spans="1:37" x14ac:dyDescent="0.4">
      <c r="A185" s="48"/>
      <c r="B185" s="67" t="s">
        <v>128</v>
      </c>
      <c r="C185" s="4">
        <f>C184+C158*10</f>
        <v>98.782898052893756</v>
      </c>
      <c r="D185" s="4"/>
      <c r="E185" s="4"/>
      <c r="F185" s="4"/>
      <c r="G185" s="4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</row>
    <row r="186" spans="1:37" x14ac:dyDescent="0.4">
      <c r="A186" s="48"/>
      <c r="B186" s="4"/>
      <c r="C186" s="4"/>
      <c r="D186" s="4"/>
      <c r="E186" s="4"/>
      <c r="F186" s="4"/>
      <c r="G186" s="4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</row>
    <row r="187" spans="1:37" x14ac:dyDescent="0.4">
      <c r="A187" s="48"/>
      <c r="B187" s="37"/>
      <c r="C187" s="4"/>
      <c r="D187" s="4"/>
      <c r="E187" s="4"/>
      <c r="F187" s="4"/>
      <c r="G187" s="4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</row>
    <row r="188" spans="1:37" x14ac:dyDescent="0.4">
      <c r="A188" s="48"/>
      <c r="B188" s="55" t="s">
        <v>69</v>
      </c>
      <c r="C188" s="7">
        <f t="shared" ref="C188" si="41">+C128+$D$161+C$167+C172</f>
        <v>93.197668305733359</v>
      </c>
      <c r="D188" s="4">
        <f>+D128+$D$161+D$167+D172</f>
        <v>79.639209637611501</v>
      </c>
      <c r="E188" s="4">
        <f>+E128+$D$161+E$167+E172</f>
        <v>67.210053141913846</v>
      </c>
      <c r="F188" s="4">
        <f>+F128+$D$161+F$167+F172</f>
        <v>50.281096004885491</v>
      </c>
      <c r="G188" s="4">
        <f>+G128+$D$161+G$167+G172</f>
        <v>50.092879500004891</v>
      </c>
      <c r="H188" s="4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</row>
    <row r="189" spans="1:37" x14ac:dyDescent="0.4">
      <c r="A189" s="48"/>
      <c r="B189" s="88" t="s">
        <v>78</v>
      </c>
      <c r="C189" s="4"/>
      <c r="D189" s="7">
        <f>+D129+$D$161+D$167+(D172*M44/M45)</f>
        <v>111.00459600003526</v>
      </c>
      <c r="E189" s="4"/>
      <c r="F189" s="4"/>
      <c r="G189" s="4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x14ac:dyDescent="0.4">
      <c r="A190" s="48"/>
      <c r="B190" s="88" t="s">
        <v>79</v>
      </c>
      <c r="C190" s="4"/>
      <c r="D190" s="7">
        <f>+D130+$D$161+D$167</f>
        <v>62.656918827597501</v>
      </c>
      <c r="E190" s="4"/>
      <c r="F190" s="4"/>
      <c r="G190" s="4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</row>
    <row r="191" spans="1:37" x14ac:dyDescent="0.4">
      <c r="A191" s="48"/>
      <c r="B191" s="37"/>
      <c r="C191" s="4"/>
      <c r="D191" s="4"/>
      <c r="E191" s="4"/>
      <c r="F191" s="4"/>
      <c r="G191" s="4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x14ac:dyDescent="0.4">
      <c r="A192" s="48"/>
      <c r="B192" s="37" t="s">
        <v>129</v>
      </c>
      <c r="C192" s="7">
        <f t="shared" ref="C192" si="42">+C132+$D$161+C$167+C170</f>
        <v>87.960004917376068</v>
      </c>
      <c r="D192" s="4">
        <f>+D132+$D$161+D$167+D170</f>
        <v>80.924627761395584</v>
      </c>
      <c r="E192" s="4">
        <f>+E132+$D$161+E$167+E170</f>
        <v>66.478301467698429</v>
      </c>
      <c r="F192" s="4">
        <f>+F132+$D$161+F$167+F170</f>
        <v>48.923089813998672</v>
      </c>
      <c r="G192" s="4">
        <f>+G132+$D$161+G$167+G170</f>
        <v>48.723226502034223</v>
      </c>
      <c r="H192" s="4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1:37" x14ac:dyDescent="0.4">
      <c r="A193" s="48"/>
      <c r="B193" s="37"/>
      <c r="C193" s="4"/>
      <c r="D193" s="4"/>
      <c r="E193" s="4"/>
      <c r="F193" s="4"/>
      <c r="G193" s="4"/>
      <c r="H193" s="4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</row>
    <row r="194" spans="1:37" x14ac:dyDescent="0.4">
      <c r="A194" s="48"/>
      <c r="B194" s="47" t="s">
        <v>130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x14ac:dyDescent="0.4">
      <c r="A195" s="48"/>
      <c r="B195" s="46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x14ac:dyDescent="0.4">
      <c r="A196" s="48"/>
      <c r="B196" s="37"/>
      <c r="C196" s="65" t="str">
        <f>+H6</f>
        <v>SC2 Dem</v>
      </c>
      <c r="D196" s="53"/>
      <c r="E196" s="37"/>
      <c r="F196" s="63" t="s">
        <v>131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x14ac:dyDescent="0.4">
      <c r="A197" s="48"/>
      <c r="B197" s="37"/>
      <c r="C197" s="53"/>
      <c r="D197" s="37"/>
      <c r="E197" s="63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x14ac:dyDescent="0.4">
      <c r="A198" s="48"/>
      <c r="B198" s="55" t="s">
        <v>63</v>
      </c>
      <c r="C198" s="4">
        <f>+H124+$D$161</f>
        <v>45.646753569200328</v>
      </c>
      <c r="D198" s="37"/>
      <c r="E198" s="37"/>
      <c r="F198" s="108" t="s">
        <v>132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x14ac:dyDescent="0.4">
      <c r="A199" s="48"/>
      <c r="B199" s="88"/>
      <c r="C199" s="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x14ac:dyDescent="0.4">
      <c r="A200" s="48"/>
      <c r="B200" s="88"/>
      <c r="C200" s="4"/>
      <c r="D200" s="37"/>
      <c r="E200" s="37"/>
      <c r="F200" s="37"/>
      <c r="G200" s="65"/>
      <c r="H200" s="109" t="s">
        <v>133</v>
      </c>
      <c r="I200" s="109" t="s">
        <v>134</v>
      </c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x14ac:dyDescent="0.4">
      <c r="A201" s="48"/>
      <c r="B201" s="37"/>
      <c r="C201" s="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x14ac:dyDescent="0.4">
      <c r="A202" s="48"/>
      <c r="B202" s="55" t="s">
        <v>69</v>
      </c>
      <c r="C202" s="4">
        <f>+H128+$D$161</f>
        <v>50.224059009571384</v>
      </c>
      <c r="D202" s="37"/>
      <c r="E202" s="37"/>
      <c r="F202" s="67" t="s">
        <v>97</v>
      </c>
      <c r="G202" s="8"/>
      <c r="H202" s="110">
        <f>H213</f>
        <v>1.6910000000000001</v>
      </c>
      <c r="I202" s="110">
        <f>I213</f>
        <v>4.4580000000000002</v>
      </c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x14ac:dyDescent="0.4">
      <c r="A203" s="48"/>
      <c r="B203" s="88"/>
      <c r="C203" s="4"/>
      <c r="D203" s="37"/>
      <c r="E203" s="37"/>
      <c r="F203" s="67" t="s">
        <v>103</v>
      </c>
      <c r="G203" s="8"/>
      <c r="H203" s="110">
        <f>H214</f>
        <v>2.298</v>
      </c>
      <c r="I203" s="110">
        <f>I214</f>
        <v>4.7300000000000004</v>
      </c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x14ac:dyDescent="0.4">
      <c r="A204" s="48"/>
      <c r="B204" s="88"/>
      <c r="C204" s="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x14ac:dyDescent="0.4">
      <c r="A205" s="48"/>
      <c r="B205" s="88"/>
      <c r="C205" s="4"/>
      <c r="D205" s="37"/>
      <c r="E205" s="37"/>
      <c r="F205" s="111" t="s">
        <v>135</v>
      </c>
      <c r="G205" s="37"/>
      <c r="H205" s="100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x14ac:dyDescent="0.4">
      <c r="A206" s="48"/>
      <c r="B206" s="37" t="s">
        <v>136</v>
      </c>
      <c r="C206" s="4">
        <f>+H132+$D$161</f>
        <v>48.574652652295967</v>
      </c>
      <c r="D206" s="37"/>
      <c r="E206" s="37"/>
      <c r="F206" s="67" t="s">
        <v>137</v>
      </c>
      <c r="G206" s="90">
        <f>+C147/1000/12</f>
        <v>3.545666666666667</v>
      </c>
      <c r="H206" s="100" t="s">
        <v>138</v>
      </c>
      <c r="I206" s="37"/>
      <c r="J206" s="37"/>
      <c r="K206" s="37"/>
      <c r="L206" s="37"/>
      <c r="M206" s="37"/>
      <c r="N206" s="37"/>
      <c r="O206" s="37"/>
      <c r="P206" s="89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ht="13" x14ac:dyDescent="0.45">
      <c r="A207" s="84" t="s">
        <v>124</v>
      </c>
      <c r="B207" s="112" t="s">
        <v>139</v>
      </c>
      <c r="C207" s="4"/>
      <c r="D207" s="37"/>
      <c r="E207" s="37"/>
      <c r="F207" s="37"/>
      <c r="G207" s="37"/>
      <c r="H207" s="37"/>
      <c r="I207" s="37"/>
      <c r="J207" s="37"/>
      <c r="K207" s="113" t="s">
        <v>131</v>
      </c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ht="13" x14ac:dyDescent="0.45">
      <c r="A208" s="84"/>
      <c r="B208" s="37"/>
      <c r="C208" s="4"/>
      <c r="D208" s="37"/>
      <c r="E208" s="37"/>
      <c r="F208" s="37"/>
      <c r="G208" s="37"/>
      <c r="H208" s="37"/>
      <c r="I208" s="37"/>
      <c r="J208" s="37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ht="13" x14ac:dyDescent="0.45">
      <c r="A209" s="48"/>
      <c r="B209" s="115" t="s">
        <v>140</v>
      </c>
      <c r="C209" s="4"/>
      <c r="D209" s="4"/>
      <c r="E209" s="37"/>
      <c r="F209" s="116" t="s">
        <v>132</v>
      </c>
      <c r="G209" s="37"/>
      <c r="H209" s="37"/>
      <c r="I209" s="37"/>
      <c r="J209" s="37"/>
      <c r="K209" s="117" t="s">
        <v>132</v>
      </c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ht="13" x14ac:dyDescent="0.45">
      <c r="A210" s="48"/>
      <c r="B210" s="55" t="s">
        <v>63</v>
      </c>
      <c r="C210" s="7">
        <f>(C198*Q48+($H213*($M$223/4*H144))+($I213*($M$223/4*H144))+($G206*$H144*H141*1000))/Q48</f>
        <v>72.299330251406232</v>
      </c>
      <c r="D210" s="7"/>
      <c r="E210" s="37"/>
      <c r="F210" s="78"/>
      <c r="G210" s="37"/>
      <c r="H210" s="37"/>
      <c r="I210" s="37"/>
      <c r="J210" s="37"/>
      <c r="K210" s="114"/>
      <c r="L210" s="114"/>
      <c r="M210" s="114"/>
      <c r="N210" s="114"/>
      <c r="O210" s="114"/>
      <c r="P210" s="114"/>
      <c r="Q210" s="114"/>
      <c r="R210" s="114"/>
      <c r="S210" s="114"/>
      <c r="T210" s="273" t="s">
        <v>141</v>
      </c>
      <c r="U210" s="273"/>
      <c r="V210" s="118"/>
      <c r="W210" s="118"/>
      <c r="X210" s="114"/>
      <c r="Y210" s="114"/>
      <c r="Z210" s="114" t="s">
        <v>142</v>
      </c>
      <c r="AA210" s="37">
        <v>3</v>
      </c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ht="13" x14ac:dyDescent="0.45">
      <c r="A211" s="48"/>
      <c r="B211" s="88"/>
      <c r="C211" s="4"/>
      <c r="D211" s="4"/>
      <c r="E211" s="37"/>
      <c r="F211" s="37"/>
      <c r="G211" s="37"/>
      <c r="H211" s="37"/>
      <c r="I211" s="37"/>
      <c r="J211" s="37"/>
      <c r="K211" s="114"/>
      <c r="L211" s="119" t="str">
        <f>H6</f>
        <v>SC2 Dem</v>
      </c>
      <c r="M211" s="120" t="s">
        <v>143</v>
      </c>
      <c r="N211" s="120" t="s">
        <v>134</v>
      </c>
      <c r="O211" s="114"/>
      <c r="P211" s="114" t="s">
        <v>144</v>
      </c>
      <c r="Q211" s="121" t="s">
        <v>143</v>
      </c>
      <c r="R211" s="121" t="s">
        <v>134</v>
      </c>
      <c r="S211" s="121" t="s">
        <v>145</v>
      </c>
      <c r="T211" s="114" t="s">
        <v>146</v>
      </c>
      <c r="U211" s="114" t="s">
        <v>147</v>
      </c>
      <c r="V211" s="114" t="s">
        <v>148</v>
      </c>
      <c r="W211" s="114" t="s">
        <v>149</v>
      </c>
      <c r="X211" s="122">
        <v>0.33</v>
      </c>
      <c r="Y211" s="114"/>
      <c r="Z211" s="114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ht="13" x14ac:dyDescent="0.45">
      <c r="A212" s="48"/>
      <c r="B212" s="88"/>
      <c r="C212" s="4"/>
      <c r="D212" s="4"/>
      <c r="E212" s="37"/>
      <c r="F212" s="78"/>
      <c r="G212" s="65"/>
      <c r="H212" s="109" t="s">
        <v>133</v>
      </c>
      <c r="I212" s="109" t="s">
        <v>134</v>
      </c>
      <c r="J212" s="37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ht="13" x14ac:dyDescent="0.45">
      <c r="A213" s="48"/>
      <c r="B213" s="37"/>
      <c r="C213" s="4"/>
      <c r="D213" s="4"/>
      <c r="E213" s="37"/>
      <c r="F213" s="37" t="s">
        <v>97</v>
      </c>
      <c r="G213" s="110"/>
      <c r="H213" s="110">
        <f>M213</f>
        <v>1.6910000000000001</v>
      </c>
      <c r="I213" s="110">
        <f>N213</f>
        <v>4.4580000000000002</v>
      </c>
      <c r="J213" s="37"/>
      <c r="K213" s="121" t="s">
        <v>97</v>
      </c>
      <c r="L213" s="123">
        <f>ROUND(H139*D149*E144/$M$223,3)</f>
        <v>4.8280000000000003</v>
      </c>
      <c r="M213" s="105">
        <f>ROUND((P213-V213*(1-$X$211)*R213)/S213,$AA$210)</f>
        <v>1.6910000000000001</v>
      </c>
      <c r="N213" s="105">
        <f>ROUND(M213+V213*(1-$X$211),$AA$210)</f>
        <v>4.4580000000000002</v>
      </c>
      <c r="O213" s="114"/>
      <c r="P213" s="123">
        <f>H139*D149*E144</f>
        <v>1687735.0924</v>
      </c>
      <c r="Q213" s="124">
        <f>$M$229</f>
        <v>76363.185350663873</v>
      </c>
      <c r="R213" s="124">
        <f>$M$223</f>
        <v>349608.11464933609</v>
      </c>
      <c r="S213" s="125">
        <f>Q213+R213</f>
        <v>425971.29999999993</v>
      </c>
      <c r="T213" s="126">
        <v>1.69</v>
      </c>
      <c r="U213" s="126">
        <v>5.82</v>
      </c>
      <c r="V213" s="114">
        <f>U213-T213</f>
        <v>4.1300000000000008</v>
      </c>
      <c r="W213" s="114"/>
      <c r="X213" s="114"/>
      <c r="Y213" s="114"/>
      <c r="Z213" s="89">
        <f>M213*Q213+N213*R213</f>
        <v>1687683.1215347131</v>
      </c>
      <c r="AA213" s="89">
        <f>P213-Z213</f>
        <v>51.970865286886692</v>
      </c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ht="13" x14ac:dyDescent="0.45">
      <c r="A214" s="48"/>
      <c r="B214" s="55" t="s">
        <v>69</v>
      </c>
      <c r="C214" s="7">
        <f>(C202*Q44+($H214*($M$224/8*H145))+($I214*($M$224/8*H145))+($G206*$H145*H141*1000))/Q44</f>
        <v>78.912234079666845</v>
      </c>
      <c r="D214" s="7"/>
      <c r="E214" s="37"/>
      <c r="F214" s="37" t="s">
        <v>103</v>
      </c>
      <c r="G214" s="110"/>
      <c r="H214" s="110">
        <f>M214</f>
        <v>2.298</v>
      </c>
      <c r="I214" s="110">
        <f>N214</f>
        <v>4.7300000000000004</v>
      </c>
      <c r="J214" s="37"/>
      <c r="K214" s="121" t="s">
        <v>103</v>
      </c>
      <c r="L214" s="123">
        <f>ROUND(H139*D150*E145/$M$224,3)</f>
        <v>5.3090000000000002</v>
      </c>
      <c r="M214" s="37">
        <f>ROUND((P214-V214*(1-$X$211)*R214)/S214,$AA$210)</f>
        <v>2.298</v>
      </c>
      <c r="N214" s="105">
        <f>ROUND(M214+V214*(1-$X$211),$AA$210)</f>
        <v>4.7300000000000004</v>
      </c>
      <c r="O214" s="114"/>
      <c r="P214" s="123">
        <f>H139*D150*E145</f>
        <v>3029564.33928</v>
      </c>
      <c r="Q214" s="124">
        <f>$M$230</f>
        <v>143773.44799940975</v>
      </c>
      <c r="R214" s="124">
        <f>$M$224</f>
        <v>570677.95200059027</v>
      </c>
      <c r="S214" s="125">
        <f>Q214+R214</f>
        <v>714451.4</v>
      </c>
      <c r="T214" s="126">
        <v>1.44</v>
      </c>
      <c r="U214" s="126">
        <v>5.07</v>
      </c>
      <c r="V214" s="114">
        <f>U214-T214</f>
        <v>3.6300000000000003</v>
      </c>
      <c r="W214" s="114"/>
      <c r="X214" s="114"/>
      <c r="Y214" s="114"/>
      <c r="Z214" s="114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ht="13" x14ac:dyDescent="0.45">
      <c r="A215" s="48"/>
      <c r="B215" s="88"/>
      <c r="C215" s="4"/>
      <c r="D215" s="37"/>
      <c r="E215" s="37"/>
      <c r="F215" s="37"/>
      <c r="G215" s="107"/>
      <c r="H215" s="107"/>
      <c r="I215" s="37"/>
      <c r="J215" s="37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ht="13" x14ac:dyDescent="0.45">
      <c r="A216" s="48"/>
      <c r="B216" s="88"/>
      <c r="C216" s="4"/>
      <c r="D216" s="37"/>
      <c r="E216" s="37"/>
      <c r="F216" s="37"/>
      <c r="G216" s="37"/>
      <c r="H216" s="37"/>
      <c r="I216" s="37"/>
      <c r="J216" s="37"/>
      <c r="K216" s="127" t="s">
        <v>135</v>
      </c>
      <c r="L216" s="114"/>
      <c r="M216" s="128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ht="13" x14ac:dyDescent="0.45">
      <c r="A217" s="48"/>
      <c r="B217" s="88"/>
      <c r="C217" s="4"/>
      <c r="D217" s="37"/>
      <c r="E217" s="37"/>
      <c r="F217" s="37"/>
      <c r="G217" s="91"/>
      <c r="H217" s="91"/>
      <c r="I217" s="37"/>
      <c r="J217" s="37"/>
      <c r="K217" s="121" t="s">
        <v>137</v>
      </c>
      <c r="L217" s="129">
        <f>+C147/1000/12</f>
        <v>3.545666666666667</v>
      </c>
      <c r="M217" s="128" t="s">
        <v>138</v>
      </c>
      <c r="N217" s="114"/>
      <c r="O217" s="114"/>
      <c r="P217" s="130">
        <f>P213+P214</f>
        <v>4717299.4316799995</v>
      </c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ht="13" x14ac:dyDescent="0.45">
      <c r="A218" s="48"/>
      <c r="B218" s="37" t="s">
        <v>150</v>
      </c>
      <c r="C218" s="7">
        <f>(C206*H56+($H213*($M$229/4*H144)+$H214*($M$230/8*H145)+$I213*($M$223/4*H144)+$I214*($M$224/8*H145))+($G206*$H146*H141*1000))/H56</f>
        <v>72.243072459705374</v>
      </c>
      <c r="D218" s="37"/>
      <c r="E218" s="37"/>
      <c r="F218" s="37"/>
      <c r="G218" s="37"/>
      <c r="H218" s="37"/>
      <c r="I218" s="37"/>
      <c r="J218" s="37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219" spans="1:37" ht="13" x14ac:dyDescent="0.45">
      <c r="A219" s="48"/>
      <c r="B219" s="37"/>
      <c r="C219" s="5"/>
      <c r="D219" s="5"/>
      <c r="E219" s="37"/>
      <c r="F219" s="37"/>
      <c r="G219" s="37"/>
      <c r="H219" s="37"/>
      <c r="I219" s="37"/>
      <c r="J219" s="37"/>
      <c r="K219" s="37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</row>
    <row r="220" spans="1:37" ht="13" thickBot="1" x14ac:dyDescent="0.45">
      <c r="A220" s="48"/>
      <c r="B220" s="63" t="s">
        <v>151</v>
      </c>
      <c r="C220" s="4"/>
      <c r="D220" s="4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</row>
    <row r="221" spans="1:37" x14ac:dyDescent="0.4">
      <c r="A221" s="48"/>
      <c r="B221" s="67" t="s">
        <v>152</v>
      </c>
      <c r="C221" s="30">
        <f>(+SUMPRODUCT(C192:G192,C56:G56)+SUMPRODUCT(C218,H56))/1000</f>
        <v>83411.182713928531</v>
      </c>
      <c r="D221" s="37"/>
      <c r="E221" s="37"/>
      <c r="F221" s="37"/>
      <c r="G221" s="37"/>
      <c r="H221" s="37"/>
      <c r="I221" s="37"/>
      <c r="J221" s="37"/>
      <c r="K221" s="37"/>
      <c r="L221" s="131" t="s">
        <v>153</v>
      </c>
      <c r="M221" s="132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</row>
    <row r="222" spans="1:37" x14ac:dyDescent="0.4">
      <c r="A222" s="48"/>
      <c r="B222" s="37"/>
      <c r="C222" s="67" t="s">
        <v>154</v>
      </c>
      <c r="D222" s="7">
        <f>+C221/SUM(C56:H56)*1000</f>
        <v>81.963354843127405</v>
      </c>
      <c r="E222" s="37" t="s">
        <v>155</v>
      </c>
      <c r="F222" s="37"/>
      <c r="G222" s="37"/>
      <c r="H222" s="37"/>
      <c r="I222" s="37"/>
      <c r="J222" s="37"/>
      <c r="K222" s="37"/>
      <c r="L222" s="133"/>
      <c r="M222" s="134" t="s">
        <v>156</v>
      </c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</row>
    <row r="223" spans="1:37" x14ac:dyDescent="0.4">
      <c r="A223" s="48"/>
      <c r="B223" s="37"/>
      <c r="C223" s="67" t="s">
        <v>157</v>
      </c>
      <c r="D223" s="7">
        <f>+C221/SUMPRODUCT(C56:H56,C81:H81)*1000</f>
        <v>76.182972297434603</v>
      </c>
      <c r="E223" s="37" t="s">
        <v>158</v>
      </c>
      <c r="F223" s="37"/>
      <c r="G223" s="37"/>
      <c r="H223" s="37"/>
      <c r="I223" s="37"/>
      <c r="J223" s="37"/>
      <c r="K223" s="37"/>
      <c r="L223" s="133" t="s">
        <v>68</v>
      </c>
      <c r="M223" s="135">
        <v>349608.11464933609</v>
      </c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</row>
    <row r="224" spans="1:37" ht="13" thickBot="1" x14ac:dyDescent="0.45">
      <c r="A224" s="48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36" t="s">
        <v>61</v>
      </c>
      <c r="M224" s="137">
        <v>570677.95200059027</v>
      </c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</row>
    <row r="225" spans="1:37" x14ac:dyDescent="0.4">
      <c r="A225" s="48"/>
      <c r="B225" s="37"/>
      <c r="C225" s="37"/>
      <c r="D225" s="37"/>
      <c r="E225" s="138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</row>
    <row r="226" spans="1:37" ht="13" thickBot="1" x14ac:dyDescent="0.45">
      <c r="A226" s="84" t="s">
        <v>159</v>
      </c>
      <c r="B226" s="63" t="s">
        <v>160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</row>
    <row r="227" spans="1:37" x14ac:dyDescent="0.4">
      <c r="A227" s="48"/>
      <c r="B227" s="63"/>
      <c r="C227" s="37"/>
      <c r="D227" s="37"/>
      <c r="E227" s="37"/>
      <c r="F227" s="37"/>
      <c r="G227" s="37"/>
      <c r="H227" s="37"/>
      <c r="I227" s="37"/>
      <c r="J227" s="37"/>
      <c r="K227" s="37"/>
      <c r="L227" s="131" t="s">
        <v>153</v>
      </c>
      <c r="M227" s="132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</row>
    <row r="228" spans="1:37" x14ac:dyDescent="0.4">
      <c r="A228" s="48"/>
      <c r="B228" s="63" t="s">
        <v>161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133"/>
      <c r="M228" s="134" t="s">
        <v>162</v>
      </c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</row>
    <row r="229" spans="1:37" x14ac:dyDescent="0.4">
      <c r="A229" s="48"/>
      <c r="B229" s="46" t="s">
        <v>163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133" t="s">
        <v>68</v>
      </c>
      <c r="M229" s="135">
        <v>76363.185350663873</v>
      </c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</row>
    <row r="230" spans="1:37" ht="13" thickBot="1" x14ac:dyDescent="0.45">
      <c r="A230" s="48"/>
      <c r="B230" s="63"/>
      <c r="C230" s="37"/>
      <c r="D230" s="37"/>
      <c r="E230" s="37"/>
      <c r="F230" s="37"/>
      <c r="G230" s="37"/>
      <c r="H230" s="37"/>
      <c r="I230" s="37"/>
      <c r="J230" s="37"/>
      <c r="K230" s="37"/>
      <c r="L230" s="136" t="s">
        <v>61</v>
      </c>
      <c r="M230" s="137">
        <v>143773.44799940975</v>
      </c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</row>
    <row r="231" spans="1:37" x14ac:dyDescent="0.4">
      <c r="A231" s="48"/>
      <c r="B231" s="37"/>
      <c r="C231" s="65" t="str">
        <f t="shared" ref="C231" si="43">+C6</f>
        <v>SC1/SC5</v>
      </c>
      <c r="D231" s="65" t="str">
        <f>+D6</f>
        <v>SC3</v>
      </c>
      <c r="E231" s="65" t="str">
        <f>+E6</f>
        <v>SC2 ND</v>
      </c>
      <c r="F231" s="65" t="str">
        <f>+F6</f>
        <v>SC4</v>
      </c>
      <c r="G231" s="65" t="str">
        <f>+G6</f>
        <v>SC6</v>
      </c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</row>
    <row r="232" spans="1:37" x14ac:dyDescent="0.4">
      <c r="A232" s="48"/>
      <c r="B232" s="37"/>
      <c r="C232" s="53"/>
      <c r="D232" s="53"/>
      <c r="E232" s="53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</row>
    <row r="233" spans="1:37" x14ac:dyDescent="0.4">
      <c r="A233" s="48"/>
      <c r="B233" s="55" t="s">
        <v>63</v>
      </c>
      <c r="C233" s="9">
        <f>ROUND(+C181/$D$223,3)</f>
        <v>1.0660000000000001</v>
      </c>
      <c r="D233" s="139"/>
      <c r="E233" s="9">
        <f>ROUND(+E181/$D$223,3)</f>
        <v>0.84799999999999998</v>
      </c>
      <c r="F233" s="9">
        <f>ROUND(+F181/$D$223,3)</f>
        <v>0.59599999999999997</v>
      </c>
      <c r="G233" s="9">
        <f>ROUND(+G181/$D$223,3)</f>
        <v>0.59599999999999997</v>
      </c>
      <c r="H233" s="11"/>
      <c r="I233" s="11"/>
      <c r="J233" s="11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</row>
    <row r="234" spans="1:37" x14ac:dyDescent="0.4">
      <c r="A234" s="48"/>
      <c r="B234" s="88" t="s">
        <v>78</v>
      </c>
      <c r="C234" s="139"/>
      <c r="D234" s="9">
        <f>ROUND(+D182/$D$223,3)</f>
        <v>1.7949999999999999</v>
      </c>
      <c r="E234" s="139"/>
      <c r="F234" s="139"/>
      <c r="G234" s="139"/>
      <c r="H234" s="11"/>
      <c r="I234" s="11"/>
      <c r="J234" s="11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</row>
    <row r="235" spans="1:37" x14ac:dyDescent="0.4">
      <c r="A235" s="48"/>
      <c r="B235" s="88" t="s">
        <v>79</v>
      </c>
      <c r="C235" s="139"/>
      <c r="D235" s="9">
        <f>ROUND(+D183/$D$223,3)</f>
        <v>0.73299999999999998</v>
      </c>
      <c r="E235" s="139"/>
      <c r="F235" s="139"/>
      <c r="G235" s="139"/>
      <c r="H235" s="11"/>
      <c r="I235" s="11"/>
      <c r="J235" s="11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</row>
    <row r="236" spans="1:37" x14ac:dyDescent="0.4">
      <c r="A236" s="48"/>
      <c r="B236" s="88"/>
      <c r="C236" s="139"/>
      <c r="D236" s="140"/>
      <c r="E236" s="139"/>
      <c r="F236" s="139"/>
      <c r="G236" s="139"/>
      <c r="H236" s="11"/>
      <c r="I236" s="11"/>
      <c r="J236" s="11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</row>
    <row r="237" spans="1:37" x14ac:dyDescent="0.4">
      <c r="A237" s="48"/>
      <c r="B237" s="109"/>
      <c r="C237" s="37"/>
      <c r="D237" s="140"/>
      <c r="E237" s="139"/>
      <c r="F237" s="139"/>
      <c r="G237" s="139"/>
      <c r="H237" s="11"/>
      <c r="I237" s="11"/>
      <c r="J237" s="11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</row>
    <row r="238" spans="1:37" x14ac:dyDescent="0.4">
      <c r="A238" s="48"/>
      <c r="B238" s="141" t="s">
        <v>164</v>
      </c>
      <c r="C238" s="10">
        <f>C184-C181</f>
        <v>-22.380765000000004</v>
      </c>
      <c r="D238" s="140"/>
      <c r="E238" s="139"/>
      <c r="F238" s="139"/>
      <c r="G238" s="139"/>
      <c r="H238" s="11"/>
      <c r="I238" s="11"/>
      <c r="J238" s="11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</row>
    <row r="239" spans="1:37" x14ac:dyDescent="0.4">
      <c r="A239" s="48"/>
      <c r="B239" s="141" t="s">
        <v>165</v>
      </c>
      <c r="C239" s="10">
        <f>C185-C181</f>
        <v>17.549234999999996</v>
      </c>
      <c r="D239" s="140"/>
      <c r="E239" s="139"/>
      <c r="F239" s="139"/>
      <c r="G239" s="139"/>
      <c r="H239" s="11"/>
      <c r="I239" s="11"/>
      <c r="J239" s="11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</row>
    <row r="240" spans="1:37" x14ac:dyDescent="0.4">
      <c r="A240" s="48"/>
      <c r="B240" s="139"/>
      <c r="C240" s="139"/>
      <c r="D240" s="140"/>
      <c r="E240" s="139"/>
      <c r="F240" s="139"/>
      <c r="G240" s="139"/>
      <c r="H240" s="11"/>
      <c r="I240" s="11"/>
      <c r="J240" s="11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</row>
    <row r="241" spans="1:37" x14ac:dyDescent="0.4">
      <c r="A241" s="48"/>
      <c r="B241" s="37"/>
      <c r="C241" s="139"/>
      <c r="D241" s="139"/>
      <c r="E241" s="139"/>
      <c r="F241" s="139"/>
      <c r="G241" s="139"/>
      <c r="H241" s="11"/>
      <c r="I241" s="11"/>
      <c r="J241" s="11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</row>
    <row r="242" spans="1:37" x14ac:dyDescent="0.4">
      <c r="A242" s="48"/>
      <c r="B242" s="55" t="s">
        <v>69</v>
      </c>
      <c r="C242" s="9">
        <f>ROUND(+C188/$D$223,3)</f>
        <v>1.2230000000000001</v>
      </c>
      <c r="D242" s="20"/>
      <c r="E242" s="9">
        <f>ROUND(+E188/$D$223,3)</f>
        <v>0.88200000000000001</v>
      </c>
      <c r="F242" s="9">
        <f>ROUND(+F188/$D$223,3)</f>
        <v>0.66</v>
      </c>
      <c r="G242" s="9">
        <f>ROUND(+G188/$D$223,3)</f>
        <v>0.65800000000000003</v>
      </c>
      <c r="H242" s="11"/>
      <c r="I242" s="11"/>
      <c r="J242" s="11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</row>
    <row r="243" spans="1:37" x14ac:dyDescent="0.4">
      <c r="A243" s="48"/>
      <c r="B243" s="88" t="s">
        <v>78</v>
      </c>
      <c r="C243" s="139"/>
      <c r="D243" s="9">
        <f>ROUND(+D189/$D$223,3)</f>
        <v>1.4570000000000001</v>
      </c>
      <c r="E243" s="139"/>
      <c r="F243" s="139"/>
      <c r="G243" s="139"/>
      <c r="H243" s="11"/>
      <c r="I243" s="11"/>
      <c r="J243" s="11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</row>
    <row r="244" spans="1:37" x14ac:dyDescent="0.4">
      <c r="A244" s="48"/>
      <c r="B244" s="88" t="s">
        <v>79</v>
      </c>
      <c r="C244" s="139"/>
      <c r="D244" s="9">
        <f>ROUND(+D190/$D$223,3)</f>
        <v>0.82199999999999995</v>
      </c>
      <c r="E244" s="139"/>
      <c r="F244" s="139"/>
      <c r="G244" s="139"/>
      <c r="H244" s="11"/>
      <c r="I244" s="11"/>
      <c r="J244" s="11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</row>
    <row r="245" spans="1:37" x14ac:dyDescent="0.4">
      <c r="A245" s="48"/>
      <c r="B245" s="37"/>
      <c r="C245" s="11"/>
      <c r="D245" s="11"/>
      <c r="E245" s="11"/>
      <c r="F245" s="11"/>
      <c r="G245" s="11"/>
      <c r="H245" s="11"/>
      <c r="I245" s="11"/>
      <c r="J245" s="11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</row>
    <row r="246" spans="1:37" x14ac:dyDescent="0.4">
      <c r="A246" s="48"/>
      <c r="B246" s="37" t="s">
        <v>166</v>
      </c>
      <c r="C246" s="142">
        <f t="shared" ref="C246" si="44">ROUND(+C192/$D$223,3)</f>
        <v>1.155</v>
      </c>
      <c r="D246" s="142">
        <f>ROUND(+D192/$D$223,3)</f>
        <v>1.0620000000000001</v>
      </c>
      <c r="E246" s="142">
        <f>ROUND(+E192/$D$223,3)</f>
        <v>0.873</v>
      </c>
      <c r="F246" s="142">
        <f>ROUND(+F192/$D$223,3)</f>
        <v>0.64200000000000002</v>
      </c>
      <c r="G246" s="142">
        <f>ROUND(+G192/$D$223,3)</f>
        <v>0.64</v>
      </c>
      <c r="H246" s="11"/>
      <c r="I246" s="11"/>
      <c r="J246" s="11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</row>
    <row r="247" spans="1:37" x14ac:dyDescent="0.4">
      <c r="A247" s="48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</row>
    <row r="248" spans="1:37" x14ac:dyDescent="0.4">
      <c r="A248" s="84" t="s">
        <v>159</v>
      </c>
      <c r="B248" s="112" t="s">
        <v>139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</row>
    <row r="249" spans="1:37" x14ac:dyDescent="0.4">
      <c r="A249" s="84"/>
      <c r="B249" s="112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</row>
    <row r="250" spans="1:37" x14ac:dyDescent="0.4">
      <c r="A250" s="48"/>
      <c r="B250" s="63" t="s">
        <v>167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</row>
    <row r="251" spans="1:37" x14ac:dyDescent="0.4">
      <c r="A251" s="48"/>
      <c r="B251" s="46" t="s">
        <v>168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</row>
    <row r="252" spans="1:37" x14ac:dyDescent="0.4">
      <c r="A252" s="48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</row>
    <row r="253" spans="1:37" x14ac:dyDescent="0.4">
      <c r="A253" s="48"/>
      <c r="B253" s="37"/>
      <c r="C253" s="109" t="str">
        <f>+H6</f>
        <v>SC2 Dem</v>
      </c>
      <c r="D253" s="109" t="str">
        <f>+C253</f>
        <v>SC2 Dem</v>
      </c>
      <c r="E253" s="53"/>
      <c r="F253" s="53"/>
      <c r="G253" s="143" t="s">
        <v>131</v>
      </c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</row>
    <row r="254" spans="1:37" x14ac:dyDescent="0.4">
      <c r="A254" s="48"/>
      <c r="B254" s="37"/>
      <c r="C254" s="65" t="s">
        <v>169</v>
      </c>
      <c r="D254" s="65" t="s">
        <v>170</v>
      </c>
      <c r="E254" s="53"/>
      <c r="F254" s="53"/>
      <c r="G254" s="78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</row>
    <row r="255" spans="1:37" x14ac:dyDescent="0.4">
      <c r="A255" s="48"/>
      <c r="B255" s="55" t="s">
        <v>63</v>
      </c>
      <c r="C255" s="9">
        <f>ROUND(+C210/$D$223,3)</f>
        <v>0.94899999999999995</v>
      </c>
      <c r="D255" s="144">
        <f>+C198-C210</f>
        <v>-26.652576682205904</v>
      </c>
      <c r="E255" s="37"/>
      <c r="F255" s="89"/>
      <c r="G255" s="116" t="s">
        <v>132</v>
      </c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</row>
    <row r="256" spans="1:37" x14ac:dyDescent="0.4">
      <c r="A256" s="48"/>
      <c r="B256" s="145"/>
      <c r="C256" s="139"/>
      <c r="D256" s="63"/>
      <c r="E256" s="140"/>
      <c r="F256" s="146"/>
      <c r="G256" s="78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</row>
    <row r="257" spans="1:37" x14ac:dyDescent="0.4">
      <c r="A257" s="48"/>
      <c r="B257" s="88"/>
      <c r="C257" s="139"/>
      <c r="D257" s="63"/>
      <c r="E257" s="140"/>
      <c r="F257" s="146"/>
      <c r="G257" s="78"/>
      <c r="H257" s="65"/>
      <c r="I257" s="109" t="s">
        <v>133</v>
      </c>
      <c r="J257" s="109" t="s">
        <v>134</v>
      </c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</row>
    <row r="258" spans="1:37" x14ac:dyDescent="0.4">
      <c r="A258" s="48"/>
      <c r="B258" s="37"/>
      <c r="C258" s="139"/>
      <c r="D258" s="63"/>
      <c r="E258" s="139"/>
      <c r="F258" s="146"/>
      <c r="G258" s="78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</row>
    <row r="259" spans="1:37" x14ac:dyDescent="0.4">
      <c r="A259" s="48"/>
      <c r="B259" s="55" t="s">
        <v>69</v>
      </c>
      <c r="C259" s="9">
        <f>ROUND(+C214/$D$223,3)</f>
        <v>1.036</v>
      </c>
      <c r="D259" s="144">
        <f>+C202-C214</f>
        <v>-28.688175070095461</v>
      </c>
      <c r="E259" s="140"/>
      <c r="F259" s="146"/>
      <c r="G259" s="147" t="s">
        <v>97</v>
      </c>
      <c r="H259" s="8"/>
      <c r="I259" s="4">
        <f>M213</f>
        <v>1.6910000000000001</v>
      </c>
      <c r="J259" s="4">
        <f>N213</f>
        <v>4.4580000000000002</v>
      </c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</row>
    <row r="260" spans="1:37" x14ac:dyDescent="0.4">
      <c r="A260" s="48"/>
      <c r="B260" s="145"/>
      <c r="C260" s="139"/>
      <c r="D260" s="37"/>
      <c r="E260" s="140"/>
      <c r="F260" s="146"/>
      <c r="G260" s="147" t="s">
        <v>103</v>
      </c>
      <c r="H260" s="8"/>
      <c r="I260" s="4">
        <f>M214</f>
        <v>2.298</v>
      </c>
      <c r="J260" s="4">
        <f>N214</f>
        <v>4.7300000000000004</v>
      </c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</row>
    <row r="261" spans="1:37" x14ac:dyDescent="0.4">
      <c r="A261" s="48"/>
      <c r="B261" s="88"/>
      <c r="C261" s="139"/>
      <c r="D261" s="37"/>
      <c r="E261" s="140"/>
      <c r="F261" s="146"/>
      <c r="G261" s="147"/>
      <c r="H261" s="4"/>
      <c r="I261" s="100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</row>
    <row r="262" spans="1:37" x14ac:dyDescent="0.4">
      <c r="A262" s="48"/>
      <c r="B262" s="37"/>
      <c r="C262" s="11"/>
      <c r="D262" s="37"/>
      <c r="E262" s="11"/>
      <c r="F262" s="37"/>
      <c r="G262" s="148" t="s">
        <v>135</v>
      </c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</row>
    <row r="263" spans="1:37" x14ac:dyDescent="0.4">
      <c r="A263" s="48"/>
      <c r="B263" s="37" t="s">
        <v>150</v>
      </c>
      <c r="C263" s="142">
        <f>ROUND(+C218/$D$223,3)</f>
        <v>0.94799999999999995</v>
      </c>
      <c r="D263" s="37"/>
      <c r="E263" s="11"/>
      <c r="F263" s="37"/>
      <c r="G263" s="147" t="s">
        <v>137</v>
      </c>
      <c r="H263" s="8">
        <f>+G206</f>
        <v>3.545666666666667</v>
      </c>
      <c r="I263" s="100" t="s">
        <v>138</v>
      </c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</row>
    <row r="264" spans="1:37" x14ac:dyDescent="0.4">
      <c r="A264" s="48"/>
      <c r="B264" s="37"/>
      <c r="C264" s="11"/>
      <c r="D264" s="37"/>
      <c r="E264" s="11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</row>
    <row r="265" spans="1:37" x14ac:dyDescent="0.4">
      <c r="A265" s="48"/>
      <c r="B265" s="37"/>
      <c r="C265" s="11"/>
      <c r="D265" s="37"/>
      <c r="E265" s="11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</row>
    <row r="266" spans="1:37" x14ac:dyDescent="0.4">
      <c r="A266" s="84" t="s">
        <v>171</v>
      </c>
      <c r="B266" s="47" t="s">
        <v>172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</row>
    <row r="267" spans="1:37" x14ac:dyDescent="0.4">
      <c r="A267" s="48"/>
      <c r="B267" s="63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</row>
    <row r="268" spans="1:37" x14ac:dyDescent="0.4">
      <c r="A268" s="48"/>
      <c r="B268" s="63" t="s">
        <v>161</v>
      </c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</row>
    <row r="269" spans="1:37" x14ac:dyDescent="0.4">
      <c r="A269" s="48"/>
      <c r="B269" s="42" t="s">
        <v>173</v>
      </c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</row>
    <row r="270" spans="1:37" x14ac:dyDescent="0.4">
      <c r="A270" s="48"/>
      <c r="B270" s="46" t="s">
        <v>60</v>
      </c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</row>
    <row r="271" spans="1:37" x14ac:dyDescent="0.4">
      <c r="A271" s="48"/>
      <c r="B271" s="37"/>
      <c r="C271" s="65" t="str">
        <f t="shared" ref="C271" si="45">+C6</f>
        <v>SC1/SC5</v>
      </c>
      <c r="D271" s="65" t="str">
        <f>+D6</f>
        <v>SC3</v>
      </c>
      <c r="E271" s="65" t="str">
        <f>+E6</f>
        <v>SC2 ND</v>
      </c>
      <c r="F271" s="65" t="str">
        <f>+F6</f>
        <v>SC4</v>
      </c>
      <c r="G271" s="65" t="str">
        <f>+G6</f>
        <v>SC6</v>
      </c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</row>
    <row r="272" spans="1:37" x14ac:dyDescent="0.4">
      <c r="A272" s="48"/>
      <c r="B272" s="37"/>
      <c r="C272" s="53"/>
      <c r="D272" s="4"/>
      <c r="E272" s="53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</row>
    <row r="273" spans="1:37" x14ac:dyDescent="0.4">
      <c r="A273" s="48"/>
      <c r="B273" s="55" t="s">
        <v>63</v>
      </c>
      <c r="C273" s="7">
        <f t="shared" ref="C273" si="46">C181-C$167</f>
        <v>63.031690592472991</v>
      </c>
      <c r="D273" s="7">
        <f>D181-D$167</f>
        <v>70.619144321560583</v>
      </c>
      <c r="E273" s="7">
        <f>E181-E$167</f>
        <v>57.052513511551069</v>
      </c>
      <c r="F273" s="7">
        <f>F181-F$167</f>
        <v>45.416972508704035</v>
      </c>
      <c r="G273" s="7">
        <f>G181-G$167</f>
        <v>45.425708353073816</v>
      </c>
      <c r="H273" s="4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</row>
    <row r="274" spans="1:37" x14ac:dyDescent="0.4">
      <c r="A274" s="48"/>
      <c r="B274" s="88" t="s">
        <v>78</v>
      </c>
      <c r="C274" s="4"/>
      <c r="D274" s="7">
        <f>D182-D$167</f>
        <v>122.43386735603195</v>
      </c>
      <c r="E274" s="4"/>
      <c r="F274" s="4"/>
      <c r="G274" s="4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</row>
    <row r="275" spans="1:37" x14ac:dyDescent="0.4">
      <c r="A275" s="48"/>
      <c r="B275" s="88" t="s">
        <v>79</v>
      </c>
      <c r="C275" s="4"/>
      <c r="D275" s="7">
        <f>D183-D$167</f>
        <v>41.479901612765943</v>
      </c>
      <c r="E275" s="4"/>
      <c r="F275" s="4"/>
      <c r="G275" s="4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</row>
    <row r="276" spans="1:37" x14ac:dyDescent="0.4">
      <c r="A276" s="48"/>
      <c r="B276" s="67" t="s">
        <v>127</v>
      </c>
      <c r="C276" s="4">
        <f>(C273*SUM(C49:C52)-C158*10*E157*SUM(C49:C52))/SUM(C49:C52)</f>
        <v>40.650925592472987</v>
      </c>
      <c r="D276" s="7"/>
      <c r="E276" s="4"/>
      <c r="F276" s="4"/>
      <c r="G276" s="4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</row>
    <row r="277" spans="1:37" x14ac:dyDescent="0.4">
      <c r="A277" s="48"/>
      <c r="B277" s="67" t="s">
        <v>128</v>
      </c>
      <c r="C277" s="4">
        <f>C276+C158*10</f>
        <v>80.580925592472994</v>
      </c>
      <c r="D277" s="7"/>
      <c r="E277" s="4"/>
      <c r="F277" s="4"/>
      <c r="G277" s="4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</row>
    <row r="278" spans="1:37" x14ac:dyDescent="0.4">
      <c r="A278" s="48"/>
      <c r="B278" s="4"/>
      <c r="C278" s="4"/>
      <c r="D278" s="7"/>
      <c r="E278" s="4"/>
      <c r="F278" s="4"/>
      <c r="G278" s="4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</row>
    <row r="279" spans="1:37" x14ac:dyDescent="0.4">
      <c r="A279" s="48"/>
      <c r="B279" s="37"/>
      <c r="C279" s="4"/>
      <c r="D279" s="4"/>
      <c r="E279" s="4"/>
      <c r="F279" s="4"/>
      <c r="G279" s="4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</row>
    <row r="280" spans="1:37" x14ac:dyDescent="0.4">
      <c r="A280" s="48"/>
      <c r="B280" s="55" t="s">
        <v>69</v>
      </c>
      <c r="C280" s="7">
        <f t="shared" ref="C280" si="47">C188-C$167</f>
        <v>74.995695845312582</v>
      </c>
      <c r="D280" s="7">
        <f>D188-D$167</f>
        <v>65.291628242262661</v>
      </c>
      <c r="E280" s="7">
        <f>E188-E$167</f>
        <v>59.672642574832238</v>
      </c>
      <c r="F280" s="7">
        <f>F188-F$167</f>
        <v>50.281096004885491</v>
      </c>
      <c r="G280" s="7">
        <f>G188-G$167</f>
        <v>50.092879500004891</v>
      </c>
      <c r="H280" s="4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</row>
    <row r="281" spans="1:37" x14ac:dyDescent="0.4">
      <c r="A281" s="48"/>
      <c r="B281" s="88" t="s">
        <v>78</v>
      </c>
      <c r="C281" s="4"/>
      <c r="D281" s="7">
        <f>D189-D$167</f>
        <v>96.657014604686424</v>
      </c>
      <c r="E281" s="4"/>
      <c r="F281" s="4"/>
      <c r="G281" s="4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</row>
    <row r="282" spans="1:37" x14ac:dyDescent="0.4">
      <c r="A282" s="48"/>
      <c r="B282" s="88" t="s">
        <v>79</v>
      </c>
      <c r="C282" s="4"/>
      <c r="D282" s="7">
        <f>D190-D$167</f>
        <v>48.309337432248661</v>
      </c>
      <c r="E282" s="4"/>
      <c r="F282" s="4"/>
      <c r="G282" s="4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</row>
    <row r="283" spans="1:37" x14ac:dyDescent="0.4">
      <c r="A283" s="48"/>
      <c r="B283" s="37"/>
      <c r="C283" s="4"/>
      <c r="D283" s="4"/>
      <c r="E283" s="4"/>
      <c r="F283" s="4"/>
      <c r="G283" s="4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</row>
    <row r="284" spans="1:37" x14ac:dyDescent="0.4">
      <c r="A284" s="48"/>
      <c r="B284" s="37" t="s">
        <v>129</v>
      </c>
      <c r="C284" s="7">
        <f t="shared" ref="C284" si="48">C192-C$167</f>
        <v>69.758032456955306</v>
      </c>
      <c r="D284" s="7">
        <f>D192-D$167</f>
        <v>66.577046366046744</v>
      </c>
      <c r="E284" s="7">
        <f>E192-E$167</f>
        <v>58.940890900616822</v>
      </c>
      <c r="F284" s="7">
        <f>F192-F$167</f>
        <v>48.923089813998672</v>
      </c>
      <c r="G284" s="7">
        <f>G192-G$167</f>
        <v>48.723226502034223</v>
      </c>
      <c r="H284" s="4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</row>
    <row r="285" spans="1:37" x14ac:dyDescent="0.4">
      <c r="A285" s="48"/>
      <c r="B285" s="37"/>
      <c r="C285" s="4"/>
      <c r="D285" s="4"/>
      <c r="E285" s="4"/>
      <c r="F285" s="4"/>
      <c r="G285" s="4"/>
      <c r="H285" s="4"/>
      <c r="I285" s="4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</row>
    <row r="286" spans="1:37" x14ac:dyDescent="0.4">
      <c r="A286" s="84" t="s">
        <v>171</v>
      </c>
      <c r="B286" s="112" t="s">
        <v>139</v>
      </c>
      <c r="C286" s="4"/>
      <c r="D286" s="4"/>
      <c r="E286" s="4"/>
      <c r="F286" s="4"/>
      <c r="G286" s="4"/>
      <c r="H286" s="4"/>
      <c r="I286" s="4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</row>
    <row r="287" spans="1:37" x14ac:dyDescent="0.4">
      <c r="A287" s="48"/>
      <c r="B287" s="37"/>
      <c r="C287" s="4"/>
      <c r="D287" s="4"/>
      <c r="E287" s="4"/>
      <c r="F287" s="4"/>
      <c r="G287" s="4"/>
      <c r="H287" s="4"/>
      <c r="I287" s="4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</row>
    <row r="288" spans="1:37" x14ac:dyDescent="0.4">
      <c r="A288" s="48"/>
      <c r="B288" s="63" t="s">
        <v>167</v>
      </c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</row>
    <row r="289" spans="1:37" x14ac:dyDescent="0.4">
      <c r="A289" s="48"/>
      <c r="B289" s="42" t="s">
        <v>174</v>
      </c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</row>
    <row r="290" spans="1:37" x14ac:dyDescent="0.4">
      <c r="A290" s="48"/>
      <c r="B290" s="48" t="s">
        <v>175</v>
      </c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</row>
    <row r="291" spans="1:37" x14ac:dyDescent="0.4">
      <c r="A291" s="48"/>
      <c r="B291" s="48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</row>
    <row r="292" spans="1:37" x14ac:dyDescent="0.4">
      <c r="A292" s="48"/>
      <c r="B292" s="37"/>
      <c r="C292" s="65" t="str">
        <f>+H6</f>
        <v>SC2 Dem</v>
      </c>
      <c r="D292" s="53"/>
      <c r="E292" s="53"/>
      <c r="F292" s="37"/>
      <c r="G292" s="63" t="s">
        <v>131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</row>
    <row r="293" spans="1:37" x14ac:dyDescent="0.4">
      <c r="A293" s="48"/>
      <c r="B293" s="37"/>
      <c r="C293" s="53"/>
      <c r="D293" s="53"/>
      <c r="E293" s="37"/>
      <c r="F293" s="63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</row>
    <row r="294" spans="1:37" x14ac:dyDescent="0.4">
      <c r="A294" s="48"/>
      <c r="B294" s="55" t="s">
        <v>63</v>
      </c>
      <c r="C294" s="4">
        <f>C198</f>
        <v>45.646753569200328</v>
      </c>
      <c r="D294" s="4"/>
      <c r="E294" s="37"/>
      <c r="F294" s="37"/>
      <c r="G294" s="108" t="s">
        <v>132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</row>
    <row r="295" spans="1:37" x14ac:dyDescent="0.4">
      <c r="A295" s="48"/>
      <c r="B295" s="88"/>
      <c r="C295" s="4"/>
      <c r="D295" s="4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</row>
    <row r="296" spans="1:37" x14ac:dyDescent="0.4">
      <c r="A296" s="48"/>
      <c r="B296" s="88"/>
      <c r="C296" s="4"/>
      <c r="D296" s="4"/>
      <c r="E296" s="37"/>
      <c r="F296" s="37"/>
      <c r="G296" s="37"/>
      <c r="H296" s="65"/>
      <c r="I296" s="65" t="str">
        <f t="shared" ref="I296:J296" si="49">I257</f>
        <v>&lt; 5 kW</v>
      </c>
      <c r="J296" s="65" t="str">
        <f t="shared" si="49"/>
        <v>&gt; 5 kW</v>
      </c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</row>
    <row r="297" spans="1:37" x14ac:dyDescent="0.4">
      <c r="A297" s="48"/>
      <c r="B297" s="37"/>
      <c r="C297" s="4"/>
      <c r="D297" s="4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</row>
    <row r="298" spans="1:37" x14ac:dyDescent="0.4">
      <c r="A298" s="48"/>
      <c r="B298" s="55" t="s">
        <v>69</v>
      </c>
      <c r="C298" s="4">
        <f>C202</f>
        <v>50.224059009571384</v>
      </c>
      <c r="D298" s="4"/>
      <c r="E298" s="37"/>
      <c r="F298" s="37"/>
      <c r="G298" s="67" t="s">
        <v>97</v>
      </c>
      <c r="H298" s="8"/>
      <c r="I298" s="8">
        <f t="shared" ref="I298:J299" si="50">I259</f>
        <v>1.6910000000000001</v>
      </c>
      <c r="J298" s="8">
        <f t="shared" si="50"/>
        <v>4.4580000000000002</v>
      </c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</row>
    <row r="299" spans="1:37" x14ac:dyDescent="0.4">
      <c r="A299" s="48"/>
      <c r="B299" s="88"/>
      <c r="C299" s="4"/>
      <c r="D299" s="4"/>
      <c r="E299" s="37"/>
      <c r="F299" s="37"/>
      <c r="G299" s="67" t="s">
        <v>103</v>
      </c>
      <c r="H299" s="8"/>
      <c r="I299" s="8">
        <f t="shared" si="50"/>
        <v>2.298</v>
      </c>
      <c r="J299" s="8">
        <f t="shared" si="50"/>
        <v>4.7300000000000004</v>
      </c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</row>
    <row r="300" spans="1:37" x14ac:dyDescent="0.4">
      <c r="A300" s="48"/>
      <c r="B300" s="88"/>
      <c r="C300" s="4"/>
      <c r="D300" s="4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</row>
    <row r="301" spans="1:37" x14ac:dyDescent="0.4">
      <c r="A301" s="48"/>
      <c r="B301" s="88"/>
      <c r="C301" s="4"/>
      <c r="D301" s="4"/>
      <c r="E301" s="37"/>
      <c r="F301" s="37"/>
      <c r="G301" s="111"/>
      <c r="H301" s="37"/>
      <c r="I301" s="100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</row>
    <row r="302" spans="1:37" ht="13" thickBot="1" x14ac:dyDescent="0.45">
      <c r="A302" s="48"/>
      <c r="B302" s="37" t="s">
        <v>136</v>
      </c>
      <c r="C302" s="4">
        <f>C206</f>
        <v>48.574652652295967</v>
      </c>
      <c r="D302" s="4"/>
      <c r="E302" s="37"/>
      <c r="F302" s="37"/>
      <c r="G302" s="67"/>
      <c r="H302" s="90"/>
      <c r="I302" s="100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</row>
    <row r="303" spans="1:37" x14ac:dyDescent="0.4">
      <c r="A303" s="48"/>
      <c r="B303" s="37"/>
      <c r="C303" s="4"/>
      <c r="D303" s="4"/>
      <c r="E303" s="37"/>
      <c r="F303" s="37"/>
      <c r="G303" s="37"/>
      <c r="H303" s="37"/>
      <c r="I303" s="37"/>
      <c r="J303" s="37"/>
      <c r="K303" s="131" t="s">
        <v>153</v>
      </c>
      <c r="L303" s="132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</row>
    <row r="304" spans="1:37" x14ac:dyDescent="0.4">
      <c r="A304" s="48"/>
      <c r="B304" s="149" t="s">
        <v>176</v>
      </c>
      <c r="C304" s="4"/>
      <c r="D304" s="4"/>
      <c r="E304" s="89"/>
      <c r="F304" s="37"/>
      <c r="G304" s="37"/>
      <c r="H304" s="37"/>
      <c r="I304" s="37"/>
      <c r="J304" s="37"/>
      <c r="K304" s="133"/>
      <c r="L304" s="134" t="s">
        <v>156</v>
      </c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</row>
    <row r="305" spans="1:37" x14ac:dyDescent="0.4">
      <c r="A305" s="48"/>
      <c r="B305" s="55" t="s">
        <v>63</v>
      </c>
      <c r="C305" s="7">
        <f>(C294*Q48+($I298*($L$305/4*H144))+($J298*($L$305/4*H144)))/Q48</f>
        <v>63.366318751394303</v>
      </c>
      <c r="D305" s="7"/>
      <c r="E305" s="106"/>
      <c r="F305" s="37"/>
      <c r="G305" s="37"/>
      <c r="H305" s="37"/>
      <c r="I305" s="37"/>
      <c r="J305" s="37"/>
      <c r="K305" s="133" t="s">
        <v>68</v>
      </c>
      <c r="L305" s="135">
        <v>349608.11464933609</v>
      </c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</row>
    <row r="306" spans="1:37" ht="13" thickBot="1" x14ac:dyDescent="0.45">
      <c r="A306" s="48"/>
      <c r="B306" s="88"/>
      <c r="C306" s="4"/>
      <c r="D306" s="7"/>
      <c r="E306" s="37"/>
      <c r="F306" s="37"/>
      <c r="G306" s="37"/>
      <c r="H306" s="37"/>
      <c r="I306" s="37"/>
      <c r="J306" s="37"/>
      <c r="K306" s="136" t="s">
        <v>61</v>
      </c>
      <c r="L306" s="137">
        <v>570677.95200059027</v>
      </c>
      <c r="M306" s="37"/>
      <c r="N306" s="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</row>
    <row r="307" spans="1:37" x14ac:dyDescent="0.4">
      <c r="A307" s="48"/>
      <c r="B307" s="88"/>
      <c r="C307" s="4"/>
      <c r="D307" s="7"/>
      <c r="E307" s="37"/>
      <c r="F307" s="37"/>
      <c r="G307" s="37"/>
      <c r="H307" s="37"/>
      <c r="I307" s="37"/>
      <c r="J307" s="37"/>
      <c r="K307" s="37"/>
      <c r="L307" s="37"/>
      <c r="M307" s="37"/>
      <c r="N307" s="4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</row>
    <row r="308" spans="1:37" x14ac:dyDescent="0.4">
      <c r="A308" s="48"/>
      <c r="B308" s="37"/>
      <c r="C308" s="4"/>
      <c r="D308" s="4"/>
      <c r="E308" s="37"/>
      <c r="F308" s="37"/>
      <c r="G308" s="37"/>
      <c r="H308" s="37"/>
      <c r="I308" s="37"/>
      <c r="J308" s="37"/>
      <c r="K308" s="37"/>
      <c r="L308" s="37"/>
      <c r="M308" s="37"/>
      <c r="N308" s="4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</row>
    <row r="309" spans="1:37" x14ac:dyDescent="0.4">
      <c r="A309" s="48"/>
      <c r="B309" s="55" t="s">
        <v>69</v>
      </c>
      <c r="C309" s="7">
        <f>(C298*Q44+($I299*($L$306/8*H145))+($J299*($L$306/8*H145)))/Q44</f>
        <v>68.847566179873127</v>
      </c>
      <c r="D309" s="7"/>
      <c r="E309" s="37"/>
      <c r="F309" s="37"/>
      <c r="G309" s="37"/>
      <c r="H309" s="37"/>
      <c r="I309" s="37"/>
      <c r="J309" s="37"/>
      <c r="K309" s="37"/>
      <c r="L309" s="37"/>
      <c r="M309" s="37"/>
      <c r="N309" s="4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</row>
    <row r="310" spans="1:37" x14ac:dyDescent="0.4">
      <c r="A310" s="48"/>
      <c r="B310" s="88"/>
      <c r="C310" s="4"/>
      <c r="D310" s="7"/>
      <c r="E310" s="37"/>
      <c r="F310" s="37"/>
      <c r="G310" s="37"/>
      <c r="H310" s="37"/>
      <c r="I310" s="37"/>
      <c r="J310" s="37"/>
      <c r="K310" s="37"/>
      <c r="L310" s="37"/>
      <c r="M310" s="37"/>
      <c r="N310" s="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</row>
    <row r="311" spans="1:37" x14ac:dyDescent="0.4">
      <c r="A311" s="48"/>
      <c r="B311" s="88"/>
      <c r="C311" s="4"/>
      <c r="D311" s="7"/>
      <c r="E311" s="37"/>
      <c r="F311" s="37"/>
      <c r="G311" s="37"/>
      <c r="H311" s="37"/>
      <c r="I311" s="37"/>
      <c r="J311" s="37"/>
      <c r="K311" s="37"/>
      <c r="L311" s="37"/>
      <c r="M311" s="37"/>
      <c r="N311" s="4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</row>
    <row r="312" spans="1:37" x14ac:dyDescent="0.4">
      <c r="A312" s="48"/>
      <c r="B312" s="88"/>
      <c r="C312" s="4"/>
      <c r="D312" s="4"/>
      <c r="E312" s="37"/>
      <c r="F312" s="37"/>
      <c r="G312" s="37"/>
      <c r="H312" s="37"/>
      <c r="I312" s="37"/>
      <c r="J312" s="37"/>
      <c r="K312" s="37"/>
      <c r="L312" s="37"/>
      <c r="M312" s="37"/>
      <c r="N312" s="4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</row>
    <row r="313" spans="1:37" x14ac:dyDescent="0.4">
      <c r="A313" s="48"/>
      <c r="B313" s="37" t="s">
        <v>150</v>
      </c>
      <c r="C313" s="7">
        <f>(C302*H56+($I298*($L$305/4*H144)+($J298*($L$305/4*H144))+($I299*($L$306/8*H145))+($J299*($L$306/8*H145))))/H56</f>
        <v>66.872429394245032</v>
      </c>
      <c r="D313" s="7"/>
      <c r="E313" s="37"/>
      <c r="F313" s="37"/>
      <c r="G313" s="37"/>
      <c r="H313" s="37"/>
      <c r="I313" s="37"/>
      <c r="J313" s="37"/>
      <c r="K313" s="37"/>
      <c r="L313" s="37"/>
      <c r="M313" s="37"/>
      <c r="N313" s="4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</row>
    <row r="314" spans="1:37" x14ac:dyDescent="0.4">
      <c r="A314" s="48"/>
      <c r="B314" s="37"/>
      <c r="C314" s="5"/>
      <c r="D314" s="5"/>
      <c r="E314" s="37"/>
      <c r="F314" s="37"/>
      <c r="G314" s="37"/>
      <c r="H314" s="37"/>
      <c r="I314" s="37"/>
      <c r="J314" s="37"/>
      <c r="K314" s="37"/>
      <c r="L314" s="37"/>
      <c r="M314" s="37"/>
      <c r="N314" s="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</row>
    <row r="315" spans="1:37" x14ac:dyDescent="0.4">
      <c r="A315" s="48"/>
      <c r="B315" s="63" t="s">
        <v>151</v>
      </c>
      <c r="C315" s="4"/>
      <c r="D315" s="4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</row>
    <row r="316" spans="1:37" x14ac:dyDescent="0.4">
      <c r="A316" s="48"/>
      <c r="B316" s="67" t="s">
        <v>152</v>
      </c>
      <c r="C316" s="30">
        <f>(+SUMPRODUCT(C284:G284,C56:G56)+SUMPRODUCT(C313,H56))/1000</f>
        <v>69597.319503567312</v>
      </c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</row>
    <row r="317" spans="1:37" x14ac:dyDescent="0.4">
      <c r="A317" s="48"/>
      <c r="B317" s="37"/>
      <c r="C317" s="67" t="s">
        <v>154</v>
      </c>
      <c r="D317" s="7">
        <f>+C316/SUM(C56:H56)*1000</f>
        <v>68.389268788642141</v>
      </c>
      <c r="E317" s="37" t="s">
        <v>155</v>
      </c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</row>
    <row r="318" spans="1:37" x14ac:dyDescent="0.4">
      <c r="A318" s="48"/>
      <c r="B318" s="37"/>
      <c r="C318" s="67" t="s">
        <v>177</v>
      </c>
      <c r="D318" s="7">
        <f>+C316/SUMPRODUCT(C56:H56,C81:H81)*1000</f>
        <v>63.566184907129852</v>
      </c>
      <c r="E318" s="37" t="s">
        <v>178</v>
      </c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</row>
    <row r="319" spans="1:37" x14ac:dyDescent="0.4">
      <c r="A319" s="48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</row>
    <row r="320" spans="1:37" x14ac:dyDescent="0.4">
      <c r="A320" s="84" t="s">
        <v>179</v>
      </c>
      <c r="B320" s="47" t="s">
        <v>180</v>
      </c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</row>
    <row r="321" spans="1:37" x14ac:dyDescent="0.4">
      <c r="A321" s="48"/>
      <c r="B321" s="63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</row>
    <row r="322" spans="1:37" x14ac:dyDescent="0.4">
      <c r="A322" s="48"/>
      <c r="B322" s="63" t="s">
        <v>161</v>
      </c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</row>
    <row r="323" spans="1:37" x14ac:dyDescent="0.4">
      <c r="A323" s="48"/>
      <c r="B323" s="46" t="s">
        <v>163</v>
      </c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</row>
    <row r="324" spans="1:37" x14ac:dyDescent="0.4">
      <c r="A324" s="48"/>
      <c r="B324" s="63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</row>
    <row r="325" spans="1:37" x14ac:dyDescent="0.4">
      <c r="A325" s="48"/>
      <c r="B325" s="37"/>
      <c r="C325" s="65" t="str">
        <f t="shared" ref="C325" si="51">+C6</f>
        <v>SC1/SC5</v>
      </c>
      <c r="D325" s="65" t="str">
        <f>+D6</f>
        <v>SC3</v>
      </c>
      <c r="E325" s="65" t="str">
        <f>+E6</f>
        <v>SC2 ND</v>
      </c>
      <c r="F325" s="65" t="str">
        <f>+F6</f>
        <v>SC4</v>
      </c>
      <c r="G325" s="65" t="str">
        <f>+G6</f>
        <v>SC6</v>
      </c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</row>
    <row r="326" spans="1:37" x14ac:dyDescent="0.4">
      <c r="A326" s="48"/>
      <c r="B326" s="37"/>
      <c r="C326" s="53"/>
      <c r="D326" s="53"/>
      <c r="E326" s="53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</row>
    <row r="327" spans="1:37" x14ac:dyDescent="0.4">
      <c r="A327" s="48"/>
      <c r="B327" s="55" t="s">
        <v>63</v>
      </c>
      <c r="C327" s="9">
        <f>ROUND(+C273/$D$318,3)</f>
        <v>0.99199999999999999</v>
      </c>
      <c r="D327" s="139"/>
      <c r="E327" s="9">
        <f>ROUND(+E273/$D$318,3)</f>
        <v>0.89800000000000002</v>
      </c>
      <c r="F327" s="9">
        <f>ROUND(+F273/$D$318,3)</f>
        <v>0.71399999999999997</v>
      </c>
      <c r="G327" s="9">
        <f>ROUND(+G273/$D$318,3)</f>
        <v>0.71499999999999997</v>
      </c>
      <c r="H327" s="11"/>
      <c r="I327" s="11"/>
      <c r="J327" s="11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</row>
    <row r="328" spans="1:37" x14ac:dyDescent="0.4">
      <c r="A328" s="48"/>
      <c r="B328" s="88" t="s">
        <v>78</v>
      </c>
      <c r="C328" s="139"/>
      <c r="D328" s="9">
        <f>ROUND(+D274/$D$318,3)</f>
        <v>1.9259999999999999</v>
      </c>
      <c r="E328" s="139"/>
      <c r="F328" s="139"/>
      <c r="G328" s="139"/>
      <c r="H328" s="11"/>
      <c r="I328" s="11"/>
      <c r="J328" s="11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</row>
    <row r="329" spans="1:37" x14ac:dyDescent="0.4">
      <c r="A329" s="48"/>
      <c r="B329" s="88" t="s">
        <v>79</v>
      </c>
      <c r="C329" s="139"/>
      <c r="D329" s="9">
        <f>ROUND(+D275/$D$318,3)</f>
        <v>0.65300000000000002</v>
      </c>
      <c r="E329" s="139"/>
      <c r="F329" s="139"/>
      <c r="G329" s="139"/>
      <c r="H329" s="11"/>
      <c r="I329" s="11"/>
      <c r="J329" s="11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</row>
    <row r="330" spans="1:37" x14ac:dyDescent="0.4">
      <c r="A330" s="48"/>
      <c r="B330" s="37"/>
      <c r="C330" s="139"/>
      <c r="D330" s="139"/>
      <c r="E330" s="139"/>
      <c r="F330" s="139"/>
      <c r="G330" s="139"/>
      <c r="H330" s="11"/>
      <c r="I330" s="11"/>
      <c r="J330" s="11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</row>
    <row r="331" spans="1:37" x14ac:dyDescent="0.4">
      <c r="A331" s="48"/>
      <c r="B331" s="109"/>
      <c r="C331" s="37"/>
      <c r="D331" s="139"/>
      <c r="E331" s="139"/>
      <c r="F331" s="139"/>
      <c r="G331" s="139"/>
      <c r="H331" s="11"/>
      <c r="I331" s="11"/>
      <c r="J331" s="11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</row>
    <row r="332" spans="1:37" x14ac:dyDescent="0.4">
      <c r="A332" s="48"/>
      <c r="B332" s="141" t="s">
        <v>164</v>
      </c>
      <c r="C332" s="10">
        <f>C276-C273</f>
        <v>-22.380765000000004</v>
      </c>
      <c r="D332" s="139"/>
      <c r="E332" s="139"/>
      <c r="F332" s="139"/>
      <c r="G332" s="139"/>
      <c r="H332" s="11"/>
      <c r="I332" s="11"/>
      <c r="J332" s="11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</row>
    <row r="333" spans="1:37" x14ac:dyDescent="0.4">
      <c r="A333" s="48"/>
      <c r="B333" s="141" t="s">
        <v>165</v>
      </c>
      <c r="C333" s="10">
        <f>C277-C273</f>
        <v>17.549235000000003</v>
      </c>
      <c r="D333" s="139"/>
      <c r="E333" s="139"/>
      <c r="F333" s="139"/>
      <c r="G333" s="139"/>
      <c r="H333" s="11"/>
      <c r="I333" s="11"/>
      <c r="J333" s="11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</row>
    <row r="334" spans="1:37" x14ac:dyDescent="0.4">
      <c r="A334" s="48"/>
      <c r="B334" s="139"/>
      <c r="C334" s="139"/>
      <c r="D334" s="139"/>
      <c r="E334" s="139"/>
      <c r="F334" s="139"/>
      <c r="G334" s="139"/>
      <c r="H334" s="11"/>
      <c r="I334" s="11"/>
      <c r="J334" s="11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</row>
    <row r="335" spans="1:37" x14ac:dyDescent="0.4">
      <c r="A335" s="48"/>
      <c r="B335" s="37"/>
      <c r="C335" s="139"/>
      <c r="D335" s="139"/>
      <c r="E335" s="139"/>
      <c r="F335" s="139"/>
      <c r="G335" s="139"/>
      <c r="H335" s="11"/>
      <c r="I335" s="11"/>
      <c r="J335" s="11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</row>
    <row r="336" spans="1:37" x14ac:dyDescent="0.4">
      <c r="A336" s="48"/>
      <c r="B336" s="55" t="s">
        <v>69</v>
      </c>
      <c r="C336" s="9">
        <f>ROUND(+C280/$D$318,3)</f>
        <v>1.18</v>
      </c>
      <c r="D336" s="20"/>
      <c r="E336" s="9">
        <f>ROUND(+E280/$D$318,3)</f>
        <v>0.93899999999999995</v>
      </c>
      <c r="F336" s="9">
        <f>ROUND(+F280/$D$318,3)</f>
        <v>0.79100000000000004</v>
      </c>
      <c r="G336" s="9">
        <f>ROUND(+G280/$D$318,3)</f>
        <v>0.78800000000000003</v>
      </c>
      <c r="H336" s="11"/>
      <c r="I336" s="11"/>
      <c r="J336" s="11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</row>
    <row r="337" spans="1:37" x14ac:dyDescent="0.4">
      <c r="A337" s="48"/>
      <c r="B337" s="88" t="s">
        <v>78</v>
      </c>
      <c r="C337" s="139"/>
      <c r="D337" s="9">
        <f>ROUND(+D281/$D$318,3)</f>
        <v>1.5209999999999999</v>
      </c>
      <c r="E337" s="139"/>
      <c r="F337" s="139"/>
      <c r="G337" s="139"/>
      <c r="H337" s="11"/>
      <c r="I337" s="11"/>
      <c r="J337" s="11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</row>
    <row r="338" spans="1:37" x14ac:dyDescent="0.4">
      <c r="A338" s="48"/>
      <c r="B338" s="88" t="s">
        <v>79</v>
      </c>
      <c r="C338" s="139"/>
      <c r="D338" s="9">
        <f>ROUND(+D282/$D$318,3)</f>
        <v>0.76</v>
      </c>
      <c r="E338" s="139"/>
      <c r="F338" s="139"/>
      <c r="G338" s="139"/>
      <c r="H338" s="11"/>
      <c r="I338" s="11"/>
      <c r="J338" s="11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</row>
    <row r="339" spans="1:37" x14ac:dyDescent="0.4">
      <c r="A339" s="48"/>
      <c r="B339" s="37"/>
      <c r="C339" s="11"/>
      <c r="D339" s="11"/>
      <c r="E339" s="11"/>
      <c r="F339" s="11"/>
      <c r="G339" s="11"/>
      <c r="H339" s="11"/>
      <c r="I339" s="11"/>
      <c r="J339" s="11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</row>
    <row r="340" spans="1:37" x14ac:dyDescent="0.4">
      <c r="A340" s="48"/>
      <c r="B340" s="37" t="s">
        <v>166</v>
      </c>
      <c r="C340" s="20">
        <f>ROUND(+C284/$D$318,3)</f>
        <v>1.097</v>
      </c>
      <c r="D340" s="20">
        <f>ROUND(+D284/$D$318,3)</f>
        <v>1.0469999999999999</v>
      </c>
      <c r="E340" s="20">
        <f>ROUND(,3)+E284/$D$318</f>
        <v>0.92723656432629109</v>
      </c>
      <c r="F340" s="20">
        <f>ROUND(+F284/$D$318,3)</f>
        <v>0.77</v>
      </c>
      <c r="G340" s="20">
        <f>ROUND(+G284/$D$318,3)</f>
        <v>0.76600000000000001</v>
      </c>
      <c r="H340" s="11"/>
      <c r="I340" s="11"/>
      <c r="J340" s="11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</row>
    <row r="341" spans="1:37" x14ac:dyDescent="0.4">
      <c r="A341" s="48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</row>
    <row r="342" spans="1:37" x14ac:dyDescent="0.4">
      <c r="A342" s="48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</row>
    <row r="343" spans="1:37" x14ac:dyDescent="0.4">
      <c r="A343" s="48"/>
      <c r="B343" s="63" t="s">
        <v>167</v>
      </c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</row>
    <row r="344" spans="1:37" x14ac:dyDescent="0.4">
      <c r="A344" s="48"/>
      <c r="B344" s="46" t="s">
        <v>181</v>
      </c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</row>
    <row r="345" spans="1:37" x14ac:dyDescent="0.4">
      <c r="A345" s="48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</row>
    <row r="346" spans="1:37" x14ac:dyDescent="0.4">
      <c r="A346" s="48"/>
      <c r="B346" s="37"/>
      <c r="C346" s="109" t="str">
        <f>+H6</f>
        <v>SC2 Dem</v>
      </c>
      <c r="D346" s="109" t="str">
        <f>+C346</f>
        <v>SC2 Dem</v>
      </c>
      <c r="E346" s="53"/>
      <c r="F346" s="53"/>
      <c r="G346" s="143" t="s">
        <v>131</v>
      </c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</row>
    <row r="347" spans="1:37" x14ac:dyDescent="0.4">
      <c r="A347" s="48"/>
      <c r="B347" s="37"/>
      <c r="C347" s="65" t="s">
        <v>169</v>
      </c>
      <c r="D347" s="150" t="s">
        <v>170</v>
      </c>
      <c r="E347" s="53"/>
      <c r="F347" s="53"/>
      <c r="G347" s="78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</row>
    <row r="348" spans="1:37" x14ac:dyDescent="0.4">
      <c r="A348" s="48"/>
      <c r="B348" s="55" t="s">
        <v>63</v>
      </c>
      <c r="C348" s="9">
        <f>ROUND(+C305/$D$318,3)</f>
        <v>0.997</v>
      </c>
      <c r="D348" s="151">
        <f>C294-C305</f>
        <v>-17.719565182193975</v>
      </c>
      <c r="E348" s="37"/>
      <c r="F348" s="89"/>
      <c r="G348" s="116" t="s">
        <v>132</v>
      </c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</row>
    <row r="349" spans="1:37" x14ac:dyDescent="0.4">
      <c r="A349" s="48"/>
      <c r="B349" s="88"/>
      <c r="C349" s="20"/>
      <c r="D349" s="151"/>
      <c r="E349" s="140"/>
      <c r="F349" s="146"/>
      <c r="G349" s="78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</row>
    <row r="350" spans="1:37" x14ac:dyDescent="0.4">
      <c r="A350" s="48"/>
      <c r="B350" s="88"/>
      <c r="C350" s="20"/>
      <c r="D350" s="151"/>
      <c r="E350" s="140"/>
      <c r="F350" s="146"/>
      <c r="G350" s="78"/>
      <c r="H350" s="65"/>
      <c r="I350" s="65" t="str">
        <f t="shared" ref="I350:J350" si="52">I296</f>
        <v>&lt; 5 kW</v>
      </c>
      <c r="J350" s="65" t="str">
        <f t="shared" si="52"/>
        <v>&gt; 5 kW</v>
      </c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</row>
    <row r="351" spans="1:37" x14ac:dyDescent="0.4">
      <c r="A351" s="48"/>
      <c r="B351" s="37"/>
      <c r="C351" s="20"/>
      <c r="D351" s="151"/>
      <c r="E351" s="139"/>
      <c r="F351" s="146"/>
      <c r="G351" s="78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</row>
    <row r="352" spans="1:37" x14ac:dyDescent="0.4">
      <c r="A352" s="48"/>
      <c r="B352" s="55" t="s">
        <v>69</v>
      </c>
      <c r="C352" s="9">
        <f>ROUND(+C309/$D$318,3)</f>
        <v>1.083</v>
      </c>
      <c r="D352" s="151">
        <f>C298-C309</f>
        <v>-18.623507170301743</v>
      </c>
      <c r="E352" s="140"/>
      <c r="F352" s="146"/>
      <c r="G352" s="147" t="s">
        <v>97</v>
      </c>
      <c r="H352" s="8"/>
      <c r="I352" s="8">
        <f t="shared" ref="I352:J353" si="53">I298</f>
        <v>1.6910000000000001</v>
      </c>
      <c r="J352" s="8">
        <f t="shared" si="53"/>
        <v>4.4580000000000002</v>
      </c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</row>
    <row r="353" spans="1:37" x14ac:dyDescent="0.4">
      <c r="A353" s="48"/>
      <c r="B353" s="88"/>
      <c r="C353" s="20"/>
      <c r="D353" s="152"/>
      <c r="E353" s="140"/>
      <c r="F353" s="146"/>
      <c r="G353" s="147" t="s">
        <v>103</v>
      </c>
      <c r="H353" s="8"/>
      <c r="I353" s="8">
        <f t="shared" si="53"/>
        <v>2.298</v>
      </c>
      <c r="J353" s="8">
        <f t="shared" si="53"/>
        <v>4.7300000000000004</v>
      </c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</row>
    <row r="354" spans="1:37" x14ac:dyDescent="0.4">
      <c r="A354" s="48"/>
      <c r="B354" s="88"/>
      <c r="C354" s="20"/>
      <c r="D354" s="152"/>
      <c r="E354" s="140"/>
      <c r="F354" s="146"/>
      <c r="G354" s="147"/>
      <c r="H354" s="4"/>
      <c r="I354" s="100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</row>
    <row r="355" spans="1:37" x14ac:dyDescent="0.4">
      <c r="A355" s="48"/>
      <c r="B355" s="37"/>
      <c r="C355" s="142"/>
      <c r="D355" s="152"/>
      <c r="E355" s="11"/>
      <c r="F355" s="37"/>
      <c r="G355" s="148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</row>
    <row r="356" spans="1:37" x14ac:dyDescent="0.4">
      <c r="A356" s="48"/>
      <c r="B356" s="37" t="s">
        <v>150</v>
      </c>
      <c r="C356" s="9">
        <f>ROUND(+C313/$D$318,3)</f>
        <v>1.052</v>
      </c>
      <c r="D356" s="152"/>
      <c r="E356" s="11"/>
      <c r="F356" s="37"/>
      <c r="G356" s="147"/>
      <c r="H356" s="4"/>
      <c r="I356" s="100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</row>
    <row r="357" spans="1:37" x14ac:dyDescent="0.4">
      <c r="A357" s="48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</row>
    <row r="358" spans="1:37" x14ac:dyDescent="0.4">
      <c r="A358" s="48"/>
      <c r="B358" s="37"/>
      <c r="C358" s="11"/>
      <c r="D358" s="37"/>
      <c r="E358" s="11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</row>
    <row r="359" spans="1:37" x14ac:dyDescent="0.4">
      <c r="A359" s="84" t="s">
        <v>182</v>
      </c>
      <c r="B359" s="63" t="s">
        <v>183</v>
      </c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</row>
    <row r="360" spans="1:37" x14ac:dyDescent="0.4">
      <c r="A360" s="48"/>
      <c r="B360" s="63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</row>
    <row r="361" spans="1:37" x14ac:dyDescent="0.4">
      <c r="A361" s="48"/>
      <c r="B361" s="37"/>
      <c r="C361" s="65" t="str">
        <f t="shared" ref="C361:H361" si="54">C6</f>
        <v>SC1/SC5</v>
      </c>
      <c r="D361" s="65" t="str">
        <f t="shared" si="54"/>
        <v>SC3</v>
      </c>
      <c r="E361" s="65" t="str">
        <f t="shared" si="54"/>
        <v>SC2 ND</v>
      </c>
      <c r="F361" s="65" t="str">
        <f t="shared" si="54"/>
        <v>SC4</v>
      </c>
      <c r="G361" s="65" t="str">
        <f t="shared" si="54"/>
        <v>SC6</v>
      </c>
      <c r="H361" s="65" t="str">
        <f t="shared" si="54"/>
        <v>SC2 Dem</v>
      </c>
      <c r="I361" s="53"/>
      <c r="J361" s="53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</row>
    <row r="362" spans="1:37" x14ac:dyDescent="0.4">
      <c r="A362" s="48"/>
      <c r="B362" s="37" t="s">
        <v>184</v>
      </c>
      <c r="C362" s="37"/>
      <c r="D362" s="37"/>
      <c r="E362" s="37"/>
      <c r="F362" s="37"/>
      <c r="G362" s="37"/>
      <c r="H362" s="37"/>
      <c r="I362" s="37"/>
      <c r="J362" s="37"/>
      <c r="K362" s="37"/>
      <c r="L362" s="89"/>
      <c r="M362" s="89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</row>
    <row r="363" spans="1:37" x14ac:dyDescent="0.4">
      <c r="A363" s="48"/>
      <c r="B363" s="85" t="s">
        <v>68</v>
      </c>
      <c r="C363" s="30">
        <f>(C184*SUM(C49:C52)*E156+C185*SUM(C49:C52)*E157)/1000</f>
        <v>23180.797471942235</v>
      </c>
      <c r="D363" s="31">
        <f>+D181*SUM(D49:D52)/1000</f>
        <v>7.0522382345034824</v>
      </c>
      <c r="E363" s="31">
        <f>+E181*SUM(E49:E52)/1000</f>
        <v>326.04993674893774</v>
      </c>
      <c r="F363" s="31">
        <f>+F181*SUM(F49:F52)/1000</f>
        <v>72.167569316330713</v>
      </c>
      <c r="G363" s="31">
        <f>+G181*SUM(G49:G52)/1000</f>
        <v>67.320899779255399</v>
      </c>
      <c r="H363" s="30">
        <v>8309.3083794064223</v>
      </c>
      <c r="I363" s="30"/>
      <c r="J363" s="31"/>
      <c r="K363" s="37"/>
      <c r="L363" s="89"/>
      <c r="M363" s="89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</row>
    <row r="364" spans="1:37" x14ac:dyDescent="0.4">
      <c r="A364" s="48"/>
      <c r="B364" s="85" t="s">
        <v>61</v>
      </c>
      <c r="C364" s="30">
        <f t="shared" ref="C364" si="55">+C188*SUM(C44:C48,C53:C55)/1000</f>
        <v>34153.77671332888</v>
      </c>
      <c r="D364" s="31">
        <f>+D188*SUM(D44:D48,D53:D55)/1000</f>
        <v>20.785833715416601</v>
      </c>
      <c r="E364" s="31">
        <f>+E188*SUM(E44:E48,E53:E55)/1000</f>
        <v>875.54536227971164</v>
      </c>
      <c r="F364" s="31">
        <f>+F188*SUM(F44:F48,F53:F55)/1000</f>
        <v>206.27819636004273</v>
      </c>
      <c r="G364" s="31">
        <f>+G188*SUM(G44:G48,G53:G55)/1000</f>
        <v>178.73139405601745</v>
      </c>
      <c r="H364" s="30">
        <v>16013.368718760781</v>
      </c>
      <c r="I364" s="30"/>
      <c r="J364" s="31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</row>
    <row r="365" spans="1:37" x14ac:dyDescent="0.4">
      <c r="A365" s="48"/>
      <c r="B365" s="85" t="s">
        <v>35</v>
      </c>
      <c r="C365" s="153">
        <f>+C364+C363</f>
        <v>57334.574185271114</v>
      </c>
      <c r="D365" s="91">
        <f t="shared" ref="D365:H365" si="56">+D364+D363</f>
        <v>27.838071949920085</v>
      </c>
      <c r="E365" s="91">
        <f t="shared" si="56"/>
        <v>1201.5952990286494</v>
      </c>
      <c r="F365" s="91">
        <f t="shared" si="56"/>
        <v>278.44576567637341</v>
      </c>
      <c r="G365" s="31">
        <f t="shared" si="56"/>
        <v>246.05229383527285</v>
      </c>
      <c r="H365" s="31">
        <f t="shared" si="56"/>
        <v>24322.677098167202</v>
      </c>
      <c r="I365" s="31"/>
      <c r="J365" s="31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</row>
    <row r="366" spans="1:37" x14ac:dyDescent="0.4">
      <c r="A366" s="48"/>
      <c r="B366" s="85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</row>
    <row r="367" spans="1:37" x14ac:dyDescent="0.4">
      <c r="A367" s="48"/>
      <c r="B367" s="37" t="s">
        <v>185</v>
      </c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</row>
    <row r="368" spans="1:37" x14ac:dyDescent="0.4">
      <c r="A368" s="48"/>
      <c r="B368" s="85" t="s">
        <v>68</v>
      </c>
      <c r="C368" s="12">
        <f t="shared" ref="C368:H368" si="57">+C363/C365</f>
        <v>0.40430748464331029</v>
      </c>
      <c r="D368" s="12">
        <f t="shared" si="57"/>
        <v>0.25333069930957369</v>
      </c>
      <c r="E368" s="12">
        <f t="shared" si="57"/>
        <v>0.27134754689246149</v>
      </c>
      <c r="F368" s="12">
        <f t="shared" si="57"/>
        <v>0.25917998480252791</v>
      </c>
      <c r="G368" s="12">
        <f t="shared" si="57"/>
        <v>0.27360403241891912</v>
      </c>
      <c r="H368" s="12">
        <f t="shared" si="57"/>
        <v>0.34162803485281468</v>
      </c>
      <c r="I368" s="12"/>
      <c r="J368" s="12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</row>
    <row r="369" spans="1:37" x14ac:dyDescent="0.4">
      <c r="A369" s="48"/>
      <c r="B369" s="85" t="s">
        <v>61</v>
      </c>
      <c r="C369" s="12">
        <f t="shared" ref="C369:H369" si="58">+C364/C365</f>
        <v>0.59569251535668977</v>
      </c>
      <c r="D369" s="12">
        <f t="shared" si="58"/>
        <v>0.74666930069042625</v>
      </c>
      <c r="E369" s="12">
        <f t="shared" si="58"/>
        <v>0.72865245310753846</v>
      </c>
      <c r="F369" s="12">
        <f t="shared" si="58"/>
        <v>0.7408200151974722</v>
      </c>
      <c r="G369" s="12">
        <f t="shared" si="58"/>
        <v>0.72639596758108094</v>
      </c>
      <c r="H369" s="12">
        <f t="shared" si="58"/>
        <v>0.65837196514718543</v>
      </c>
      <c r="I369" s="12"/>
      <c r="J369" s="12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</row>
    <row r="370" spans="1:37" x14ac:dyDescent="0.4">
      <c r="A370" s="48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</row>
    <row r="371" spans="1:37" x14ac:dyDescent="0.4">
      <c r="A371" s="48"/>
      <c r="B371" s="37" t="s">
        <v>186</v>
      </c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</row>
    <row r="372" spans="1:37" x14ac:dyDescent="0.4">
      <c r="A372" s="48"/>
      <c r="B372" s="85" t="s">
        <v>68</v>
      </c>
      <c r="C372" s="32">
        <f>+SUM(C363:H363)</f>
        <v>31962.696495427688</v>
      </c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</row>
    <row r="373" spans="1:37" x14ac:dyDescent="0.4">
      <c r="A373" s="48"/>
      <c r="B373" s="85" t="s">
        <v>61</v>
      </c>
      <c r="C373" s="32">
        <f>+SUM(C364:H364)</f>
        <v>51448.486218500853</v>
      </c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</row>
    <row r="374" spans="1:37" x14ac:dyDescent="0.4">
      <c r="A374" s="48"/>
      <c r="B374" s="85" t="s">
        <v>35</v>
      </c>
      <c r="C374" s="91">
        <f>+C373+C372</f>
        <v>83411.182713928545</v>
      </c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</row>
    <row r="375" spans="1:37" x14ac:dyDescent="0.4">
      <c r="A375" s="48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</row>
    <row r="376" spans="1:37" x14ac:dyDescent="0.4">
      <c r="A376" s="48"/>
      <c r="B376" s="37" t="s">
        <v>187</v>
      </c>
      <c r="C376" s="37"/>
      <c r="D376" s="37" t="s">
        <v>188</v>
      </c>
      <c r="E376" s="37"/>
      <c r="F376" s="37"/>
      <c r="G376" s="37"/>
      <c r="H376" s="37"/>
      <c r="I376" s="274" t="s">
        <v>189</v>
      </c>
      <c r="J376" s="274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</row>
    <row r="377" spans="1:37" x14ac:dyDescent="0.4">
      <c r="A377" s="48"/>
      <c r="B377" s="85" t="s">
        <v>68</v>
      </c>
      <c r="C377" s="12">
        <f>+C372/C374</f>
        <v>0.38319438060300215</v>
      </c>
      <c r="D377" s="37"/>
      <c r="E377" s="7">
        <f>+C372/SUMPRODUCT(L48:Q48,C81:H81)*1000</f>
        <v>71.605082254652132</v>
      </c>
      <c r="F377" s="37" t="s">
        <v>190</v>
      </c>
      <c r="G377" s="37"/>
      <c r="H377" s="37"/>
      <c r="I377" s="85" t="s">
        <v>68</v>
      </c>
      <c r="J377" s="154">
        <f>ROUND(E377/$D$223,4)</f>
        <v>0.93989999999999996</v>
      </c>
      <c r="K377" s="154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</row>
    <row r="378" spans="1:37" x14ac:dyDescent="0.4">
      <c r="A378" s="48"/>
      <c r="B378" s="85" t="s">
        <v>61</v>
      </c>
      <c r="C378" s="12">
        <f>+C373/C374</f>
        <v>0.61680561939699785</v>
      </c>
      <c r="D378" s="37"/>
      <c r="E378" s="7">
        <f>+C373/SUMPRODUCT(L44:Q44,C81:H81)*1000</f>
        <v>79.333995841559911</v>
      </c>
      <c r="F378" s="37" t="s">
        <v>190</v>
      </c>
      <c r="G378" s="37"/>
      <c r="H378" s="37"/>
      <c r="I378" s="85" t="s">
        <v>61</v>
      </c>
      <c r="J378" s="154">
        <f>ROUND(E378/$D$223,4)</f>
        <v>1.0414000000000001</v>
      </c>
      <c r="K378" s="154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</row>
    <row r="379" spans="1:37" x14ac:dyDescent="0.4">
      <c r="A379" s="48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</row>
    <row r="380" spans="1:37" x14ac:dyDescent="0.4">
      <c r="A380" s="48"/>
      <c r="B380" s="37"/>
      <c r="C380" s="11"/>
      <c r="D380" s="37"/>
      <c r="E380" s="11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</row>
    <row r="381" spans="1:37" ht="13" thickBot="1" x14ac:dyDescent="0.45">
      <c r="A381" s="84" t="s">
        <v>191</v>
      </c>
      <c r="B381" s="47" t="s">
        <v>192</v>
      </c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</row>
    <row r="382" spans="1:37" x14ac:dyDescent="0.4">
      <c r="A382" s="48"/>
      <c r="B382" s="63"/>
      <c r="C382" s="37"/>
      <c r="D382" s="37"/>
      <c r="E382" s="37"/>
      <c r="F382" s="37"/>
      <c r="G382" s="37"/>
      <c r="H382" s="37"/>
      <c r="I382" s="37"/>
      <c r="J382" s="37"/>
      <c r="K382" s="131" t="s">
        <v>153</v>
      </c>
      <c r="L382" s="132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</row>
    <row r="383" spans="1:37" x14ac:dyDescent="0.4">
      <c r="A383" s="48"/>
      <c r="B383" s="37"/>
      <c r="C383" s="65" t="str">
        <f t="shared" ref="C383:H383" si="59">C6</f>
        <v>SC1/SC5</v>
      </c>
      <c r="D383" s="65" t="str">
        <f t="shared" si="59"/>
        <v>SC3</v>
      </c>
      <c r="E383" s="65" t="str">
        <f t="shared" si="59"/>
        <v>SC2 ND</v>
      </c>
      <c r="F383" s="65" t="str">
        <f t="shared" si="59"/>
        <v>SC4</v>
      </c>
      <c r="G383" s="65" t="str">
        <f t="shared" si="59"/>
        <v>SC6</v>
      </c>
      <c r="H383" s="65" t="str">
        <f t="shared" si="59"/>
        <v>SC2 Dem</v>
      </c>
      <c r="I383" s="65"/>
      <c r="J383" s="53"/>
      <c r="K383" s="133"/>
      <c r="L383" s="134" t="s">
        <v>162</v>
      </c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</row>
    <row r="384" spans="1:37" x14ac:dyDescent="0.4">
      <c r="A384" s="48"/>
      <c r="B384" s="37" t="s">
        <v>184</v>
      </c>
      <c r="C384" s="37"/>
      <c r="D384" s="37"/>
      <c r="E384" s="37"/>
      <c r="F384" s="37"/>
      <c r="G384" s="37"/>
      <c r="H384" s="37"/>
      <c r="I384" s="37"/>
      <c r="J384" s="37"/>
      <c r="K384" s="133" t="s">
        <v>68</v>
      </c>
      <c r="L384" s="135">
        <v>76363.185350663873</v>
      </c>
      <c r="M384" s="37"/>
      <c r="N384" s="30">
        <v>8429.1397260492577</v>
      </c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</row>
    <row r="385" spans="1:37" ht="13" thickBot="1" x14ac:dyDescent="0.45">
      <c r="A385" s="48"/>
      <c r="B385" s="85" t="s">
        <v>68</v>
      </c>
      <c r="C385" s="30">
        <f>(C276*SUM(C49:C52)*E156+C277*SUM(C49:C52)*E157)/1000</f>
        <v>17986.691711622796</v>
      </c>
      <c r="D385" s="30">
        <f>+D273*SUM(D49:D52)/1000</f>
        <v>5.8613889786895292</v>
      </c>
      <c r="E385" s="30">
        <f>+E273*SUM(E49:E52)/1000</f>
        <v>288.00108820630982</v>
      </c>
      <c r="F385" s="30">
        <f>+F273*SUM(F49:F52)/1000</f>
        <v>72.167569316330713</v>
      </c>
      <c r="G385" s="30">
        <f>+G273*SUM(G49:G52)/1000</f>
        <v>67.320899779255399</v>
      </c>
      <c r="H385" s="30">
        <f>(C294*SUM(H49:H52)/1000)+($I298*($L$384/4*H144)/1000)+($J298*($L$389/4*H144)/1000)</f>
        <v>7225.5540887397556</v>
      </c>
      <c r="I385" s="30"/>
      <c r="J385" s="30"/>
      <c r="K385" s="136" t="s">
        <v>61</v>
      </c>
      <c r="L385" s="137">
        <v>143773.44799940975</v>
      </c>
      <c r="M385" s="37"/>
      <c r="N385" s="30">
        <v>15486.148409442889</v>
      </c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</row>
    <row r="386" spans="1:37" ht="13" thickBot="1" x14ac:dyDescent="0.45">
      <c r="A386" s="48"/>
      <c r="B386" s="85" t="s">
        <v>61</v>
      </c>
      <c r="C386" s="30">
        <f t="shared" ref="C386" si="60">+C280*SUM(C44:C48,C53:C55)/1000</f>
        <v>27483.372673648319</v>
      </c>
      <c r="D386" s="30">
        <f>+D280*SUM(D44:D48,D53:D55)/1000</f>
        <v>17.041114971230556</v>
      </c>
      <c r="E386" s="30">
        <f>+E280*SUM(E44:E48,E53:E55)/1000</f>
        <v>777.3555148223395</v>
      </c>
      <c r="F386" s="30">
        <f>+F280*SUM(F44:F48,F53:F55)/1000</f>
        <v>206.27819636004273</v>
      </c>
      <c r="G386" s="30">
        <f>+G280*SUM(G44:G48,G53:G55)/1000</f>
        <v>178.73139405601745</v>
      </c>
      <c r="H386" s="30">
        <f>(C298*SUM(H44:H48,H53:H55)/1000)+($I299*($L$385/8*H145)/1000)+($J299*($L$390/8*H145)/1000)</f>
        <v>13845.860137427448</v>
      </c>
      <c r="I386" s="30"/>
      <c r="J386" s="30"/>
      <c r="K386" s="37"/>
      <c r="L386" s="37"/>
      <c r="M386" s="37"/>
      <c r="N386" s="30">
        <v>23915.288135492148</v>
      </c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</row>
    <row r="387" spans="1:37" x14ac:dyDescent="0.4">
      <c r="A387" s="48"/>
      <c r="B387" s="85" t="s">
        <v>35</v>
      </c>
      <c r="C387" s="91">
        <f t="shared" ref="C387:H387" si="61">+C386+C385</f>
        <v>45470.064385271115</v>
      </c>
      <c r="D387" s="91">
        <f t="shared" si="61"/>
        <v>22.902503949920085</v>
      </c>
      <c r="E387" s="91">
        <f t="shared" si="61"/>
        <v>1065.3566030286493</v>
      </c>
      <c r="F387" s="91">
        <f t="shared" si="61"/>
        <v>278.44576567637341</v>
      </c>
      <c r="G387" s="31">
        <f t="shared" si="61"/>
        <v>246.05229383527285</v>
      </c>
      <c r="H387" s="31">
        <f t="shared" si="61"/>
        <v>21071.414226167202</v>
      </c>
      <c r="I387" s="31"/>
      <c r="J387" s="31"/>
      <c r="K387" s="131" t="s">
        <v>153</v>
      </c>
      <c r="L387" s="132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</row>
    <row r="388" spans="1:37" x14ac:dyDescent="0.4">
      <c r="A388" s="48"/>
      <c r="B388" s="85"/>
      <c r="C388" s="37"/>
      <c r="D388" s="37"/>
      <c r="E388" s="37"/>
      <c r="F388" s="37"/>
      <c r="G388" s="37"/>
      <c r="H388" s="37"/>
      <c r="I388" s="37"/>
      <c r="J388" s="37"/>
      <c r="K388" s="133"/>
      <c r="L388" s="134" t="s">
        <v>156</v>
      </c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</row>
    <row r="389" spans="1:37" x14ac:dyDescent="0.4">
      <c r="A389" s="48"/>
      <c r="B389" s="37" t="s">
        <v>185</v>
      </c>
      <c r="C389" s="37"/>
      <c r="D389" s="37"/>
      <c r="E389" s="37"/>
      <c r="F389" s="37"/>
      <c r="G389" s="37"/>
      <c r="H389" s="37"/>
      <c r="I389" s="37"/>
      <c r="J389" s="37"/>
      <c r="K389" s="133" t="s">
        <v>68</v>
      </c>
      <c r="L389" s="135">
        <v>349608.11464933609</v>
      </c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</row>
    <row r="390" spans="1:37" ht="13" thickBot="1" x14ac:dyDescent="0.45">
      <c r="A390" s="48"/>
      <c r="B390" s="85" t="s">
        <v>68</v>
      </c>
      <c r="C390" s="12">
        <f t="shared" ref="C390:H390" si="62">+C385/C387</f>
        <v>0.39557216280188801</v>
      </c>
      <c r="D390" s="12">
        <f t="shared" si="62"/>
        <v>0.2559278667304839</v>
      </c>
      <c r="E390" s="12">
        <f t="shared" si="62"/>
        <v>0.27033303908528455</v>
      </c>
      <c r="F390" s="12">
        <f t="shared" si="62"/>
        <v>0.25917998480252791</v>
      </c>
      <c r="G390" s="12">
        <f t="shared" si="62"/>
        <v>0.27360403241891912</v>
      </c>
      <c r="H390" s="12">
        <f t="shared" si="62"/>
        <v>0.34290788511797254</v>
      </c>
      <c r="I390" s="12"/>
      <c r="J390" s="12"/>
      <c r="K390" s="136" t="s">
        <v>61</v>
      </c>
      <c r="L390" s="137">
        <v>570677.95200059027</v>
      </c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</row>
    <row r="391" spans="1:37" x14ac:dyDescent="0.4">
      <c r="A391" s="48"/>
      <c r="B391" s="85" t="s">
        <v>61</v>
      </c>
      <c r="C391" s="12">
        <f t="shared" ref="C391:H391" si="63">+C386/C387</f>
        <v>0.60442783719811199</v>
      </c>
      <c r="D391" s="12">
        <f t="shared" si="63"/>
        <v>0.74407213326951605</v>
      </c>
      <c r="E391" s="12">
        <f t="shared" si="63"/>
        <v>0.7296669609147155</v>
      </c>
      <c r="F391" s="12">
        <f t="shared" si="63"/>
        <v>0.7408200151974722</v>
      </c>
      <c r="G391" s="12">
        <f t="shared" si="63"/>
        <v>0.72639596758108094</v>
      </c>
      <c r="H391" s="12">
        <f t="shared" si="63"/>
        <v>0.65709211488202746</v>
      </c>
      <c r="I391" s="12"/>
      <c r="J391" s="12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</row>
    <row r="392" spans="1:37" x14ac:dyDescent="0.4">
      <c r="A392" s="48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</row>
    <row r="393" spans="1:37" x14ac:dyDescent="0.4">
      <c r="A393" s="48"/>
      <c r="B393" s="37" t="s">
        <v>186</v>
      </c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</row>
    <row r="394" spans="1:37" x14ac:dyDescent="0.4">
      <c r="A394" s="48"/>
      <c r="B394" s="85" t="s">
        <v>68</v>
      </c>
      <c r="C394" s="32">
        <f>+SUM(C385:H385)</f>
        <v>25645.596746643139</v>
      </c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</row>
    <row r="395" spans="1:37" x14ac:dyDescent="0.4">
      <c r="A395" s="48"/>
      <c r="B395" s="85" t="s">
        <v>61</v>
      </c>
      <c r="C395" s="32">
        <f>+SUM(C386:H386)</f>
        <v>42508.639031285391</v>
      </c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</row>
    <row r="396" spans="1:37" x14ac:dyDescent="0.4">
      <c r="A396" s="48"/>
      <c r="B396" s="85" t="s">
        <v>35</v>
      </c>
      <c r="C396" s="91">
        <f>+C395+C394</f>
        <v>68154.235777928523</v>
      </c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</row>
    <row r="397" spans="1:37" x14ac:dyDescent="0.4">
      <c r="A397" s="48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</row>
    <row r="398" spans="1:37" x14ac:dyDescent="0.4">
      <c r="A398" s="48"/>
      <c r="B398" s="37" t="s">
        <v>187</v>
      </c>
      <c r="C398" s="37"/>
      <c r="D398" s="37" t="s">
        <v>188</v>
      </c>
      <c r="E398" s="37"/>
      <c r="F398" s="37"/>
      <c r="G398" s="37"/>
      <c r="H398" s="37"/>
      <c r="I398" s="274" t="s">
        <v>189</v>
      </c>
      <c r="J398" s="274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</row>
    <row r="399" spans="1:37" x14ac:dyDescent="0.4">
      <c r="A399" s="48"/>
      <c r="B399" s="85" t="s">
        <v>68</v>
      </c>
      <c r="C399" s="12">
        <f>+C394/C396</f>
        <v>0.37628764307776691</v>
      </c>
      <c r="D399" s="37"/>
      <c r="E399" s="7">
        <f>+C394/SUMPRODUCT(L48:Q48,C81:H81)*1000</f>
        <v>57.453070793814739</v>
      </c>
      <c r="F399" s="37" t="s">
        <v>190</v>
      </c>
      <c r="G399" s="37"/>
      <c r="H399" s="37"/>
      <c r="I399" s="85" t="s">
        <v>68</v>
      </c>
      <c r="J399" s="154">
        <f>ROUND(E399/$D$318,4)</f>
        <v>0.90380000000000005</v>
      </c>
      <c r="K399" s="155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</row>
    <row r="400" spans="1:37" x14ac:dyDescent="0.4">
      <c r="A400" s="48"/>
      <c r="B400" s="85" t="s">
        <v>61</v>
      </c>
      <c r="C400" s="12">
        <f>+C395/C396</f>
        <v>0.62371235692223315</v>
      </c>
      <c r="D400" s="37"/>
      <c r="E400" s="7">
        <f>+C395/SUMPRODUCT(L44:Q44,C81:H81)*1000</f>
        <v>65.548676744655324</v>
      </c>
      <c r="F400" s="37" t="s">
        <v>190</v>
      </c>
      <c r="G400" s="37"/>
      <c r="H400" s="37"/>
      <c r="I400" s="85" t="s">
        <v>61</v>
      </c>
      <c r="J400" s="154">
        <f>ROUND(E400/$D$318,4)</f>
        <v>1.0311999999999999</v>
      </c>
      <c r="K400" s="155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</row>
    <row r="401" spans="1:37" x14ac:dyDescent="0.4">
      <c r="A401" s="48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</row>
    <row r="402" spans="1:37" x14ac:dyDescent="0.4">
      <c r="A402" s="35"/>
      <c r="B402" s="37"/>
      <c r="C402" s="91"/>
      <c r="D402" s="91"/>
      <c r="E402" s="91"/>
      <c r="F402" s="91"/>
      <c r="G402" s="91"/>
      <c r="H402" s="91"/>
      <c r="I402" s="91"/>
      <c r="J402" s="91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</row>
    <row r="403" spans="1:37" x14ac:dyDescent="0.4">
      <c r="A403" s="84" t="s">
        <v>193</v>
      </c>
      <c r="B403" s="63" t="s">
        <v>194</v>
      </c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</row>
    <row r="404" spans="1:37" x14ac:dyDescent="0.4">
      <c r="A404" s="84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</row>
    <row r="405" spans="1:37" x14ac:dyDescent="0.4">
      <c r="A405" s="84"/>
      <c r="B405" s="37"/>
      <c r="C405" s="37"/>
      <c r="D405" s="37"/>
      <c r="E405" s="77"/>
      <c r="F405" s="63" t="s">
        <v>195</v>
      </c>
      <c r="G405" s="37"/>
      <c r="H405" s="37"/>
      <c r="I405" s="47" t="s">
        <v>196</v>
      </c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</row>
    <row r="406" spans="1:37" x14ac:dyDescent="0.4">
      <c r="A406" s="35"/>
      <c r="B406" s="47" t="s">
        <v>197</v>
      </c>
      <c r="C406" s="37"/>
      <c r="D406" s="37"/>
      <c r="E406" s="77"/>
      <c r="F406" s="63" t="s">
        <v>198</v>
      </c>
      <c r="G406" s="37"/>
      <c r="H406" s="37"/>
      <c r="I406" s="47" t="s">
        <v>199</v>
      </c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</row>
    <row r="407" spans="1:37" x14ac:dyDescent="0.4">
      <c r="A407" s="48"/>
      <c r="B407" s="46" t="s">
        <v>60</v>
      </c>
      <c r="C407" s="67"/>
      <c r="D407" s="109" t="s">
        <v>200</v>
      </c>
      <c r="E407" s="156"/>
      <c r="F407" s="46" t="s">
        <v>60</v>
      </c>
      <c r="G407" s="37"/>
      <c r="H407" s="37"/>
      <c r="I407" s="157" t="s">
        <v>201</v>
      </c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</row>
    <row r="408" spans="1:37" x14ac:dyDescent="0.4">
      <c r="A408" s="48"/>
      <c r="B408" s="37"/>
      <c r="C408" s="65" t="s">
        <v>48</v>
      </c>
      <c r="D408" s="65" t="s">
        <v>202</v>
      </c>
      <c r="E408" s="158" t="s">
        <v>49</v>
      </c>
      <c r="F408" s="65" t="s">
        <v>48</v>
      </c>
      <c r="G408" s="65" t="s">
        <v>49</v>
      </c>
      <c r="H408" s="37"/>
      <c r="I408" s="65" t="s">
        <v>48</v>
      </c>
      <c r="J408" s="65" t="s">
        <v>49</v>
      </c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</row>
    <row r="409" spans="1:37" x14ac:dyDescent="0.4">
      <c r="A409" s="48"/>
      <c r="B409" s="55" t="s">
        <v>13</v>
      </c>
      <c r="C409" s="81">
        <v>44.35</v>
      </c>
      <c r="D409" s="159">
        <v>0.78959999999999997</v>
      </c>
      <c r="E409" s="160">
        <f>ROUND(C409*D409,2)</f>
        <v>35.020000000000003</v>
      </c>
      <c r="F409" s="12">
        <v>0.96</v>
      </c>
      <c r="G409" s="12">
        <v>0.97</v>
      </c>
      <c r="H409" s="37"/>
      <c r="I409" s="81">
        <f t="shared" ref="I409:I420" si="64">ROUND(C409*F409,2)</f>
        <v>42.58</v>
      </c>
      <c r="J409" s="81">
        <f t="shared" ref="J409:J420" si="65">ROUND(E409*G409,2)</f>
        <v>33.97</v>
      </c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</row>
    <row r="410" spans="1:37" x14ac:dyDescent="0.4">
      <c r="A410" s="48"/>
      <c r="B410" s="55" t="s">
        <v>14</v>
      </c>
      <c r="C410" s="81">
        <v>41.8</v>
      </c>
      <c r="D410" s="159">
        <f>D409</f>
        <v>0.78959999999999997</v>
      </c>
      <c r="E410" s="160">
        <f>ROUND(C410*D410,2)</f>
        <v>33.01</v>
      </c>
      <c r="F410" s="13">
        <f>F409</f>
        <v>0.96</v>
      </c>
      <c r="G410" s="13">
        <f>G409</f>
        <v>0.97</v>
      </c>
      <c r="H410" s="37"/>
      <c r="I410" s="81">
        <f t="shared" si="64"/>
        <v>40.130000000000003</v>
      </c>
      <c r="J410" s="81">
        <f t="shared" si="65"/>
        <v>32.020000000000003</v>
      </c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</row>
    <row r="411" spans="1:37" x14ac:dyDescent="0.4">
      <c r="A411" s="48"/>
      <c r="B411" s="55" t="s">
        <v>15</v>
      </c>
      <c r="C411" s="81">
        <v>33.9</v>
      </c>
      <c r="D411" s="159">
        <f>D409</f>
        <v>0.78959999999999997</v>
      </c>
      <c r="E411" s="160">
        <f t="shared" ref="E411:E420" si="66">ROUND(C411*D411,2)</f>
        <v>26.77</v>
      </c>
      <c r="F411" s="13">
        <f>F409</f>
        <v>0.96</v>
      </c>
      <c r="G411" s="13">
        <f>G409</f>
        <v>0.97</v>
      </c>
      <c r="H411" s="37"/>
      <c r="I411" s="81">
        <f t="shared" si="64"/>
        <v>32.54</v>
      </c>
      <c r="J411" s="81">
        <f t="shared" si="65"/>
        <v>25.97</v>
      </c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</row>
    <row r="412" spans="1:37" x14ac:dyDescent="0.4">
      <c r="A412" s="48"/>
      <c r="B412" s="55" t="s">
        <v>16</v>
      </c>
      <c r="C412" s="81">
        <v>29.75</v>
      </c>
      <c r="D412" s="159">
        <f>D409</f>
        <v>0.78959999999999997</v>
      </c>
      <c r="E412" s="160">
        <f t="shared" si="66"/>
        <v>23.49</v>
      </c>
      <c r="F412" s="13">
        <f>F409</f>
        <v>0.96</v>
      </c>
      <c r="G412" s="13">
        <f>G409</f>
        <v>0.97</v>
      </c>
      <c r="H412" s="37"/>
      <c r="I412" s="81">
        <f t="shared" si="64"/>
        <v>28.56</v>
      </c>
      <c r="J412" s="81">
        <f t="shared" si="65"/>
        <v>22.79</v>
      </c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</row>
    <row r="413" spans="1:37" x14ac:dyDescent="0.4">
      <c r="A413" s="48"/>
      <c r="B413" s="55" t="s">
        <v>17</v>
      </c>
      <c r="C413" s="81">
        <v>30.25</v>
      </c>
      <c r="D413" s="159">
        <f>D409</f>
        <v>0.78959999999999997</v>
      </c>
      <c r="E413" s="160">
        <f t="shared" si="66"/>
        <v>23.89</v>
      </c>
      <c r="F413" s="13">
        <f>F409</f>
        <v>0.96</v>
      </c>
      <c r="G413" s="13">
        <f>G409</f>
        <v>0.97</v>
      </c>
      <c r="H413" s="37"/>
      <c r="I413" s="81">
        <f t="shared" si="64"/>
        <v>29.04</v>
      </c>
      <c r="J413" s="81">
        <f t="shared" si="65"/>
        <v>23.17</v>
      </c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</row>
    <row r="414" spans="1:37" x14ac:dyDescent="0.4">
      <c r="A414" s="48"/>
      <c r="B414" s="55" t="s">
        <v>18</v>
      </c>
      <c r="C414" s="81">
        <v>30.4</v>
      </c>
      <c r="D414" s="159">
        <v>0.66969999999999996</v>
      </c>
      <c r="E414" s="160">
        <f t="shared" si="66"/>
        <v>20.36</v>
      </c>
      <c r="F414" s="12">
        <v>0.93</v>
      </c>
      <c r="G414" s="12">
        <v>0.91</v>
      </c>
      <c r="H414" s="37"/>
      <c r="I414" s="81">
        <f t="shared" si="64"/>
        <v>28.27</v>
      </c>
      <c r="J414" s="81">
        <f t="shared" si="65"/>
        <v>18.53</v>
      </c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</row>
    <row r="415" spans="1:37" x14ac:dyDescent="0.4">
      <c r="A415" s="48"/>
      <c r="B415" s="55" t="s">
        <v>19</v>
      </c>
      <c r="C415" s="81">
        <v>36.549999999999997</v>
      </c>
      <c r="D415" s="159">
        <f>D414</f>
        <v>0.66969999999999996</v>
      </c>
      <c r="E415" s="160">
        <f t="shared" si="66"/>
        <v>24.48</v>
      </c>
      <c r="F415" s="13">
        <f>F414</f>
        <v>0.93</v>
      </c>
      <c r="G415" s="13">
        <f>G414</f>
        <v>0.91</v>
      </c>
      <c r="H415" s="37"/>
      <c r="I415" s="81">
        <f t="shared" si="64"/>
        <v>33.99</v>
      </c>
      <c r="J415" s="81">
        <f t="shared" si="65"/>
        <v>22.28</v>
      </c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</row>
    <row r="416" spans="1:37" x14ac:dyDescent="0.4">
      <c r="A416" s="48"/>
      <c r="B416" s="55" t="s">
        <v>20</v>
      </c>
      <c r="C416" s="81">
        <v>33.450000000000003</v>
      </c>
      <c r="D416" s="159">
        <f>D414</f>
        <v>0.66969999999999996</v>
      </c>
      <c r="E416" s="160">
        <f t="shared" si="66"/>
        <v>22.4</v>
      </c>
      <c r="F416" s="13">
        <f>F414</f>
        <v>0.93</v>
      </c>
      <c r="G416" s="13">
        <f>G414</f>
        <v>0.91</v>
      </c>
      <c r="H416" s="37"/>
      <c r="I416" s="81">
        <f t="shared" si="64"/>
        <v>31.11</v>
      </c>
      <c r="J416" s="81">
        <f t="shared" si="65"/>
        <v>20.38</v>
      </c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</row>
    <row r="417" spans="1:37" x14ac:dyDescent="0.4">
      <c r="A417" s="48"/>
      <c r="B417" s="55" t="s">
        <v>21</v>
      </c>
      <c r="C417" s="81">
        <v>31.7</v>
      </c>
      <c r="D417" s="159">
        <f>D414</f>
        <v>0.66969999999999996</v>
      </c>
      <c r="E417" s="160">
        <f t="shared" si="66"/>
        <v>21.23</v>
      </c>
      <c r="F417" s="13">
        <f>F414</f>
        <v>0.93</v>
      </c>
      <c r="G417" s="13">
        <f>G414</f>
        <v>0.91</v>
      </c>
      <c r="H417" s="37"/>
      <c r="I417" s="81">
        <f t="shared" si="64"/>
        <v>29.48</v>
      </c>
      <c r="J417" s="81">
        <f t="shared" si="65"/>
        <v>19.32</v>
      </c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</row>
    <row r="418" spans="1:37" x14ac:dyDescent="0.4">
      <c r="A418" s="48"/>
      <c r="B418" s="55" t="s">
        <v>22</v>
      </c>
      <c r="C418" s="81">
        <v>30.15</v>
      </c>
      <c r="D418" s="159">
        <f>D409</f>
        <v>0.78959999999999997</v>
      </c>
      <c r="E418" s="160">
        <f t="shared" si="66"/>
        <v>23.81</v>
      </c>
      <c r="F418" s="13">
        <f>F409</f>
        <v>0.96</v>
      </c>
      <c r="G418" s="13">
        <f>G409</f>
        <v>0.97</v>
      </c>
      <c r="H418" s="37"/>
      <c r="I418" s="81">
        <f t="shared" si="64"/>
        <v>28.94</v>
      </c>
      <c r="J418" s="81">
        <f t="shared" si="65"/>
        <v>23.1</v>
      </c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</row>
    <row r="419" spans="1:37" x14ac:dyDescent="0.4">
      <c r="A419" s="48"/>
      <c r="B419" s="55" t="s">
        <v>23</v>
      </c>
      <c r="C419" s="81">
        <v>30.45</v>
      </c>
      <c r="D419" s="159">
        <f>D409</f>
        <v>0.78959999999999997</v>
      </c>
      <c r="E419" s="160">
        <f t="shared" si="66"/>
        <v>24.04</v>
      </c>
      <c r="F419" s="13">
        <f>F409</f>
        <v>0.96</v>
      </c>
      <c r="G419" s="13">
        <f>G409</f>
        <v>0.97</v>
      </c>
      <c r="H419" s="37"/>
      <c r="I419" s="81">
        <f t="shared" si="64"/>
        <v>29.23</v>
      </c>
      <c r="J419" s="81">
        <f t="shared" si="65"/>
        <v>23.32</v>
      </c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</row>
    <row r="420" spans="1:37" x14ac:dyDescent="0.4">
      <c r="A420" s="48"/>
      <c r="B420" s="55" t="s">
        <v>24</v>
      </c>
      <c r="C420" s="81">
        <v>32.549999999999997</v>
      </c>
      <c r="D420" s="159">
        <f>D409</f>
        <v>0.78959999999999997</v>
      </c>
      <c r="E420" s="160">
        <f t="shared" si="66"/>
        <v>25.7</v>
      </c>
      <c r="F420" s="13">
        <f>F409</f>
        <v>0.96</v>
      </c>
      <c r="G420" s="13">
        <f>G409</f>
        <v>0.97</v>
      </c>
      <c r="H420" s="37"/>
      <c r="I420" s="81">
        <f t="shared" si="64"/>
        <v>31.25</v>
      </c>
      <c r="J420" s="81">
        <f t="shared" si="65"/>
        <v>24.93</v>
      </c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</row>
    <row r="421" spans="1:37" x14ac:dyDescent="0.4">
      <c r="A421" s="48"/>
      <c r="B421" s="55"/>
      <c r="C421" s="81"/>
      <c r="D421" s="81"/>
      <c r="E421" s="77"/>
      <c r="F421" s="37"/>
      <c r="G421" s="37"/>
      <c r="H421" s="37"/>
      <c r="I421" s="37"/>
      <c r="J421" s="37"/>
      <c r="K421" s="12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</row>
    <row r="422" spans="1:37" x14ac:dyDescent="0.4">
      <c r="A422" s="48"/>
      <c r="B422" s="55"/>
      <c r="C422" s="81"/>
      <c r="D422" s="81"/>
      <c r="E422" s="37"/>
      <c r="F422" s="37"/>
      <c r="G422" s="37"/>
      <c r="H422" s="37"/>
      <c r="I422" s="37"/>
      <c r="J422" s="37"/>
      <c r="K422" s="12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</row>
    <row r="423" spans="1:37" x14ac:dyDescent="0.4">
      <c r="A423" s="48"/>
      <c r="B423" s="55"/>
      <c r="C423" s="81"/>
      <c r="D423" s="81"/>
      <c r="E423" s="37"/>
      <c r="F423" s="37"/>
      <c r="G423" s="37"/>
      <c r="H423" s="37"/>
      <c r="I423" s="37"/>
      <c r="J423" s="37"/>
      <c r="K423" s="12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</row>
    <row r="424" spans="1:37" x14ac:dyDescent="0.4">
      <c r="A424" s="35"/>
      <c r="B424" s="63" t="s">
        <v>203</v>
      </c>
      <c r="C424" s="37"/>
      <c r="D424" s="37"/>
      <c r="E424" s="37"/>
      <c r="F424" s="157" t="s">
        <v>204</v>
      </c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</row>
    <row r="425" spans="1:37" x14ac:dyDescent="0.4">
      <c r="A425" s="35"/>
      <c r="B425" s="46" t="s">
        <v>60</v>
      </c>
      <c r="C425" s="37"/>
      <c r="D425" s="37"/>
      <c r="E425" s="37"/>
      <c r="F425" s="47" t="str">
        <f>"system ("&amp;TEXT(D447*100,"0.0")&amp;"% PJM - "&amp;TEXT(E447*100,"0.0")&amp;"% NYISO)"</f>
        <v>system (88.8% PJM - 11.2% NYISO)</v>
      </c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</row>
    <row r="426" spans="1:37" x14ac:dyDescent="0.4">
      <c r="A426" s="35"/>
      <c r="B426" s="46"/>
      <c r="C426" s="37"/>
      <c r="D426" s="37"/>
      <c r="E426" s="37"/>
      <c r="F426" s="46" t="s">
        <v>60</v>
      </c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</row>
    <row r="427" spans="1:37" x14ac:dyDescent="0.4">
      <c r="A427" s="35"/>
      <c r="B427" s="37"/>
      <c r="C427" s="65" t="s">
        <v>48</v>
      </c>
      <c r="D427" s="65" t="s">
        <v>49</v>
      </c>
      <c r="E427" s="37"/>
      <c r="F427" s="37"/>
      <c r="G427" s="65" t="s">
        <v>48</v>
      </c>
      <c r="H427" s="65" t="s">
        <v>49</v>
      </c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</row>
    <row r="428" spans="1:37" x14ac:dyDescent="0.4">
      <c r="A428" s="35"/>
      <c r="B428" s="55" t="s">
        <v>13</v>
      </c>
      <c r="C428" s="81">
        <v>55.5</v>
      </c>
      <c r="D428" s="81">
        <v>44.75</v>
      </c>
      <c r="E428" s="37"/>
      <c r="F428" s="55" t="s">
        <v>13</v>
      </c>
      <c r="G428" s="81">
        <f t="shared" ref="G428:H439" si="67">ROUND($J$428*I409+$J$429*C428,2)</f>
        <v>44.03</v>
      </c>
      <c r="H428" s="81">
        <f t="shared" si="67"/>
        <v>35.18</v>
      </c>
      <c r="I428" s="37"/>
      <c r="J428" s="161">
        <f>D447</f>
        <v>0.88790233074361824</v>
      </c>
      <c r="K428" s="37" t="s">
        <v>205</v>
      </c>
      <c r="L428" s="37"/>
      <c r="M428" s="37"/>
      <c r="N428" s="37"/>
      <c r="O428" s="37"/>
      <c r="P428" s="37"/>
      <c r="Q428" s="81">
        <f>AVERAGE(G433:G436)</f>
        <v>30.73</v>
      </c>
      <c r="R428" s="81">
        <f>AVERAGE(H433:H436)</f>
        <v>20.385000000000002</v>
      </c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</row>
    <row r="429" spans="1:37" x14ac:dyDescent="0.4">
      <c r="A429" s="35"/>
      <c r="B429" s="55" t="s">
        <v>14</v>
      </c>
      <c r="C429" s="81">
        <v>53.5</v>
      </c>
      <c r="D429" s="81">
        <v>42.75</v>
      </c>
      <c r="E429" s="37"/>
      <c r="F429" s="55" t="s">
        <v>14</v>
      </c>
      <c r="G429" s="81">
        <f t="shared" si="67"/>
        <v>41.63</v>
      </c>
      <c r="H429" s="81">
        <f t="shared" si="67"/>
        <v>33.22</v>
      </c>
      <c r="I429" s="37"/>
      <c r="J429" s="161">
        <f>E447</f>
        <v>0.1120976692563818</v>
      </c>
      <c r="K429" s="37" t="s">
        <v>206</v>
      </c>
      <c r="L429" s="37"/>
      <c r="M429" s="37"/>
      <c r="N429" s="37"/>
      <c r="O429" s="37"/>
      <c r="P429" s="37"/>
      <c r="Q429" s="81">
        <f>AVERAGE(G428:G432,G437:G439)</f>
        <v>33.372499999999995</v>
      </c>
      <c r="R429" s="81">
        <f>AVERAGE(H428:H432,H437:H439)</f>
        <v>26.549999999999997</v>
      </c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</row>
    <row r="430" spans="1:37" x14ac:dyDescent="0.4">
      <c r="A430" s="35"/>
      <c r="B430" s="55" t="s">
        <v>15</v>
      </c>
      <c r="C430" s="81">
        <v>38.25</v>
      </c>
      <c r="D430" s="81">
        <v>28.75</v>
      </c>
      <c r="E430" s="37"/>
      <c r="F430" s="55" t="s">
        <v>15</v>
      </c>
      <c r="G430" s="81">
        <f t="shared" si="67"/>
        <v>33.18</v>
      </c>
      <c r="H430" s="81">
        <f t="shared" si="67"/>
        <v>26.28</v>
      </c>
      <c r="I430" s="37"/>
      <c r="J430" s="37"/>
      <c r="K430" s="37"/>
      <c r="L430" s="37"/>
      <c r="M430" s="37"/>
      <c r="N430" s="37"/>
      <c r="O430" s="37"/>
      <c r="P430" s="37"/>
      <c r="Q430" s="37">
        <f>Q428/Q429</f>
        <v>0.92081803880440494</v>
      </c>
      <c r="R430" s="37">
        <f>R428/R429</f>
        <v>0.76779661016949163</v>
      </c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</row>
    <row r="431" spans="1:37" x14ac:dyDescent="0.4">
      <c r="A431" s="35"/>
      <c r="B431" s="55" t="s">
        <v>16</v>
      </c>
      <c r="C431" s="81">
        <v>29.5</v>
      </c>
      <c r="D431" s="81">
        <v>23.5</v>
      </c>
      <c r="E431" s="37"/>
      <c r="F431" s="55" t="s">
        <v>16</v>
      </c>
      <c r="G431" s="81">
        <f t="shared" si="67"/>
        <v>28.67</v>
      </c>
      <c r="H431" s="81">
        <f t="shared" si="67"/>
        <v>22.87</v>
      </c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</row>
    <row r="432" spans="1:37" x14ac:dyDescent="0.4">
      <c r="A432" s="35"/>
      <c r="B432" s="55" t="s">
        <v>17</v>
      </c>
      <c r="C432" s="81">
        <v>28.25</v>
      </c>
      <c r="D432" s="81">
        <v>21.5</v>
      </c>
      <c r="E432" s="37"/>
      <c r="F432" s="55" t="s">
        <v>17</v>
      </c>
      <c r="G432" s="81">
        <f t="shared" si="67"/>
        <v>28.95</v>
      </c>
      <c r="H432" s="81">
        <f t="shared" si="67"/>
        <v>22.98</v>
      </c>
      <c r="I432" s="37"/>
      <c r="J432" s="37"/>
      <c r="K432" s="37"/>
      <c r="L432" s="37"/>
      <c r="M432" s="37"/>
      <c r="N432" s="37"/>
      <c r="O432" s="37"/>
      <c r="P432" s="37"/>
      <c r="Q432" s="81">
        <f>AVERAGE(G428:G439)</f>
        <v>32.491666666666667</v>
      </c>
      <c r="R432" s="81">
        <f>AVERAGE(H428:H439)</f>
        <v>24.494999999999994</v>
      </c>
      <c r="S432" s="37">
        <f>Q432/R432</f>
        <v>1.3264611825542632</v>
      </c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</row>
    <row r="433" spans="1:37" x14ac:dyDescent="0.4">
      <c r="A433" s="35"/>
      <c r="B433" s="55" t="s">
        <v>18</v>
      </c>
      <c r="C433" s="81">
        <v>27.5</v>
      </c>
      <c r="D433" s="81">
        <v>21.25</v>
      </c>
      <c r="E433" s="37"/>
      <c r="F433" s="55" t="s">
        <v>18</v>
      </c>
      <c r="G433" s="81">
        <f t="shared" si="67"/>
        <v>28.18</v>
      </c>
      <c r="H433" s="81">
        <f t="shared" si="67"/>
        <v>18.829999999999998</v>
      </c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</row>
    <row r="434" spans="1:37" x14ac:dyDescent="0.4">
      <c r="A434" s="35"/>
      <c r="B434" s="55" t="s">
        <v>19</v>
      </c>
      <c r="C434" s="81">
        <v>34.75</v>
      </c>
      <c r="D434" s="81">
        <v>24.25</v>
      </c>
      <c r="E434" s="37"/>
      <c r="F434" s="55" t="s">
        <v>19</v>
      </c>
      <c r="G434" s="81">
        <f t="shared" si="67"/>
        <v>34.08</v>
      </c>
      <c r="H434" s="81">
        <f t="shared" si="67"/>
        <v>22.5</v>
      </c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</row>
    <row r="435" spans="1:37" x14ac:dyDescent="0.4">
      <c r="A435" s="35"/>
      <c r="B435" s="55" t="s">
        <v>20</v>
      </c>
      <c r="C435" s="81">
        <v>32.75</v>
      </c>
      <c r="D435" s="81">
        <v>23.25</v>
      </c>
      <c r="E435" s="37"/>
      <c r="F435" s="55" t="s">
        <v>20</v>
      </c>
      <c r="G435" s="81">
        <f t="shared" si="67"/>
        <v>31.29</v>
      </c>
      <c r="H435" s="81">
        <f t="shared" si="67"/>
        <v>20.7</v>
      </c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</row>
    <row r="436" spans="1:37" x14ac:dyDescent="0.4">
      <c r="A436" s="35"/>
      <c r="B436" s="55" t="s">
        <v>21</v>
      </c>
      <c r="C436" s="81">
        <v>28.5</v>
      </c>
      <c r="D436" s="81">
        <v>21</v>
      </c>
      <c r="E436" s="37"/>
      <c r="F436" s="55" t="s">
        <v>21</v>
      </c>
      <c r="G436" s="81">
        <f t="shared" si="67"/>
        <v>29.37</v>
      </c>
      <c r="H436" s="81">
        <f t="shared" si="67"/>
        <v>19.510000000000002</v>
      </c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</row>
    <row r="437" spans="1:37" x14ac:dyDescent="0.4">
      <c r="A437" s="35"/>
      <c r="B437" s="55" t="s">
        <v>22</v>
      </c>
      <c r="C437" s="81">
        <v>26.75</v>
      </c>
      <c r="D437" s="81">
        <v>21.75</v>
      </c>
      <c r="E437" s="37"/>
      <c r="F437" s="55" t="s">
        <v>22</v>
      </c>
      <c r="G437" s="81">
        <f t="shared" si="67"/>
        <v>28.69</v>
      </c>
      <c r="H437" s="81">
        <f t="shared" si="67"/>
        <v>22.95</v>
      </c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</row>
    <row r="438" spans="1:37" x14ac:dyDescent="0.4">
      <c r="A438" s="35"/>
      <c r="B438" s="55" t="s">
        <v>23</v>
      </c>
      <c r="C438" s="81">
        <v>31.25</v>
      </c>
      <c r="D438" s="81">
        <v>22.25</v>
      </c>
      <c r="E438" s="37"/>
      <c r="F438" s="55" t="s">
        <v>23</v>
      </c>
      <c r="G438" s="81">
        <f t="shared" si="67"/>
        <v>29.46</v>
      </c>
      <c r="H438" s="81">
        <f t="shared" si="67"/>
        <v>23.2</v>
      </c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</row>
    <row r="439" spans="1:37" x14ac:dyDescent="0.4">
      <c r="A439" s="35"/>
      <c r="B439" s="55" t="s">
        <v>24</v>
      </c>
      <c r="C439" s="81">
        <v>41.25</v>
      </c>
      <c r="D439" s="81">
        <v>32</v>
      </c>
      <c r="E439" s="37"/>
      <c r="F439" s="55" t="s">
        <v>24</v>
      </c>
      <c r="G439" s="81">
        <f t="shared" si="67"/>
        <v>32.369999999999997</v>
      </c>
      <c r="H439" s="81">
        <f t="shared" si="67"/>
        <v>25.72</v>
      </c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</row>
    <row r="440" spans="1:37" x14ac:dyDescent="0.4">
      <c r="A440" s="35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</row>
    <row r="441" spans="1:37" x14ac:dyDescent="0.4">
      <c r="A441" s="35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</row>
    <row r="442" spans="1:37" x14ac:dyDescent="0.4">
      <c r="A442" s="35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</row>
    <row r="443" spans="1:37" x14ac:dyDescent="0.4">
      <c r="A443" s="84" t="s">
        <v>207</v>
      </c>
      <c r="B443" s="47" t="s">
        <v>208</v>
      </c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</row>
    <row r="444" spans="1:37" x14ac:dyDescent="0.4">
      <c r="A444" s="35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</row>
    <row r="445" spans="1:37" x14ac:dyDescent="0.4">
      <c r="A445" s="35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</row>
    <row r="446" spans="1:37" x14ac:dyDescent="0.4">
      <c r="A446" s="35"/>
      <c r="B446" s="37"/>
      <c r="C446" s="85" t="s">
        <v>209</v>
      </c>
      <c r="D446" s="67" t="s">
        <v>205</v>
      </c>
      <c r="E446" s="67" t="s">
        <v>206</v>
      </c>
      <c r="F446" s="67" t="s">
        <v>210</v>
      </c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</row>
    <row r="447" spans="1:37" x14ac:dyDescent="0.4">
      <c r="A447" s="35"/>
      <c r="B447" s="37"/>
      <c r="C447" s="162" t="s">
        <v>211</v>
      </c>
      <c r="D447" s="163">
        <f>4/(4+M466)</f>
        <v>0.88790233074361824</v>
      </c>
      <c r="E447" s="163">
        <f>M466/(4+M466)</f>
        <v>0.1120976692563818</v>
      </c>
      <c r="F447" s="164" t="s">
        <v>212</v>
      </c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</row>
    <row r="448" spans="1:37" x14ac:dyDescent="0.4">
      <c r="A448" s="35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102" t="s">
        <v>213</v>
      </c>
      <c r="R448" s="37" t="s">
        <v>214</v>
      </c>
      <c r="S448" s="37" t="s">
        <v>215</v>
      </c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</row>
    <row r="449" spans="1:37" x14ac:dyDescent="0.4">
      <c r="A449" s="35"/>
      <c r="B449" s="67" t="s">
        <v>68</v>
      </c>
      <c r="C449" s="165">
        <v>154.49</v>
      </c>
      <c r="D449" s="6">
        <f>C449</f>
        <v>154.49</v>
      </c>
      <c r="E449" s="6">
        <v>168.88845652173913</v>
      </c>
      <c r="F449" s="106">
        <f>ROUND(D449*D$447+E449*E$447,2)</f>
        <v>156.1</v>
      </c>
      <c r="G449" s="37"/>
      <c r="H449" s="106"/>
      <c r="I449" s="37"/>
      <c r="J449" s="37"/>
      <c r="K449" s="37"/>
      <c r="L449" s="37"/>
      <c r="M449" s="37"/>
      <c r="N449" s="37"/>
      <c r="O449" s="37"/>
      <c r="P449" s="37" t="s">
        <v>216</v>
      </c>
      <c r="Q449" s="37">
        <v>2.25</v>
      </c>
      <c r="R449" s="37">
        <f>Q449*1000</f>
        <v>2250</v>
      </c>
      <c r="S449" s="37">
        <v>31</v>
      </c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</row>
    <row r="450" spans="1:37" x14ac:dyDescent="0.4">
      <c r="A450" s="35"/>
      <c r="B450" s="67"/>
      <c r="C450" s="67"/>
      <c r="D450" s="6"/>
      <c r="E450" s="6"/>
      <c r="F450" s="106"/>
      <c r="G450" s="37"/>
      <c r="H450" s="37"/>
      <c r="I450" s="37"/>
      <c r="J450" s="37"/>
      <c r="K450" s="37"/>
      <c r="L450" s="37"/>
      <c r="M450" s="37"/>
      <c r="N450" s="37"/>
      <c r="O450" s="37"/>
      <c r="P450" s="37" t="s">
        <v>217</v>
      </c>
      <c r="Q450" s="37">
        <v>1.25</v>
      </c>
      <c r="R450" s="37">
        <f>Q450*1000</f>
        <v>1250</v>
      </c>
      <c r="S450" s="37">
        <v>30</v>
      </c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</row>
    <row r="451" spans="1:37" x14ac:dyDescent="0.4">
      <c r="A451" s="35"/>
      <c r="B451" s="67" t="s">
        <v>61</v>
      </c>
      <c r="C451" s="6">
        <f>C449</f>
        <v>154.49</v>
      </c>
      <c r="D451" s="6">
        <f>C451</f>
        <v>154.49</v>
      </c>
      <c r="E451" s="33">
        <v>31.260198895027624</v>
      </c>
      <c r="F451" s="106">
        <f>ROUND(D451*D$447+E451*E$447,2)</f>
        <v>140.68</v>
      </c>
      <c r="G451" s="37"/>
      <c r="H451" s="37"/>
      <c r="I451" s="102"/>
      <c r="J451" s="37"/>
      <c r="K451" s="37"/>
      <c r="L451" s="37"/>
      <c r="M451" s="37"/>
      <c r="N451" s="37"/>
      <c r="O451" s="37"/>
      <c r="P451" s="37" t="s">
        <v>218</v>
      </c>
      <c r="Q451" s="37">
        <v>1.25</v>
      </c>
      <c r="R451" s="37">
        <f t="shared" ref="Q451:R456" si="68">Q451*1000</f>
        <v>1250</v>
      </c>
      <c r="S451" s="37">
        <v>31</v>
      </c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</row>
    <row r="452" spans="1:37" x14ac:dyDescent="0.4">
      <c r="A452" s="35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 t="s">
        <v>219</v>
      </c>
      <c r="P452" s="37">
        <v>1.25</v>
      </c>
      <c r="Q452" s="37">
        <f t="shared" si="68"/>
        <v>1250</v>
      </c>
      <c r="R452" s="37">
        <v>30</v>
      </c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</row>
    <row r="453" spans="1:37" x14ac:dyDescent="0.4">
      <c r="A453" s="35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 t="s">
        <v>220</v>
      </c>
      <c r="P453" s="37">
        <v>1.25</v>
      </c>
      <c r="Q453" s="37">
        <f t="shared" si="68"/>
        <v>1250</v>
      </c>
      <c r="R453" s="37">
        <v>28</v>
      </c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</row>
    <row r="454" spans="1:37" x14ac:dyDescent="0.4">
      <c r="A454" s="35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 t="s">
        <v>221</v>
      </c>
      <c r="P454" s="37">
        <v>1.25</v>
      </c>
      <c r="Q454" s="37">
        <f t="shared" si="68"/>
        <v>1250</v>
      </c>
      <c r="R454" s="37">
        <v>31</v>
      </c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</row>
    <row r="455" spans="1:37" x14ac:dyDescent="0.4">
      <c r="A455" s="84" t="s">
        <v>222</v>
      </c>
      <c r="B455" s="47" t="s">
        <v>114</v>
      </c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 t="s">
        <v>223</v>
      </c>
      <c r="P455" s="37">
        <v>1.25</v>
      </c>
      <c r="Q455" s="37">
        <f t="shared" si="68"/>
        <v>1250</v>
      </c>
      <c r="R455" s="37">
        <v>30</v>
      </c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</row>
    <row r="456" spans="1:37" x14ac:dyDescent="0.4">
      <c r="A456" s="35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 t="s">
        <v>17</v>
      </c>
      <c r="P456" s="37">
        <v>2</v>
      </c>
      <c r="Q456" s="37">
        <f t="shared" si="68"/>
        <v>2000</v>
      </c>
      <c r="R456" s="37">
        <v>31</v>
      </c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</row>
    <row r="457" spans="1:37" x14ac:dyDescent="0.4">
      <c r="A457" s="35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>
        <f>SUM(P449:P456)</f>
        <v>7</v>
      </c>
      <c r="Q457" s="37">
        <f>SUM(Q449:Q456)</f>
        <v>7004.75</v>
      </c>
      <c r="R457" s="37">
        <f>SUM(R449:R456)</f>
        <v>4900</v>
      </c>
      <c r="S457" s="37">
        <f>Q457/R457</f>
        <v>1.4295408163265306</v>
      </c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</row>
    <row r="458" spans="1:37" x14ac:dyDescent="0.4">
      <c r="A458" s="35"/>
      <c r="B458" s="37"/>
      <c r="C458" s="67" t="s">
        <v>224</v>
      </c>
      <c r="D458" s="67" t="s">
        <v>225</v>
      </c>
      <c r="E458" s="67" t="s">
        <v>226</v>
      </c>
      <c r="F458" s="67" t="s">
        <v>205</v>
      </c>
      <c r="G458" s="67" t="s">
        <v>206</v>
      </c>
      <c r="H458" s="67" t="s">
        <v>210</v>
      </c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</row>
    <row r="459" spans="1:37" x14ac:dyDescent="0.4">
      <c r="A459" s="35"/>
      <c r="B459" s="37"/>
      <c r="C459" s="164" t="s">
        <v>227</v>
      </c>
      <c r="D459" s="164" t="s">
        <v>227</v>
      </c>
      <c r="E459" s="164" t="s">
        <v>228</v>
      </c>
      <c r="F459" s="163">
        <f>D447</f>
        <v>0.88790233074361824</v>
      </c>
      <c r="G459" s="163">
        <f>E447</f>
        <v>0.1120976692563818</v>
      </c>
      <c r="H459" s="164" t="s">
        <v>212</v>
      </c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</row>
    <row r="460" spans="1:37" x14ac:dyDescent="0.4">
      <c r="A460" s="35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</row>
    <row r="461" spans="1:37" x14ac:dyDescent="0.4">
      <c r="A461" s="35"/>
      <c r="B461" s="67"/>
      <c r="C461" s="34">
        <v>2</v>
      </c>
      <c r="D461" s="34">
        <v>1.9586699999999999</v>
      </c>
      <c r="E461" s="34">
        <v>15.39</v>
      </c>
      <c r="F461" s="34">
        <f>C461+E461</f>
        <v>17.39</v>
      </c>
      <c r="G461" s="34">
        <f>E461+D461</f>
        <v>17.348670000000002</v>
      </c>
      <c r="H461" s="34">
        <f>ROUND(F461*F$459+G461*G$459,2)</f>
        <v>17.39</v>
      </c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</row>
    <row r="462" spans="1:37" x14ac:dyDescent="0.4">
      <c r="A462" s="35"/>
      <c r="B462" s="67"/>
      <c r="C462" s="34"/>
      <c r="D462" s="34"/>
      <c r="E462" s="34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</row>
    <row r="463" spans="1:37" ht="13" thickBot="1" x14ac:dyDescent="0.45">
      <c r="A463" s="63" t="s">
        <v>229</v>
      </c>
      <c r="B463" s="37"/>
      <c r="C463" s="37"/>
      <c r="D463" s="37"/>
      <c r="E463" s="90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</row>
    <row r="464" spans="1:37" x14ac:dyDescent="0.4">
      <c r="A464" s="48"/>
      <c r="B464" s="67" t="s">
        <v>230</v>
      </c>
      <c r="C464" s="106">
        <f>F449</f>
        <v>156.1</v>
      </c>
      <c r="D464" s="100" t="s">
        <v>231</v>
      </c>
      <c r="E464" s="37"/>
      <c r="F464" s="37"/>
      <c r="G464" s="37"/>
      <c r="H464" s="37"/>
      <c r="I464" s="37"/>
      <c r="J464" s="37"/>
      <c r="K464" s="37"/>
      <c r="L464" s="166" t="s">
        <v>232</v>
      </c>
      <c r="M464" s="167">
        <v>45.4</v>
      </c>
      <c r="N464" s="132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</row>
    <row r="465" spans="1:37" x14ac:dyDescent="0.4">
      <c r="A465" s="48"/>
      <c r="B465" s="67"/>
      <c r="C465" s="106">
        <f>+F451</f>
        <v>140.68</v>
      </c>
      <c r="D465" s="100" t="s">
        <v>233</v>
      </c>
      <c r="E465" s="37"/>
      <c r="F465" s="37"/>
      <c r="G465" s="37"/>
      <c r="H465" s="37"/>
      <c r="I465" s="37"/>
      <c r="J465" s="37"/>
      <c r="K465" s="37"/>
      <c r="L465" s="168" t="s">
        <v>234</v>
      </c>
      <c r="M465" s="169">
        <v>89.894999999999996</v>
      </c>
      <c r="N465" s="134"/>
      <c r="O465" s="37"/>
      <c r="P465" s="37"/>
      <c r="Q465" s="37"/>
      <c r="R465" s="37"/>
      <c r="S465" s="169">
        <v>99.375</v>
      </c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</row>
    <row r="466" spans="1:37" x14ac:dyDescent="0.4">
      <c r="A466" s="48"/>
      <c r="B466" s="67" t="s">
        <v>235</v>
      </c>
      <c r="C466" s="91">
        <f>+C147</f>
        <v>42548</v>
      </c>
      <c r="D466" s="100" t="s">
        <v>95</v>
      </c>
      <c r="E466" s="31"/>
      <c r="F466" s="37"/>
      <c r="G466" s="37"/>
      <c r="H466" s="37"/>
      <c r="I466" s="37"/>
      <c r="J466" s="37"/>
      <c r="K466" s="37"/>
      <c r="L466" s="168" t="s">
        <v>236</v>
      </c>
      <c r="M466" s="37">
        <f>ROUND(M464/M465,3)</f>
        <v>0.505</v>
      </c>
      <c r="N466" s="134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</row>
    <row r="467" spans="1:37" x14ac:dyDescent="0.4">
      <c r="A467" s="48"/>
      <c r="B467" s="67" t="s">
        <v>237</v>
      </c>
      <c r="C467" s="170">
        <f>+H144</f>
        <v>4</v>
      </c>
      <c r="D467" s="37" t="s">
        <v>238</v>
      </c>
      <c r="E467" s="31"/>
      <c r="F467" s="37"/>
      <c r="G467" s="37"/>
      <c r="H467" s="37"/>
      <c r="I467" s="37"/>
      <c r="J467" s="37"/>
      <c r="K467" s="37"/>
      <c r="L467" s="133"/>
      <c r="M467" s="37"/>
      <c r="N467" s="134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</row>
    <row r="468" spans="1:37" x14ac:dyDescent="0.4">
      <c r="A468" s="48"/>
      <c r="B468" s="67"/>
      <c r="C468" s="170">
        <f>+H145</f>
        <v>8</v>
      </c>
      <c r="D468" s="37" t="s">
        <v>239</v>
      </c>
      <c r="E468" s="31"/>
      <c r="F468" s="37"/>
      <c r="G468" s="37"/>
      <c r="H468" s="37"/>
      <c r="I468" s="37"/>
      <c r="J468" s="37"/>
      <c r="K468" s="37"/>
      <c r="L468" s="168" t="s">
        <v>240</v>
      </c>
      <c r="M468" s="89">
        <f>D223-D318</f>
        <v>12.616787390304751</v>
      </c>
      <c r="N468" s="134" t="s">
        <v>241</v>
      </c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</row>
    <row r="469" spans="1:37" x14ac:dyDescent="0.4">
      <c r="A469" s="48"/>
      <c r="B469" s="67" t="s">
        <v>242</v>
      </c>
      <c r="C469" s="89">
        <f>+D161</f>
        <v>17.39</v>
      </c>
      <c r="D469" s="102" t="s">
        <v>116</v>
      </c>
      <c r="E469" s="37"/>
      <c r="F469" s="37"/>
      <c r="G469" s="37"/>
      <c r="H469" s="37"/>
      <c r="I469" s="37"/>
      <c r="J469" s="37"/>
      <c r="K469" s="37"/>
      <c r="L469" s="168" t="s">
        <v>243</v>
      </c>
      <c r="M469" s="171">
        <f>ROUND(M466/(4+M466)*M468,2)</f>
        <v>1.41</v>
      </c>
      <c r="N469" s="134" t="s">
        <v>241</v>
      </c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</row>
    <row r="470" spans="1:37" ht="13" thickBot="1" x14ac:dyDescent="0.45">
      <c r="A470" s="48"/>
      <c r="B470" s="67" t="s">
        <v>244</v>
      </c>
      <c r="C470" s="102" t="s">
        <v>407</v>
      </c>
      <c r="D470" s="37"/>
      <c r="E470" s="37"/>
      <c r="F470" s="37"/>
      <c r="G470" s="37"/>
      <c r="H470" s="37"/>
      <c r="I470" s="37"/>
      <c r="J470" s="37"/>
      <c r="K470" s="37"/>
      <c r="L470" s="172" t="s">
        <v>245</v>
      </c>
      <c r="M470" s="173">
        <f>M468-M469</f>
        <v>11.206787390304751</v>
      </c>
      <c r="N470" s="174" t="s">
        <v>241</v>
      </c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</row>
    <row r="471" spans="1:37" x14ac:dyDescent="0.4">
      <c r="A471" s="48"/>
      <c r="B471" s="67"/>
      <c r="C471" s="102" t="s">
        <v>408</v>
      </c>
      <c r="D471" s="37"/>
      <c r="E471" s="37"/>
      <c r="F471" s="37"/>
      <c r="G471" s="37"/>
      <c r="H471" s="37"/>
      <c r="I471" s="37"/>
      <c r="J471" s="37"/>
      <c r="K471" s="37"/>
      <c r="L471" s="175"/>
      <c r="M471" s="169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</row>
    <row r="472" spans="1:37" x14ac:dyDescent="0.4">
      <c r="A472" s="48"/>
      <c r="B472" s="67" t="s">
        <v>246</v>
      </c>
      <c r="C472" s="102" t="str">
        <f>"Forecasted " &amp;M1-1 &amp;" energy use by class, PJM on/off % from " &amp;M1-2 &amp;" class load profiles,"</f>
        <v>Forecasted 2020 energy use by class, PJM on/off % from 2019 class load profiles,</v>
      </c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</row>
    <row r="473" spans="1:37" x14ac:dyDescent="0.4">
      <c r="A473" s="48"/>
      <c r="B473" s="67"/>
      <c r="C473" s="102" t="str">
        <f>"RECO billing on/off % from " &amp;TEXT(DATE(M1-2,6,1),"m/yy") &amp;" to 5/" &amp;TEXT(DATE(M1-1,5,1),"yy") &amp;" actual data"</f>
        <v>RECO billing on/off % from 6/19 to 5/20 actual data</v>
      </c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</row>
    <row r="474" spans="1:37" x14ac:dyDescent="0.4">
      <c r="A474" s="48"/>
      <c r="B474" s="67" t="s">
        <v>247</v>
      </c>
      <c r="C474" s="102" t="str">
        <f>" Class totals for " &amp;M1-1</f>
        <v xml:space="preserve"> Class totals for 2020</v>
      </c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</row>
    <row r="475" spans="1:37" x14ac:dyDescent="0.4">
      <c r="A475" s="48"/>
      <c r="B475" s="67" t="s">
        <v>248</v>
      </c>
      <c r="C475" s="37" t="s">
        <v>249</v>
      </c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</row>
    <row r="476" spans="1:37" x14ac:dyDescent="0.4">
      <c r="A476" s="48"/>
      <c r="B476" s="67" t="s">
        <v>250</v>
      </c>
      <c r="C476" s="37" t="s">
        <v>251</v>
      </c>
      <c r="D476" s="37"/>
      <c r="E476" s="37"/>
      <c r="F476" s="37"/>
      <c r="G476" s="37"/>
      <c r="H476" s="37"/>
      <c r="I476" s="37"/>
      <c r="J476" s="37"/>
      <c r="K476" s="37"/>
      <c r="L476" s="12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</row>
    <row r="477" spans="1:37" x14ac:dyDescent="0.4">
      <c r="A477" s="35"/>
      <c r="B477" s="37"/>
      <c r="C477" s="37" t="s">
        <v>252</v>
      </c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</row>
    <row r="478" spans="1:37" x14ac:dyDescent="0.4">
      <c r="A478" s="35"/>
      <c r="B478" s="69" t="s">
        <v>253</v>
      </c>
      <c r="C478" s="37" t="s">
        <v>254</v>
      </c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</row>
    <row r="479" spans="1:37" x14ac:dyDescent="0.4">
      <c r="A479" s="48"/>
      <c r="B479" s="37"/>
      <c r="C479" s="11"/>
      <c r="D479" s="37"/>
      <c r="E479" s="11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</row>
    <row r="480" spans="1:37" x14ac:dyDescent="0.4">
      <c r="A480" s="35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</row>
    <row r="481" spans="1:37" x14ac:dyDescent="0.4">
      <c r="A481" s="176" t="s">
        <v>255</v>
      </c>
      <c r="B481" s="177"/>
      <c r="C481" s="177"/>
      <c r="D481" s="17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</row>
    <row r="482" spans="1:37" x14ac:dyDescent="0.4">
      <c r="A482" s="84" t="s">
        <v>256</v>
      </c>
      <c r="B482" s="47" t="s">
        <v>257</v>
      </c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</row>
    <row r="483" spans="1:37" x14ac:dyDescent="0.4">
      <c r="A483" s="35"/>
      <c r="B483" s="37"/>
      <c r="C483" s="37"/>
      <c r="D483" s="178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</row>
    <row r="484" spans="1:37" x14ac:dyDescent="0.4">
      <c r="A484" s="35"/>
      <c r="B484" s="35" t="s">
        <v>258</v>
      </c>
      <c r="C484" s="37"/>
      <c r="D484" s="178">
        <f>D223</f>
        <v>76.182972297434603</v>
      </c>
      <c r="E484" s="102" t="s">
        <v>116</v>
      </c>
      <c r="F484" s="102" t="s">
        <v>259</v>
      </c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</row>
    <row r="485" spans="1:37" x14ac:dyDescent="0.4">
      <c r="A485" s="35"/>
      <c r="B485" s="35" t="s">
        <v>260</v>
      </c>
      <c r="C485" s="37"/>
      <c r="D485" s="179">
        <f>-M470</f>
        <v>-11.206787390304751</v>
      </c>
      <c r="E485" s="102" t="s">
        <v>116</v>
      </c>
      <c r="F485" s="37" t="s">
        <v>261</v>
      </c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</row>
    <row r="486" spans="1:37" x14ac:dyDescent="0.4">
      <c r="A486" s="35"/>
      <c r="B486" s="35" t="s">
        <v>262</v>
      </c>
      <c r="C486" s="37"/>
      <c r="D486" s="89">
        <f>D484+D485</f>
        <v>64.976184907129849</v>
      </c>
      <c r="E486" s="102" t="s">
        <v>116</v>
      </c>
      <c r="F486" s="37" t="str">
        <f>"** RECO average transmission rate of "&amp;TEXT(D223-D318,"0.00")&amp;" minus"</f>
        <v>** RECO average transmission rate of 12.62 minus</v>
      </c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</row>
    <row r="487" spans="1:37" x14ac:dyDescent="0.4">
      <c r="A487" s="35"/>
      <c r="B487" s="37"/>
      <c r="C487" s="37"/>
      <c r="D487" s="37"/>
      <c r="E487" s="37"/>
      <c r="F487" s="37" t="s">
        <v>263</v>
      </c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</row>
    <row r="488" spans="1:37" x14ac:dyDescent="0.4">
      <c r="A488" s="35"/>
      <c r="B488" s="37"/>
      <c r="C488" s="37"/>
      <c r="D488" s="180"/>
      <c r="E488" s="37"/>
      <c r="F488" s="37" t="str">
        <f>"average rate "&amp;TEXT(M466,"0.000")&amp;"/"&amp;TEXT(4+M466,"0.000")&amp;" *$"&amp;TEXT(M468,"0.00")&amp;" per MWh)."</f>
        <v>average rate 0.505/4.505 *$12.62 per MWh).</v>
      </c>
      <c r="G488" s="37"/>
      <c r="H488" s="37"/>
      <c r="I488" s="181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</row>
    <row r="489" spans="1:37" x14ac:dyDescent="0.4">
      <c r="A489" s="35"/>
      <c r="B489" s="108" t="s">
        <v>264</v>
      </c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</row>
    <row r="490" spans="1:37" x14ac:dyDescent="0.4">
      <c r="A490" s="35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</row>
    <row r="491" spans="1:37" x14ac:dyDescent="0.4">
      <c r="A491" s="35"/>
      <c r="B491" s="37"/>
      <c r="C491" s="53" t="str">
        <f t="shared" ref="C491" si="69">C6</f>
        <v>SC1/SC5</v>
      </c>
      <c r="D491" s="53" t="str">
        <f>D6</f>
        <v>SC3</v>
      </c>
      <c r="E491" s="53" t="str">
        <f>E6</f>
        <v>SC2 ND</v>
      </c>
      <c r="F491" s="53" t="str">
        <f>F6</f>
        <v>SC4</v>
      </c>
      <c r="G491" s="53" t="str">
        <f>G6</f>
        <v>SC6</v>
      </c>
      <c r="H491" s="53" t="str">
        <f>H6</f>
        <v>SC2 Dem</v>
      </c>
      <c r="I491" s="53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</row>
    <row r="492" spans="1:37" x14ac:dyDescent="0.4">
      <c r="A492" s="35"/>
      <c r="B492" s="182" t="s">
        <v>68</v>
      </c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</row>
    <row r="493" spans="1:37" x14ac:dyDescent="0.4">
      <c r="A493" s="35"/>
      <c r="B493" s="69" t="s">
        <v>265</v>
      </c>
      <c r="C493" s="69">
        <f>ROUND(($D$486*C327)/10,3)</f>
        <v>6.4459999999999997</v>
      </c>
      <c r="D493" s="37"/>
      <c r="E493" s="105">
        <f>ROUND(E327*$D$486/10,3)</f>
        <v>5.835</v>
      </c>
      <c r="F493" s="105">
        <f>ROUND(F327*$D$486/10,3)</f>
        <v>4.6390000000000002</v>
      </c>
      <c r="G493" s="105">
        <f>ROUND(G327*$D$486/10,3)</f>
        <v>4.6459999999999999</v>
      </c>
      <c r="H493" s="105">
        <f>ROUND((C348*$D$486+D348)/10,3)</f>
        <v>4.7060000000000004</v>
      </c>
      <c r="I493" s="105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</row>
    <row r="494" spans="1:37" x14ac:dyDescent="0.4">
      <c r="A494" s="35"/>
      <c r="B494" s="69" t="s">
        <v>266</v>
      </c>
      <c r="C494" s="37"/>
      <c r="D494" s="105">
        <f>ROUND(D328*$D$486/10,3)</f>
        <v>12.513999999999999</v>
      </c>
      <c r="E494" s="37"/>
      <c r="F494" s="37"/>
      <c r="G494" s="37"/>
      <c r="H494" s="37"/>
      <c r="I494" s="105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</row>
    <row r="495" spans="1:37" x14ac:dyDescent="0.4">
      <c r="A495" s="35"/>
      <c r="B495" s="69" t="s">
        <v>267</v>
      </c>
      <c r="C495" s="37"/>
      <c r="D495" s="105">
        <f>ROUND(D329*$D$486/10,3)</f>
        <v>4.2430000000000003</v>
      </c>
      <c r="E495" s="37"/>
      <c r="F495" s="37"/>
      <c r="G495" s="37"/>
      <c r="H495" s="37"/>
      <c r="I495" s="105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</row>
    <row r="496" spans="1:37" x14ac:dyDescent="0.4">
      <c r="A496" s="35"/>
      <c r="B496" s="67" t="s">
        <v>40</v>
      </c>
      <c r="C496" s="69">
        <f>ROUND(($D$486*C327+C332)/10,3)</f>
        <v>4.2080000000000002</v>
      </c>
      <c r="D496" s="105"/>
      <c r="E496" s="37"/>
      <c r="F496" s="37"/>
      <c r="G496" s="37"/>
      <c r="H496" s="37"/>
      <c r="I496" s="105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</row>
    <row r="497" spans="1:37" x14ac:dyDescent="0.4">
      <c r="A497" s="35"/>
      <c r="B497" s="69" t="s">
        <v>41</v>
      </c>
      <c r="C497" s="37">
        <f>ROUND(($D$486*C327+C333)/10,3)</f>
        <v>8.2010000000000005</v>
      </c>
      <c r="D497" s="105"/>
      <c r="E497" s="37"/>
      <c r="F497" s="37"/>
      <c r="G497" s="37"/>
      <c r="H497" s="37"/>
      <c r="I497" s="105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</row>
    <row r="498" spans="1:37" x14ac:dyDescent="0.4">
      <c r="A498" s="35"/>
      <c r="B498" s="37"/>
      <c r="C498" s="37"/>
      <c r="D498" s="105"/>
      <c r="E498" s="37"/>
      <c r="F498" s="37"/>
      <c r="G498" s="37"/>
      <c r="H498" s="37"/>
      <c r="I498" s="105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</row>
    <row r="499" spans="1:37" x14ac:dyDescent="0.4">
      <c r="A499" s="35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</row>
    <row r="500" spans="1:37" x14ac:dyDescent="0.4">
      <c r="A500" s="35"/>
      <c r="B500" s="67" t="s">
        <v>268</v>
      </c>
      <c r="C500" s="37"/>
      <c r="D500" s="37"/>
      <c r="E500" s="37"/>
      <c r="F500" s="37"/>
      <c r="G500" s="37"/>
      <c r="H500" s="92">
        <f>I352</f>
        <v>1.6910000000000001</v>
      </c>
      <c r="I500" s="92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</row>
    <row r="501" spans="1:37" x14ac:dyDescent="0.4">
      <c r="A501" s="35"/>
      <c r="B501" s="67" t="s">
        <v>269</v>
      </c>
      <c r="C501" s="37"/>
      <c r="D501" s="37"/>
      <c r="E501" s="37"/>
      <c r="F501" s="37"/>
      <c r="G501" s="37"/>
      <c r="H501" s="92">
        <f>J352</f>
        <v>4.4580000000000002</v>
      </c>
      <c r="I501" s="92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</row>
    <row r="502" spans="1:37" x14ac:dyDescent="0.4">
      <c r="A502" s="35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</row>
    <row r="503" spans="1:37" x14ac:dyDescent="0.4">
      <c r="A503" s="35"/>
      <c r="B503" s="182" t="s">
        <v>61</v>
      </c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</row>
    <row r="504" spans="1:37" x14ac:dyDescent="0.4">
      <c r="A504" s="35"/>
      <c r="B504" s="69" t="s">
        <v>265</v>
      </c>
      <c r="C504" s="105">
        <f>ROUND(C336*$D$486/10,3)</f>
        <v>7.6669999999999998</v>
      </c>
      <c r="D504" s="37"/>
      <c r="E504" s="105">
        <f>ROUND(E336*$D$486/10,3)</f>
        <v>6.101</v>
      </c>
      <c r="F504" s="105">
        <f>ROUND(F336*$D$486/10,3)</f>
        <v>5.14</v>
      </c>
      <c r="G504" s="105">
        <f>ROUND(G336*$D$486/10,3)</f>
        <v>5.12</v>
      </c>
      <c r="H504" s="105">
        <f>ROUND((C352*$D$486+D352)/10,3)</f>
        <v>5.1749999999999998</v>
      </c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</row>
    <row r="505" spans="1:37" x14ac:dyDescent="0.4">
      <c r="A505" s="35"/>
      <c r="B505" s="69" t="s">
        <v>266</v>
      </c>
      <c r="C505" s="37"/>
      <c r="D505" s="105">
        <f>ROUND(D337*$D$486/10,3)</f>
        <v>9.8829999999999991</v>
      </c>
      <c r="E505" s="37"/>
      <c r="F505" s="37"/>
      <c r="G505" s="37"/>
      <c r="H505" s="37"/>
      <c r="I505" s="105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</row>
    <row r="506" spans="1:37" x14ac:dyDescent="0.4">
      <c r="A506" s="35"/>
      <c r="B506" s="69" t="s">
        <v>267</v>
      </c>
      <c r="C506" s="37"/>
      <c r="D506" s="105">
        <f>ROUND(D338*$D$486/10,3)</f>
        <v>4.9379999999999997</v>
      </c>
      <c r="E506" s="37"/>
      <c r="F506" s="37"/>
      <c r="G506" s="37"/>
      <c r="H506" s="37"/>
      <c r="I506" s="105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</row>
    <row r="507" spans="1:37" x14ac:dyDescent="0.4">
      <c r="A507" s="35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</row>
    <row r="508" spans="1:37" x14ac:dyDescent="0.4">
      <c r="A508" s="35"/>
      <c r="B508" s="67" t="s">
        <v>268</v>
      </c>
      <c r="C508" s="37"/>
      <c r="D508" s="37"/>
      <c r="E508" s="37"/>
      <c r="F508" s="37"/>
      <c r="G508" s="37"/>
      <c r="H508" s="92">
        <f>I353</f>
        <v>2.298</v>
      </c>
      <c r="I508" s="92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</row>
    <row r="509" spans="1:37" x14ac:dyDescent="0.4">
      <c r="A509" s="35"/>
      <c r="B509" s="67" t="s">
        <v>269</v>
      </c>
      <c r="C509" s="37"/>
      <c r="D509" s="37"/>
      <c r="E509" s="37"/>
      <c r="F509" s="37"/>
      <c r="G509" s="37"/>
      <c r="H509" s="92">
        <f>J353</f>
        <v>4.7300000000000004</v>
      </c>
      <c r="I509" s="92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</row>
    <row r="510" spans="1:37" x14ac:dyDescent="0.4">
      <c r="A510" s="35"/>
      <c r="B510" s="67"/>
      <c r="C510" s="37"/>
      <c r="D510" s="37"/>
      <c r="E510" s="37"/>
      <c r="F510" s="37"/>
      <c r="G510" s="37"/>
      <c r="H510" s="37"/>
      <c r="I510" s="92"/>
      <c r="J510" s="92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</row>
    <row r="511" spans="1:37" x14ac:dyDescent="0.4">
      <c r="A511" s="35"/>
      <c r="B511" s="108" t="s">
        <v>270</v>
      </c>
      <c r="C511" s="37"/>
      <c r="D511" s="37" t="s">
        <v>271</v>
      </c>
      <c r="E511" s="183">
        <v>6.6250000000000003E-2</v>
      </c>
      <c r="F511" s="37"/>
      <c r="G511" s="37"/>
      <c r="H511" s="37"/>
      <c r="I511" s="37"/>
      <c r="J511" s="92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</row>
    <row r="512" spans="1:37" x14ac:dyDescent="0.4">
      <c r="A512" s="35"/>
      <c r="B512" s="37"/>
      <c r="C512" s="37"/>
      <c r="D512" s="37"/>
      <c r="E512" s="37"/>
      <c r="F512" s="37"/>
      <c r="G512" s="37"/>
      <c r="H512" s="37"/>
      <c r="I512" s="37"/>
      <c r="J512" s="92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</row>
    <row r="513" spans="1:37" x14ac:dyDescent="0.4">
      <c r="A513" s="35"/>
      <c r="B513" s="37"/>
      <c r="C513" s="53" t="s">
        <v>272</v>
      </c>
      <c r="D513" s="53" t="s">
        <v>8</v>
      </c>
      <c r="E513" s="53" t="s">
        <v>9</v>
      </c>
      <c r="F513" s="53" t="s">
        <v>10</v>
      </c>
      <c r="G513" s="53" t="s">
        <v>11</v>
      </c>
      <c r="H513" s="53" t="s">
        <v>12</v>
      </c>
      <c r="I513" s="92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</row>
    <row r="514" spans="1:37" x14ac:dyDescent="0.4">
      <c r="A514" s="35"/>
      <c r="B514" s="182" t="s">
        <v>68</v>
      </c>
      <c r="C514" s="37"/>
      <c r="D514" s="37"/>
      <c r="E514" s="37"/>
      <c r="F514" s="37"/>
      <c r="G514" s="37"/>
      <c r="H514" s="37"/>
      <c r="I514" s="92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</row>
    <row r="515" spans="1:37" x14ac:dyDescent="0.4">
      <c r="A515" s="35"/>
      <c r="B515" s="69" t="s">
        <v>265</v>
      </c>
      <c r="C515" s="69"/>
      <c r="D515" s="37"/>
      <c r="E515" s="69">
        <f>ROUND(E493*(1+$E$511),3)</f>
        <v>6.2220000000000004</v>
      </c>
      <c r="F515" s="69">
        <f>ROUND(F493*(1+$E$511),3)</f>
        <v>4.9459999999999997</v>
      </c>
      <c r="G515" s="69">
        <f>ROUND(G493*(1+$E$511),3)</f>
        <v>4.9539999999999997</v>
      </c>
      <c r="H515" s="69">
        <f>ROUND(H493*(1+$E$511),3)</f>
        <v>5.0179999999999998</v>
      </c>
      <c r="I515" s="92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</row>
    <row r="516" spans="1:37" x14ac:dyDescent="0.4">
      <c r="A516" s="35"/>
      <c r="B516" s="69" t="s">
        <v>266</v>
      </c>
      <c r="C516" s="37"/>
      <c r="D516" s="69">
        <f>ROUND(D494*(1+$E$511),3)</f>
        <v>13.343</v>
      </c>
      <c r="E516" s="37"/>
      <c r="F516" s="37"/>
      <c r="G516" s="37"/>
      <c r="H516" s="37"/>
      <c r="I516" s="92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</row>
    <row r="517" spans="1:37" x14ac:dyDescent="0.4">
      <c r="A517" s="35"/>
      <c r="B517" s="69" t="s">
        <v>267</v>
      </c>
      <c r="C517" s="37"/>
      <c r="D517" s="69">
        <f>ROUND(D495*(1+$E$511),3)</f>
        <v>4.524</v>
      </c>
      <c r="E517" s="37"/>
      <c r="F517" s="37"/>
      <c r="G517" s="37"/>
      <c r="H517" s="37"/>
      <c r="I517" s="92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</row>
    <row r="518" spans="1:37" x14ac:dyDescent="0.4">
      <c r="A518" s="35"/>
      <c r="B518" s="67" t="s">
        <v>40</v>
      </c>
      <c r="C518" s="184">
        <f>ROUND(C496*(1+$E$511),3)</f>
        <v>4.4870000000000001</v>
      </c>
      <c r="D518" s="105"/>
      <c r="E518" s="37"/>
      <c r="F518" s="37"/>
      <c r="G518" s="37"/>
      <c r="H518" s="37"/>
      <c r="I518" s="92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</row>
    <row r="519" spans="1:37" x14ac:dyDescent="0.4">
      <c r="A519" s="35"/>
      <c r="B519" s="69" t="s">
        <v>41</v>
      </c>
      <c r="C519" s="184">
        <f>ROUND(C497*(1+$E$511),3)</f>
        <v>8.7439999999999998</v>
      </c>
      <c r="D519" s="105"/>
      <c r="E519" s="37"/>
      <c r="F519" s="37"/>
      <c r="G519" s="37"/>
      <c r="H519" s="37"/>
      <c r="I519" s="92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</row>
    <row r="520" spans="1:37" x14ac:dyDescent="0.4">
      <c r="A520" s="35"/>
      <c r="B520" s="37"/>
      <c r="C520" s="37"/>
      <c r="D520" s="105"/>
      <c r="E520" s="37"/>
      <c r="F520" s="37"/>
      <c r="G520" s="37"/>
      <c r="H520" s="37"/>
      <c r="I520" s="92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</row>
    <row r="521" spans="1:37" x14ac:dyDescent="0.4">
      <c r="A521" s="35"/>
      <c r="B521" s="37"/>
      <c r="C521" s="37"/>
      <c r="D521" s="37"/>
      <c r="E521" s="37"/>
      <c r="F521" s="37"/>
      <c r="G521" s="37"/>
      <c r="H521" s="37"/>
      <c r="I521" s="92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</row>
    <row r="522" spans="1:37" x14ac:dyDescent="0.4">
      <c r="A522" s="35"/>
      <c r="B522" s="67" t="s">
        <v>268</v>
      </c>
      <c r="C522" s="37"/>
      <c r="D522" s="37"/>
      <c r="E522" s="37"/>
      <c r="F522" s="37"/>
      <c r="G522" s="37"/>
      <c r="H522" s="185">
        <f>ROUND(H500*(1+$E$511),3)</f>
        <v>1.8029999999999999</v>
      </c>
      <c r="I522" s="92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</row>
    <row r="523" spans="1:37" x14ac:dyDescent="0.4">
      <c r="A523" s="35"/>
      <c r="B523" s="67" t="s">
        <v>269</v>
      </c>
      <c r="C523" s="37"/>
      <c r="D523" s="37"/>
      <c r="E523" s="37"/>
      <c r="F523" s="37"/>
      <c r="G523" s="37"/>
      <c r="H523" s="185">
        <f>ROUND(H501*(1+$E$511),3)</f>
        <v>4.7530000000000001</v>
      </c>
      <c r="I523" s="92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</row>
    <row r="524" spans="1:37" x14ac:dyDescent="0.4">
      <c r="A524" s="35"/>
      <c r="B524" s="67"/>
      <c r="C524" s="37"/>
      <c r="D524" s="37"/>
      <c r="E524" s="37"/>
      <c r="F524" s="37"/>
      <c r="G524" s="37"/>
      <c r="H524" s="185"/>
      <c r="I524" s="92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</row>
    <row r="525" spans="1:37" x14ac:dyDescent="0.4">
      <c r="A525" s="35"/>
      <c r="B525" s="182" t="s">
        <v>61</v>
      </c>
      <c r="C525" s="37"/>
      <c r="D525" s="37"/>
      <c r="E525" s="37"/>
      <c r="F525" s="37"/>
      <c r="G525" s="37"/>
      <c r="H525" s="37"/>
      <c r="I525" s="92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</row>
    <row r="526" spans="1:37" x14ac:dyDescent="0.4">
      <c r="A526" s="35"/>
      <c r="B526" s="69" t="s">
        <v>265</v>
      </c>
      <c r="C526" s="69">
        <f>ROUND(C504*(1+$E$511),3)</f>
        <v>8.1750000000000007</v>
      </c>
      <c r="D526" s="37"/>
      <c r="E526" s="69">
        <f>ROUND(E504*(1+$E$511),3)</f>
        <v>6.5049999999999999</v>
      </c>
      <c r="F526" s="69">
        <f>ROUND(F504*(1+$E$511),3)</f>
        <v>5.4809999999999999</v>
      </c>
      <c r="G526" s="69">
        <f>ROUND(G504*(1+$E$511),3)</f>
        <v>5.4589999999999996</v>
      </c>
      <c r="H526" s="69">
        <f>ROUND(H504*(1+$E$511),3)</f>
        <v>5.5179999999999998</v>
      </c>
      <c r="I526" s="92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</row>
    <row r="527" spans="1:37" x14ac:dyDescent="0.4">
      <c r="A527" s="35"/>
      <c r="B527" s="69" t="s">
        <v>266</v>
      </c>
      <c r="C527" s="37"/>
      <c r="D527" s="69">
        <f>ROUND(D505*(1+$E$511),3)</f>
        <v>10.538</v>
      </c>
      <c r="E527" s="37"/>
      <c r="F527" s="37"/>
      <c r="G527" s="37"/>
      <c r="H527" s="37"/>
      <c r="I527" s="92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</row>
    <row r="528" spans="1:37" x14ac:dyDescent="0.4">
      <c r="A528" s="35"/>
      <c r="B528" s="69" t="s">
        <v>267</v>
      </c>
      <c r="C528" s="37"/>
      <c r="D528" s="69">
        <f>ROUND(D506*(1+$E$511),3)</f>
        <v>5.2649999999999997</v>
      </c>
      <c r="E528" s="37"/>
      <c r="F528" s="37"/>
      <c r="G528" s="37"/>
      <c r="H528" s="37"/>
      <c r="I528" s="92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</row>
    <row r="529" spans="1:37" x14ac:dyDescent="0.4">
      <c r="A529" s="35"/>
      <c r="B529" s="37"/>
      <c r="C529" s="37"/>
      <c r="D529" s="37"/>
      <c r="E529" s="37"/>
      <c r="F529" s="37"/>
      <c r="G529" s="37"/>
      <c r="H529" s="37"/>
      <c r="I529" s="92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</row>
    <row r="530" spans="1:37" x14ac:dyDescent="0.4">
      <c r="A530" s="35"/>
      <c r="B530" s="67" t="s">
        <v>268</v>
      </c>
      <c r="C530" s="37"/>
      <c r="D530" s="37"/>
      <c r="E530" s="37"/>
      <c r="F530" s="37"/>
      <c r="G530" s="37"/>
      <c r="H530" s="185">
        <f>ROUND(H508*(1+$E$511),3)</f>
        <v>2.4500000000000002</v>
      </c>
      <c r="I530" s="92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</row>
    <row r="531" spans="1:37" x14ac:dyDescent="0.4">
      <c r="A531" s="35"/>
      <c r="B531" s="67" t="s">
        <v>269</v>
      </c>
      <c r="C531" s="37"/>
      <c r="D531" s="37"/>
      <c r="E531" s="37"/>
      <c r="F531" s="37"/>
      <c r="G531" s="37"/>
      <c r="H531" s="185">
        <f>ROUND(H509*(1+$E$511),3)</f>
        <v>5.0430000000000001</v>
      </c>
      <c r="I531" s="92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</row>
    <row r="532" spans="1:37" x14ac:dyDescent="0.4">
      <c r="A532" s="35"/>
      <c r="B532" s="67"/>
      <c r="C532" s="37"/>
      <c r="D532" s="37"/>
      <c r="E532" s="37"/>
      <c r="F532" s="37"/>
      <c r="G532" s="37"/>
      <c r="H532" s="37"/>
      <c r="I532" s="92"/>
      <c r="J532" s="92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</row>
    <row r="533" spans="1:37" x14ac:dyDescent="0.4">
      <c r="A533" s="35"/>
      <c r="B533" s="67"/>
      <c r="C533" s="37"/>
      <c r="D533" s="37"/>
      <c r="E533" s="37"/>
      <c r="F533" s="37"/>
      <c r="G533" s="37"/>
      <c r="H533" s="37"/>
      <c r="I533" s="92"/>
      <c r="J533" s="92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</row>
    <row r="534" spans="1:37" x14ac:dyDescent="0.4">
      <c r="A534" s="84" t="s">
        <v>273</v>
      </c>
      <c r="B534" s="47" t="s">
        <v>274</v>
      </c>
      <c r="C534" s="37"/>
      <c r="D534" s="37"/>
      <c r="E534" s="37"/>
      <c r="F534" s="37"/>
      <c r="G534" s="37"/>
      <c r="H534" s="37"/>
      <c r="I534" s="37"/>
      <c r="J534" s="92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</row>
    <row r="535" spans="1:37" x14ac:dyDescent="0.4">
      <c r="A535" s="84"/>
      <c r="B535" s="47"/>
      <c r="C535" s="37"/>
      <c r="D535" s="37"/>
      <c r="E535" s="37"/>
      <c r="F535" s="37"/>
      <c r="G535" s="37"/>
      <c r="H535" s="37"/>
      <c r="I535" s="37"/>
      <c r="J535" s="92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</row>
    <row r="536" spans="1:37" x14ac:dyDescent="0.4">
      <c r="A536" s="84"/>
      <c r="B536" s="108" t="s">
        <v>275</v>
      </c>
      <c r="C536" s="37"/>
      <c r="D536" s="37"/>
      <c r="E536" s="37"/>
      <c r="F536" s="37"/>
      <c r="G536" s="37"/>
      <c r="H536" s="37"/>
      <c r="I536" s="37"/>
      <c r="J536" s="92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</row>
    <row r="537" spans="1:37" x14ac:dyDescent="0.4">
      <c r="A537" s="84"/>
      <c r="B537" s="35"/>
      <c r="C537" s="53" t="str">
        <f t="shared" ref="C537" si="70">C491</f>
        <v>SC1/SC5</v>
      </c>
      <c r="D537" s="53" t="str">
        <f>D491</f>
        <v>SC3</v>
      </c>
      <c r="E537" s="53" t="str">
        <f>E491</f>
        <v>SC2 ND</v>
      </c>
      <c r="F537" s="53" t="str">
        <f>F491</f>
        <v>SC4</v>
      </c>
      <c r="G537" s="53" t="str">
        <f>G491</f>
        <v>SC6</v>
      </c>
      <c r="H537" s="53" t="str">
        <f>H491</f>
        <v>SC2 Dem</v>
      </c>
      <c r="I537" s="92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</row>
    <row r="538" spans="1:37" x14ac:dyDescent="0.4">
      <c r="A538" s="84"/>
      <c r="B538" s="35" t="s">
        <v>276</v>
      </c>
      <c r="C538" s="94">
        <v>1.421</v>
      </c>
      <c r="D538" s="94">
        <v>1.421</v>
      </c>
      <c r="E538" s="94">
        <v>0.52300000000000002</v>
      </c>
      <c r="F538" s="94">
        <v>1.147</v>
      </c>
      <c r="G538" s="94">
        <v>1.147</v>
      </c>
      <c r="H538" s="94">
        <v>0.52300000000000002</v>
      </c>
      <c r="I538" s="92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</row>
    <row r="539" spans="1:37" x14ac:dyDescent="0.4">
      <c r="A539" s="84"/>
      <c r="B539" s="35" t="s">
        <v>277</v>
      </c>
      <c r="C539" s="37"/>
      <c r="D539" s="37"/>
      <c r="E539" s="37"/>
      <c r="F539" s="37"/>
      <c r="G539" s="37"/>
      <c r="H539" s="171">
        <v>1.32</v>
      </c>
      <c r="I539" s="92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</row>
    <row r="540" spans="1:37" x14ac:dyDescent="0.4">
      <c r="A540" s="35"/>
      <c r="B540" s="35" t="s">
        <v>278</v>
      </c>
      <c r="C540" s="37"/>
      <c r="D540" s="37"/>
      <c r="E540" s="37"/>
      <c r="F540" s="37"/>
      <c r="G540" s="37"/>
      <c r="H540" s="171">
        <v>1.1100000000000001</v>
      </c>
      <c r="I540" s="92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</row>
    <row r="541" spans="1:37" x14ac:dyDescent="0.4">
      <c r="A541" s="35"/>
      <c r="B541" s="37"/>
      <c r="C541" s="37"/>
      <c r="D541" s="37"/>
      <c r="E541" s="37"/>
      <c r="F541" s="37"/>
      <c r="G541" s="37"/>
      <c r="H541" s="37"/>
      <c r="I541" s="92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</row>
    <row r="542" spans="1:37" x14ac:dyDescent="0.4">
      <c r="A542" s="35"/>
      <c r="B542" s="37"/>
      <c r="C542" s="37"/>
      <c r="D542" s="37"/>
      <c r="E542" s="37"/>
      <c r="F542" s="37"/>
      <c r="G542" s="37"/>
      <c r="H542" s="37"/>
      <c r="I542" s="92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</row>
    <row r="543" spans="1:37" x14ac:dyDescent="0.4">
      <c r="A543" s="35"/>
      <c r="B543" s="108" t="s">
        <v>279</v>
      </c>
      <c r="C543" s="37"/>
      <c r="D543" s="37"/>
      <c r="E543" s="37"/>
      <c r="F543" s="37"/>
      <c r="G543" s="37"/>
      <c r="H543" s="37"/>
      <c r="I543" s="92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</row>
    <row r="544" spans="1:37" x14ac:dyDescent="0.4">
      <c r="A544" s="35"/>
      <c r="B544" s="37"/>
      <c r="C544" s="37"/>
      <c r="D544" s="37"/>
      <c r="E544" s="37"/>
      <c r="F544" s="37"/>
      <c r="G544" s="37"/>
      <c r="H544" s="37"/>
      <c r="I544" s="92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</row>
    <row r="545" spans="1:37" x14ac:dyDescent="0.4">
      <c r="A545" s="35"/>
      <c r="B545" s="37"/>
      <c r="C545" s="37"/>
      <c r="D545" s="37"/>
      <c r="E545" s="37"/>
      <c r="F545" s="37"/>
      <c r="G545" s="37"/>
      <c r="H545" s="37"/>
      <c r="I545" s="92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</row>
    <row r="546" spans="1:37" x14ac:dyDescent="0.4">
      <c r="A546" s="35"/>
      <c r="B546" s="182" t="s">
        <v>68</v>
      </c>
      <c r="C546" s="37"/>
      <c r="D546" s="37"/>
      <c r="E546" s="37"/>
      <c r="F546" s="37"/>
      <c r="G546" s="37"/>
      <c r="H546" s="37"/>
      <c r="I546" s="92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</row>
    <row r="547" spans="1:37" x14ac:dyDescent="0.4">
      <c r="A547" s="35"/>
      <c r="B547" s="69" t="s">
        <v>265</v>
      </c>
      <c r="C547" s="105">
        <f t="shared" ref="C547:H554" si="71">IF(C493&gt;0,C493+C$538,"")</f>
        <v>7.867</v>
      </c>
      <c r="D547" s="105" t="str">
        <f t="shared" si="71"/>
        <v/>
      </c>
      <c r="E547" s="105">
        <f t="shared" si="71"/>
        <v>6.3579999999999997</v>
      </c>
      <c r="F547" s="105">
        <f t="shared" si="71"/>
        <v>5.7860000000000005</v>
      </c>
      <c r="G547" s="105">
        <f t="shared" si="71"/>
        <v>5.7930000000000001</v>
      </c>
      <c r="H547" s="105">
        <f t="shared" si="71"/>
        <v>5.2290000000000001</v>
      </c>
      <c r="I547" s="92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</row>
    <row r="548" spans="1:37" x14ac:dyDescent="0.4">
      <c r="A548" s="35"/>
      <c r="B548" s="69" t="s">
        <v>266</v>
      </c>
      <c r="C548" s="105" t="str">
        <f t="shared" si="71"/>
        <v/>
      </c>
      <c r="D548" s="105">
        <f t="shared" si="71"/>
        <v>13.934999999999999</v>
      </c>
      <c r="E548" s="105" t="str">
        <f t="shared" si="71"/>
        <v/>
      </c>
      <c r="F548" s="105" t="str">
        <f t="shared" si="71"/>
        <v/>
      </c>
      <c r="G548" s="105" t="str">
        <f t="shared" si="71"/>
        <v/>
      </c>
      <c r="H548" s="105" t="str">
        <f t="shared" si="71"/>
        <v/>
      </c>
      <c r="I548" s="92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</row>
    <row r="549" spans="1:37" x14ac:dyDescent="0.4">
      <c r="A549" s="35"/>
      <c r="B549" s="69" t="s">
        <v>267</v>
      </c>
      <c r="C549" s="105" t="str">
        <f t="shared" si="71"/>
        <v/>
      </c>
      <c r="D549" s="105">
        <f t="shared" si="71"/>
        <v>5.6640000000000006</v>
      </c>
      <c r="E549" s="105" t="str">
        <f t="shared" si="71"/>
        <v/>
      </c>
      <c r="F549" s="105" t="str">
        <f t="shared" si="71"/>
        <v/>
      </c>
      <c r="G549" s="105" t="str">
        <f t="shared" si="71"/>
        <v/>
      </c>
      <c r="H549" s="105" t="str">
        <f t="shared" si="71"/>
        <v/>
      </c>
      <c r="I549" s="92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</row>
    <row r="550" spans="1:37" x14ac:dyDescent="0.4">
      <c r="A550" s="35"/>
      <c r="B550" s="67" t="s">
        <v>40</v>
      </c>
      <c r="C550" s="105">
        <f t="shared" si="71"/>
        <v>5.6290000000000004</v>
      </c>
      <c r="D550" s="105" t="str">
        <f t="shared" si="71"/>
        <v/>
      </c>
      <c r="E550" s="105" t="str">
        <f t="shared" si="71"/>
        <v/>
      </c>
      <c r="F550" s="105" t="str">
        <f t="shared" si="71"/>
        <v/>
      </c>
      <c r="G550" s="105" t="str">
        <f t="shared" si="71"/>
        <v/>
      </c>
      <c r="H550" s="105" t="str">
        <f t="shared" si="71"/>
        <v/>
      </c>
      <c r="I550" s="92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</row>
    <row r="551" spans="1:37" x14ac:dyDescent="0.4">
      <c r="A551" s="35"/>
      <c r="B551" s="69" t="s">
        <v>41</v>
      </c>
      <c r="C551" s="105">
        <f t="shared" si="71"/>
        <v>9.6219999999999999</v>
      </c>
      <c r="D551" s="105" t="str">
        <f t="shared" si="71"/>
        <v/>
      </c>
      <c r="E551" s="105" t="str">
        <f t="shared" si="71"/>
        <v/>
      </c>
      <c r="F551" s="105" t="str">
        <f t="shared" si="71"/>
        <v/>
      </c>
      <c r="G551" s="105" t="str">
        <f t="shared" si="71"/>
        <v/>
      </c>
      <c r="H551" s="105" t="str">
        <f t="shared" si="71"/>
        <v/>
      </c>
      <c r="I551" s="92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</row>
    <row r="552" spans="1:37" x14ac:dyDescent="0.4">
      <c r="A552" s="35"/>
      <c r="B552" s="105"/>
      <c r="C552" s="105"/>
      <c r="D552" s="105" t="str">
        <f t="shared" si="71"/>
        <v/>
      </c>
      <c r="E552" s="105" t="str">
        <f t="shared" si="71"/>
        <v/>
      </c>
      <c r="F552" s="105" t="str">
        <f t="shared" si="71"/>
        <v/>
      </c>
      <c r="G552" s="105" t="str">
        <f t="shared" si="71"/>
        <v/>
      </c>
      <c r="H552" s="105" t="str">
        <f t="shared" si="71"/>
        <v/>
      </c>
      <c r="I552" s="92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</row>
    <row r="553" spans="1:37" x14ac:dyDescent="0.4">
      <c r="A553" s="35"/>
      <c r="B553" s="37"/>
      <c r="C553" s="105" t="str">
        <f t="shared" si="71"/>
        <v/>
      </c>
      <c r="D553" s="105" t="str">
        <f t="shared" si="71"/>
        <v/>
      </c>
      <c r="E553" s="105" t="str">
        <f t="shared" si="71"/>
        <v/>
      </c>
      <c r="F553" s="105" t="str">
        <f t="shared" si="71"/>
        <v/>
      </c>
      <c r="G553" s="105" t="str">
        <f t="shared" si="71"/>
        <v/>
      </c>
      <c r="H553" s="105" t="str">
        <f t="shared" si="71"/>
        <v/>
      </c>
      <c r="I553" s="92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</row>
    <row r="554" spans="1:37" x14ac:dyDescent="0.4">
      <c r="A554" s="35"/>
      <c r="B554" s="67" t="s">
        <v>280</v>
      </c>
      <c r="C554" s="105" t="str">
        <f t="shared" si="71"/>
        <v/>
      </c>
      <c r="D554" s="105" t="str">
        <f>IF(D500&gt;0,D500+D$538,"")</f>
        <v/>
      </c>
      <c r="E554" s="105" t="str">
        <f>IF(E500&gt;0,E500+E$538,"")</f>
        <v/>
      </c>
      <c r="F554" s="105" t="str">
        <f>IF(F500&gt;0,F500+F$538,"")</f>
        <v/>
      </c>
      <c r="G554" s="105" t="str">
        <f>IF(G500&gt;0,G500+G$538,"")</f>
        <v/>
      </c>
      <c r="H554" s="105">
        <f>IF(H500&gt;0,H500+H$539,"")</f>
        <v>3.0110000000000001</v>
      </c>
      <c r="I554" s="92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</row>
    <row r="555" spans="1:37" x14ac:dyDescent="0.4">
      <c r="A555" s="35"/>
      <c r="B555" s="37"/>
      <c r="C555" s="37"/>
      <c r="D555" s="37"/>
      <c r="E555" s="37"/>
      <c r="F555" s="37"/>
      <c r="G555" s="37"/>
      <c r="H555" s="37"/>
      <c r="I555" s="92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</row>
    <row r="556" spans="1:37" x14ac:dyDescent="0.4">
      <c r="A556" s="35"/>
      <c r="B556" s="182" t="s">
        <v>61</v>
      </c>
      <c r="C556" s="37"/>
      <c r="D556" s="37"/>
      <c r="E556" s="37"/>
      <c r="F556" s="37"/>
      <c r="G556" s="37"/>
      <c r="H556" s="37"/>
      <c r="I556" s="92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</row>
    <row r="557" spans="1:37" x14ac:dyDescent="0.4">
      <c r="A557" s="35"/>
      <c r="B557" s="69" t="s">
        <v>265</v>
      </c>
      <c r="C557" s="105">
        <f t="shared" ref="C557:H561" si="72">IF(C504&gt;0,C504+C$538,"")</f>
        <v>9.0879999999999992</v>
      </c>
      <c r="D557" s="105" t="str">
        <f t="shared" si="72"/>
        <v/>
      </c>
      <c r="E557" s="105">
        <f t="shared" si="72"/>
        <v>6.6239999999999997</v>
      </c>
      <c r="F557" s="105">
        <f t="shared" si="72"/>
        <v>6.2869999999999999</v>
      </c>
      <c r="G557" s="105">
        <f t="shared" si="72"/>
        <v>6.2670000000000003</v>
      </c>
      <c r="H557" s="105">
        <f t="shared" si="72"/>
        <v>5.6979999999999995</v>
      </c>
      <c r="I557" s="92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</row>
    <row r="558" spans="1:37" x14ac:dyDescent="0.4">
      <c r="A558" s="35"/>
      <c r="B558" s="69" t="s">
        <v>266</v>
      </c>
      <c r="C558" s="105" t="str">
        <f t="shared" si="72"/>
        <v/>
      </c>
      <c r="D558" s="105">
        <f t="shared" si="72"/>
        <v>11.303999999999998</v>
      </c>
      <c r="E558" s="105" t="str">
        <f t="shared" si="72"/>
        <v/>
      </c>
      <c r="F558" s="105" t="str">
        <f t="shared" si="72"/>
        <v/>
      </c>
      <c r="G558" s="105" t="str">
        <f t="shared" si="72"/>
        <v/>
      </c>
      <c r="H558" s="105" t="str">
        <f t="shared" si="72"/>
        <v/>
      </c>
      <c r="I558" s="92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</row>
    <row r="559" spans="1:37" x14ac:dyDescent="0.4">
      <c r="A559" s="35"/>
      <c r="B559" s="69" t="s">
        <v>267</v>
      </c>
      <c r="C559" s="105" t="str">
        <f t="shared" si="72"/>
        <v/>
      </c>
      <c r="D559" s="105">
        <f t="shared" si="72"/>
        <v>6.359</v>
      </c>
      <c r="E559" s="105" t="str">
        <f t="shared" si="72"/>
        <v/>
      </c>
      <c r="F559" s="105" t="str">
        <f t="shared" si="72"/>
        <v/>
      </c>
      <c r="G559" s="105" t="str">
        <f t="shared" si="72"/>
        <v/>
      </c>
      <c r="H559" s="105" t="str">
        <f t="shared" si="72"/>
        <v/>
      </c>
      <c r="I559" s="92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</row>
    <row r="560" spans="1:37" x14ac:dyDescent="0.4">
      <c r="A560" s="35"/>
      <c r="B560" s="37"/>
      <c r="C560" s="105" t="str">
        <f t="shared" si="72"/>
        <v/>
      </c>
      <c r="D560" s="105" t="str">
        <f>IF(E507&gt;0,E507+D$538,"")</f>
        <v/>
      </c>
      <c r="E560" s="105" t="str">
        <f>IF(F507&gt;0,F507+E$538,"")</f>
        <v/>
      </c>
      <c r="F560" s="105" t="str">
        <f>IF(G507&gt;0,G507+F$538,"")</f>
        <v/>
      </c>
      <c r="G560" s="105" t="str">
        <f>IF(H507&gt;0,H507+G$538,"")</f>
        <v/>
      </c>
      <c r="H560" s="105" t="str">
        <f>IF(I507&gt;0,I507+H$538,"")</f>
        <v/>
      </c>
      <c r="I560" s="92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</row>
    <row r="561" spans="1:37" x14ac:dyDescent="0.4">
      <c r="A561" s="35"/>
      <c r="B561" s="67" t="s">
        <v>280</v>
      </c>
      <c r="C561" s="105" t="str">
        <f t="shared" si="72"/>
        <v/>
      </c>
      <c r="D561" s="105" t="str">
        <f>IF(D508&gt;0,D508+D$538,"")</f>
        <v/>
      </c>
      <c r="E561" s="105" t="str">
        <f>IF(E508&gt;0,E508+E$538,"")</f>
        <v/>
      </c>
      <c r="F561" s="105" t="str">
        <f>IF(F508&gt;0,F508+F$538,"")</f>
        <v/>
      </c>
      <c r="G561" s="105" t="str">
        <f>IF(G508&gt;0,G508+G$538,"")</f>
        <v/>
      </c>
      <c r="H561" s="105">
        <f>IF(H508&gt;0,H508+H$540,"")</f>
        <v>3.4080000000000004</v>
      </c>
      <c r="I561" s="92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</row>
    <row r="562" spans="1:37" x14ac:dyDescent="0.4">
      <c r="A562" s="35"/>
      <c r="B562" s="67"/>
      <c r="C562" s="37"/>
      <c r="D562" s="37"/>
      <c r="E562" s="37"/>
      <c r="F562" s="37"/>
      <c r="G562" s="37"/>
      <c r="H562" s="37"/>
      <c r="I562" s="92"/>
      <c r="J562" s="92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</row>
    <row r="563" spans="1:37" x14ac:dyDescent="0.4">
      <c r="A563" s="35"/>
      <c r="B563" s="67"/>
      <c r="C563" s="37"/>
      <c r="D563" s="37"/>
      <c r="E563" s="37"/>
      <c r="F563" s="37"/>
      <c r="G563" s="37"/>
      <c r="H563" s="37"/>
      <c r="I563" s="92"/>
      <c r="J563" s="92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</row>
    <row r="564" spans="1:37" x14ac:dyDescent="0.4">
      <c r="A564" s="35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</row>
    <row r="565" spans="1:37" x14ac:dyDescent="0.4">
      <c r="A565" s="48"/>
      <c r="B565" s="37"/>
      <c r="C565" s="11"/>
      <c r="D565" s="37"/>
      <c r="E565" s="11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</row>
    <row r="566" spans="1:37" x14ac:dyDescent="0.4">
      <c r="A566" s="84" t="s">
        <v>281</v>
      </c>
      <c r="B566" s="63" t="s">
        <v>282</v>
      </c>
      <c r="C566" s="11"/>
      <c r="D566" s="37"/>
      <c r="E566" s="11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</row>
    <row r="567" spans="1:37" x14ac:dyDescent="0.4">
      <c r="A567" s="48"/>
      <c r="B567" s="37"/>
      <c r="C567" s="11"/>
      <c r="D567" s="37"/>
      <c r="E567" s="11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</row>
    <row r="568" spans="1:37" x14ac:dyDescent="0.4">
      <c r="A568" s="48"/>
      <c r="B568" s="67" t="s">
        <v>283</v>
      </c>
      <c r="C568" s="4">
        <f>+D223</f>
        <v>76.182972297434603</v>
      </c>
      <c r="D568" s="37"/>
      <c r="E568" s="11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</row>
    <row r="569" spans="1:37" x14ac:dyDescent="0.4">
      <c r="A569" s="48"/>
      <c r="B569" s="67" t="s">
        <v>284</v>
      </c>
      <c r="C569" s="186">
        <f>+J377</f>
        <v>0.93989999999999996</v>
      </c>
      <c r="D569" s="37"/>
      <c r="E569" s="11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</row>
    <row r="570" spans="1:37" x14ac:dyDescent="0.4">
      <c r="A570" s="48"/>
      <c r="B570" s="67" t="s">
        <v>285</v>
      </c>
      <c r="C570" s="186">
        <f>+J378</f>
        <v>1.0414000000000001</v>
      </c>
      <c r="D570" s="37"/>
      <c r="E570" s="11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</row>
    <row r="571" spans="1:37" x14ac:dyDescent="0.4">
      <c r="A571" s="48"/>
      <c r="B571" s="69" t="s">
        <v>286</v>
      </c>
      <c r="C571" s="187">
        <f>ROUND(C568*C569,4)</f>
        <v>71.604399999999998</v>
      </c>
      <c r="D571" s="37"/>
      <c r="E571" s="11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</row>
    <row r="572" spans="1:37" x14ac:dyDescent="0.4">
      <c r="A572" s="48"/>
      <c r="B572" s="69" t="s">
        <v>287</v>
      </c>
      <c r="C572" s="187">
        <f>ROUND(C568*C570,4)</f>
        <v>79.3369</v>
      </c>
      <c r="D572" s="37"/>
      <c r="E572" s="11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</row>
    <row r="573" spans="1:37" x14ac:dyDescent="0.4">
      <c r="A573" s="48"/>
      <c r="B573" s="67"/>
      <c r="C573" s="11"/>
      <c r="D573" s="37"/>
      <c r="E573" s="11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</row>
    <row r="574" spans="1:37" x14ac:dyDescent="0.4">
      <c r="A574" s="48"/>
      <c r="B574" s="37"/>
      <c r="C574" s="11"/>
      <c r="D574" s="37"/>
      <c r="E574" s="11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</row>
    <row r="575" spans="1:37" x14ac:dyDescent="0.4">
      <c r="A575" s="48"/>
      <c r="B575" s="37"/>
      <c r="C575" s="53" t="str">
        <f t="shared" ref="C575" si="73">C6</f>
        <v>SC1/SC5</v>
      </c>
      <c r="D575" s="53" t="str">
        <f>D6</f>
        <v>SC3</v>
      </c>
      <c r="E575" s="53" t="str">
        <f>E6</f>
        <v>SC2 ND</v>
      </c>
      <c r="F575" s="53" t="str">
        <f>F6</f>
        <v>SC4</v>
      </c>
      <c r="G575" s="53" t="str">
        <f>G6</f>
        <v>SC6</v>
      </c>
      <c r="H575" s="53" t="str">
        <f>H6</f>
        <v>SC2 Dem</v>
      </c>
      <c r="I575" s="53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</row>
    <row r="576" spans="1:37" x14ac:dyDescent="0.4">
      <c r="A576" s="48"/>
      <c r="B576" s="102" t="s">
        <v>288</v>
      </c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</row>
    <row r="577" spans="1:37" x14ac:dyDescent="0.4">
      <c r="A577" s="48"/>
      <c r="B577" s="85" t="s">
        <v>68</v>
      </c>
      <c r="C577" s="31">
        <f>ROUND((C493*L48)/100,0)</f>
        <v>18394</v>
      </c>
      <c r="D577" s="5">
        <f>ROUND((D494*M49+D495*M50)/100,0)</f>
        <v>6</v>
      </c>
      <c r="E577" s="31">
        <f>ROUND(E493*N48/100,0)</f>
        <v>295</v>
      </c>
      <c r="F577" s="31">
        <f>ROUND(F493*O48/100,0)</f>
        <v>74</v>
      </c>
      <c r="G577" s="31">
        <f>ROUND(G493*P48/100,0)</f>
        <v>69</v>
      </c>
      <c r="H577" s="5">
        <v>6301</v>
      </c>
      <c r="I577" s="5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</row>
    <row r="578" spans="1:37" x14ac:dyDescent="0.4">
      <c r="A578" s="48"/>
      <c r="B578" s="85" t="s">
        <v>61</v>
      </c>
      <c r="C578" s="16">
        <f>ROUND(C504*L44/100,0)</f>
        <v>28097</v>
      </c>
      <c r="D578" s="188">
        <f>ROUND((D505*M45+D506*M46)/100,0)</f>
        <v>17</v>
      </c>
      <c r="E578" s="16">
        <f>ROUND(E504*N44/100,0)</f>
        <v>795</v>
      </c>
      <c r="F578" s="16">
        <f>ROUND(F504*O44/100,0)</f>
        <v>211</v>
      </c>
      <c r="G578" s="16">
        <f>ROUND(G504*P44/100,0)</f>
        <v>183</v>
      </c>
      <c r="H578" s="188">
        <v>12456</v>
      </c>
      <c r="I578" s="5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</row>
    <row r="579" spans="1:37" x14ac:dyDescent="0.4">
      <c r="A579" s="48"/>
      <c r="B579" s="85" t="s">
        <v>35</v>
      </c>
      <c r="C579" s="91">
        <f>+C578+C577</f>
        <v>46491</v>
      </c>
      <c r="D579" s="91">
        <f t="shared" ref="D579:H579" si="74">+D578+D577</f>
        <v>23</v>
      </c>
      <c r="E579" s="91">
        <f t="shared" si="74"/>
        <v>1090</v>
      </c>
      <c r="F579" s="91">
        <f t="shared" si="74"/>
        <v>285</v>
      </c>
      <c r="G579" s="91">
        <f t="shared" si="74"/>
        <v>252</v>
      </c>
      <c r="H579" s="91">
        <f t="shared" si="74"/>
        <v>18757</v>
      </c>
      <c r="I579" s="91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</row>
    <row r="580" spans="1:37" x14ac:dyDescent="0.4">
      <c r="A580" s="48"/>
      <c r="B580" s="85"/>
      <c r="C580" s="91"/>
      <c r="D580" s="91"/>
      <c r="E580" s="91"/>
      <c r="F580" s="91"/>
      <c r="G580" s="91"/>
      <c r="H580" s="91"/>
      <c r="I580" s="91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</row>
    <row r="581" spans="1:37" x14ac:dyDescent="0.4">
      <c r="A581" s="48"/>
      <c r="B581" s="85" t="s">
        <v>35</v>
      </c>
      <c r="C581" s="91"/>
      <c r="D581" s="91"/>
      <c r="E581" s="91"/>
      <c r="F581" s="91"/>
      <c r="G581" s="91"/>
      <c r="H581" s="91"/>
      <c r="I581" s="91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</row>
    <row r="582" spans="1:37" x14ac:dyDescent="0.4">
      <c r="A582" s="48"/>
      <c r="B582" s="85" t="s">
        <v>68</v>
      </c>
      <c r="C582" s="91">
        <f>SUM(C577:H577)</f>
        <v>25139</v>
      </c>
      <c r="D582" s="91"/>
      <c r="E582" s="91"/>
      <c r="F582" s="91"/>
      <c r="G582" s="91"/>
      <c r="H582" s="91"/>
      <c r="I582" s="91"/>
      <c r="J582" s="37"/>
      <c r="K582" s="101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</row>
    <row r="583" spans="1:37" x14ac:dyDescent="0.4">
      <c r="A583" s="48"/>
      <c r="B583" s="85" t="s">
        <v>61</v>
      </c>
      <c r="C583" s="189">
        <f>SUM(C578:H578)</f>
        <v>41759</v>
      </c>
      <c r="D583" s="11"/>
      <c r="E583" s="91"/>
      <c r="F583" s="91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</row>
    <row r="584" spans="1:37" x14ac:dyDescent="0.4">
      <c r="A584" s="48"/>
      <c r="B584" s="85" t="s">
        <v>35</v>
      </c>
      <c r="C584" s="190">
        <f>+C583+C582</f>
        <v>66898</v>
      </c>
      <c r="D584" s="11"/>
      <c r="E584" s="190"/>
      <c r="F584" s="190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</row>
    <row r="585" spans="1:37" x14ac:dyDescent="0.4">
      <c r="A585" s="48"/>
      <c r="B585" s="85"/>
      <c r="C585" s="91"/>
      <c r="D585" s="11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</row>
    <row r="586" spans="1:37" x14ac:dyDescent="0.4">
      <c r="A586" s="48"/>
      <c r="B586" s="37"/>
      <c r="C586" s="53" t="str">
        <f t="shared" ref="C586" si="75">C6</f>
        <v>SC1/SC5</v>
      </c>
      <c r="D586" s="53" t="str">
        <f>D6</f>
        <v>SC3</v>
      </c>
      <c r="E586" s="53" t="str">
        <f>E6</f>
        <v>SC2 ND</v>
      </c>
      <c r="F586" s="53" t="str">
        <f>F6</f>
        <v>SC4</v>
      </c>
      <c r="G586" s="53" t="str">
        <f>G6</f>
        <v>SC6</v>
      </c>
      <c r="H586" s="53" t="str">
        <f>H6</f>
        <v>SC2 Dem</v>
      </c>
      <c r="I586" s="53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</row>
    <row r="587" spans="1:37" x14ac:dyDescent="0.4">
      <c r="A587" s="48"/>
      <c r="B587" s="37" t="s">
        <v>289</v>
      </c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</row>
    <row r="588" spans="1:37" x14ac:dyDescent="0.4">
      <c r="A588" s="48"/>
      <c r="B588" s="85" t="s">
        <v>68</v>
      </c>
      <c r="C588" s="31">
        <f t="shared" ref="C588:H588" si="76">+$C571*L48*C78/1000</f>
        <v>22192.810046860897</v>
      </c>
      <c r="D588" s="31">
        <f t="shared" si="76"/>
        <v>6.4550268482018458</v>
      </c>
      <c r="E588" s="31">
        <f t="shared" si="76"/>
        <v>392.59006662316773</v>
      </c>
      <c r="F588" s="31">
        <f t="shared" si="76"/>
        <v>123.14847802665868</v>
      </c>
      <c r="G588" s="31">
        <f t="shared" si="76"/>
        <v>114.85591216835</v>
      </c>
      <c r="H588" s="31">
        <f t="shared" si="76"/>
        <v>9435.2388222935169</v>
      </c>
      <c r="I588" s="31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</row>
    <row r="589" spans="1:37" x14ac:dyDescent="0.4">
      <c r="A589" s="48"/>
      <c r="B589" s="85" t="s">
        <v>61</v>
      </c>
      <c r="C589" s="16">
        <f t="shared" ref="C589:H589" si="77">+$C572*L44*C78/1000</f>
        <v>31578.330470158926</v>
      </c>
      <c r="D589" s="16">
        <f t="shared" si="77"/>
        <v>22.490338128807256</v>
      </c>
      <c r="E589" s="16">
        <f t="shared" si="77"/>
        <v>1122.5349992489353</v>
      </c>
      <c r="F589" s="16">
        <f t="shared" si="77"/>
        <v>352.28103065603028</v>
      </c>
      <c r="G589" s="16">
        <f t="shared" si="77"/>
        <v>306.38359960529334</v>
      </c>
      <c r="H589" s="16">
        <f t="shared" si="77"/>
        <v>18557.38824515407</v>
      </c>
      <c r="I589" s="31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</row>
    <row r="590" spans="1:37" x14ac:dyDescent="0.4">
      <c r="A590" s="48"/>
      <c r="B590" s="85" t="s">
        <v>35</v>
      </c>
      <c r="C590" s="91">
        <f t="shared" ref="C590:H590" si="78">+C589+C588</f>
        <v>53771.140517019827</v>
      </c>
      <c r="D590" s="91">
        <f t="shared" si="78"/>
        <v>28.945364977009103</v>
      </c>
      <c r="E590" s="91">
        <f t="shared" si="78"/>
        <v>1515.1250658721031</v>
      </c>
      <c r="F590" s="91">
        <f t="shared" si="78"/>
        <v>475.42950868268895</v>
      </c>
      <c r="G590" s="31">
        <f t="shared" si="78"/>
        <v>421.23951177364336</v>
      </c>
      <c r="H590" s="31">
        <f t="shared" si="78"/>
        <v>27992.627067447589</v>
      </c>
      <c r="I590" s="31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</row>
    <row r="591" spans="1:37" x14ac:dyDescent="0.4">
      <c r="A591" s="48"/>
      <c r="B591" s="37"/>
      <c r="C591" s="11"/>
      <c r="D591" s="11"/>
      <c r="E591" s="11"/>
      <c r="F591" s="11"/>
      <c r="G591" s="11"/>
      <c r="H591" s="11"/>
      <c r="I591" s="11"/>
      <c r="J591" s="11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</row>
    <row r="592" spans="1:37" x14ac:dyDescent="0.4">
      <c r="A592" s="48"/>
      <c r="B592" s="85" t="s">
        <v>35</v>
      </c>
      <c r="C592" s="99"/>
      <c r="D592" s="11"/>
      <c r="E592" s="11"/>
      <c r="F592" s="11"/>
      <c r="G592" s="11"/>
      <c r="H592" s="11"/>
      <c r="I592" s="11"/>
      <c r="J592" s="11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</row>
    <row r="593" spans="1:37" x14ac:dyDescent="0.4">
      <c r="A593" s="48"/>
      <c r="B593" s="85" t="s">
        <v>68</v>
      </c>
      <c r="C593" s="91">
        <f>SUM(C588:H588)</f>
        <v>32265.098352820794</v>
      </c>
      <c r="D593" s="37"/>
      <c r="E593" s="37"/>
      <c r="F593" s="37"/>
      <c r="G593" s="91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</row>
    <row r="594" spans="1:37" x14ac:dyDescent="0.4">
      <c r="A594" s="48"/>
      <c r="B594" s="85" t="s">
        <v>61</v>
      </c>
      <c r="C594" s="189">
        <f>SUM(C589:H589)</f>
        <v>51939.40868295206</v>
      </c>
      <c r="D594" s="37"/>
      <c r="E594" s="37"/>
      <c r="F594" s="37"/>
      <c r="G594" s="91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</row>
    <row r="595" spans="1:37" x14ac:dyDescent="0.4">
      <c r="A595" s="48"/>
      <c r="B595" s="85" t="s">
        <v>35</v>
      </c>
      <c r="C595" s="91">
        <f>+C594+C593</f>
        <v>84204.507035772855</v>
      </c>
      <c r="D595" s="37"/>
      <c r="E595" s="37"/>
      <c r="F595" s="37"/>
      <c r="G595" s="91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</row>
    <row r="596" spans="1:37" x14ac:dyDescent="0.4">
      <c r="A596" s="48"/>
      <c r="B596" s="37"/>
      <c r="C596" s="11"/>
      <c r="D596" s="19"/>
      <c r="E596" s="11"/>
      <c r="F596" s="180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</row>
    <row r="597" spans="1:37" x14ac:dyDescent="0.4">
      <c r="A597" s="35"/>
      <c r="B597" s="85" t="s">
        <v>290</v>
      </c>
      <c r="C597" s="91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</row>
    <row r="598" spans="1:37" x14ac:dyDescent="0.4">
      <c r="A598" s="35"/>
      <c r="B598" s="85" t="s">
        <v>68</v>
      </c>
      <c r="C598" s="153">
        <f>ROUND($C$147*SUM($C$141:$H$141)/12*H$144/1000*D447,0)</f>
        <v>4516</v>
      </c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</row>
    <row r="599" spans="1:37" x14ac:dyDescent="0.4">
      <c r="A599" s="35"/>
      <c r="B599" s="85" t="s">
        <v>61</v>
      </c>
      <c r="C599" s="191">
        <f>ROUND($C$147*SUM($C$141:$H$141)/12*H$145/1000*D447,0)</f>
        <v>9031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</row>
    <row r="600" spans="1:37" x14ac:dyDescent="0.4">
      <c r="A600" s="35"/>
      <c r="B600" s="85" t="s">
        <v>35</v>
      </c>
      <c r="C600" s="91">
        <f>SUM(C598:C599)</f>
        <v>13547</v>
      </c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</row>
    <row r="601" spans="1:37" x14ac:dyDescent="0.4">
      <c r="A601" s="35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</row>
    <row r="602" spans="1:37" x14ac:dyDescent="0.4">
      <c r="A602" s="35"/>
      <c r="B602" s="37" t="s">
        <v>291</v>
      </c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</row>
    <row r="603" spans="1:37" x14ac:dyDescent="0.4">
      <c r="A603" s="35"/>
      <c r="B603" s="85" t="s">
        <v>68</v>
      </c>
      <c r="C603" s="91">
        <f>C593-C598</f>
        <v>27749.098352820794</v>
      </c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</row>
    <row r="604" spans="1:37" x14ac:dyDescent="0.4">
      <c r="A604" s="35"/>
      <c r="B604" s="85" t="s">
        <v>61</v>
      </c>
      <c r="C604" s="189">
        <f>C594-C599</f>
        <v>42908.40868295206</v>
      </c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</row>
    <row r="605" spans="1:37" x14ac:dyDescent="0.4">
      <c r="A605" s="35"/>
      <c r="B605" s="85" t="s">
        <v>35</v>
      </c>
      <c r="C605" s="190">
        <f>SUM(C603:C604)</f>
        <v>70657.507035772855</v>
      </c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</row>
    <row r="606" spans="1:37" x14ac:dyDescent="0.4">
      <c r="A606" s="35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</row>
    <row r="607" spans="1:37" x14ac:dyDescent="0.4">
      <c r="A607" s="35"/>
      <c r="B607" s="37" t="s">
        <v>292</v>
      </c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</row>
    <row r="608" spans="1:37" x14ac:dyDescent="0.4">
      <c r="A608" s="35"/>
      <c r="B608" s="85" t="s">
        <v>68</v>
      </c>
      <c r="C608" s="91">
        <f>C603-C582</f>
        <v>2610.0983528207944</v>
      </c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</row>
    <row r="609" spans="2:3" x14ac:dyDescent="0.4">
      <c r="B609" s="29" t="s">
        <v>61</v>
      </c>
      <c r="C609" s="17">
        <f>C604-C583</f>
        <v>1149.4086829520602</v>
      </c>
    </row>
    <row r="610" spans="2:3" x14ac:dyDescent="0.4">
      <c r="B610" s="29" t="s">
        <v>35</v>
      </c>
      <c r="C610" s="18">
        <f>SUM(C608:C609)</f>
        <v>3759.5070357728546</v>
      </c>
    </row>
  </sheetData>
  <mergeCells count="3">
    <mergeCell ref="T210:U210"/>
    <mergeCell ref="I376:J376"/>
    <mergeCell ref="I398:J398"/>
  </mergeCells>
  <pageMargins left="0.5" right="0.5" top="1" bottom="0.75" header="0.5" footer="0.5"/>
  <pageSetup scale="86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305E3-0B0A-4583-B577-308048BC7A30}">
  <sheetPr codeName="Sheet5">
    <pageSetUpPr fitToPage="1"/>
  </sheetPr>
  <dimension ref="A1:U182"/>
  <sheetViews>
    <sheetView zoomScaleNormal="100" workbookViewId="0"/>
  </sheetViews>
  <sheetFormatPr defaultColWidth="9.17578125" defaultRowHeight="12.7" x14ac:dyDescent="0.4"/>
  <cols>
    <col min="1" max="1" width="9.17578125" style="2"/>
    <col min="2" max="2" width="4.703125" style="2" customWidth="1"/>
    <col min="3" max="3" width="30.8203125" style="2" customWidth="1"/>
    <col min="4" max="6" width="9.52734375" style="2" customWidth="1"/>
    <col min="7" max="7" width="9.8203125" style="2" customWidth="1"/>
    <col min="8" max="8" width="2.3515625" style="2" customWidth="1"/>
    <col min="9" max="13" width="9.17578125" style="2"/>
    <col min="14" max="14" width="12.8203125" style="2" customWidth="1"/>
    <col min="15" max="17" width="9.17578125" style="2"/>
    <col min="18" max="18" width="13.17578125" style="2" customWidth="1"/>
    <col min="19" max="16384" width="9.17578125" style="2"/>
  </cols>
  <sheetData>
    <row r="1" spans="1:21" x14ac:dyDescent="0.4">
      <c r="A1" s="86" t="s">
        <v>293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x14ac:dyDescent="0.4">
      <c r="A2" s="63" t="str">
        <f>'BGS Cost &amp; Bid Factors'!M1&amp;" BGS Auction"</f>
        <v>2021 BGS Auction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4" customFormat="1" x14ac:dyDescent="0.4">
      <c r="A4" s="63" t="s">
        <v>294</v>
      </c>
      <c r="B4" s="63" t="s">
        <v>295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1:21" s="14" customFormat="1" ht="10.35" x14ac:dyDescent="0.3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 s="14" customFormat="1" ht="10.35" x14ac:dyDescent="0.35">
      <c r="A6" s="175"/>
      <c r="B6" s="175"/>
      <c r="C6" s="175"/>
      <c r="D6" s="192">
        <f>F6-2</f>
        <v>2019</v>
      </c>
      <c r="E6" s="192">
        <f>F6-1</f>
        <v>2020</v>
      </c>
      <c r="F6" s="192">
        <v>2021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1" s="14" customFormat="1" ht="10.35" x14ac:dyDescent="0.35">
      <c r="A7" s="175"/>
      <c r="B7" s="175"/>
      <c r="C7" s="175"/>
      <c r="D7" s="192" t="s">
        <v>296</v>
      </c>
      <c r="E7" s="192" t="s">
        <v>296</v>
      </c>
      <c r="F7" s="192" t="s">
        <v>296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</row>
    <row r="8" spans="1:21" s="14" customFormat="1" ht="10.35" x14ac:dyDescent="0.35">
      <c r="A8" s="175"/>
      <c r="B8" s="193" t="s">
        <v>297</v>
      </c>
      <c r="C8" s="193" t="s">
        <v>298</v>
      </c>
      <c r="D8" s="194" t="s">
        <v>299</v>
      </c>
      <c r="E8" s="194" t="s">
        <v>299</v>
      </c>
      <c r="F8" s="194" t="s">
        <v>299</v>
      </c>
      <c r="G8" s="195" t="s">
        <v>35</v>
      </c>
      <c r="H8" s="175"/>
      <c r="I8" s="193" t="s">
        <v>300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</row>
    <row r="9" spans="1:21" s="14" customFormat="1" ht="10.35" x14ac:dyDescent="0.35">
      <c r="A9" s="175"/>
      <c r="B9" s="192">
        <v>1</v>
      </c>
      <c r="C9" s="175" t="s">
        <v>301</v>
      </c>
      <c r="D9" s="175">
        <v>1</v>
      </c>
      <c r="E9" s="175">
        <v>2</v>
      </c>
      <c r="F9" s="175">
        <v>1</v>
      </c>
      <c r="G9" s="175">
        <f>SUM(D9:F9)</f>
        <v>4</v>
      </c>
      <c r="H9" s="175"/>
      <c r="I9" s="175" t="s">
        <v>302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</row>
    <row r="10" spans="1:21" s="14" customFormat="1" ht="10.35" x14ac:dyDescent="0.35">
      <c r="A10" s="175"/>
      <c r="B10" s="192" t="s">
        <v>303</v>
      </c>
      <c r="C10" s="196" t="s">
        <v>304</v>
      </c>
      <c r="D10" s="197">
        <v>8.8030000000000008</v>
      </c>
      <c r="E10" s="197">
        <v>8.2420000000000009</v>
      </c>
      <c r="F10" s="197">
        <f>8.242-'BGS Cost &amp; Bid Factors'!M468/10</f>
        <v>6.980321260969526</v>
      </c>
      <c r="G10" s="175"/>
      <c r="H10" s="175"/>
      <c r="I10" s="175" t="str">
        <f>"(Note: "&amp;F6&amp;" Auction Price Shown for Illustrative Purposes Only)"</f>
        <v>(Note: 2021 Auction Price Shown for Illustrative Purposes Only)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</row>
    <row r="11" spans="1:21" s="14" customFormat="1" ht="10.35" x14ac:dyDescent="0.35">
      <c r="A11" s="175"/>
      <c r="B11" s="192" t="s">
        <v>305</v>
      </c>
      <c r="C11" s="196" t="s">
        <v>306</v>
      </c>
      <c r="D11" s="197"/>
      <c r="E11" s="197"/>
      <c r="F11" s="197">
        <v>0</v>
      </c>
      <c r="G11" s="175"/>
      <c r="H11" s="175"/>
      <c r="I11" s="175" t="s">
        <v>307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</row>
    <row r="12" spans="1:21" s="14" customFormat="1" ht="10.35" x14ac:dyDescent="0.35">
      <c r="A12" s="175"/>
      <c r="B12" s="192" t="s">
        <v>308</v>
      </c>
      <c r="C12" s="196" t="s">
        <v>304</v>
      </c>
      <c r="D12" s="197">
        <f>D11+D10</f>
        <v>8.8030000000000008</v>
      </c>
      <c r="E12" s="197">
        <f t="shared" ref="E12:F12" si="0">E11+E10</f>
        <v>8.2420000000000009</v>
      </c>
      <c r="F12" s="197">
        <f t="shared" si="0"/>
        <v>6.980321260969526</v>
      </c>
      <c r="G12" s="175"/>
      <c r="H12" s="175"/>
      <c r="I12" s="175" t="s">
        <v>309</v>
      </c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</row>
    <row r="13" spans="1:21" s="14" customFormat="1" ht="10.35" x14ac:dyDescent="0.35">
      <c r="A13" s="175"/>
      <c r="B13" s="192">
        <v>3</v>
      </c>
      <c r="C13" s="196" t="s">
        <v>310</v>
      </c>
      <c r="D13" s="197">
        <v>1.2949999999999999</v>
      </c>
      <c r="E13" s="197">
        <v>1.327</v>
      </c>
      <c r="F13" s="197">
        <v>0</v>
      </c>
      <c r="G13" s="175"/>
      <c r="H13" s="175"/>
      <c r="I13" s="175" t="s">
        <v>311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</row>
    <row r="14" spans="1:21" s="14" customFormat="1" ht="10.35" x14ac:dyDescent="0.35">
      <c r="A14" s="175"/>
      <c r="B14" s="192">
        <v>4</v>
      </c>
      <c r="C14" s="196" t="s">
        <v>312</v>
      </c>
      <c r="D14" s="197">
        <f>D12-D13</f>
        <v>7.5080000000000009</v>
      </c>
      <c r="E14" s="197">
        <f t="shared" ref="E14:F14" si="1">E12-E13</f>
        <v>6.9150000000000009</v>
      </c>
      <c r="F14" s="197">
        <f t="shared" si="1"/>
        <v>6.980321260969526</v>
      </c>
      <c r="G14" s="197"/>
      <c r="H14" s="175"/>
      <c r="I14" s="196" t="s">
        <v>313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</row>
    <row r="15" spans="1:21" s="14" customFormat="1" ht="10.35" x14ac:dyDescent="0.35">
      <c r="A15" s="175"/>
      <c r="B15" s="192">
        <v>5</v>
      </c>
      <c r="C15" s="196" t="s">
        <v>314</v>
      </c>
      <c r="D15" s="197">
        <f>D9/$G$9*D14</f>
        <v>1.8770000000000002</v>
      </c>
      <c r="E15" s="197">
        <f>E9/$G$9*E14</f>
        <v>3.4575000000000005</v>
      </c>
      <c r="F15" s="197">
        <f>F9/$G$9*F14</f>
        <v>1.7450803152423815</v>
      </c>
      <c r="G15" s="197">
        <f>SUM(D15:F15)</f>
        <v>7.0795803152423815</v>
      </c>
      <c r="H15" s="175"/>
      <c r="I15" s="196" t="s">
        <v>315</v>
      </c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</row>
    <row r="16" spans="1:21" s="14" customFormat="1" ht="10.35" x14ac:dyDescent="0.35">
      <c r="A16" s="175"/>
      <c r="B16" s="192">
        <v>6</v>
      </c>
      <c r="C16" s="196" t="s">
        <v>316</v>
      </c>
      <c r="D16" s="197">
        <f>D9/$G$9*D13</f>
        <v>0.32374999999999998</v>
      </c>
      <c r="E16" s="197">
        <f>E9/$G$9*E13</f>
        <v>0.66349999999999998</v>
      </c>
      <c r="F16" s="197">
        <f>F9/$G$9*F13</f>
        <v>0</v>
      </c>
      <c r="G16" s="197">
        <f>SUM(D16:F16)</f>
        <v>0.98724999999999996</v>
      </c>
      <c r="H16" s="175"/>
      <c r="I16" s="196" t="s">
        <v>317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</row>
    <row r="17" spans="1:21" s="14" customFormat="1" ht="10.35" x14ac:dyDescent="0.35">
      <c r="A17" s="175"/>
      <c r="B17" s="192">
        <v>7</v>
      </c>
      <c r="C17" s="196" t="s">
        <v>318</v>
      </c>
      <c r="D17" s="175"/>
      <c r="E17" s="175"/>
      <c r="F17" s="175"/>
      <c r="G17" s="198">
        <f>G15+G16</f>
        <v>8.066830315242381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</row>
    <row r="18" spans="1:21" s="14" customFormat="1" ht="10.35" x14ac:dyDescent="0.35">
      <c r="A18" s="175"/>
      <c r="B18" s="192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</row>
    <row r="19" spans="1:21" s="14" customFormat="1" ht="10.35" x14ac:dyDescent="0.35">
      <c r="A19" s="175"/>
      <c r="B19" s="192"/>
      <c r="C19" s="193" t="s">
        <v>319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</row>
    <row r="20" spans="1:21" s="14" customFormat="1" ht="10.35" x14ac:dyDescent="0.35">
      <c r="A20" s="175"/>
      <c r="B20" s="192">
        <v>8</v>
      </c>
      <c r="C20" s="199" t="s">
        <v>320</v>
      </c>
      <c r="D20" s="200">
        <v>1</v>
      </c>
      <c r="E20" s="200">
        <v>1</v>
      </c>
      <c r="F20" s="200">
        <f>IF('BGS Cost &amp; Bid Factors'!J377&lt;1,1,'BGS Cost &amp; Bid Factors'!J377)</f>
        <v>1</v>
      </c>
      <c r="G20" s="175" t="s">
        <v>321</v>
      </c>
      <c r="H20" s="175"/>
      <c r="I20" s="196" t="s">
        <v>322</v>
      </c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</row>
    <row r="21" spans="1:21" s="14" customFormat="1" ht="10.35" x14ac:dyDescent="0.35">
      <c r="A21" s="175"/>
      <c r="B21" s="192">
        <v>9</v>
      </c>
      <c r="C21" s="199" t="s">
        <v>323</v>
      </c>
      <c r="D21" s="200">
        <v>1</v>
      </c>
      <c r="E21" s="200">
        <v>1</v>
      </c>
      <c r="F21" s="200">
        <f>IF('BGS Cost &amp; Bid Factors'!J378&gt;1,1,'BGS Cost &amp; Bid Factors'!J378)</f>
        <v>1</v>
      </c>
      <c r="G21" s="175" t="s">
        <v>321</v>
      </c>
      <c r="H21" s="175"/>
      <c r="I21" s="196" t="s">
        <v>322</v>
      </c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</row>
    <row r="22" spans="1:21" s="14" customFormat="1" ht="10.35" x14ac:dyDescent="0.35">
      <c r="A22" s="175"/>
      <c r="B22" s="192"/>
      <c r="C22" s="175"/>
      <c r="D22" s="200"/>
      <c r="E22" s="200"/>
      <c r="F22" s="200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</row>
    <row r="23" spans="1:21" s="14" customFormat="1" ht="10.35" x14ac:dyDescent="0.35">
      <c r="A23" s="175"/>
      <c r="B23" s="192"/>
      <c r="C23" s="193" t="s">
        <v>324</v>
      </c>
      <c r="D23" s="175"/>
      <c r="E23" s="175"/>
      <c r="F23" s="192" t="s">
        <v>325</v>
      </c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</row>
    <row r="24" spans="1:21" s="14" customFormat="1" ht="10.35" x14ac:dyDescent="0.35">
      <c r="A24" s="175"/>
      <c r="B24" s="192">
        <v>10</v>
      </c>
      <c r="C24" s="201" t="s">
        <v>326</v>
      </c>
      <c r="D24" s="202">
        <f>'Rate Calculations'!$D$251</f>
        <v>396336.71473936579</v>
      </c>
      <c r="E24" s="175"/>
      <c r="F24" s="175"/>
      <c r="G24" s="175"/>
      <c r="H24" s="175"/>
      <c r="I24" s="196" t="s">
        <v>322</v>
      </c>
      <c r="J24" s="175"/>
      <c r="K24" s="175"/>
      <c r="L24" s="175"/>
      <c r="M24" s="175"/>
      <c r="N24" s="202"/>
      <c r="O24" s="175"/>
      <c r="P24" s="175"/>
      <c r="Q24" s="175"/>
      <c r="R24" s="175"/>
      <c r="S24" s="175"/>
      <c r="T24" s="175"/>
      <c r="U24" s="175"/>
    </row>
    <row r="25" spans="1:21" s="14" customFormat="1" ht="10.35" x14ac:dyDescent="0.35">
      <c r="A25" s="175"/>
      <c r="B25" s="192">
        <v>11</v>
      </c>
      <c r="C25" s="201" t="s">
        <v>327</v>
      </c>
      <c r="D25" s="203">
        <f>'Rate Calculations'!$D$252</f>
        <v>575809.94007454743</v>
      </c>
      <c r="E25" s="175"/>
      <c r="F25" s="175"/>
      <c r="G25" s="175"/>
      <c r="H25" s="175"/>
      <c r="I25" s="196" t="s">
        <v>322</v>
      </c>
      <c r="J25" s="175"/>
      <c r="K25" s="175"/>
      <c r="L25" s="175"/>
      <c r="M25" s="175"/>
      <c r="N25" s="202"/>
      <c r="O25" s="175"/>
      <c r="P25" s="175"/>
      <c r="Q25" s="175"/>
      <c r="R25" s="175"/>
      <c r="S25" s="175"/>
      <c r="T25" s="175"/>
      <c r="U25" s="175"/>
    </row>
    <row r="26" spans="1:21" s="14" customFormat="1" ht="10.35" x14ac:dyDescent="0.35">
      <c r="A26" s="175"/>
      <c r="B26" s="192">
        <v>12</v>
      </c>
      <c r="C26" s="175"/>
      <c r="D26" s="202">
        <f>SUM(D24:D25)</f>
        <v>972146.65481391316</v>
      </c>
      <c r="E26" s="175"/>
      <c r="F26" s="175"/>
      <c r="G26" s="175"/>
      <c r="H26" s="175"/>
      <c r="I26" s="175"/>
      <c r="J26" s="175"/>
      <c r="K26" s="175"/>
      <c r="L26" s="175"/>
      <c r="M26" s="175"/>
      <c r="N26" s="202"/>
      <c r="O26" s="175"/>
      <c r="P26" s="175"/>
      <c r="Q26" s="175"/>
      <c r="R26" s="175"/>
      <c r="S26" s="175"/>
      <c r="T26" s="175"/>
      <c r="U26" s="175"/>
    </row>
    <row r="27" spans="1:21" s="14" customFormat="1" ht="10.35" x14ac:dyDescent="0.35">
      <c r="A27" s="175"/>
      <c r="B27" s="192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28" spans="1:21" s="14" customFormat="1" ht="10.35" x14ac:dyDescent="0.35">
      <c r="A28" s="175"/>
      <c r="B28" s="192"/>
      <c r="C28" s="193" t="s">
        <v>328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</row>
    <row r="29" spans="1:21" s="14" customFormat="1" ht="10.35" x14ac:dyDescent="0.35">
      <c r="A29" s="175"/>
      <c r="B29" s="192">
        <v>13</v>
      </c>
      <c r="C29" s="201" t="s">
        <v>68</v>
      </c>
      <c r="D29" s="202">
        <f>ROUND(D$9/$G$9*(D$10-D$13)/100*D$20*$D$24*1000,0)</f>
        <v>7439240</v>
      </c>
      <c r="E29" s="202">
        <f>ROUND(E$9/$G$9*(E$10-E$13)/100*E$20*$D$24*1000,0)</f>
        <v>13703342</v>
      </c>
      <c r="F29" s="202">
        <f>ROUND(F$9/$G$9*(F$10-F$13)/100*F$20*$D$24*1000,0)</f>
        <v>6916394</v>
      </c>
      <c r="G29" s="202">
        <f>SUM(D29:F29)</f>
        <v>28058976</v>
      </c>
      <c r="H29" s="175"/>
      <c r="I29" s="196" t="s">
        <v>329</v>
      </c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</row>
    <row r="30" spans="1:21" s="14" customFormat="1" ht="10.35" x14ac:dyDescent="0.35">
      <c r="A30" s="175"/>
      <c r="B30" s="192">
        <v>14</v>
      </c>
      <c r="C30" s="201" t="s">
        <v>61</v>
      </c>
      <c r="D30" s="203">
        <f>ROUND(D$9/$G$9*(D$10-D$13)/100*D$21*$D$25*1000,0)</f>
        <v>10807953</v>
      </c>
      <c r="E30" s="203">
        <f>ROUND(E$9/$G$9*(E$10-E$13)/100*E$21*$D$25*1000,0)</f>
        <v>19908629</v>
      </c>
      <c r="F30" s="203">
        <f>ROUND(F$9/$G$9*(F$10-F$13)/100*F$21*$D$25*1000,0)</f>
        <v>10048346</v>
      </c>
      <c r="G30" s="203">
        <f>SUM(D30:F30)</f>
        <v>40764928</v>
      </c>
      <c r="H30" s="175"/>
      <c r="I30" s="196" t="s">
        <v>330</v>
      </c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</row>
    <row r="31" spans="1:21" s="14" customFormat="1" ht="10.35" x14ac:dyDescent="0.35">
      <c r="A31" s="175"/>
      <c r="B31" s="192">
        <v>15</v>
      </c>
      <c r="C31" s="201" t="s">
        <v>35</v>
      </c>
      <c r="D31" s="202">
        <f>SUM(D29:D30)</f>
        <v>18247193</v>
      </c>
      <c r="E31" s="202">
        <f>SUM(E29:E30)</f>
        <v>33611971</v>
      </c>
      <c r="F31" s="202">
        <f>SUM(F29:F30)</f>
        <v>16964740</v>
      </c>
      <c r="G31" s="202">
        <f>SUM(G29:G30)</f>
        <v>68823904</v>
      </c>
      <c r="H31" s="175"/>
      <c r="I31" s="196" t="s">
        <v>331</v>
      </c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</row>
    <row r="32" spans="1:21" s="14" customFormat="1" ht="10.35" x14ac:dyDescent="0.35">
      <c r="A32" s="175"/>
      <c r="B32" s="192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</row>
    <row r="33" spans="1:21" s="14" customFormat="1" ht="10.35" x14ac:dyDescent="0.35">
      <c r="A33" s="175"/>
      <c r="B33" s="192"/>
      <c r="C33" s="204" t="s">
        <v>332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</row>
    <row r="34" spans="1:21" s="14" customFormat="1" ht="10.35" x14ac:dyDescent="0.35">
      <c r="A34" s="175"/>
      <c r="B34" s="192">
        <v>16</v>
      </c>
      <c r="C34" s="201" t="s">
        <v>68</v>
      </c>
      <c r="D34" s="197">
        <f>ROUND(G29/D24/1000*100,3)</f>
        <v>7.08</v>
      </c>
      <c r="E34" s="175" t="s">
        <v>110</v>
      </c>
      <c r="F34" s="175"/>
      <c r="G34" s="175"/>
      <c r="H34" s="175"/>
      <c r="I34" s="196" t="s">
        <v>333</v>
      </c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</row>
    <row r="35" spans="1:21" s="14" customFormat="1" ht="10.35" x14ac:dyDescent="0.35">
      <c r="A35" s="175"/>
      <c r="B35" s="192">
        <v>17</v>
      </c>
      <c r="C35" s="201" t="s">
        <v>61</v>
      </c>
      <c r="D35" s="197">
        <f>ROUND(G30/D25/1000*100,3)</f>
        <v>7.08</v>
      </c>
      <c r="E35" s="175" t="s">
        <v>110</v>
      </c>
      <c r="F35" s="175"/>
      <c r="G35" s="175"/>
      <c r="H35" s="175"/>
      <c r="I35" s="196" t="s">
        <v>334</v>
      </c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</row>
    <row r="36" spans="1:21" s="14" customFormat="1" ht="10.35" x14ac:dyDescent="0.35">
      <c r="A36" s="175"/>
      <c r="B36" s="192">
        <v>18</v>
      </c>
      <c r="C36" s="201" t="s">
        <v>35</v>
      </c>
      <c r="D36" s="198">
        <f>ROUND(G31/D26/1000*100,3)</f>
        <v>7.08</v>
      </c>
      <c r="E36" s="175" t="s">
        <v>110</v>
      </c>
      <c r="F36" s="175"/>
      <c r="G36" s="175"/>
      <c r="H36" s="175"/>
      <c r="I36" s="196" t="s">
        <v>335</v>
      </c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</row>
    <row r="37" spans="1:21" s="14" customFormat="1" ht="10.35" x14ac:dyDescent="0.35">
      <c r="A37" s="175"/>
      <c r="B37" s="192"/>
      <c r="C37" s="202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</row>
    <row r="38" spans="1:21" s="14" customFormat="1" ht="10.35" x14ac:dyDescent="0.35">
      <c r="A38" s="175"/>
      <c r="B38" s="192"/>
      <c r="C38" s="193" t="s">
        <v>336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s="14" customFormat="1" ht="10.35" x14ac:dyDescent="0.35">
      <c r="A39" s="175"/>
      <c r="B39" s="192"/>
      <c r="C39" s="175"/>
      <c r="D39" s="201" t="s">
        <v>337</v>
      </c>
      <c r="E39" s="201" t="s">
        <v>338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</row>
    <row r="40" spans="1:21" s="14" customFormat="1" ht="10.35" x14ac:dyDescent="0.35">
      <c r="A40" s="175"/>
      <c r="B40" s="192"/>
      <c r="C40" s="175"/>
      <c r="D40" s="195" t="s">
        <v>296</v>
      </c>
      <c r="E40" s="195" t="s">
        <v>339</v>
      </c>
      <c r="F40" s="205"/>
      <c r="G40" s="195" t="s">
        <v>35</v>
      </c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</row>
    <row r="41" spans="1:21" s="14" customFormat="1" ht="10.35" x14ac:dyDescent="0.35">
      <c r="A41" s="175"/>
      <c r="B41" s="192">
        <v>19</v>
      </c>
      <c r="C41" s="175" t="s">
        <v>301</v>
      </c>
      <c r="D41" s="175">
        <f>SUM(D9:F9)</f>
        <v>4</v>
      </c>
      <c r="E41" s="175">
        <f>'BGS Cost &amp; Bid Factors'!M466</f>
        <v>0.505</v>
      </c>
      <c r="F41" s="175"/>
      <c r="G41" s="175">
        <f>SUM(D41:E41)</f>
        <v>4.5049999999999999</v>
      </c>
      <c r="H41" s="175"/>
      <c r="I41" s="175" t="s">
        <v>340</v>
      </c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</row>
    <row r="42" spans="1:21" s="14" customFormat="1" ht="10.35" x14ac:dyDescent="0.35">
      <c r="A42" s="175"/>
      <c r="B42" s="192">
        <v>20</v>
      </c>
      <c r="C42" s="175" t="s">
        <v>341</v>
      </c>
      <c r="D42" s="197">
        <f>D36</f>
        <v>7.08</v>
      </c>
      <c r="E42" s="197">
        <f>'Rate Calculations'!$D$286*(100/1000)</f>
        <v>6.5519999999999996</v>
      </c>
      <c r="F42" s="197"/>
      <c r="G42" s="175"/>
      <c r="H42" s="175"/>
      <c r="I42" s="175" t="str">
        <f>"BGS Auction from (18)"</f>
        <v>BGS Auction from (18)</v>
      </c>
      <c r="J42" s="175"/>
      <c r="K42" s="175" t="str">
        <f>"Note "&amp;$E$42&amp;"¢ for RFP is illustrative"</f>
        <v>Note 6.552¢ for RFP is illustrative</v>
      </c>
      <c r="L42" s="175"/>
      <c r="M42" s="175"/>
      <c r="N42" s="175"/>
      <c r="O42" s="175"/>
      <c r="P42" s="175"/>
      <c r="Q42" s="175"/>
      <c r="R42" s="175"/>
      <c r="S42" s="175"/>
      <c r="T42" s="175"/>
      <c r="U42" s="175"/>
    </row>
    <row r="43" spans="1:21" s="14" customFormat="1" ht="10.35" x14ac:dyDescent="0.35">
      <c r="A43" s="175"/>
      <c r="B43" s="192"/>
      <c r="C43" s="175"/>
      <c r="D43" s="197"/>
      <c r="E43" s="198"/>
      <c r="F43" s="197"/>
      <c r="G43" s="175"/>
      <c r="H43" s="175"/>
      <c r="I43" s="175" t="s">
        <v>342</v>
      </c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</row>
    <row r="44" spans="1:21" s="14" customFormat="1" ht="10.35" x14ac:dyDescent="0.35">
      <c r="A44" s="175"/>
      <c r="B44" s="192">
        <v>21</v>
      </c>
      <c r="C44" s="175" t="s">
        <v>343</v>
      </c>
      <c r="D44" s="197">
        <f>F13</f>
        <v>0</v>
      </c>
      <c r="E44" s="197">
        <v>0</v>
      </c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</row>
    <row r="45" spans="1:21" s="14" customFormat="1" ht="10.35" x14ac:dyDescent="0.35">
      <c r="A45" s="175"/>
      <c r="B45" s="192">
        <v>22</v>
      </c>
      <c r="C45" s="175" t="s">
        <v>337</v>
      </c>
      <c r="D45" s="197">
        <f>D42-D44</f>
        <v>7.08</v>
      </c>
      <c r="E45" s="175">
        <f>E42-E44</f>
        <v>6.5519999999999996</v>
      </c>
      <c r="F45" s="175"/>
      <c r="G45" s="175"/>
      <c r="H45" s="175"/>
      <c r="I45" s="196" t="s">
        <v>344</v>
      </c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</row>
    <row r="46" spans="1:21" s="14" customFormat="1" ht="10.35" x14ac:dyDescent="0.35">
      <c r="A46" s="175"/>
      <c r="B46" s="192">
        <v>23</v>
      </c>
      <c r="C46" s="196" t="s">
        <v>314</v>
      </c>
      <c r="D46" s="197">
        <f>D41/$G$41*D45</f>
        <v>6.2863485016648175</v>
      </c>
      <c r="E46" s="197">
        <f>E41/$G$41*E45</f>
        <v>0.73446392896781354</v>
      </c>
      <c r="F46" s="197"/>
      <c r="G46" s="197">
        <f>SUM(D46:E46)</f>
        <v>7.0208124306326312</v>
      </c>
      <c r="H46" s="175"/>
      <c r="I46" s="196" t="s">
        <v>345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</row>
    <row r="47" spans="1:21" s="14" customFormat="1" ht="10.7" thickBot="1" x14ac:dyDescent="0.4">
      <c r="A47" s="175"/>
      <c r="B47" s="192">
        <v>24</v>
      </c>
      <c r="C47" s="196" t="s">
        <v>316</v>
      </c>
      <c r="D47" s="197">
        <f>D41/$G$41*D44</f>
        <v>0</v>
      </c>
      <c r="E47" s="197">
        <f>E41/$G$41*E44</f>
        <v>0</v>
      </c>
      <c r="F47" s="197"/>
      <c r="G47" s="197">
        <f>SUM(D47:E47)</f>
        <v>0</v>
      </c>
      <c r="H47" s="175"/>
      <c r="I47" s="196" t="s">
        <v>346</v>
      </c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</row>
    <row r="48" spans="1:21" s="14" customFormat="1" ht="10.7" thickBot="1" x14ac:dyDescent="0.4">
      <c r="A48" s="175"/>
      <c r="B48" s="192">
        <v>25</v>
      </c>
      <c r="C48" s="206" t="s">
        <v>347</v>
      </c>
      <c r="D48" s="175"/>
      <c r="E48" s="175"/>
      <c r="F48" s="175"/>
      <c r="G48" s="207">
        <f>ROUND(G46+G47,3)</f>
        <v>7.0209999999999999</v>
      </c>
      <c r="H48" s="175"/>
      <c r="I48" s="196" t="s">
        <v>348</v>
      </c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</row>
    <row r="49" spans="1:21" x14ac:dyDescent="0.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x14ac:dyDescent="0.4">
      <c r="A50" s="37"/>
      <c r="B50" s="37"/>
      <c r="C50" s="208" t="s">
        <v>349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x14ac:dyDescent="0.4">
      <c r="A51" s="37"/>
      <c r="B51" s="37"/>
      <c r="C51" s="208" t="s">
        <v>350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x14ac:dyDescent="0.4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x14ac:dyDescent="0.4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x14ac:dyDescent="0.4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x14ac:dyDescent="0.4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x14ac:dyDescent="0.4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x14ac:dyDescent="0.4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x14ac:dyDescent="0.4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x14ac:dyDescent="0.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x14ac:dyDescent="0.4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x14ac:dyDescent="0.4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x14ac:dyDescent="0.4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x14ac:dyDescent="0.4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x14ac:dyDescent="0.4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x14ac:dyDescent="0.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x14ac:dyDescent="0.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x14ac:dyDescent="0.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x14ac:dyDescent="0.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x14ac:dyDescent="0.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x14ac:dyDescent="0.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x14ac:dyDescent="0.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x14ac:dyDescent="0.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x14ac:dyDescent="0.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x14ac:dyDescent="0.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x14ac:dyDescent="0.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x14ac:dyDescent="0.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x14ac:dyDescent="0.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x14ac:dyDescent="0.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x14ac:dyDescent="0.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x14ac:dyDescent="0.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x14ac:dyDescent="0.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x14ac:dyDescent="0.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x14ac:dyDescent="0.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x14ac:dyDescent="0.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x14ac:dyDescent="0.4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x14ac:dyDescent="0.4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x14ac:dyDescent="0.4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x14ac:dyDescent="0.4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x14ac:dyDescent="0.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x14ac:dyDescent="0.4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x14ac:dyDescent="0.4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x14ac:dyDescent="0.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x14ac:dyDescent="0.4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x14ac:dyDescent="0.4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21" x14ac:dyDescent="0.4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x14ac:dyDescent="0.4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x14ac:dyDescent="0.4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x14ac:dyDescent="0.4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x14ac:dyDescent="0.4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x14ac:dyDescent="0.4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x14ac:dyDescent="0.4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x14ac:dyDescent="0.4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x14ac:dyDescent="0.4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x14ac:dyDescent="0.4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1" x14ac:dyDescent="0.4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x14ac:dyDescent="0.4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1:21" x14ac:dyDescent="0.4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x14ac:dyDescent="0.4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1:21" x14ac:dyDescent="0.4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x14ac:dyDescent="0.4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x14ac:dyDescent="0.4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x14ac:dyDescent="0.4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1:21" x14ac:dyDescent="0.4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1" x14ac:dyDescent="0.4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1" x14ac:dyDescent="0.4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x14ac:dyDescent="0.4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1" x14ac:dyDescent="0.4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x14ac:dyDescent="0.4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1" x14ac:dyDescent="0.4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x14ac:dyDescent="0.4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1" x14ac:dyDescent="0.4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x14ac:dyDescent="0.4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1" x14ac:dyDescent="0.4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x14ac:dyDescent="0.4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1:21" x14ac:dyDescent="0.4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x14ac:dyDescent="0.4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1:21" x14ac:dyDescent="0.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x14ac:dyDescent="0.4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 x14ac:dyDescent="0.4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x14ac:dyDescent="0.4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1:21" x14ac:dyDescent="0.4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1" x14ac:dyDescent="0.4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1:21" x14ac:dyDescent="0.4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1:21" x14ac:dyDescent="0.4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1" x14ac:dyDescent="0.4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1:21" x14ac:dyDescent="0.4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1" x14ac:dyDescent="0.4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1:21" x14ac:dyDescent="0.4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1:21" x14ac:dyDescent="0.4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1" x14ac:dyDescent="0.4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1" x14ac:dyDescent="0.4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x14ac:dyDescent="0.4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1" x14ac:dyDescent="0.4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1:21" x14ac:dyDescent="0.4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21" x14ac:dyDescent="0.4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1:21" x14ac:dyDescent="0.4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1" x14ac:dyDescent="0.4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:21" x14ac:dyDescent="0.4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1" x14ac:dyDescent="0.4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1" x14ac:dyDescent="0.4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:21" x14ac:dyDescent="0.4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:21" x14ac:dyDescent="0.4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:21" x14ac:dyDescent="0.4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:21" x14ac:dyDescent="0.4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:21" x14ac:dyDescent="0.4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x14ac:dyDescent="0.4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x14ac:dyDescent="0.4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x14ac:dyDescent="0.4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:21" x14ac:dyDescent="0.4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x14ac:dyDescent="0.4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x14ac:dyDescent="0.4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x14ac:dyDescent="0.4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:21" x14ac:dyDescent="0.4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:21" x14ac:dyDescent="0.4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:21" x14ac:dyDescent="0.4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x14ac:dyDescent="0.4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x14ac:dyDescent="0.4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1" x14ac:dyDescent="0.4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1:21" x14ac:dyDescent="0.4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1" x14ac:dyDescent="0.4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1" x14ac:dyDescent="0.4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21" x14ac:dyDescent="0.4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1:21" x14ac:dyDescent="0.4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</sheetData>
  <printOptions horizontalCentered="1"/>
  <pageMargins left="0.5" right="0.5" top="0.5" bottom="0.5" header="0.5" footer="0.5"/>
  <pageSetup scale="90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D49CC-1ACA-4A4D-AAA9-3E23C78E2902}">
  <sheetPr codeName="Sheet6"/>
  <dimension ref="A1:AJ308"/>
  <sheetViews>
    <sheetView zoomScaleNormal="100" workbookViewId="0">
      <pane ySplit="3" topLeftCell="A4" activePane="bottomLeft" state="frozen"/>
      <selection activeCell="E3" sqref="E3"/>
      <selection pane="bottomLeft"/>
    </sheetView>
  </sheetViews>
  <sheetFormatPr defaultRowHeight="12.7" x14ac:dyDescent="0.4"/>
  <cols>
    <col min="1" max="1" width="9.52734375" style="1" customWidth="1"/>
    <col min="2" max="2" width="27.8203125" customWidth="1"/>
    <col min="3" max="3" width="14.17578125" customWidth="1"/>
    <col min="4" max="4" width="14.8203125" customWidth="1"/>
    <col min="5" max="5" width="12.703125" customWidth="1"/>
    <col min="6" max="7" width="13.3515625" customWidth="1"/>
    <col min="8" max="8" width="12.703125" customWidth="1"/>
    <col min="9" max="9" width="11.8203125" customWidth="1"/>
    <col min="10" max="10" width="12.52734375" customWidth="1"/>
    <col min="11" max="11" width="10.703125" customWidth="1"/>
    <col min="12" max="12" width="11.703125" customWidth="1"/>
    <col min="13" max="14" width="9.3515625" customWidth="1"/>
    <col min="15" max="15" width="11.703125" customWidth="1"/>
    <col min="16" max="17" width="9.3515625" customWidth="1"/>
    <col min="18" max="18" width="11.52734375" customWidth="1"/>
    <col min="19" max="19" width="8.703125" customWidth="1"/>
    <col min="20" max="20" width="12.703125" customWidth="1"/>
    <col min="21" max="21" width="10.17578125" customWidth="1"/>
    <col min="22" max="26" width="8.703125" customWidth="1"/>
    <col min="27" max="27" width="18.3515625" customWidth="1"/>
    <col min="28" max="28" width="19.29296875" customWidth="1"/>
    <col min="29" max="29" width="21" customWidth="1"/>
    <col min="30" max="37" width="9.3515625" customWidth="1"/>
  </cols>
  <sheetData>
    <row r="1" spans="1:35" x14ac:dyDescent="0.4">
      <c r="A1" s="86" t="s">
        <v>293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x14ac:dyDescent="0.4">
      <c r="A2" s="63" t="str">
        <f>'BGS Cost &amp; Bid Factors'!M1 &amp;" BGS Auction"</f>
        <v>2021 BGS Auction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x14ac:dyDescent="0.4">
      <c r="A3" s="6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x14ac:dyDescent="0.4">
      <c r="A4" s="6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x14ac:dyDescent="0.4">
      <c r="A5" s="3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x14ac:dyDescent="0.4">
      <c r="A6" s="157" t="s">
        <v>351</v>
      </c>
      <c r="B6" s="47" t="s">
        <v>180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x14ac:dyDescent="0.4">
      <c r="A7" s="84"/>
      <c r="B7" s="102" t="s">
        <v>352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x14ac:dyDescent="0.4">
      <c r="A8" s="48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x14ac:dyDescent="0.4">
      <c r="A9" s="48"/>
      <c r="B9" s="63" t="s">
        <v>161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x14ac:dyDescent="0.4">
      <c r="A10" s="48"/>
      <c r="B10" s="46" t="s">
        <v>353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x14ac:dyDescent="0.4">
      <c r="A11" s="48"/>
      <c r="B11" s="6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x14ac:dyDescent="0.4">
      <c r="A12" s="48"/>
      <c r="B12" s="37"/>
      <c r="C12" s="65" t="str">
        <f>'BGS Cost &amp; Bid Factors'!C$6</f>
        <v>SC1/SC5</v>
      </c>
      <c r="D12" s="65" t="str">
        <f>'BGS Cost &amp; Bid Factors'!D$6</f>
        <v>SC3</v>
      </c>
      <c r="E12" s="65" t="str">
        <f>'BGS Cost &amp; Bid Factors'!E$6</f>
        <v>SC2 ND</v>
      </c>
      <c r="F12" s="65" t="str">
        <f>'BGS Cost &amp; Bid Factors'!F$6</f>
        <v>SC4</v>
      </c>
      <c r="G12" s="65" t="str">
        <f>'BGS Cost &amp; Bid Factors'!G$6</f>
        <v>SC6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x14ac:dyDescent="0.4">
      <c r="A13" s="48"/>
      <c r="B13" s="37"/>
      <c r="C13" s="53"/>
      <c r="D13" s="53"/>
      <c r="E13" s="5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x14ac:dyDescent="0.4">
      <c r="A14" s="48"/>
      <c r="B14" s="55" t="s">
        <v>63</v>
      </c>
      <c r="C14" s="9">
        <f>'BGS Cost &amp; Bid Factors'!C327</f>
        <v>0.99199999999999999</v>
      </c>
      <c r="D14" s="139"/>
      <c r="E14" s="9">
        <f>'BGS Cost &amp; Bid Factors'!E327</f>
        <v>0.89800000000000002</v>
      </c>
      <c r="F14" s="9">
        <f>'BGS Cost &amp; Bid Factors'!F327</f>
        <v>0.71399999999999997</v>
      </c>
      <c r="G14" s="9">
        <f>'BGS Cost &amp; Bid Factors'!G327</f>
        <v>0.71499999999999997</v>
      </c>
      <c r="H14" s="11"/>
      <c r="I14" s="11"/>
      <c r="J14" s="11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x14ac:dyDescent="0.4">
      <c r="A15" s="48"/>
      <c r="B15" s="88" t="s">
        <v>78</v>
      </c>
      <c r="C15" s="139"/>
      <c r="D15" s="9">
        <f>'BGS Cost &amp; Bid Factors'!D328</f>
        <v>1.9259999999999999</v>
      </c>
      <c r="E15" s="139"/>
      <c r="F15" s="139"/>
      <c r="G15" s="139"/>
      <c r="H15" s="11"/>
      <c r="I15" s="11"/>
      <c r="J15" s="11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x14ac:dyDescent="0.4">
      <c r="A16" s="48"/>
      <c r="B16" s="88" t="s">
        <v>79</v>
      </c>
      <c r="C16" s="139"/>
      <c r="D16" s="9">
        <f>'BGS Cost &amp; Bid Factors'!D329</f>
        <v>0.65300000000000002</v>
      </c>
      <c r="E16" s="139"/>
      <c r="F16" s="139"/>
      <c r="G16" s="139"/>
      <c r="H16" s="11"/>
      <c r="I16" s="11"/>
      <c r="J16" s="11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x14ac:dyDescent="0.4">
      <c r="A17" s="48"/>
      <c r="B17" s="37"/>
      <c r="C17" s="139"/>
      <c r="D17" s="139"/>
      <c r="E17" s="139"/>
      <c r="F17" s="139"/>
      <c r="G17" s="139"/>
      <c r="H17" s="11"/>
      <c r="I17" s="11"/>
      <c r="J17" s="11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x14ac:dyDescent="0.4">
      <c r="A18" s="48"/>
      <c r="B18" s="109"/>
      <c r="C18" s="37"/>
      <c r="D18" s="139"/>
      <c r="E18" s="139"/>
      <c r="F18" s="139"/>
      <c r="G18" s="139"/>
      <c r="H18" s="11"/>
      <c r="I18" s="11"/>
      <c r="J18" s="11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x14ac:dyDescent="0.4">
      <c r="A19" s="48"/>
      <c r="B19" s="141" t="s">
        <v>164</v>
      </c>
      <c r="C19" s="10">
        <f>'BGS Cost &amp; Bid Factors'!C332</f>
        <v>-22.380765000000004</v>
      </c>
      <c r="D19" s="139"/>
      <c r="E19" s="139"/>
      <c r="F19" s="139"/>
      <c r="G19" s="139"/>
      <c r="H19" s="11"/>
      <c r="I19" s="11"/>
      <c r="J19" s="11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x14ac:dyDescent="0.4">
      <c r="A20" s="48"/>
      <c r="B20" s="141" t="s">
        <v>165</v>
      </c>
      <c r="C20" s="10">
        <f>'BGS Cost &amp; Bid Factors'!C333</f>
        <v>17.549235000000003</v>
      </c>
      <c r="D20" s="139"/>
      <c r="E20" s="139"/>
      <c r="F20" s="139"/>
      <c r="G20" s="139"/>
      <c r="H20" s="11"/>
      <c r="I20" s="11"/>
      <c r="J20" s="11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x14ac:dyDescent="0.4">
      <c r="A21" s="48"/>
      <c r="B21" s="139"/>
      <c r="C21" s="139"/>
      <c r="D21" s="139"/>
      <c r="E21" s="139"/>
      <c r="F21" s="139"/>
      <c r="G21" s="139"/>
      <c r="H21" s="11"/>
      <c r="I21" s="11"/>
      <c r="J21" s="11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x14ac:dyDescent="0.4">
      <c r="A22" s="48"/>
      <c r="B22" s="37"/>
      <c r="C22" s="139"/>
      <c r="D22" s="139"/>
      <c r="E22" s="139"/>
      <c r="F22" s="139"/>
      <c r="G22" s="139"/>
      <c r="H22" s="11"/>
      <c r="I22" s="11"/>
      <c r="J22" s="11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x14ac:dyDescent="0.4">
      <c r="A23" s="48"/>
      <c r="B23" s="55" t="s">
        <v>69</v>
      </c>
      <c r="C23" s="9">
        <f>'BGS Cost &amp; Bid Factors'!C336</f>
        <v>1.18</v>
      </c>
      <c r="D23" s="139"/>
      <c r="E23" s="9">
        <f>'BGS Cost &amp; Bid Factors'!E336</f>
        <v>0.93899999999999995</v>
      </c>
      <c r="F23" s="9">
        <f>'BGS Cost &amp; Bid Factors'!F336</f>
        <v>0.79100000000000004</v>
      </c>
      <c r="G23" s="9">
        <f>'BGS Cost &amp; Bid Factors'!G336</f>
        <v>0.78800000000000003</v>
      </c>
      <c r="H23" s="11"/>
      <c r="I23" s="11"/>
      <c r="J23" s="11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x14ac:dyDescent="0.4">
      <c r="A24" s="48"/>
      <c r="B24" s="88" t="s">
        <v>78</v>
      </c>
      <c r="C24" s="139"/>
      <c r="D24" s="9">
        <f>'BGS Cost &amp; Bid Factors'!D337</f>
        <v>1.5209999999999999</v>
      </c>
      <c r="E24" s="139"/>
      <c r="F24" s="139"/>
      <c r="G24" s="139"/>
      <c r="H24" s="11"/>
      <c r="I24" s="11"/>
      <c r="J24" s="11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x14ac:dyDescent="0.4">
      <c r="A25" s="48"/>
      <c r="B25" s="88" t="s">
        <v>79</v>
      </c>
      <c r="C25" s="139"/>
      <c r="D25" s="9">
        <f>'BGS Cost &amp; Bid Factors'!D338</f>
        <v>0.76</v>
      </c>
      <c r="E25" s="139"/>
      <c r="F25" s="139"/>
      <c r="G25" s="139"/>
      <c r="H25" s="11"/>
      <c r="I25" s="11"/>
      <c r="J25" s="11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x14ac:dyDescent="0.4">
      <c r="A26" s="48"/>
      <c r="B26" s="37"/>
      <c r="C26" s="11"/>
      <c r="D26" s="11"/>
      <c r="E26" s="11"/>
      <c r="F26" s="11"/>
      <c r="G26" s="11"/>
      <c r="H26" s="11"/>
      <c r="I26" s="11"/>
      <c r="J26" s="11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x14ac:dyDescent="0.4">
      <c r="A27" s="48"/>
      <c r="B27" s="37" t="s">
        <v>166</v>
      </c>
      <c r="C27" s="20">
        <f>'BGS Cost &amp; Bid Factors'!C340</f>
        <v>1.097</v>
      </c>
      <c r="D27" s="20">
        <f>'BGS Cost &amp; Bid Factors'!D340</f>
        <v>1.0469999999999999</v>
      </c>
      <c r="E27" s="20">
        <f>'BGS Cost &amp; Bid Factors'!E340</f>
        <v>0.92723656432629109</v>
      </c>
      <c r="F27" s="20">
        <f>'BGS Cost &amp; Bid Factors'!F340</f>
        <v>0.77</v>
      </c>
      <c r="G27" s="20">
        <f>'BGS Cost &amp; Bid Factors'!G340</f>
        <v>0.76600000000000001</v>
      </c>
      <c r="H27" s="11"/>
      <c r="I27" s="11"/>
      <c r="J27" s="11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x14ac:dyDescent="0.4">
      <c r="A28" s="4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x14ac:dyDescent="0.4">
      <c r="A29" s="4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x14ac:dyDescent="0.4">
      <c r="A30" s="48"/>
      <c r="B30" s="63" t="s">
        <v>167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x14ac:dyDescent="0.4">
      <c r="A31" s="48"/>
      <c r="B31" s="46" t="s">
        <v>181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x14ac:dyDescent="0.4">
      <c r="A32" s="4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x14ac:dyDescent="0.4">
      <c r="A33" s="48"/>
      <c r="B33" s="37"/>
      <c r="C33" s="109" t="str">
        <f>'BGS Cost &amp; Bid Factors'!H6</f>
        <v>SC2 Dem</v>
      </c>
      <c r="D33" s="109" t="str">
        <f>+C33</f>
        <v>SC2 Dem</v>
      </c>
      <c r="E33" s="53"/>
      <c r="F33" s="53"/>
      <c r="G33" s="143" t="s">
        <v>131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x14ac:dyDescent="0.4">
      <c r="A34" s="48"/>
      <c r="B34" s="37"/>
      <c r="C34" s="65" t="s">
        <v>169</v>
      </c>
      <c r="D34" s="150" t="s">
        <v>170</v>
      </c>
      <c r="E34" s="53"/>
      <c r="F34" s="53"/>
      <c r="G34" s="7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x14ac:dyDescent="0.4">
      <c r="A35" s="48"/>
      <c r="B35" s="55" t="s">
        <v>63</v>
      </c>
      <c r="C35" s="9">
        <f>'BGS Cost &amp; Bid Factors'!C348</f>
        <v>0.997</v>
      </c>
      <c r="D35" s="9">
        <f>'BGS Cost &amp; Bid Factors'!D348</f>
        <v>-17.719565182193975</v>
      </c>
      <c r="E35" s="37"/>
      <c r="F35" s="89"/>
      <c r="G35" s="116" t="s">
        <v>132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x14ac:dyDescent="0.4">
      <c r="A36" s="48"/>
      <c r="B36" s="88"/>
      <c r="C36" s="20"/>
      <c r="D36" s="151"/>
      <c r="E36" s="140"/>
      <c r="F36" s="146"/>
      <c r="G36" s="7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x14ac:dyDescent="0.4">
      <c r="A37" s="48"/>
      <c r="B37" s="88"/>
      <c r="C37" s="20"/>
      <c r="D37" s="151"/>
      <c r="E37" s="140"/>
      <c r="F37" s="146"/>
      <c r="G37" s="78"/>
      <c r="H37" s="65">
        <f>'BGS Cost &amp; Bid Factors'!G212</f>
        <v>0</v>
      </c>
      <c r="I37" s="65" t="str">
        <f>'BGS Cost &amp; Bid Factors'!H212</f>
        <v>&lt; 5 kW</v>
      </c>
      <c r="J37" s="65" t="str">
        <f>'BGS Cost &amp; Bid Factors'!I212</f>
        <v>&gt; 5 kW</v>
      </c>
      <c r="K37" s="65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x14ac:dyDescent="0.4">
      <c r="A38" s="48"/>
      <c r="B38" s="37"/>
      <c r="C38" s="20"/>
      <c r="D38" s="151"/>
      <c r="E38" s="139"/>
      <c r="F38" s="146"/>
      <c r="G38" s="7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x14ac:dyDescent="0.4">
      <c r="A39" s="48"/>
      <c r="B39" s="55" t="s">
        <v>69</v>
      </c>
      <c r="C39" s="9">
        <f>'BGS Cost &amp; Bid Factors'!C352</f>
        <v>1.083</v>
      </c>
      <c r="D39" s="9">
        <f>'BGS Cost &amp; Bid Factors'!D352</f>
        <v>-18.623507170301743</v>
      </c>
      <c r="E39" s="140"/>
      <c r="F39" s="146"/>
      <c r="G39" s="147" t="s">
        <v>97</v>
      </c>
      <c r="H39" s="8">
        <f>'BGS Cost &amp; Bid Factors'!H352</f>
        <v>0</v>
      </c>
      <c r="I39" s="8">
        <f>'BGS Cost &amp; Bid Factors'!I352</f>
        <v>1.6910000000000001</v>
      </c>
      <c r="J39" s="8">
        <f>'BGS Cost &amp; Bid Factors'!J352</f>
        <v>4.4580000000000002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x14ac:dyDescent="0.4">
      <c r="A40" s="48"/>
      <c r="B40" s="88"/>
      <c r="C40" s="20"/>
      <c r="D40" s="152"/>
      <c r="E40" s="140"/>
      <c r="F40" s="146"/>
      <c r="G40" s="147" t="s">
        <v>103</v>
      </c>
      <c r="H40" s="8">
        <f>'BGS Cost &amp; Bid Factors'!H353</f>
        <v>0</v>
      </c>
      <c r="I40" s="8">
        <f>'BGS Cost &amp; Bid Factors'!I353</f>
        <v>2.298</v>
      </c>
      <c r="J40" s="8">
        <f>'BGS Cost &amp; Bid Factors'!J353</f>
        <v>4.7300000000000004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x14ac:dyDescent="0.4">
      <c r="A41" s="48"/>
      <c r="B41" s="88"/>
      <c r="C41" s="20"/>
      <c r="D41" s="152"/>
      <c r="E41" s="140"/>
      <c r="F41" s="146"/>
      <c r="G41" s="147"/>
      <c r="H41" s="4"/>
      <c r="I41" s="100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x14ac:dyDescent="0.4">
      <c r="A42" s="48"/>
      <c r="B42" s="37"/>
      <c r="C42" s="142"/>
      <c r="D42" s="152"/>
      <c r="E42" s="11"/>
      <c r="F42" s="37"/>
      <c r="G42" s="148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x14ac:dyDescent="0.4">
      <c r="A43" s="48"/>
      <c r="B43" s="37" t="s">
        <v>150</v>
      </c>
      <c r="C43" s="9">
        <f>'BGS Cost &amp; Bid Factors'!C356</f>
        <v>1.052</v>
      </c>
      <c r="D43" s="152"/>
      <c r="E43" s="11"/>
      <c r="F43" s="37"/>
      <c r="G43" s="147"/>
      <c r="H43" s="4"/>
      <c r="I43" s="10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1:35" x14ac:dyDescent="0.4">
      <c r="A44" s="4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 x14ac:dyDescent="0.4">
      <c r="A45" s="3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</row>
    <row r="46" spans="1:35" x14ac:dyDescent="0.4">
      <c r="A46" s="157" t="s">
        <v>354</v>
      </c>
      <c r="B46" s="47" t="s">
        <v>355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1:35" x14ac:dyDescent="0.4">
      <c r="A47" s="35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 t="s">
        <v>356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5" x14ac:dyDescent="0.4">
      <c r="A48" s="35"/>
      <c r="B48" s="35" t="s">
        <v>357</v>
      </c>
      <c r="C48" s="37"/>
      <c r="D48" s="209">
        <f>'Weighted Avg Price Calc'!G48*10</f>
        <v>70.209999999999994</v>
      </c>
      <c r="E48" s="102" t="s">
        <v>358</v>
      </c>
      <c r="F48" s="102" t="s">
        <v>259</v>
      </c>
      <c r="G48" s="37"/>
      <c r="H48" s="37"/>
      <c r="I48" s="37"/>
      <c r="J48" s="37"/>
      <c r="K48" s="175" t="s">
        <v>232</v>
      </c>
      <c r="L48" s="169">
        <f>'BGS Cost &amp; Bid Factors'!M464</f>
        <v>45.4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1:35" x14ac:dyDescent="0.4">
      <c r="A49" s="35"/>
      <c r="B49" s="35" t="s">
        <v>260</v>
      </c>
      <c r="C49" s="37"/>
      <c r="D49" s="179">
        <v>0</v>
      </c>
      <c r="E49" s="102" t="s">
        <v>359</v>
      </c>
      <c r="F49" s="37" t="s">
        <v>261</v>
      </c>
      <c r="G49" s="37"/>
      <c r="H49" s="37"/>
      <c r="I49" s="37"/>
      <c r="J49" s="37"/>
      <c r="K49" s="175" t="s">
        <v>234</v>
      </c>
      <c r="L49" s="169">
        <f>'BGS Cost &amp; Bid Factors'!M465</f>
        <v>89.894999999999996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x14ac:dyDescent="0.4">
      <c r="A50" s="35"/>
      <c r="B50" s="35" t="s">
        <v>262</v>
      </c>
      <c r="C50" s="37"/>
      <c r="D50" s="89">
        <f>D48+D49</f>
        <v>70.209999999999994</v>
      </c>
      <c r="E50" s="102" t="s">
        <v>116</v>
      </c>
      <c r="F50" s="37" t="str">
        <f>"** RECO average transmission rate of "&amp;TEXT(L52,"0.00")&amp;" minus"</f>
        <v>** RECO average transmission rate of 12.62 minus</v>
      </c>
      <c r="G50" s="37"/>
      <c r="H50" s="37"/>
      <c r="I50" s="37"/>
      <c r="J50" s="37"/>
      <c r="K50" s="175" t="s">
        <v>236</v>
      </c>
      <c r="L50" s="37">
        <f>ROUND(L48/L49,3)</f>
        <v>0.505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x14ac:dyDescent="0.4">
      <c r="A51" s="35"/>
      <c r="B51" s="37"/>
      <c r="C51" s="37"/>
      <c r="D51" s="37"/>
      <c r="E51" s="37"/>
      <c r="F51" s="37" t="s">
        <v>263</v>
      </c>
      <c r="G51" s="37"/>
      <c r="H51" s="37"/>
      <c r="I51" s="37"/>
      <c r="J51" s="37"/>
      <c r="K51" s="37"/>
      <c r="L51" s="171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x14ac:dyDescent="0.4">
      <c r="A52" s="35"/>
      <c r="B52" s="37"/>
      <c r="C52" s="37"/>
      <c r="D52" s="180"/>
      <c r="E52" s="37"/>
      <c r="F52" s="37" t="str">
        <f>"average rate "&amp;TEXT(L50,"0.000")&amp;"/"&amp;TEXT(4+L50,"0.000")&amp;" *$"&amp;TEXT(L52,"0.00")&amp;" per MWh)."</f>
        <v>average rate 0.505/4.505 *$12.62 per MWh).</v>
      </c>
      <c r="G52" s="37"/>
      <c r="H52" s="37"/>
      <c r="I52" s="181">
        <f>ROUND(L50/(4+L50)*L52,2)</f>
        <v>1.41</v>
      </c>
      <c r="J52" s="37"/>
      <c r="K52" s="175" t="s">
        <v>240</v>
      </c>
      <c r="L52" s="171">
        <f>'BGS Cost &amp; Bid Factors'!D223-'BGS Cost &amp; Bid Factors'!D318</f>
        <v>12.616787390304751</v>
      </c>
      <c r="M52" s="37" t="s">
        <v>241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x14ac:dyDescent="0.4">
      <c r="A53" s="35"/>
      <c r="B53" s="108" t="s">
        <v>264</v>
      </c>
      <c r="C53" s="37"/>
      <c r="D53" s="37"/>
      <c r="E53" s="37"/>
      <c r="F53" s="37"/>
      <c r="G53" s="37"/>
      <c r="H53" s="37"/>
      <c r="I53" s="37"/>
      <c r="J53" s="37"/>
      <c r="K53" s="175" t="s">
        <v>243</v>
      </c>
      <c r="L53" s="171">
        <f>I52</f>
        <v>1.41</v>
      </c>
      <c r="M53" s="37" t="s">
        <v>241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x14ac:dyDescent="0.4">
      <c r="A54" s="35"/>
      <c r="B54" s="37"/>
      <c r="C54" s="37"/>
      <c r="D54" s="37"/>
      <c r="E54" s="37"/>
      <c r="F54" s="37"/>
      <c r="G54" s="37"/>
      <c r="H54" s="37"/>
      <c r="I54" s="37"/>
      <c r="J54" s="37"/>
      <c r="K54" s="175" t="s">
        <v>245</v>
      </c>
      <c r="L54" s="169">
        <f>L52-L53</f>
        <v>11.206787390304751</v>
      </c>
      <c r="M54" s="37" t="s">
        <v>241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x14ac:dyDescent="0.4">
      <c r="A55" s="35"/>
      <c r="B55" s="37"/>
      <c r="C55" s="65" t="str">
        <f>'BGS Cost &amp; Bid Factors'!C$6</f>
        <v>SC1/SC5</v>
      </c>
      <c r="D55" s="65" t="str">
        <f>'BGS Cost &amp; Bid Factors'!D$6</f>
        <v>SC3</v>
      </c>
      <c r="E55" s="65" t="str">
        <f>'BGS Cost &amp; Bid Factors'!E$6</f>
        <v>SC2 ND</v>
      </c>
      <c r="F55" s="65" t="str">
        <f>'BGS Cost &amp; Bid Factors'!F$6</f>
        <v>SC4</v>
      </c>
      <c r="G55" s="65" t="str">
        <f>'BGS Cost &amp; Bid Factors'!G$6</f>
        <v>SC6</v>
      </c>
      <c r="H55" s="65" t="str">
        <f>'BGS Cost &amp; Bid Factors'!H$6</f>
        <v>SC2 Dem</v>
      </c>
      <c r="I55" s="53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x14ac:dyDescent="0.4">
      <c r="A56" s="35"/>
      <c r="B56" s="182" t="s">
        <v>68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x14ac:dyDescent="0.4">
      <c r="A57" s="35"/>
      <c r="B57" s="69" t="s">
        <v>265</v>
      </c>
      <c r="C57" s="184">
        <f>ROUND(($D$50*C14)/10,3)</f>
        <v>6.9649999999999999</v>
      </c>
      <c r="D57" s="105"/>
      <c r="E57" s="105">
        <f>ROUND(E14*$D$50/10,3)</f>
        <v>6.3049999999999997</v>
      </c>
      <c r="F57" s="105">
        <f>ROUND(F14*$D$50/10,3)</f>
        <v>5.0129999999999999</v>
      </c>
      <c r="G57" s="105">
        <f>ROUND(G14*$D$50/10,3)</f>
        <v>5.0199999999999996</v>
      </c>
      <c r="H57" s="105">
        <f>ROUND((C35*$D$50+D35)/10,3)</f>
        <v>5.2279999999999998</v>
      </c>
      <c r="I57" s="105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x14ac:dyDescent="0.4">
      <c r="A58" s="35"/>
      <c r="B58" s="69" t="s">
        <v>266</v>
      </c>
      <c r="C58" s="105"/>
      <c r="D58" s="105">
        <f>ROUND(D15*$D$50/10,3)</f>
        <v>13.522</v>
      </c>
      <c r="E58" s="105"/>
      <c r="F58" s="105"/>
      <c r="G58" s="105"/>
      <c r="H58" s="105"/>
      <c r="I58" s="105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x14ac:dyDescent="0.4">
      <c r="A59" s="35"/>
      <c r="B59" s="69" t="s">
        <v>267</v>
      </c>
      <c r="C59" s="105"/>
      <c r="D59" s="105">
        <f>ROUND(D16*$D$50/10,3)</f>
        <v>4.585</v>
      </c>
      <c r="E59" s="105"/>
      <c r="F59" s="105"/>
      <c r="G59" s="105"/>
      <c r="H59" s="105"/>
      <c r="I59" s="105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x14ac:dyDescent="0.4">
      <c r="A60" s="35"/>
      <c r="B60" s="67" t="s">
        <v>40</v>
      </c>
      <c r="C60" s="184">
        <f>ROUND(($D$50*C14+C19)/10,3)</f>
        <v>4.7270000000000003</v>
      </c>
      <c r="D60" s="105"/>
      <c r="E60" s="105"/>
      <c r="F60" s="105"/>
      <c r="G60" s="105"/>
      <c r="H60" s="105"/>
      <c r="I60" s="105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x14ac:dyDescent="0.4">
      <c r="A61" s="35"/>
      <c r="B61" s="69" t="s">
        <v>41</v>
      </c>
      <c r="C61" s="105">
        <f>ROUND(($D$50*C14+C20)/10,3)</f>
        <v>8.7200000000000006</v>
      </c>
      <c r="D61" s="105"/>
      <c r="E61" s="105"/>
      <c r="F61" s="105"/>
      <c r="G61" s="105"/>
      <c r="H61" s="105"/>
      <c r="I61" s="105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x14ac:dyDescent="0.4">
      <c r="A62" s="35"/>
      <c r="B62" s="105"/>
      <c r="C62" s="105"/>
      <c r="D62" s="105"/>
      <c r="E62" s="105"/>
      <c r="F62" s="105"/>
      <c r="G62" s="105"/>
      <c r="H62" s="105"/>
      <c r="I62" s="105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x14ac:dyDescent="0.4">
      <c r="A63" s="35"/>
      <c r="B63" s="37"/>
      <c r="C63" s="105"/>
      <c r="D63" s="105"/>
      <c r="E63" s="105"/>
      <c r="F63" s="105"/>
      <c r="G63" s="105"/>
      <c r="H63" s="105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x14ac:dyDescent="0.4">
      <c r="A64" s="35"/>
      <c r="B64" s="67" t="s">
        <v>268</v>
      </c>
      <c r="C64" s="105"/>
      <c r="D64" s="105"/>
      <c r="E64" s="105"/>
      <c r="F64" s="105"/>
      <c r="G64" s="105"/>
      <c r="H64" s="105">
        <f>'BGS Cost &amp; Bid Factors'!H213</f>
        <v>1.6910000000000001</v>
      </c>
      <c r="I64" s="92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x14ac:dyDescent="0.4">
      <c r="A65" s="35"/>
      <c r="B65" s="67" t="s">
        <v>360</v>
      </c>
      <c r="C65" s="105"/>
      <c r="D65" s="105"/>
      <c r="E65" s="105"/>
      <c r="F65" s="105"/>
      <c r="G65" s="105"/>
      <c r="H65" s="105">
        <f>'BGS Cost &amp; Bid Factors'!I213</f>
        <v>4.4580000000000002</v>
      </c>
      <c r="I65" s="92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x14ac:dyDescent="0.4">
      <c r="A66" s="35"/>
      <c r="B66" s="37"/>
      <c r="C66" s="105"/>
      <c r="D66" s="105"/>
      <c r="E66" s="105"/>
      <c r="F66" s="105"/>
      <c r="G66" s="105"/>
      <c r="H66" s="105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x14ac:dyDescent="0.4">
      <c r="A67" s="35"/>
      <c r="B67" s="182" t="s">
        <v>61</v>
      </c>
      <c r="C67" s="105"/>
      <c r="D67" s="105"/>
      <c r="E67" s="105"/>
      <c r="F67" s="105"/>
      <c r="G67" s="105"/>
      <c r="H67" s="105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x14ac:dyDescent="0.4">
      <c r="A68" s="35"/>
      <c r="B68" s="69" t="s">
        <v>265</v>
      </c>
      <c r="C68" s="105">
        <f>ROUND(C23*$D$50/10,3)</f>
        <v>8.2850000000000001</v>
      </c>
      <c r="D68" s="105"/>
      <c r="E68" s="105">
        <f>ROUND(E23*$D$50/10,3)</f>
        <v>6.593</v>
      </c>
      <c r="F68" s="105">
        <f>ROUND(F23*$D$50/10,3)</f>
        <v>5.5540000000000003</v>
      </c>
      <c r="G68" s="105">
        <f>ROUND(G23*$D$50/10,3)</f>
        <v>5.5330000000000004</v>
      </c>
      <c r="H68" s="105">
        <f>ROUND((C39*$D$50+D39)/10,3)</f>
        <v>5.7409999999999997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x14ac:dyDescent="0.4">
      <c r="A69" s="35"/>
      <c r="B69" s="69" t="s">
        <v>266</v>
      </c>
      <c r="C69" s="105"/>
      <c r="D69" s="105">
        <f>ROUND(D24*$D$50/10,3)</f>
        <v>10.679</v>
      </c>
      <c r="E69" s="105"/>
      <c r="F69" s="105"/>
      <c r="G69" s="105"/>
      <c r="H69" s="105"/>
      <c r="I69" s="105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x14ac:dyDescent="0.4">
      <c r="A70" s="35"/>
      <c r="B70" s="69" t="s">
        <v>267</v>
      </c>
      <c r="C70" s="105"/>
      <c r="D70" s="105">
        <f>ROUND(D25*$D$50/10,3)</f>
        <v>5.3360000000000003</v>
      </c>
      <c r="E70" s="105"/>
      <c r="F70" s="105"/>
      <c r="G70" s="105"/>
      <c r="H70" s="105"/>
      <c r="I70" s="105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x14ac:dyDescent="0.4">
      <c r="A71" s="35"/>
      <c r="B71" s="37"/>
      <c r="C71" s="105"/>
      <c r="D71" s="105"/>
      <c r="E71" s="105"/>
      <c r="F71" s="105"/>
      <c r="G71" s="105"/>
      <c r="H71" s="105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x14ac:dyDescent="0.4">
      <c r="A72" s="35"/>
      <c r="B72" s="67" t="s">
        <v>268</v>
      </c>
      <c r="C72" s="105"/>
      <c r="D72" s="105"/>
      <c r="E72" s="105"/>
      <c r="F72" s="105"/>
      <c r="G72" s="105"/>
      <c r="H72" s="105">
        <f>'BGS Cost &amp; Bid Factors'!H214</f>
        <v>2.298</v>
      </c>
      <c r="I72" s="92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x14ac:dyDescent="0.4">
      <c r="A73" s="35"/>
      <c r="B73" s="67" t="s">
        <v>269</v>
      </c>
      <c r="C73" s="105"/>
      <c r="D73" s="105"/>
      <c r="E73" s="105"/>
      <c r="F73" s="105"/>
      <c r="G73" s="105"/>
      <c r="H73" s="105">
        <f>'BGS Cost &amp; Bid Factors'!I214</f>
        <v>4.7300000000000004</v>
      </c>
      <c r="I73" s="92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x14ac:dyDescent="0.4">
      <c r="A74" s="35"/>
      <c r="B74" s="67"/>
      <c r="C74" s="105"/>
      <c r="D74" s="105"/>
      <c r="E74" s="105"/>
      <c r="F74" s="105"/>
      <c r="G74" s="105"/>
      <c r="H74" s="105"/>
      <c r="I74" s="92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x14ac:dyDescent="0.4">
      <c r="A75" s="35"/>
      <c r="B75" s="67"/>
      <c r="C75" s="37"/>
      <c r="D75" s="37"/>
      <c r="E75" s="37"/>
      <c r="F75" s="37"/>
      <c r="G75" s="37"/>
      <c r="H75" s="92"/>
      <c r="I75" s="92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x14ac:dyDescent="0.4">
      <c r="A76" s="157" t="s">
        <v>361</v>
      </c>
      <c r="B76" s="47" t="s">
        <v>362</v>
      </c>
      <c r="C76" s="37"/>
      <c r="D76" s="37"/>
      <c r="E76" s="37"/>
      <c r="F76" s="37"/>
      <c r="G76" s="37"/>
      <c r="H76" s="92"/>
      <c r="I76" s="92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" thickBot="1" x14ac:dyDescent="0.45">
      <c r="A77" s="35"/>
      <c r="B77" s="67"/>
      <c r="C77" s="37"/>
      <c r="D77" s="37"/>
      <c r="E77" s="37"/>
      <c r="F77" s="37"/>
      <c r="G77" s="37"/>
      <c r="H77" s="92"/>
      <c r="I77" s="92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x14ac:dyDescent="0.4">
      <c r="A78" s="35"/>
      <c r="B78" s="37"/>
      <c r="C78" s="65" t="str">
        <f>'BGS Cost &amp; Bid Factors'!C$6</f>
        <v>SC1/SC5</v>
      </c>
      <c r="D78" s="65" t="str">
        <f>'BGS Cost &amp; Bid Factors'!D$6</f>
        <v>SC3</v>
      </c>
      <c r="E78" s="65" t="str">
        <f>'BGS Cost &amp; Bid Factors'!E$6</f>
        <v>SC2 ND</v>
      </c>
      <c r="F78" s="65" t="str">
        <f>'BGS Cost &amp; Bid Factors'!F$6</f>
        <v>SC4</v>
      </c>
      <c r="G78" s="65" t="str">
        <f>'BGS Cost &amp; Bid Factors'!G$6</f>
        <v>SC6</v>
      </c>
      <c r="H78" s="65" t="str">
        <f>'BGS Cost &amp; Bid Factors'!H$6</f>
        <v>SC2 Dem</v>
      </c>
      <c r="I78" s="65"/>
      <c r="J78" s="92"/>
      <c r="K78" s="131" t="s">
        <v>153</v>
      </c>
      <c r="L78" s="132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x14ac:dyDescent="0.4">
      <c r="A79" s="35"/>
      <c r="B79" s="102" t="s">
        <v>288</v>
      </c>
      <c r="C79" s="37"/>
      <c r="D79" s="37"/>
      <c r="E79" s="37"/>
      <c r="F79" s="37"/>
      <c r="G79" s="37"/>
      <c r="H79" s="37"/>
      <c r="I79" s="37"/>
      <c r="J79" s="92"/>
      <c r="K79" s="133"/>
      <c r="L79" s="134" t="s">
        <v>156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x14ac:dyDescent="0.4">
      <c r="A80" s="35"/>
      <c r="B80" s="85" t="s">
        <v>68</v>
      </c>
      <c r="C80" s="31">
        <f>ROUND((C57*'BGS Cost &amp; Bid Factors'!L$48)/100,0)</f>
        <v>19875</v>
      </c>
      <c r="D80" s="5">
        <f>ROUND((D58*'BGS Cost &amp; Bid Factors'!M$49+D59*'BGS Cost &amp; Bid Factors'!M$50)/100,0)</f>
        <v>6</v>
      </c>
      <c r="E80" s="31">
        <f>ROUND((E57*'BGS Cost &amp; Bid Factors'!N$48)/100,0)</f>
        <v>318</v>
      </c>
      <c r="F80" s="31">
        <f>ROUND((F57*'BGS Cost &amp; Bid Factors'!O$48)/100,0)</f>
        <v>80</v>
      </c>
      <c r="G80" s="31">
        <f>ROUND((G57*'BGS Cost &amp; Bid Factors'!P$48)/100,0)</f>
        <v>74</v>
      </c>
      <c r="H80" s="5">
        <f>ROUND(H57*'BGS Cost &amp; Bid Factors'!Q$48/100+(H64*($L$80/4*'BGS Cost &amp; Bid Factors'!H$144)+H65*($L$80/4*'BGS Cost &amp; Bid Factors'!H$144))/1000,0)</f>
        <v>8492</v>
      </c>
      <c r="I80" s="5"/>
      <c r="J80" s="92"/>
      <c r="K80" s="133" t="s">
        <v>68</v>
      </c>
      <c r="L80" s="135">
        <v>349608.11464933609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" thickBot="1" x14ac:dyDescent="0.45">
      <c r="A81" s="35"/>
      <c r="B81" s="85" t="s">
        <v>61</v>
      </c>
      <c r="C81" s="16">
        <f>ROUND(C68*'BGS Cost &amp; Bid Factors'!L$44/100,0)</f>
        <v>30362</v>
      </c>
      <c r="D81" s="188">
        <f>ROUND((D69*'BGS Cost &amp; Bid Factors'!M$45+D70*'BGS Cost &amp; Bid Factors'!M$46)/100,0)</f>
        <v>19</v>
      </c>
      <c r="E81" s="16">
        <f>ROUND(E68*'BGS Cost &amp; Bid Factors'!N$44/100,0)</f>
        <v>859</v>
      </c>
      <c r="F81" s="16">
        <f>ROUND(F68*'BGS Cost &amp; Bid Factors'!O$44/100,0)</f>
        <v>228</v>
      </c>
      <c r="G81" s="16">
        <f>ROUND(G68*'BGS Cost &amp; Bid Factors'!P$44/100,0)</f>
        <v>197</v>
      </c>
      <c r="H81" s="188">
        <f>ROUND(H68*'BGS Cost &amp; Bid Factors'!Q$44/100+(H72*($L$81/8*'BGS Cost &amp; Bid Factors'!H$145)++H73*($L$81/8*'BGS Cost &amp; Bid Factors'!H$145))/1000,0)</f>
        <v>16374</v>
      </c>
      <c r="I81" s="188"/>
      <c r="J81" s="92"/>
      <c r="K81" s="136" t="s">
        <v>61</v>
      </c>
      <c r="L81" s="137">
        <v>570677.95200059027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x14ac:dyDescent="0.4">
      <c r="A82" s="35"/>
      <c r="B82" s="85" t="s">
        <v>35</v>
      </c>
      <c r="C82" s="91">
        <f t="shared" ref="C82:H82" si="0">+C81+C80</f>
        <v>50237</v>
      </c>
      <c r="D82" s="91">
        <f t="shared" si="0"/>
        <v>25</v>
      </c>
      <c r="E82" s="91">
        <f t="shared" si="0"/>
        <v>1177</v>
      </c>
      <c r="F82" s="91">
        <f t="shared" si="0"/>
        <v>308</v>
      </c>
      <c r="G82" s="91">
        <f t="shared" si="0"/>
        <v>271</v>
      </c>
      <c r="H82" s="91">
        <f t="shared" si="0"/>
        <v>24866</v>
      </c>
      <c r="I82" s="91"/>
      <c r="J82" s="92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x14ac:dyDescent="0.4">
      <c r="A83" s="35"/>
      <c r="B83" s="85"/>
      <c r="C83" s="91"/>
      <c r="D83" s="91"/>
      <c r="E83" s="91"/>
      <c r="F83" s="91"/>
      <c r="G83" s="91"/>
      <c r="H83" s="91"/>
      <c r="I83" s="92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x14ac:dyDescent="0.4">
      <c r="A84" s="35"/>
      <c r="B84" s="85" t="s">
        <v>35</v>
      </c>
      <c r="C84" s="91"/>
      <c r="D84" s="91"/>
      <c r="E84" s="91"/>
      <c r="F84" s="91"/>
      <c r="G84" s="91"/>
      <c r="H84" s="91"/>
      <c r="I84" s="92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x14ac:dyDescent="0.4">
      <c r="A85" s="35"/>
      <c r="B85" s="85" t="s">
        <v>68</v>
      </c>
      <c r="C85" s="91">
        <f>SUM(C80:H80)</f>
        <v>28845</v>
      </c>
      <c r="D85" s="91"/>
      <c r="E85" s="91"/>
      <c r="F85" s="37"/>
      <c r="G85" s="91"/>
      <c r="H85" s="91"/>
      <c r="I85" s="92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x14ac:dyDescent="0.4">
      <c r="A86" s="35"/>
      <c r="B86" s="85" t="s">
        <v>61</v>
      </c>
      <c r="C86" s="189">
        <f>SUM(C81:H81)</f>
        <v>48039</v>
      </c>
      <c r="D86" s="11"/>
      <c r="E86" s="37"/>
      <c r="F86" s="37"/>
      <c r="G86" s="37"/>
      <c r="H86" s="37"/>
      <c r="I86" s="92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x14ac:dyDescent="0.4">
      <c r="A87" s="35"/>
      <c r="B87" s="85" t="s">
        <v>35</v>
      </c>
      <c r="C87" s="91">
        <f>+C86+C85</f>
        <v>76884</v>
      </c>
      <c r="D87" s="11"/>
      <c r="E87" s="37"/>
      <c r="F87" s="37"/>
      <c r="G87" s="37"/>
      <c r="H87" s="37"/>
      <c r="I87" s="92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x14ac:dyDescent="0.4">
      <c r="A88" s="35"/>
      <c r="B88" s="85"/>
      <c r="C88" s="91"/>
      <c r="D88" s="37"/>
      <c r="E88" s="11"/>
      <c r="F88" s="37"/>
      <c r="G88" s="37"/>
      <c r="H88" s="37"/>
      <c r="I88" s="37"/>
      <c r="J88" s="92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x14ac:dyDescent="0.4">
      <c r="A89" s="35"/>
      <c r="B89" s="37"/>
      <c r="C89" s="11"/>
      <c r="D89" s="11"/>
      <c r="E89" s="11"/>
      <c r="F89" s="11"/>
      <c r="G89" s="11"/>
      <c r="H89" s="11"/>
      <c r="I89" s="11"/>
      <c r="J89" s="92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x14ac:dyDescent="0.4">
      <c r="A90" s="35"/>
      <c r="B90" s="182" t="s">
        <v>363</v>
      </c>
      <c r="C90" s="11"/>
      <c r="D90" s="11"/>
      <c r="E90" s="11"/>
      <c r="F90" s="11"/>
      <c r="G90" s="11"/>
      <c r="H90" s="11"/>
      <c r="I90" s="11"/>
      <c r="J90" s="92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x14ac:dyDescent="0.4">
      <c r="A91" s="35"/>
      <c r="B91" s="37"/>
      <c r="C91" s="11"/>
      <c r="D91" s="11"/>
      <c r="E91" s="11"/>
      <c r="F91" s="11"/>
      <c r="G91" s="11"/>
      <c r="H91" s="11"/>
      <c r="I91" s="11"/>
      <c r="J91" s="92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4.7" x14ac:dyDescent="0.7">
      <c r="A92" s="35"/>
      <c r="B92" s="37" t="s">
        <v>364</v>
      </c>
      <c r="C92" s="21" t="s">
        <v>35</v>
      </c>
      <c r="D92" s="21" t="s">
        <v>343</v>
      </c>
      <c r="E92" s="21" t="s">
        <v>365</v>
      </c>
      <c r="F92" s="11"/>
      <c r="G92" s="11"/>
      <c r="H92" s="11"/>
      <c r="I92" s="11"/>
      <c r="J92" s="92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x14ac:dyDescent="0.4">
      <c r="A93" s="35"/>
      <c r="B93" s="85" t="s">
        <v>68</v>
      </c>
      <c r="C93" s="91">
        <f>'Weighted Avg Price Calc'!G$29/1000</f>
        <v>28058.975999999999</v>
      </c>
      <c r="D93" s="153"/>
      <c r="E93" s="91">
        <f>C93-D93</f>
        <v>28058.975999999999</v>
      </c>
      <c r="F93" s="11"/>
      <c r="G93" s="270">
        <f>ROUND('BGS Cost &amp; Bid Factors'!$C$147*SUM('BGS Cost &amp; Bid Factors'!$C$141:$H$141)/12*'BGS Cost &amp; Bid Factors'!H$144/1000*'BGS Cost &amp; Bid Factors'!D447,0)</f>
        <v>4516</v>
      </c>
      <c r="H93" s="11"/>
      <c r="I93" s="11"/>
      <c r="J93" s="92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4.7" x14ac:dyDescent="0.7">
      <c r="A94" s="35"/>
      <c r="B94" s="85" t="s">
        <v>61</v>
      </c>
      <c r="C94" s="210">
        <f>'Weighted Avg Price Calc'!G$30/1000</f>
        <v>40764.928</v>
      </c>
      <c r="D94" s="210"/>
      <c r="E94" s="210">
        <f>C94-D94</f>
        <v>40764.928</v>
      </c>
      <c r="F94" s="11"/>
      <c r="G94" s="270">
        <f>ROUND('BGS Cost &amp; Bid Factors'!$C$147*SUM('BGS Cost &amp; Bid Factors'!$C$141:$H$141)/12*'BGS Cost &amp; Bid Factors'!H$145/1000*'BGS Cost &amp; Bid Factors'!F459,0)</f>
        <v>9031</v>
      </c>
      <c r="H94" s="11"/>
      <c r="I94" s="11"/>
      <c r="J94" s="92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x14ac:dyDescent="0.4">
      <c r="A95" s="35"/>
      <c r="B95" s="85" t="s">
        <v>35</v>
      </c>
      <c r="C95" s="91">
        <f>+C94+C93</f>
        <v>68823.903999999995</v>
      </c>
      <c r="D95" s="91">
        <f>D93+D94</f>
        <v>0</v>
      </c>
      <c r="E95" s="91">
        <f>E93+E94</f>
        <v>68823.903999999995</v>
      </c>
      <c r="F95" s="11"/>
      <c r="G95" s="11"/>
      <c r="H95" s="11"/>
      <c r="I95" s="11"/>
      <c r="J95" s="92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x14ac:dyDescent="0.4">
      <c r="A96" s="35"/>
      <c r="B96" s="37"/>
      <c r="C96" s="11"/>
      <c r="D96" s="11"/>
      <c r="E96" s="11"/>
      <c r="F96" s="11"/>
      <c r="G96" s="11"/>
      <c r="H96" s="11"/>
      <c r="I96" s="11"/>
      <c r="J96" s="92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4.7" x14ac:dyDescent="0.7">
      <c r="A97" s="35"/>
      <c r="B97" s="37" t="s">
        <v>366</v>
      </c>
      <c r="C97" s="21" t="s">
        <v>35</v>
      </c>
      <c r="D97" s="21" t="s">
        <v>343</v>
      </c>
      <c r="E97" s="21" t="s">
        <v>365</v>
      </c>
      <c r="F97" s="11"/>
      <c r="G97" s="11"/>
      <c r="H97" s="11"/>
      <c r="I97" s="11"/>
      <c r="J97" s="92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x14ac:dyDescent="0.4">
      <c r="A98" s="35"/>
      <c r="B98" s="85" t="s">
        <v>68</v>
      </c>
      <c r="C98" s="91">
        <f>ROUND($E$251*1000*'Weighted Avg Price Calc'!E42/100/1000,0)</f>
        <v>3309</v>
      </c>
      <c r="D98" s="91">
        <v>0</v>
      </c>
      <c r="E98" s="91">
        <f>C98-D98</f>
        <v>3309</v>
      </c>
      <c r="F98" s="11"/>
      <c r="G98" s="11"/>
      <c r="H98" s="11"/>
      <c r="I98" s="11"/>
      <c r="J98" s="92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4.7" x14ac:dyDescent="0.7">
      <c r="A99" s="35"/>
      <c r="B99" s="85" t="s">
        <v>61</v>
      </c>
      <c r="C99" s="210">
        <f>ROUND($E$252*1000*'Weighted Avg Price Calc'!E42/100/1000,0)</f>
        <v>4763</v>
      </c>
      <c r="D99" s="210">
        <v>0</v>
      </c>
      <c r="E99" s="210">
        <f>C99-D99</f>
        <v>4763</v>
      </c>
      <c r="F99" s="11"/>
      <c r="G99" s="11"/>
      <c r="H99" s="11"/>
      <c r="I99" s="11"/>
      <c r="J99" s="92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x14ac:dyDescent="0.4">
      <c r="A100" s="35"/>
      <c r="B100" s="85" t="s">
        <v>35</v>
      </c>
      <c r="C100" s="91">
        <f>+C99+C98</f>
        <v>8072</v>
      </c>
      <c r="D100" s="91">
        <f>D98+D99</f>
        <v>0</v>
      </c>
      <c r="E100" s="91">
        <f>E98+E99</f>
        <v>8072</v>
      </c>
      <c r="F100" s="11"/>
      <c r="G100" s="11"/>
      <c r="H100" s="11"/>
      <c r="I100" s="11"/>
      <c r="J100" s="92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x14ac:dyDescent="0.4">
      <c r="A101" s="35"/>
      <c r="B101" s="37"/>
      <c r="C101" s="11"/>
      <c r="D101" s="11"/>
      <c r="E101" s="11"/>
      <c r="F101" s="11"/>
      <c r="G101" s="11"/>
      <c r="H101" s="11"/>
      <c r="I101" s="11"/>
      <c r="J101" s="92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4.7" x14ac:dyDescent="0.7">
      <c r="A102" s="35"/>
      <c r="B102" s="37" t="s">
        <v>367</v>
      </c>
      <c r="C102" s="21" t="s">
        <v>35</v>
      </c>
      <c r="D102" s="21" t="s">
        <v>343</v>
      </c>
      <c r="E102" s="21" t="s">
        <v>365</v>
      </c>
      <c r="F102" s="11"/>
      <c r="G102" s="11"/>
      <c r="H102" s="11"/>
      <c r="I102" s="11"/>
      <c r="J102" s="92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x14ac:dyDescent="0.4">
      <c r="A103" s="35"/>
      <c r="B103" s="85" t="s">
        <v>68</v>
      </c>
      <c r="C103" s="91">
        <f>C93+C98</f>
        <v>31367.975999999999</v>
      </c>
      <c r="D103" s="91">
        <f>D93+D98</f>
        <v>0</v>
      </c>
      <c r="E103" s="91">
        <f>C103-D103</f>
        <v>31367.975999999999</v>
      </c>
      <c r="F103" s="37"/>
      <c r="G103" s="37"/>
      <c r="H103" s="37"/>
      <c r="I103" s="37"/>
      <c r="J103" s="92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4.7" x14ac:dyDescent="0.7">
      <c r="A104" s="35"/>
      <c r="B104" s="85" t="s">
        <v>61</v>
      </c>
      <c r="C104" s="210">
        <f>C94+C99</f>
        <v>45527.928</v>
      </c>
      <c r="D104" s="210">
        <f>D94+D99</f>
        <v>0</v>
      </c>
      <c r="E104" s="210">
        <f>C104-D104</f>
        <v>45527.928</v>
      </c>
      <c r="F104" s="37"/>
      <c r="G104" s="37"/>
      <c r="H104" s="37"/>
      <c r="I104" s="37"/>
      <c r="J104" s="92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x14ac:dyDescent="0.4">
      <c r="A105" s="35"/>
      <c r="B105" s="85" t="s">
        <v>35</v>
      </c>
      <c r="C105" s="91">
        <f>+C104+C103</f>
        <v>76895.903999999995</v>
      </c>
      <c r="D105" s="91">
        <f>+D104+D103</f>
        <v>0</v>
      </c>
      <c r="E105" s="91">
        <f>E103+E104</f>
        <v>76895.903999999995</v>
      </c>
      <c r="F105" s="37"/>
      <c r="G105" s="37"/>
      <c r="H105" s="37"/>
      <c r="I105" s="37"/>
      <c r="J105" s="92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x14ac:dyDescent="0.4">
      <c r="A106" s="35"/>
      <c r="B106" s="37"/>
      <c r="C106" s="11"/>
      <c r="D106" s="19"/>
      <c r="E106" s="11"/>
      <c r="F106" s="180"/>
      <c r="G106" s="67" t="s">
        <v>368</v>
      </c>
      <c r="H106" s="37"/>
      <c r="I106" s="37"/>
      <c r="J106" s="92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x14ac:dyDescent="0.4">
      <c r="A107" s="35"/>
      <c r="B107" s="37" t="s">
        <v>292</v>
      </c>
      <c r="C107" s="67" t="s">
        <v>337</v>
      </c>
      <c r="D107" s="67" t="s">
        <v>337</v>
      </c>
      <c r="E107" s="67"/>
      <c r="F107" s="37"/>
      <c r="G107" s="67" t="s">
        <v>369</v>
      </c>
      <c r="H107" s="37"/>
      <c r="I107" s="37"/>
      <c r="J107" s="92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x14ac:dyDescent="0.4">
      <c r="A108" s="35"/>
      <c r="B108" s="67"/>
      <c r="C108" s="164" t="s">
        <v>370</v>
      </c>
      <c r="D108" s="164" t="s">
        <v>371</v>
      </c>
      <c r="E108" s="164" t="s">
        <v>372</v>
      </c>
      <c r="F108" s="37"/>
      <c r="G108" s="164" t="s">
        <v>373</v>
      </c>
      <c r="H108" s="37"/>
      <c r="I108" s="92"/>
      <c r="J108" s="92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x14ac:dyDescent="0.4">
      <c r="A109" s="35"/>
      <c r="B109" s="85" t="s">
        <v>68</v>
      </c>
      <c r="C109" s="91">
        <f>C85</f>
        <v>28845</v>
      </c>
      <c r="D109" s="91">
        <f>E103</f>
        <v>31367.975999999999</v>
      </c>
      <c r="E109" s="91">
        <f>D109-C109</f>
        <v>2522.9759999999987</v>
      </c>
      <c r="F109" s="37"/>
      <c r="G109" s="63">
        <f>ROUND(1+E109/C85,5)</f>
        <v>1.0874699999999999</v>
      </c>
      <c r="H109" s="37"/>
      <c r="I109" s="92"/>
      <c r="J109" s="92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x14ac:dyDescent="0.4">
      <c r="A110" s="35"/>
      <c r="B110" s="85" t="s">
        <v>61</v>
      </c>
      <c r="C110" s="189">
        <f>C86</f>
        <v>48039</v>
      </c>
      <c r="D110" s="189">
        <f>E104</f>
        <v>45527.928</v>
      </c>
      <c r="E110" s="189">
        <f>D110-C110</f>
        <v>-2511.0720000000001</v>
      </c>
      <c r="F110" s="37"/>
      <c r="G110" s="63">
        <f>ROUND(1+E110/C86,5)</f>
        <v>0.94772999999999996</v>
      </c>
      <c r="H110" s="37"/>
      <c r="I110" s="92"/>
      <c r="J110" s="92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x14ac:dyDescent="0.4">
      <c r="A111" s="35"/>
      <c r="B111" s="85" t="s">
        <v>35</v>
      </c>
      <c r="C111" s="91">
        <f>+C110+C109</f>
        <v>76884</v>
      </c>
      <c r="D111" s="91">
        <f>+D110+D109</f>
        <v>76895.903999999995</v>
      </c>
      <c r="E111" s="91">
        <f>+E110+E109</f>
        <v>11.903999999998632</v>
      </c>
      <c r="F111" s="37"/>
      <c r="G111" s="37"/>
      <c r="H111" s="37"/>
      <c r="I111" s="92"/>
      <c r="J111" s="92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x14ac:dyDescent="0.4">
      <c r="A112" s="35"/>
      <c r="B112" s="67"/>
      <c r="C112" s="37"/>
      <c r="D112" s="37"/>
      <c r="E112" s="37"/>
      <c r="F112" s="37"/>
      <c r="G112" s="37"/>
      <c r="H112" s="37"/>
      <c r="I112" s="92"/>
      <c r="J112" s="92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6" x14ac:dyDescent="0.4">
      <c r="A113" s="157" t="s">
        <v>374</v>
      </c>
      <c r="B113" s="47" t="s">
        <v>375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6" x14ac:dyDescent="0.4">
      <c r="A114" s="157"/>
      <c r="B114" s="4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6" x14ac:dyDescent="0.4">
      <c r="A115" s="157"/>
      <c r="B115" s="4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22"/>
    </row>
    <row r="116" spans="1:36" x14ac:dyDescent="0.4">
      <c r="A116" s="35"/>
      <c r="B116" s="86" t="s">
        <v>376</v>
      </c>
      <c r="C116" s="37"/>
      <c r="D116" s="37"/>
      <c r="E116" s="37"/>
      <c r="F116" s="37"/>
      <c r="G116" s="37"/>
      <c r="H116" s="37"/>
      <c r="I116" s="37"/>
      <c r="J116" s="37"/>
      <c r="K116" s="86" t="s">
        <v>377</v>
      </c>
      <c r="L116" s="37"/>
      <c r="M116" s="37"/>
      <c r="N116" s="37"/>
      <c r="O116" s="37"/>
      <c r="P116" s="37"/>
      <c r="Q116" s="37"/>
      <c r="R116" s="37"/>
      <c r="S116" s="37"/>
      <c r="T116" s="86" t="s">
        <v>372</v>
      </c>
      <c r="U116" s="37"/>
      <c r="V116" s="37"/>
      <c r="W116" s="37"/>
      <c r="X116" s="37"/>
      <c r="Y116" s="37"/>
      <c r="Z116" s="37"/>
      <c r="AA116" s="37"/>
      <c r="AB116" s="37"/>
      <c r="AC116" s="86" t="s">
        <v>372</v>
      </c>
      <c r="AD116" s="37"/>
      <c r="AE116" s="37"/>
      <c r="AF116" s="37"/>
      <c r="AG116" s="37"/>
      <c r="AH116" s="37"/>
      <c r="AI116" s="37"/>
      <c r="AJ116" s="22"/>
    </row>
    <row r="117" spans="1:36" x14ac:dyDescent="0.4">
      <c r="A117" s="35"/>
      <c r="B117" s="63"/>
      <c r="C117" s="37"/>
      <c r="D117" s="37"/>
      <c r="E117" s="37"/>
      <c r="F117" s="37"/>
      <c r="G117" s="37"/>
      <c r="H117" s="37"/>
      <c r="I117" s="37"/>
      <c r="J117" s="37"/>
      <c r="K117" s="63"/>
      <c r="L117" s="37"/>
      <c r="M117" s="37"/>
      <c r="N117" s="37"/>
      <c r="O117" s="37"/>
      <c r="P117" s="37"/>
      <c r="Q117" s="37"/>
      <c r="R117" s="37"/>
      <c r="S117" s="37"/>
      <c r="T117" s="63"/>
      <c r="U117" s="37"/>
      <c r="V117" s="37"/>
      <c r="W117" s="37"/>
      <c r="X117" s="37"/>
      <c r="Y117" s="37"/>
      <c r="Z117" s="37"/>
      <c r="AA117" s="37"/>
      <c r="AB117" s="37"/>
      <c r="AC117" s="63"/>
      <c r="AD117" s="37"/>
      <c r="AE117" s="37"/>
      <c r="AF117" s="37"/>
      <c r="AG117" s="37"/>
      <c r="AH117" s="37"/>
      <c r="AI117" s="37"/>
      <c r="AJ117" s="22"/>
    </row>
    <row r="118" spans="1:36" x14ac:dyDescent="0.4">
      <c r="A118" s="35"/>
      <c r="B118" s="37"/>
      <c r="C118" s="65" t="str">
        <f>'BGS Cost &amp; Bid Factors'!C$6</f>
        <v>SC1/SC5</v>
      </c>
      <c r="D118" s="65" t="str">
        <f>'BGS Cost &amp; Bid Factors'!D$6</f>
        <v>SC3</v>
      </c>
      <c r="E118" s="65" t="str">
        <f>'BGS Cost &amp; Bid Factors'!E$6</f>
        <v>SC2 ND</v>
      </c>
      <c r="F118" s="65" t="str">
        <f>'BGS Cost &amp; Bid Factors'!F$6</f>
        <v>SC4</v>
      </c>
      <c r="G118" s="65" t="str">
        <f>'BGS Cost &amp; Bid Factors'!G$6</f>
        <v>SC6</v>
      </c>
      <c r="H118" s="65" t="str">
        <f>'BGS Cost &amp; Bid Factors'!H$6</f>
        <v>SC2 Dem</v>
      </c>
      <c r="I118" s="65"/>
      <c r="J118" s="53"/>
      <c r="K118" s="37"/>
      <c r="L118" s="65" t="s">
        <v>272</v>
      </c>
      <c r="M118" s="65" t="s">
        <v>8</v>
      </c>
      <c r="N118" s="65" t="s">
        <v>9</v>
      </c>
      <c r="O118" s="65" t="s">
        <v>10</v>
      </c>
      <c r="P118" s="65" t="s">
        <v>11</v>
      </c>
      <c r="Q118" s="65" t="s">
        <v>12</v>
      </c>
      <c r="R118" s="37"/>
      <c r="S118" s="37"/>
      <c r="T118" s="65" t="s">
        <v>272</v>
      </c>
      <c r="U118" s="65" t="s">
        <v>8</v>
      </c>
      <c r="V118" s="65" t="s">
        <v>9</v>
      </c>
      <c r="W118" s="65" t="s">
        <v>10</v>
      </c>
      <c r="X118" s="65" t="s">
        <v>11</v>
      </c>
      <c r="Y118" s="65" t="s">
        <v>12</v>
      </c>
      <c r="Z118" s="37"/>
      <c r="AA118" s="37"/>
      <c r="AB118" s="65" t="s">
        <v>272</v>
      </c>
      <c r="AC118" s="65"/>
      <c r="AD118" s="65" t="s">
        <v>8</v>
      </c>
      <c r="AE118" s="65" t="s">
        <v>9</v>
      </c>
      <c r="AF118" s="65" t="s">
        <v>10</v>
      </c>
      <c r="AG118" s="65" t="s">
        <v>11</v>
      </c>
      <c r="AH118" s="65" t="s">
        <v>12</v>
      </c>
      <c r="AI118" s="65"/>
      <c r="AJ118" s="23"/>
    </row>
    <row r="119" spans="1:36" x14ac:dyDescent="0.4">
      <c r="A119" s="35"/>
      <c r="B119" s="37"/>
      <c r="C119" s="53"/>
      <c r="D119" s="53"/>
      <c r="E119" s="53"/>
      <c r="F119" s="53"/>
      <c r="G119" s="53"/>
      <c r="H119" s="53"/>
      <c r="I119" s="53"/>
      <c r="J119" s="53"/>
      <c r="K119" s="37"/>
      <c r="L119" s="53"/>
      <c r="M119" s="53"/>
      <c r="N119" s="53"/>
      <c r="O119" s="53"/>
      <c r="P119" s="53"/>
      <c r="Q119" s="53"/>
      <c r="R119" s="37"/>
      <c r="S119" s="37"/>
      <c r="T119" s="53"/>
      <c r="U119" s="53"/>
      <c r="V119" s="53"/>
      <c r="W119" s="53"/>
      <c r="X119" s="53"/>
      <c r="Y119" s="53"/>
      <c r="Z119" s="37"/>
      <c r="AA119" s="37"/>
      <c r="AB119" s="53"/>
      <c r="AC119" s="53"/>
      <c r="AD119" s="53"/>
      <c r="AE119" s="53"/>
      <c r="AF119" s="53"/>
      <c r="AG119" s="53"/>
      <c r="AH119" s="53"/>
      <c r="AI119" s="53"/>
      <c r="AJ119" s="24"/>
    </row>
    <row r="120" spans="1:36" x14ac:dyDescent="0.4">
      <c r="A120" s="35"/>
      <c r="B120" s="182" t="s">
        <v>68</v>
      </c>
      <c r="C120" s="37"/>
      <c r="D120" s="37"/>
      <c r="E120" s="37"/>
      <c r="F120" s="37"/>
      <c r="G120" s="37"/>
      <c r="H120" s="37"/>
      <c r="I120" s="37"/>
      <c r="J120" s="37"/>
      <c r="K120" s="182" t="s">
        <v>68</v>
      </c>
      <c r="L120" s="37"/>
      <c r="M120" s="37"/>
      <c r="N120" s="37"/>
      <c r="O120" s="37"/>
      <c r="P120" s="37"/>
      <c r="Q120" s="37"/>
      <c r="R120" s="37"/>
      <c r="S120" s="182" t="s">
        <v>68</v>
      </c>
      <c r="T120" s="37"/>
      <c r="U120" s="37"/>
      <c r="V120" s="37"/>
      <c r="W120" s="37"/>
      <c r="X120" s="37"/>
      <c r="Y120" s="37"/>
      <c r="Z120" s="37"/>
      <c r="AA120" s="182" t="s">
        <v>68</v>
      </c>
      <c r="AB120" s="37"/>
      <c r="AC120" s="37"/>
      <c r="AD120" s="37"/>
      <c r="AE120" s="37"/>
      <c r="AF120" s="37"/>
      <c r="AG120" s="37"/>
      <c r="AH120" s="37"/>
      <c r="AI120" s="37"/>
      <c r="AJ120" s="22"/>
    </row>
    <row r="121" spans="1:36" x14ac:dyDescent="0.4">
      <c r="A121" s="35"/>
      <c r="B121" s="69" t="s">
        <v>265</v>
      </c>
      <c r="C121" s="211">
        <f>ROUND(C57*$G$109,3)</f>
        <v>7.5739999999999998</v>
      </c>
      <c r="D121" s="212"/>
      <c r="E121" s="211">
        <f>ROUND(E57*$G$109,3)</f>
        <v>6.8559999999999999</v>
      </c>
      <c r="F121" s="211">
        <f>ROUND(F57*$G$109,3)</f>
        <v>5.4509999999999996</v>
      </c>
      <c r="G121" s="211">
        <f>ROUND(G57*$G$109,3)</f>
        <v>5.4589999999999996</v>
      </c>
      <c r="H121" s="211">
        <f>ROUND(H57*$G$109,3)</f>
        <v>5.6849999999999996</v>
      </c>
      <c r="I121" s="211"/>
      <c r="J121" s="105"/>
      <c r="K121" s="102" t="s">
        <v>265</v>
      </c>
      <c r="L121" s="211">
        <v>9.5500000000000007</v>
      </c>
      <c r="M121" s="212"/>
      <c r="N121" s="211">
        <v>9.7089999999999996</v>
      </c>
      <c r="O121" s="211">
        <v>5.8860000000000001</v>
      </c>
      <c r="P121" s="211">
        <v>5.8860000000000001</v>
      </c>
      <c r="Q121" s="211">
        <v>7.4980000000000002</v>
      </c>
      <c r="R121" s="37"/>
      <c r="S121" s="102" t="s">
        <v>265</v>
      </c>
      <c r="T121" s="211">
        <f>C121-L121</f>
        <v>-1.9760000000000009</v>
      </c>
      <c r="U121" s="212"/>
      <c r="V121" s="211">
        <f>E121-N121</f>
        <v>-2.8529999999999998</v>
      </c>
      <c r="W121" s="211">
        <f>F121-O121</f>
        <v>-0.4350000000000005</v>
      </c>
      <c r="X121" s="211">
        <f>G121-P121</f>
        <v>-0.42700000000000049</v>
      </c>
      <c r="Y121" s="211">
        <f>H121-Q121</f>
        <v>-1.8130000000000006</v>
      </c>
      <c r="Z121" s="37"/>
      <c r="AA121" s="102" t="s">
        <v>265</v>
      </c>
      <c r="AB121" s="28">
        <f>T121/L121</f>
        <v>-0.20691099476439798</v>
      </c>
      <c r="AC121" s="212"/>
      <c r="AD121" s="28">
        <f>V121/N121</f>
        <v>-0.29385106602121741</v>
      </c>
      <c r="AE121" s="28">
        <f>W121/O121</f>
        <v>-7.3904179408766646E-2</v>
      </c>
      <c r="AF121" s="28">
        <f>X121/P121</f>
        <v>-7.2545022086306574E-2</v>
      </c>
      <c r="AG121" s="28">
        <f>Y121/Q121</f>
        <v>-0.24179781275006676</v>
      </c>
      <c r="AH121" s="28"/>
      <c r="AI121" s="28"/>
      <c r="AJ121" s="26"/>
    </row>
    <row r="122" spans="1:36" x14ac:dyDescent="0.4">
      <c r="A122" s="35"/>
      <c r="B122" s="69" t="s">
        <v>266</v>
      </c>
      <c r="C122" s="212"/>
      <c r="D122" s="211">
        <f>ROUND(D58*$G$109,3)</f>
        <v>14.705</v>
      </c>
      <c r="E122" s="212"/>
      <c r="F122" s="212"/>
      <c r="G122" s="212"/>
      <c r="H122" s="212"/>
      <c r="I122" s="212"/>
      <c r="J122" s="105"/>
      <c r="K122" s="102" t="s">
        <v>266</v>
      </c>
      <c r="L122" s="212"/>
      <c r="M122" s="211">
        <v>14.58</v>
      </c>
      <c r="N122" s="212"/>
      <c r="O122" s="212"/>
      <c r="P122" s="212"/>
      <c r="Q122" s="212"/>
      <c r="R122" s="37"/>
      <c r="S122" s="102" t="s">
        <v>266</v>
      </c>
      <c r="T122" s="212"/>
      <c r="U122" s="211">
        <f>D122-M122</f>
        <v>0.125</v>
      </c>
      <c r="V122" s="212"/>
      <c r="W122" s="212"/>
      <c r="X122" s="212"/>
      <c r="Y122" s="212"/>
      <c r="Z122" s="37"/>
      <c r="AA122" s="102" t="s">
        <v>266</v>
      </c>
      <c r="AB122" s="212"/>
      <c r="AC122" s="28">
        <f>U122/M122</f>
        <v>8.5733882030178329E-3</v>
      </c>
      <c r="AD122" s="212"/>
      <c r="AE122" s="212"/>
      <c r="AF122" s="212"/>
      <c r="AG122" s="212"/>
      <c r="AH122" s="212"/>
      <c r="AI122" s="212"/>
      <c r="AJ122" s="25"/>
    </row>
    <row r="123" spans="1:36" x14ac:dyDescent="0.4">
      <c r="A123" s="35"/>
      <c r="B123" s="69" t="s">
        <v>267</v>
      </c>
      <c r="C123" s="212"/>
      <c r="D123" s="211">
        <f>ROUND(D59*$G$109,3)</f>
        <v>4.9859999999999998</v>
      </c>
      <c r="E123" s="212"/>
      <c r="F123" s="212"/>
      <c r="G123" s="212"/>
      <c r="H123" s="212"/>
      <c r="I123" s="212"/>
      <c r="J123" s="105"/>
      <c r="K123" s="102" t="s">
        <v>267</v>
      </c>
      <c r="L123" s="212"/>
      <c r="M123" s="211">
        <v>5.7709999999999999</v>
      </c>
      <c r="N123" s="212"/>
      <c r="O123" s="212"/>
      <c r="P123" s="212"/>
      <c r="Q123" s="212"/>
      <c r="R123" s="37"/>
      <c r="S123" s="102" t="s">
        <v>267</v>
      </c>
      <c r="T123" s="212"/>
      <c r="U123" s="211">
        <f>D123-M123</f>
        <v>-0.78500000000000014</v>
      </c>
      <c r="V123" s="212"/>
      <c r="W123" s="212"/>
      <c r="X123" s="212"/>
      <c r="Y123" s="212"/>
      <c r="Z123" s="37"/>
      <c r="AA123" s="102" t="s">
        <v>267</v>
      </c>
      <c r="AB123" s="212"/>
      <c r="AC123" s="28">
        <f>U123/M123</f>
        <v>-0.13602495234794665</v>
      </c>
      <c r="AD123" s="212"/>
      <c r="AE123" s="212"/>
      <c r="AF123" s="212"/>
      <c r="AG123" s="212"/>
      <c r="AH123" s="212"/>
      <c r="AI123" s="212"/>
      <c r="AJ123" s="25"/>
    </row>
    <row r="124" spans="1:36" x14ac:dyDescent="0.4">
      <c r="A124" s="35"/>
      <c r="B124" s="67" t="s">
        <v>40</v>
      </c>
      <c r="C124" s="211">
        <f>ROUND(C60*$G$109,3)</f>
        <v>5.14</v>
      </c>
      <c r="D124" s="212"/>
      <c r="E124" s="212"/>
      <c r="F124" s="212"/>
      <c r="G124" s="212"/>
      <c r="H124" s="212"/>
      <c r="I124" s="212"/>
      <c r="J124" s="105"/>
      <c r="K124" s="35" t="s">
        <v>40</v>
      </c>
      <c r="L124" s="211">
        <v>8.4120000000000008</v>
      </c>
      <c r="M124" s="212"/>
      <c r="N124" s="212"/>
      <c r="O124" s="212"/>
      <c r="P124" s="212"/>
      <c r="Q124" s="212"/>
      <c r="R124" s="37"/>
      <c r="S124" s="35" t="s">
        <v>40</v>
      </c>
      <c r="T124" s="211">
        <f>C124-L124</f>
        <v>-3.2720000000000011</v>
      </c>
      <c r="U124" s="212"/>
      <c r="V124" s="212"/>
      <c r="W124" s="212"/>
      <c r="X124" s="212"/>
      <c r="Y124" s="212"/>
      <c r="Z124" s="37"/>
      <c r="AA124" s="35" t="s">
        <v>40</v>
      </c>
      <c r="AB124" s="28">
        <f>T124/L124</f>
        <v>-0.38896814075130776</v>
      </c>
      <c r="AC124" s="212"/>
      <c r="AD124" s="212"/>
      <c r="AE124" s="212"/>
      <c r="AF124" s="212"/>
      <c r="AG124" s="212"/>
      <c r="AH124" s="212"/>
      <c r="AI124" s="212"/>
      <c r="AJ124" s="25"/>
    </row>
    <row r="125" spans="1:36" x14ac:dyDescent="0.4">
      <c r="A125" s="35"/>
      <c r="B125" s="69" t="s">
        <v>41</v>
      </c>
      <c r="C125" s="211">
        <f>ROUND(C61*$G$109,3)</f>
        <v>9.4830000000000005</v>
      </c>
      <c r="D125" s="212"/>
      <c r="E125" s="212"/>
      <c r="F125" s="212"/>
      <c r="G125" s="212"/>
      <c r="H125" s="212"/>
      <c r="I125" s="212"/>
      <c r="J125" s="105"/>
      <c r="K125" s="102" t="s">
        <v>41</v>
      </c>
      <c r="L125" s="211">
        <v>9.8390000000000004</v>
      </c>
      <c r="M125" s="212"/>
      <c r="N125" s="212"/>
      <c r="O125" s="212"/>
      <c r="P125" s="212"/>
      <c r="Q125" s="212"/>
      <c r="R125" s="37"/>
      <c r="S125" s="102" t="s">
        <v>41</v>
      </c>
      <c r="T125" s="211">
        <f>C125-L125</f>
        <v>-0.35599999999999987</v>
      </c>
      <c r="U125" s="212"/>
      <c r="V125" s="212"/>
      <c r="W125" s="212"/>
      <c r="X125" s="212"/>
      <c r="Y125" s="212"/>
      <c r="Z125" s="37"/>
      <c r="AA125" s="102" t="s">
        <v>41</v>
      </c>
      <c r="AB125" s="28">
        <f>T125/L125</f>
        <v>-3.6182538875902011E-2</v>
      </c>
      <c r="AC125" s="212"/>
      <c r="AD125" s="212"/>
      <c r="AE125" s="212"/>
      <c r="AF125" s="212"/>
      <c r="AG125" s="212"/>
      <c r="AH125" s="212"/>
      <c r="AI125" s="212"/>
      <c r="AJ125" s="25"/>
    </row>
    <row r="126" spans="1:36" x14ac:dyDescent="0.4">
      <c r="A126" s="35"/>
      <c r="B126" s="212"/>
      <c r="C126" s="212"/>
      <c r="D126" s="212"/>
      <c r="E126" s="212"/>
      <c r="F126" s="212"/>
      <c r="G126" s="212"/>
      <c r="H126" s="212"/>
      <c r="I126" s="212"/>
      <c r="J126" s="105"/>
      <c r="K126" s="102" t="s">
        <v>42</v>
      </c>
      <c r="L126" s="213" t="s">
        <v>378</v>
      </c>
      <c r="M126" s="212"/>
      <c r="N126" s="212"/>
      <c r="O126" s="212"/>
      <c r="P126" s="212"/>
      <c r="Q126" s="212"/>
      <c r="R126" s="37"/>
      <c r="S126" s="102" t="s">
        <v>42</v>
      </c>
      <c r="T126" s="213" t="s">
        <v>378</v>
      </c>
      <c r="U126" s="212"/>
      <c r="V126" s="212"/>
      <c r="W126" s="212"/>
      <c r="X126" s="212"/>
      <c r="Y126" s="212"/>
      <c r="Z126" s="37"/>
      <c r="AA126" s="102" t="s">
        <v>42</v>
      </c>
      <c r="AB126" s="213" t="s">
        <v>378</v>
      </c>
      <c r="AC126" s="212"/>
      <c r="AD126" s="212"/>
      <c r="AE126" s="212"/>
      <c r="AF126" s="212"/>
      <c r="AG126" s="212"/>
      <c r="AH126" s="212"/>
      <c r="AI126" s="212"/>
      <c r="AJ126" s="25"/>
    </row>
    <row r="127" spans="1:36" x14ac:dyDescent="0.4">
      <c r="A127" s="35"/>
      <c r="B127" s="37"/>
      <c r="C127" s="212"/>
      <c r="D127" s="212"/>
      <c r="E127" s="212"/>
      <c r="F127" s="212"/>
      <c r="G127" s="212"/>
      <c r="H127" s="212"/>
      <c r="I127" s="212"/>
      <c r="J127" s="37"/>
      <c r="K127" s="37"/>
      <c r="L127" s="212"/>
      <c r="M127" s="212"/>
      <c r="N127" s="212"/>
      <c r="O127" s="212"/>
      <c r="P127" s="212"/>
      <c r="Q127" s="212"/>
      <c r="R127" s="37"/>
      <c r="S127" s="37"/>
      <c r="T127" s="212"/>
      <c r="U127" s="212"/>
      <c r="V127" s="212"/>
      <c r="W127" s="212"/>
      <c r="X127" s="212"/>
      <c r="Y127" s="212"/>
      <c r="Z127" s="37"/>
      <c r="AA127" s="35"/>
      <c r="AB127" s="212"/>
      <c r="AC127" s="212"/>
      <c r="AD127" s="212"/>
      <c r="AE127" s="212"/>
      <c r="AF127" s="212"/>
      <c r="AG127" s="212"/>
      <c r="AH127" s="212"/>
      <c r="AI127" s="212"/>
      <c r="AJ127" s="25"/>
    </row>
    <row r="128" spans="1:36" x14ac:dyDescent="0.4">
      <c r="A128" s="35"/>
      <c r="B128" s="67" t="s">
        <v>268</v>
      </c>
      <c r="C128" s="212"/>
      <c r="D128" s="212"/>
      <c r="E128" s="212"/>
      <c r="F128" s="212"/>
      <c r="G128" s="212"/>
      <c r="H128" s="211">
        <f>ROUND(H64*$G$109,3)</f>
        <v>1.839</v>
      </c>
      <c r="I128" s="211"/>
      <c r="J128" s="92"/>
      <c r="K128" s="35" t="s">
        <v>280</v>
      </c>
      <c r="L128" s="212"/>
      <c r="M128" s="212"/>
      <c r="N128" s="212"/>
      <c r="O128" s="212"/>
      <c r="P128" s="212"/>
      <c r="Q128" s="211">
        <v>5.4420000000000002</v>
      </c>
      <c r="R128" s="37"/>
      <c r="S128" s="35" t="s">
        <v>280</v>
      </c>
      <c r="T128" s="212"/>
      <c r="U128" s="212"/>
      <c r="V128" s="212"/>
      <c r="W128" s="212"/>
      <c r="X128" s="212"/>
      <c r="Y128" s="211">
        <f>H128-Q128</f>
        <v>-3.6030000000000002</v>
      </c>
      <c r="Z128" s="37"/>
      <c r="AA128" s="35" t="s">
        <v>280</v>
      </c>
      <c r="AB128" s="212"/>
      <c r="AC128" s="212"/>
      <c r="AD128" s="212"/>
      <c r="AE128" s="212"/>
      <c r="AF128" s="212"/>
      <c r="AG128" s="28">
        <f>Y128/Q128</f>
        <v>-0.66207276736493936</v>
      </c>
      <c r="AH128" s="28"/>
      <c r="AI128" s="28"/>
      <c r="AJ128" s="26"/>
    </row>
    <row r="129" spans="1:36" x14ac:dyDescent="0.4">
      <c r="A129" s="35"/>
      <c r="B129" s="67" t="s">
        <v>269</v>
      </c>
      <c r="C129" s="212"/>
      <c r="D129" s="212"/>
      <c r="E129" s="212"/>
      <c r="F129" s="212"/>
      <c r="G129" s="212"/>
      <c r="H129" s="211">
        <f>ROUND(H65*$G$109,3)</f>
        <v>4.8479999999999999</v>
      </c>
      <c r="I129" s="211"/>
      <c r="J129" s="92"/>
      <c r="K129" s="37"/>
      <c r="L129" s="212"/>
      <c r="M129" s="212"/>
      <c r="N129" s="212"/>
      <c r="O129" s="212"/>
      <c r="P129" s="212"/>
      <c r="Q129" s="212"/>
      <c r="R129" s="37"/>
      <c r="S129" s="37"/>
      <c r="T129" s="212"/>
      <c r="U129" s="212"/>
      <c r="V129" s="212"/>
      <c r="W129" s="212"/>
      <c r="X129" s="212"/>
      <c r="Y129" s="212"/>
      <c r="Z129" s="37"/>
      <c r="AA129" s="35"/>
      <c r="AB129" s="212"/>
      <c r="AC129" s="212"/>
      <c r="AD129" s="212"/>
      <c r="AE129" s="212"/>
      <c r="AF129" s="212"/>
      <c r="AG129" s="212"/>
      <c r="AH129" s="212"/>
      <c r="AI129" s="212"/>
      <c r="AJ129" s="25"/>
    </row>
    <row r="130" spans="1:36" x14ac:dyDescent="0.4">
      <c r="A130" s="35"/>
      <c r="B130" s="37"/>
      <c r="C130" s="212"/>
      <c r="D130" s="212"/>
      <c r="E130" s="212"/>
      <c r="F130" s="212"/>
      <c r="G130" s="212"/>
      <c r="H130" s="212"/>
      <c r="I130" s="212"/>
      <c r="J130" s="37"/>
      <c r="K130" s="182" t="s">
        <v>61</v>
      </c>
      <c r="L130" s="212"/>
      <c r="M130" s="212"/>
      <c r="N130" s="212"/>
      <c r="O130" s="212"/>
      <c r="P130" s="212"/>
      <c r="Q130" s="212"/>
      <c r="R130" s="37"/>
      <c r="S130" s="182" t="s">
        <v>61</v>
      </c>
      <c r="T130" s="212"/>
      <c r="U130" s="212"/>
      <c r="V130" s="212"/>
      <c r="W130" s="212"/>
      <c r="X130" s="212"/>
      <c r="Y130" s="212"/>
      <c r="Z130" s="37"/>
      <c r="AA130" s="111" t="s">
        <v>61</v>
      </c>
      <c r="AB130" s="212"/>
      <c r="AC130" s="212"/>
      <c r="AD130" s="212"/>
      <c r="AE130" s="212"/>
      <c r="AF130" s="212"/>
      <c r="AG130" s="212"/>
      <c r="AH130" s="212"/>
      <c r="AI130" s="212"/>
      <c r="AJ130" s="25"/>
    </row>
    <row r="131" spans="1:36" x14ac:dyDescent="0.4">
      <c r="A131" s="35"/>
      <c r="B131" s="182" t="s">
        <v>61</v>
      </c>
      <c r="C131" s="212"/>
      <c r="D131" s="212"/>
      <c r="E131" s="212"/>
      <c r="F131" s="212"/>
      <c r="G131" s="212"/>
      <c r="H131" s="212"/>
      <c r="I131" s="212"/>
      <c r="J131" s="37"/>
      <c r="K131" s="102" t="s">
        <v>265</v>
      </c>
      <c r="L131" s="211">
        <v>9.7379999999999995</v>
      </c>
      <c r="M131" s="212"/>
      <c r="N131" s="211">
        <v>8.1769999999999996</v>
      </c>
      <c r="O131" s="211">
        <v>5.8460000000000001</v>
      </c>
      <c r="P131" s="211">
        <v>5.8209999999999997</v>
      </c>
      <c r="Q131" s="211">
        <v>6.7539999999999996</v>
      </c>
      <c r="R131" s="37"/>
      <c r="S131" s="102" t="s">
        <v>265</v>
      </c>
      <c r="T131" s="211">
        <f>C132-L131</f>
        <v>-1.8859999999999992</v>
      </c>
      <c r="U131" s="212"/>
      <c r="V131" s="211">
        <f>E132-N131</f>
        <v>-1.9289999999999994</v>
      </c>
      <c r="W131" s="211">
        <f>F132-O131</f>
        <v>-0.58199999999999985</v>
      </c>
      <c r="X131" s="211">
        <f>G132-P131</f>
        <v>-0.57699999999999996</v>
      </c>
      <c r="Y131" s="211">
        <f>H132-Q131</f>
        <v>-1.3129999999999997</v>
      </c>
      <c r="Z131" s="37"/>
      <c r="AA131" s="102" t="s">
        <v>265</v>
      </c>
      <c r="AB131" s="28">
        <f>T131/L131</f>
        <v>-0.19367426576299027</v>
      </c>
      <c r="AC131" s="212"/>
      <c r="AD131" s="28">
        <f>V131/N131</f>
        <v>-0.23590558884676524</v>
      </c>
      <c r="AE131" s="28">
        <f>W131/O131</f>
        <v>-9.955525145398561E-2</v>
      </c>
      <c r="AF131" s="28">
        <f>X131/P131</f>
        <v>-9.9123861879402156E-2</v>
      </c>
      <c r="AG131" s="28">
        <f>Y131/Q131</f>
        <v>-0.19440331655315365</v>
      </c>
      <c r="AH131" s="28"/>
      <c r="AI131" s="28"/>
      <c r="AJ131" s="26"/>
    </row>
    <row r="132" spans="1:36" x14ac:dyDescent="0.4">
      <c r="A132" s="35"/>
      <c r="B132" s="69" t="s">
        <v>265</v>
      </c>
      <c r="C132" s="211">
        <f>ROUND(C68*$G$110,3)</f>
        <v>7.8520000000000003</v>
      </c>
      <c r="D132" s="212"/>
      <c r="E132" s="211">
        <f>ROUND(E68*$G$110,3)</f>
        <v>6.2480000000000002</v>
      </c>
      <c r="F132" s="211">
        <f>ROUND(F68*$G$110,3)</f>
        <v>5.2640000000000002</v>
      </c>
      <c r="G132" s="211">
        <f>ROUND(G68*$G$110,3)</f>
        <v>5.2439999999999998</v>
      </c>
      <c r="H132" s="211">
        <f>ROUND(H68*$G$110,3)</f>
        <v>5.4409999999999998</v>
      </c>
      <c r="I132" s="211"/>
      <c r="J132" s="37"/>
      <c r="K132" s="102" t="s">
        <v>266</v>
      </c>
      <c r="L132" s="212"/>
      <c r="M132" s="211">
        <v>12.37</v>
      </c>
      <c r="N132" s="212"/>
      <c r="O132" s="212"/>
      <c r="P132" s="212"/>
      <c r="Q132" s="212"/>
      <c r="R132" s="37"/>
      <c r="S132" s="102" t="s">
        <v>266</v>
      </c>
      <c r="T132" s="212"/>
      <c r="U132" s="211">
        <f>D133-M132</f>
        <v>-2.2489999999999988</v>
      </c>
      <c r="V132" s="212"/>
      <c r="W132" s="212"/>
      <c r="X132" s="212"/>
      <c r="Y132" s="212"/>
      <c r="Z132" s="37"/>
      <c r="AA132" s="102" t="s">
        <v>266</v>
      </c>
      <c r="AB132" s="212"/>
      <c r="AC132" s="28">
        <f>U132/M132</f>
        <v>-0.18181083265966039</v>
      </c>
      <c r="AD132" s="212"/>
      <c r="AE132" s="212"/>
      <c r="AF132" s="212"/>
      <c r="AG132" s="212"/>
      <c r="AH132" s="212"/>
      <c r="AI132" s="212"/>
      <c r="AJ132" s="25"/>
    </row>
    <row r="133" spans="1:36" x14ac:dyDescent="0.4">
      <c r="A133" s="35"/>
      <c r="B133" s="69" t="s">
        <v>266</v>
      </c>
      <c r="C133" s="212"/>
      <c r="D133" s="211">
        <f>ROUND(D69*$G$110,3)</f>
        <v>10.121</v>
      </c>
      <c r="E133" s="212"/>
      <c r="F133" s="212"/>
      <c r="G133" s="212"/>
      <c r="H133" s="212"/>
      <c r="I133" s="212"/>
      <c r="J133" s="105"/>
      <c r="K133" s="102" t="s">
        <v>267</v>
      </c>
      <c r="L133" s="212"/>
      <c r="M133" s="211">
        <v>5.6959999999999997</v>
      </c>
      <c r="N133" s="212"/>
      <c r="O133" s="212"/>
      <c r="P133" s="212"/>
      <c r="Q133" s="212"/>
      <c r="R133" s="37"/>
      <c r="S133" s="102" t="s">
        <v>267</v>
      </c>
      <c r="T133" s="212"/>
      <c r="U133" s="211">
        <f>D134-M133</f>
        <v>-0.63899999999999935</v>
      </c>
      <c r="V133" s="212"/>
      <c r="W133" s="212"/>
      <c r="X133" s="212"/>
      <c r="Y133" s="212"/>
      <c r="Z133" s="37"/>
      <c r="AA133" s="102" t="s">
        <v>267</v>
      </c>
      <c r="AB133" s="212"/>
      <c r="AC133" s="28">
        <f>U133/M133</f>
        <v>-0.11218398876404484</v>
      </c>
      <c r="AD133" s="212"/>
      <c r="AE133" s="212"/>
      <c r="AF133" s="212"/>
      <c r="AG133" s="212"/>
      <c r="AH133" s="212"/>
      <c r="AI133" s="212"/>
      <c r="AJ133" s="25"/>
    </row>
    <row r="134" spans="1:36" x14ac:dyDescent="0.4">
      <c r="A134" s="35"/>
      <c r="B134" s="69" t="s">
        <v>267</v>
      </c>
      <c r="C134" s="212"/>
      <c r="D134" s="211">
        <f>ROUND(D70*$G$110,3)</f>
        <v>5.0570000000000004</v>
      </c>
      <c r="E134" s="212"/>
      <c r="F134" s="212"/>
      <c r="G134" s="212"/>
      <c r="H134" s="212"/>
      <c r="I134" s="212"/>
      <c r="J134" s="105"/>
      <c r="K134" s="35"/>
      <c r="L134" s="212"/>
      <c r="M134" s="212"/>
      <c r="N134" s="212"/>
      <c r="O134" s="212"/>
      <c r="P134" s="212"/>
      <c r="Q134" s="212"/>
      <c r="R134" s="37"/>
      <c r="S134" s="35"/>
      <c r="T134" s="212"/>
      <c r="U134" s="212"/>
      <c r="V134" s="212"/>
      <c r="W134" s="212"/>
      <c r="X134" s="212"/>
      <c r="Y134" s="212"/>
      <c r="Z134" s="37"/>
      <c r="AA134" s="35"/>
      <c r="AB134" s="212"/>
      <c r="AC134" s="212"/>
      <c r="AD134" s="212"/>
      <c r="AE134" s="212"/>
      <c r="AF134" s="212"/>
      <c r="AG134" s="212"/>
      <c r="AH134" s="212"/>
      <c r="AI134" s="212"/>
      <c r="AJ134" s="25"/>
    </row>
    <row r="135" spans="1:36" x14ac:dyDescent="0.4">
      <c r="A135" s="35"/>
      <c r="B135" s="37"/>
      <c r="C135" s="212"/>
      <c r="D135" s="212"/>
      <c r="E135" s="212"/>
      <c r="F135" s="212"/>
      <c r="G135" s="212"/>
      <c r="H135" s="212"/>
      <c r="I135" s="212"/>
      <c r="J135" s="37"/>
      <c r="K135" s="35" t="s">
        <v>280</v>
      </c>
      <c r="L135" s="212"/>
      <c r="M135" s="212"/>
      <c r="N135" s="212"/>
      <c r="O135" s="212"/>
      <c r="P135" s="212"/>
      <c r="Q135" s="211">
        <v>5.4</v>
      </c>
      <c r="R135" s="37"/>
      <c r="S135" s="35" t="s">
        <v>280</v>
      </c>
      <c r="T135" s="212"/>
      <c r="U135" s="212"/>
      <c r="V135" s="212"/>
      <c r="W135" s="212"/>
      <c r="X135" s="212"/>
      <c r="Y135" s="211">
        <f>H136-Q135</f>
        <v>-3.2220000000000004</v>
      </c>
      <c r="Z135" s="37"/>
      <c r="AA135" s="35" t="s">
        <v>280</v>
      </c>
      <c r="AB135" s="212"/>
      <c r="AC135" s="212"/>
      <c r="AD135" s="212"/>
      <c r="AE135" s="212"/>
      <c r="AF135" s="212"/>
      <c r="AG135" s="28">
        <f>Y135/Q135</f>
        <v>-0.59666666666666668</v>
      </c>
      <c r="AH135" s="28"/>
      <c r="AI135" s="28"/>
      <c r="AJ135" s="26"/>
    </row>
    <row r="136" spans="1:36" x14ac:dyDescent="0.4">
      <c r="A136" s="35"/>
      <c r="B136" s="67" t="s">
        <v>268</v>
      </c>
      <c r="C136" s="212"/>
      <c r="D136" s="212"/>
      <c r="E136" s="212"/>
      <c r="F136" s="212"/>
      <c r="G136" s="212"/>
      <c r="H136" s="211">
        <f>ROUND(H72*$G$110,3)</f>
        <v>2.1779999999999999</v>
      </c>
      <c r="I136" s="211"/>
      <c r="J136" s="92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22"/>
    </row>
    <row r="137" spans="1:36" x14ac:dyDescent="0.4">
      <c r="A137" s="35"/>
      <c r="B137" s="67" t="s">
        <v>269</v>
      </c>
      <c r="C137" s="212"/>
      <c r="D137" s="212"/>
      <c r="E137" s="212"/>
      <c r="F137" s="212"/>
      <c r="G137" s="212"/>
      <c r="H137" s="211">
        <f>ROUND(H73*$G$110,3)</f>
        <v>4.4829999999999997</v>
      </c>
      <c r="I137" s="211"/>
      <c r="J137" s="92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22"/>
    </row>
    <row r="138" spans="1:36" x14ac:dyDescent="0.4">
      <c r="A138" s="35"/>
      <c r="B138" s="67"/>
      <c r="C138" s="37"/>
      <c r="D138" s="37"/>
      <c r="E138" s="37"/>
      <c r="F138" s="37"/>
      <c r="G138" s="37"/>
      <c r="H138" s="37"/>
      <c r="I138" s="184"/>
      <c r="J138" s="92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6" x14ac:dyDescent="0.4">
      <c r="A139" s="35"/>
      <c r="B139" s="86" t="s">
        <v>379</v>
      </c>
      <c r="C139" s="37"/>
      <c r="D139" s="37" t="s">
        <v>271</v>
      </c>
      <c r="E139" s="183">
        <v>6.6250000000000003E-2</v>
      </c>
      <c r="F139" s="37"/>
      <c r="G139" s="37"/>
      <c r="H139" s="37"/>
      <c r="I139" s="37"/>
      <c r="J139" s="92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6" x14ac:dyDescent="0.4">
      <c r="A140" s="35"/>
      <c r="B140" s="37"/>
      <c r="C140" s="37"/>
      <c r="D140" s="37"/>
      <c r="E140" s="37"/>
      <c r="F140" s="37"/>
      <c r="G140" s="37"/>
      <c r="H140" s="37"/>
      <c r="I140" s="37"/>
      <c r="J140" s="92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6" x14ac:dyDescent="0.4">
      <c r="A141" s="35"/>
      <c r="B141" s="37"/>
      <c r="C141" s="65" t="s">
        <v>272</v>
      </c>
      <c r="D141" s="65" t="s">
        <v>8</v>
      </c>
      <c r="E141" s="65" t="s">
        <v>9</v>
      </c>
      <c r="F141" s="65" t="s">
        <v>10</v>
      </c>
      <c r="G141" s="65" t="s">
        <v>11</v>
      </c>
      <c r="H141" s="65" t="s">
        <v>12</v>
      </c>
      <c r="I141" s="92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6" x14ac:dyDescent="0.4">
      <c r="A142" s="35"/>
      <c r="B142" s="182" t="s">
        <v>68</v>
      </c>
      <c r="C142" s="37"/>
      <c r="D142" s="37"/>
      <c r="E142" s="37"/>
      <c r="F142" s="37"/>
      <c r="G142" s="37"/>
      <c r="H142" s="37"/>
      <c r="I142" s="92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6" x14ac:dyDescent="0.4">
      <c r="A143" s="35"/>
      <c r="B143" s="69" t="s">
        <v>265</v>
      </c>
      <c r="C143" s="69"/>
      <c r="D143" s="37"/>
      <c r="E143" s="184">
        <f>ROUND(E121*(1+$E$139),3)</f>
        <v>7.31</v>
      </c>
      <c r="F143" s="184">
        <f>ROUND(F121*(1+$E$139),3)</f>
        <v>5.8120000000000003</v>
      </c>
      <c r="G143" s="184">
        <f>ROUND(G121*(1+$E$139),3)</f>
        <v>5.8209999999999997</v>
      </c>
      <c r="H143" s="184">
        <f>ROUND(H121*(1+$E$139),3)</f>
        <v>6.0620000000000003</v>
      </c>
      <c r="I143" s="92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6" x14ac:dyDescent="0.4">
      <c r="A144" s="35"/>
      <c r="B144" s="69" t="s">
        <v>266</v>
      </c>
      <c r="C144" s="37"/>
      <c r="D144" s="184">
        <f>ROUND(D122*(1+$E$139),3)</f>
        <v>15.679</v>
      </c>
      <c r="E144" s="37"/>
      <c r="F144" s="37"/>
      <c r="G144" s="37"/>
      <c r="H144" s="37"/>
      <c r="I144" s="92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x14ac:dyDescent="0.4">
      <c r="A145" s="35"/>
      <c r="B145" s="69" t="s">
        <v>267</v>
      </c>
      <c r="C145" s="37"/>
      <c r="D145" s="184">
        <f>ROUND(D123*(1+$E$139),3)</f>
        <v>5.3159999999999998</v>
      </c>
      <c r="E145" s="37"/>
      <c r="F145" s="37"/>
      <c r="G145" s="37"/>
      <c r="H145" s="37"/>
      <c r="I145" s="92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x14ac:dyDescent="0.4">
      <c r="A146" s="35"/>
      <c r="B146" s="67" t="s">
        <v>40</v>
      </c>
      <c r="C146" s="184">
        <f>ROUND(C124*(1+$E$139),3)</f>
        <v>5.4809999999999999</v>
      </c>
      <c r="D146" s="105"/>
      <c r="E146" s="37"/>
      <c r="F146" s="37"/>
      <c r="G146" s="37"/>
      <c r="H146" s="37"/>
      <c r="I146" s="92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x14ac:dyDescent="0.4">
      <c r="A147" s="35"/>
      <c r="B147" s="69" t="s">
        <v>41</v>
      </c>
      <c r="C147" s="184">
        <f>ROUND(C125*(1+$E$139),3)</f>
        <v>10.111000000000001</v>
      </c>
      <c r="D147" s="105"/>
      <c r="E147" s="37"/>
      <c r="F147" s="37"/>
      <c r="G147" s="37"/>
      <c r="H147" s="37"/>
      <c r="I147" s="92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x14ac:dyDescent="0.4">
      <c r="A148" s="35"/>
      <c r="B148" s="105"/>
      <c r="C148" s="105"/>
      <c r="D148" s="105"/>
      <c r="E148" s="37"/>
      <c r="F148" s="37"/>
      <c r="G148" s="37"/>
      <c r="H148" s="37"/>
      <c r="I148" s="92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x14ac:dyDescent="0.4">
      <c r="A149" s="35"/>
      <c r="B149" s="37"/>
      <c r="C149" s="37"/>
      <c r="D149" s="37"/>
      <c r="E149" s="37"/>
      <c r="F149" s="37"/>
      <c r="G149" s="37"/>
      <c r="H149" s="37"/>
      <c r="I149" s="92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x14ac:dyDescent="0.4">
      <c r="A150" s="35"/>
      <c r="B150" s="67" t="s">
        <v>268</v>
      </c>
      <c r="C150" s="37"/>
      <c r="D150" s="37"/>
      <c r="E150" s="37"/>
      <c r="F150" s="37"/>
      <c r="G150" s="37"/>
      <c r="H150" s="214">
        <f>ROUND(H128*(1+$E$139),2)</f>
        <v>1.96</v>
      </c>
      <c r="I150" s="92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x14ac:dyDescent="0.4">
      <c r="A151" s="35"/>
      <c r="B151" s="67" t="s">
        <v>360</v>
      </c>
      <c r="C151" s="37"/>
      <c r="D151" s="37"/>
      <c r="E151" s="37"/>
      <c r="F151" s="37"/>
      <c r="G151" s="37"/>
      <c r="H151" s="214">
        <f>ROUND(H129*(1+$E$139),2)</f>
        <v>5.17</v>
      </c>
      <c r="I151" s="92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x14ac:dyDescent="0.4">
      <c r="A152" s="35"/>
      <c r="B152" s="37"/>
      <c r="C152" s="37"/>
      <c r="D152" s="37"/>
      <c r="E152" s="37"/>
      <c r="F152" s="37"/>
      <c r="G152" s="37"/>
      <c r="H152" s="37"/>
      <c r="I152" s="92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x14ac:dyDescent="0.4">
      <c r="A153" s="35"/>
      <c r="B153" s="182" t="s">
        <v>61</v>
      </c>
      <c r="C153" s="37"/>
      <c r="D153" s="37"/>
      <c r="E153" s="37"/>
      <c r="F153" s="37"/>
      <c r="G153" s="37"/>
      <c r="H153" s="37"/>
      <c r="I153" s="92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x14ac:dyDescent="0.4">
      <c r="A154" s="35"/>
      <c r="B154" s="69" t="s">
        <v>265</v>
      </c>
      <c r="C154" s="184">
        <f>ROUND(C132*(1+$E$139),3)</f>
        <v>8.3719999999999999</v>
      </c>
      <c r="D154" s="37"/>
      <c r="E154" s="184">
        <f>ROUND(E132*(1+$E$139),3)</f>
        <v>6.6619999999999999</v>
      </c>
      <c r="F154" s="184">
        <f>ROUND(F132*(1+$E$139),3)</f>
        <v>5.6130000000000004</v>
      </c>
      <c r="G154" s="184">
        <f>ROUND(G132*(1+$E$139),3)</f>
        <v>5.5910000000000002</v>
      </c>
      <c r="H154" s="184">
        <f>ROUND(H132*(1+$E$139),3)</f>
        <v>5.8010000000000002</v>
      </c>
      <c r="I154" s="92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x14ac:dyDescent="0.4">
      <c r="A155" s="35"/>
      <c r="B155" s="69" t="s">
        <v>266</v>
      </c>
      <c r="C155" s="37"/>
      <c r="D155" s="184">
        <f>ROUND(D133*(1+$E$139),3)</f>
        <v>10.792</v>
      </c>
      <c r="E155" s="37"/>
      <c r="F155" s="37"/>
      <c r="G155" s="37"/>
      <c r="H155" s="37"/>
      <c r="I155" s="92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x14ac:dyDescent="0.4">
      <c r="A156" s="35"/>
      <c r="B156" s="69" t="s">
        <v>267</v>
      </c>
      <c r="C156" s="37"/>
      <c r="D156" s="184">
        <f>ROUND(D134*(1+$E$139),3)</f>
        <v>5.3920000000000003</v>
      </c>
      <c r="E156" s="37"/>
      <c r="F156" s="37"/>
      <c r="G156" s="37"/>
      <c r="H156" s="37"/>
      <c r="I156" s="92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x14ac:dyDescent="0.4">
      <c r="A157" s="35"/>
      <c r="B157" s="37"/>
      <c r="C157" s="37"/>
      <c r="D157" s="37"/>
      <c r="E157" s="37"/>
      <c r="F157" s="37"/>
      <c r="G157" s="37"/>
      <c r="H157" s="37"/>
      <c r="I157" s="92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x14ac:dyDescent="0.4">
      <c r="A158" s="35"/>
      <c r="B158" s="67" t="s">
        <v>268</v>
      </c>
      <c r="C158" s="37"/>
      <c r="D158" s="37"/>
      <c r="E158" s="37"/>
      <c r="F158" s="37"/>
      <c r="G158" s="37"/>
      <c r="H158" s="214">
        <f>ROUND(H136*(1+$E$139),2)</f>
        <v>2.3199999999999998</v>
      </c>
      <c r="I158" s="92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x14ac:dyDescent="0.4">
      <c r="A159" s="35"/>
      <c r="B159" s="67" t="s">
        <v>269</v>
      </c>
      <c r="C159" s="37"/>
      <c r="D159" s="37"/>
      <c r="E159" s="37"/>
      <c r="F159" s="37"/>
      <c r="G159" s="37"/>
      <c r="H159" s="214">
        <f>ROUND(H137*(1+$E$139),2)</f>
        <v>4.78</v>
      </c>
      <c r="I159" s="92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x14ac:dyDescent="0.4">
      <c r="A160" s="35"/>
      <c r="B160" s="67"/>
      <c r="C160" s="37"/>
      <c r="D160" s="37"/>
      <c r="E160" s="37"/>
      <c r="F160" s="37"/>
      <c r="G160" s="37"/>
      <c r="H160" s="184"/>
      <c r="I160" s="92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x14ac:dyDescent="0.4">
      <c r="A161" s="35"/>
      <c r="B161" s="67"/>
      <c r="C161" s="37"/>
      <c r="D161" s="37"/>
      <c r="E161" s="37"/>
      <c r="F161" s="37"/>
      <c r="G161" s="37"/>
      <c r="H161" s="92"/>
      <c r="I161" s="92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x14ac:dyDescent="0.4">
      <c r="A162" s="157" t="s">
        <v>380</v>
      </c>
      <c r="B162" s="157" t="s">
        <v>381</v>
      </c>
      <c r="C162" s="37"/>
      <c r="D162" s="37"/>
      <c r="E162" s="37"/>
      <c r="F162" s="37"/>
      <c r="G162" s="37"/>
      <c r="H162" s="92"/>
      <c r="I162" s="92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x14ac:dyDescent="0.4">
      <c r="A163" s="35"/>
      <c r="B163" s="157"/>
      <c r="C163" s="37"/>
      <c r="D163" s="37"/>
      <c r="E163" s="37"/>
      <c r="F163" s="37"/>
      <c r="G163" s="37"/>
      <c r="H163" s="92"/>
      <c r="I163" s="92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x14ac:dyDescent="0.4">
      <c r="A164" s="35"/>
      <c r="B164" s="157"/>
      <c r="C164" s="37"/>
      <c r="D164" s="37"/>
      <c r="E164" s="37"/>
      <c r="F164" s="37"/>
      <c r="G164" s="37"/>
      <c r="H164" s="92"/>
      <c r="I164" s="92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x14ac:dyDescent="0.4">
      <c r="A165" s="35"/>
      <c r="B165" s="108" t="s">
        <v>288</v>
      </c>
      <c r="C165" s="37"/>
      <c r="D165" s="37"/>
      <c r="E165" s="37"/>
      <c r="F165" s="37"/>
      <c r="G165" s="37"/>
      <c r="H165" s="92"/>
      <c r="I165" s="92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3" thickBot="1" x14ac:dyDescent="0.45">
      <c r="A166" s="35"/>
      <c r="B166" s="108"/>
      <c r="C166" s="37"/>
      <c r="D166" s="37"/>
      <c r="E166" s="37"/>
      <c r="F166" s="37"/>
      <c r="G166" s="37"/>
      <c r="H166" s="92"/>
      <c r="I166" s="92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x14ac:dyDescent="0.4">
      <c r="A167" s="35"/>
      <c r="B167" s="37"/>
      <c r="C167" s="65" t="str">
        <f>'BGS Cost &amp; Bid Factors'!C$6</f>
        <v>SC1/SC5</v>
      </c>
      <c r="D167" s="65" t="str">
        <f>'BGS Cost &amp; Bid Factors'!D$6</f>
        <v>SC3</v>
      </c>
      <c r="E167" s="65" t="str">
        <f>'BGS Cost &amp; Bid Factors'!E$6</f>
        <v>SC2 ND</v>
      </c>
      <c r="F167" s="65" t="str">
        <f>'BGS Cost &amp; Bid Factors'!F$6</f>
        <v>SC4</v>
      </c>
      <c r="G167" s="65" t="str">
        <f>'BGS Cost &amp; Bid Factors'!G$6</f>
        <v>SC6</v>
      </c>
      <c r="H167" s="65" t="str">
        <f>'BGS Cost &amp; Bid Factors'!H$6</f>
        <v>SC2 Dem</v>
      </c>
      <c r="I167" s="65"/>
      <c r="J167" s="92"/>
      <c r="K167" s="131" t="s">
        <v>153</v>
      </c>
      <c r="L167" s="132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x14ac:dyDescent="0.4">
      <c r="A168" s="35"/>
      <c r="B168" s="108"/>
      <c r="C168" s="37"/>
      <c r="D168" s="37"/>
      <c r="E168" s="37"/>
      <c r="F168" s="37"/>
      <c r="G168" s="37"/>
      <c r="H168" s="37"/>
      <c r="I168" s="37"/>
      <c r="J168" s="92"/>
      <c r="K168" s="133"/>
      <c r="L168" s="134" t="s">
        <v>156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x14ac:dyDescent="0.4">
      <c r="A169" s="35"/>
      <c r="B169" s="85" t="s">
        <v>68</v>
      </c>
      <c r="C169" s="31">
        <f>ROUND((C121*'BGS Cost &amp; Bid Factors'!L$48)/100,0)</f>
        <v>21613</v>
      </c>
      <c r="D169" s="5">
        <f>ROUND((D122*'BGS Cost &amp; Bid Factors'!M$49+D123*'BGS Cost &amp; Bid Factors'!M$50)/100,0)</f>
        <v>7</v>
      </c>
      <c r="E169" s="31">
        <f>ROUND((E121*'BGS Cost &amp; Bid Factors'!N$48)/100,0)</f>
        <v>346</v>
      </c>
      <c r="F169" s="31">
        <f>ROUND((F121*'BGS Cost &amp; Bid Factors'!O$48)/100,0)</f>
        <v>87</v>
      </c>
      <c r="G169" s="31">
        <f>ROUND((G121*'BGS Cost &amp; Bid Factors'!P$48)/100,0)</f>
        <v>81</v>
      </c>
      <c r="H169" s="5">
        <f>ROUND(H121*'BGS Cost &amp; Bid Factors'!Q$48/100+(H128*($L$169/4*'BGS Cost &amp; Bid Factors'!H$144)+H129*($L$169/4*'BGS Cost &amp; Bid Factors'!H$144))/1000,0)</f>
        <v>9235</v>
      </c>
      <c r="I169" s="5"/>
      <c r="J169" s="92"/>
      <c r="K169" s="133" t="s">
        <v>68</v>
      </c>
      <c r="L169" s="135">
        <v>349608.11464933609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3" thickBot="1" x14ac:dyDescent="0.45">
      <c r="A170" s="35"/>
      <c r="B170" s="85" t="s">
        <v>61</v>
      </c>
      <c r="C170" s="16">
        <f>ROUND(C132*'BGS Cost &amp; Bid Factors'!L$44/100,0)</f>
        <v>28775</v>
      </c>
      <c r="D170" s="188">
        <f>ROUND((D133*'BGS Cost &amp; Bid Factors'!M$45+D134*'BGS Cost &amp; Bid Factors'!M$46)/100,0)</f>
        <v>18</v>
      </c>
      <c r="E170" s="16">
        <f>ROUND(E132*'BGS Cost &amp; Bid Factors'!N$44/100,0)</f>
        <v>814</v>
      </c>
      <c r="F170" s="16">
        <f>ROUND(F132*'BGS Cost &amp; Bid Factors'!O$44/100,0)</f>
        <v>216</v>
      </c>
      <c r="G170" s="16">
        <f>ROUND(G132*'BGS Cost &amp; Bid Factors'!P$44/100,0)</f>
        <v>187</v>
      </c>
      <c r="H170" s="188">
        <f>ROUND(H132*'BGS Cost &amp; Bid Factors'!Q$44/100+(H136*($L$170/8*'BGS Cost &amp; Bid Factors'!H$145)+H137*($L$170/8*'BGS Cost &amp; Bid Factors'!H$145))/1000,0)</f>
        <v>15519</v>
      </c>
      <c r="I170" s="188"/>
      <c r="J170" s="92"/>
      <c r="K170" s="136" t="s">
        <v>61</v>
      </c>
      <c r="L170" s="137">
        <v>570677.95200059027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x14ac:dyDescent="0.4">
      <c r="A171" s="35"/>
      <c r="B171" s="85" t="s">
        <v>35</v>
      </c>
      <c r="C171" s="91">
        <f t="shared" ref="C171:H171" si="1">+C170+C169</f>
        <v>50388</v>
      </c>
      <c r="D171" s="91">
        <f t="shared" si="1"/>
        <v>25</v>
      </c>
      <c r="E171" s="91">
        <f t="shared" si="1"/>
        <v>1160</v>
      </c>
      <c r="F171" s="91">
        <f t="shared" si="1"/>
        <v>303</v>
      </c>
      <c r="G171" s="91">
        <f t="shared" si="1"/>
        <v>268</v>
      </c>
      <c r="H171" s="91">
        <f t="shared" si="1"/>
        <v>24754</v>
      </c>
      <c r="I171" s="92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x14ac:dyDescent="0.4">
      <c r="A172" s="35"/>
      <c r="B172" s="85"/>
      <c r="C172" s="91"/>
      <c r="D172" s="91"/>
      <c r="E172" s="91"/>
      <c r="F172" s="91"/>
      <c r="G172" s="91"/>
      <c r="H172" s="91"/>
      <c r="I172" s="92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x14ac:dyDescent="0.4">
      <c r="A173" s="35"/>
      <c r="B173" s="85" t="s">
        <v>35</v>
      </c>
      <c r="C173" s="91"/>
      <c r="D173" s="91"/>
      <c r="E173" s="91"/>
      <c r="F173" s="91"/>
      <c r="G173" s="91"/>
      <c r="H173" s="91"/>
      <c r="I173" s="92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x14ac:dyDescent="0.4">
      <c r="A174" s="35"/>
      <c r="B174" s="85" t="s">
        <v>68</v>
      </c>
      <c r="C174" s="91">
        <f>SUM(C169:H169)</f>
        <v>31369</v>
      </c>
      <c r="D174" s="91"/>
      <c r="E174" s="91"/>
      <c r="F174" s="91"/>
      <c r="G174" s="91"/>
      <c r="H174" s="91"/>
      <c r="I174" s="92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x14ac:dyDescent="0.4">
      <c r="A175" s="35"/>
      <c r="B175" s="85" t="s">
        <v>61</v>
      </c>
      <c r="C175" s="189">
        <f>SUM(C170:H170)</f>
        <v>45529</v>
      </c>
      <c r="D175" s="11"/>
      <c r="E175" s="37"/>
      <c r="F175" s="37"/>
      <c r="G175" s="37"/>
      <c r="H175" s="37"/>
      <c r="I175" s="92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x14ac:dyDescent="0.4">
      <c r="A176" s="35"/>
      <c r="B176" s="85" t="s">
        <v>35</v>
      </c>
      <c r="C176" s="91">
        <f>+C175+C174</f>
        <v>76898</v>
      </c>
      <c r="D176" s="11"/>
      <c r="E176" s="37"/>
      <c r="F176" s="37"/>
      <c r="G176" s="37"/>
      <c r="H176" s="5"/>
      <c r="I176" s="92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x14ac:dyDescent="0.4">
      <c r="A177" s="35"/>
      <c r="B177" s="85"/>
      <c r="C177" s="91"/>
      <c r="D177" s="37"/>
      <c r="E177" s="11"/>
      <c r="F177" s="37"/>
      <c r="G177" s="37"/>
      <c r="H177" s="37"/>
      <c r="I177" s="188"/>
      <c r="J177" s="92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x14ac:dyDescent="0.4">
      <c r="A178" s="35"/>
      <c r="B178" s="182" t="s">
        <v>382</v>
      </c>
      <c r="C178" s="53"/>
      <c r="D178" s="53"/>
      <c r="E178" s="53"/>
      <c r="F178" s="53"/>
      <c r="G178" s="53"/>
      <c r="H178" s="53"/>
      <c r="I178" s="91"/>
      <c r="J178" s="92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x14ac:dyDescent="0.4">
      <c r="A179" s="35"/>
      <c r="B179" s="37"/>
      <c r="C179" s="53"/>
      <c r="D179" s="53"/>
      <c r="E179" s="53"/>
      <c r="F179" s="53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x14ac:dyDescent="0.4">
      <c r="A180" s="35"/>
      <c r="B180" s="37" t="s">
        <v>364</v>
      </c>
      <c r="C180" s="11"/>
      <c r="D180" s="11"/>
      <c r="E180" s="11"/>
      <c r="F180" s="53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4.7" x14ac:dyDescent="0.7">
      <c r="A181" s="35"/>
      <c r="B181" s="37"/>
      <c r="C181" s="21" t="s">
        <v>35</v>
      </c>
      <c r="D181" s="21" t="s">
        <v>343</v>
      </c>
      <c r="E181" s="21" t="s">
        <v>365</v>
      </c>
      <c r="F181" s="271"/>
      <c r="G181" s="272"/>
      <c r="H181" s="272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  <row r="182" spans="1:35" x14ac:dyDescent="0.4">
      <c r="A182" s="35"/>
      <c r="B182" s="85" t="s">
        <v>68</v>
      </c>
      <c r="C182" s="91">
        <f>'Weighted Avg Price Calc'!G$29/1000</f>
        <v>28058.975999999999</v>
      </c>
      <c r="D182" s="153">
        <v>0</v>
      </c>
      <c r="E182" s="91">
        <f>C182-D182</f>
        <v>28058.975999999999</v>
      </c>
      <c r="F182" s="271"/>
      <c r="G182" s="272">
        <f>ROUND('BGS Cost &amp; Bid Factors'!$C$147*SUM('BGS Cost &amp; Bid Factors'!$C$141:$H$141)/12*'BGS Cost &amp; Bid Factors'!H$144/1000*'BGS Cost &amp; Bid Factors'!D447,0)</f>
        <v>4516</v>
      </c>
      <c r="H182" s="272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</row>
    <row r="183" spans="1:35" ht="14.7" x14ac:dyDescent="0.7">
      <c r="A183" s="35"/>
      <c r="B183" s="85" t="s">
        <v>61</v>
      </c>
      <c r="C183" s="210">
        <f>'Weighted Avg Price Calc'!G$30/1000</f>
        <v>40764.928</v>
      </c>
      <c r="D183" s="210">
        <v>0</v>
      </c>
      <c r="E183" s="210">
        <f>C183-D183</f>
        <v>40764.928</v>
      </c>
      <c r="F183" s="271"/>
      <c r="G183" s="272">
        <f>ROUND('BGS Cost &amp; Bid Factors'!$C$147*SUM('BGS Cost &amp; Bid Factors'!$C$141:$H$141)/12*'BGS Cost &amp; Bid Factors'!H$145/1000*'BGS Cost &amp; Bid Factors'!D447,0)</f>
        <v>9031</v>
      </c>
      <c r="H183" s="272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</row>
    <row r="184" spans="1:35" x14ac:dyDescent="0.4">
      <c r="A184" s="35"/>
      <c r="B184" s="85" t="s">
        <v>35</v>
      </c>
      <c r="C184" s="91">
        <f>+C183+C182</f>
        <v>68823.903999999995</v>
      </c>
      <c r="D184" s="91">
        <f>D182+D183</f>
        <v>0</v>
      </c>
      <c r="E184" s="91">
        <f>E182+E183</f>
        <v>68823.903999999995</v>
      </c>
      <c r="F184" s="271"/>
      <c r="G184" s="272"/>
      <c r="H184" s="272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</row>
    <row r="185" spans="1:35" x14ac:dyDescent="0.4">
      <c r="A185" s="35"/>
      <c r="B185" s="37"/>
      <c r="C185" s="11"/>
      <c r="D185" s="11"/>
      <c r="E185" s="11"/>
      <c r="F185" s="271"/>
      <c r="G185" s="272"/>
      <c r="H185" s="272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</row>
    <row r="186" spans="1:35" x14ac:dyDescent="0.4">
      <c r="A186" s="35"/>
      <c r="B186" s="37" t="s">
        <v>366</v>
      </c>
      <c r="C186" s="11"/>
      <c r="D186" s="11"/>
      <c r="E186" s="11"/>
      <c r="F186" s="53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</row>
    <row r="187" spans="1:35" ht="14.7" x14ac:dyDescent="0.7">
      <c r="A187" s="35"/>
      <c r="B187" s="37"/>
      <c r="C187" s="21" t="s">
        <v>35</v>
      </c>
      <c r="D187" s="21" t="s">
        <v>343</v>
      </c>
      <c r="E187" s="21" t="s">
        <v>365</v>
      </c>
      <c r="F187" s="53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</row>
    <row r="188" spans="1:35" x14ac:dyDescent="0.4">
      <c r="A188" s="35"/>
      <c r="B188" s="85" t="s">
        <v>68</v>
      </c>
      <c r="C188" s="91">
        <f>ROUND($E$251*1000*'Weighted Avg Price Calc'!E42/100/1000,0)</f>
        <v>3309</v>
      </c>
      <c r="D188" s="91">
        <v>0</v>
      </c>
      <c r="E188" s="91">
        <f>C188-D188</f>
        <v>3309</v>
      </c>
      <c r="F188" s="53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</row>
    <row r="189" spans="1:35" ht="14.7" x14ac:dyDescent="0.7">
      <c r="A189" s="35"/>
      <c r="B189" s="85" t="s">
        <v>61</v>
      </c>
      <c r="C189" s="210">
        <f>ROUND($E$252*1000*'Weighted Avg Price Calc'!E42/100/1000,0)</f>
        <v>4763</v>
      </c>
      <c r="D189" s="210">
        <v>0</v>
      </c>
      <c r="E189" s="210">
        <f>C189-D189</f>
        <v>4763</v>
      </c>
      <c r="F189" s="53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</row>
    <row r="190" spans="1:35" x14ac:dyDescent="0.4">
      <c r="A190" s="35"/>
      <c r="B190" s="85" t="s">
        <v>35</v>
      </c>
      <c r="C190" s="91">
        <f>+C189+C188</f>
        <v>8072</v>
      </c>
      <c r="D190" s="91">
        <f>D188+D189</f>
        <v>0</v>
      </c>
      <c r="E190" s="91">
        <f>E188+E189</f>
        <v>8072</v>
      </c>
      <c r="F190" s="53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</row>
    <row r="191" spans="1:35" x14ac:dyDescent="0.4">
      <c r="A191" s="35"/>
      <c r="B191" s="37"/>
      <c r="C191" s="11"/>
      <c r="D191" s="11"/>
      <c r="E191" s="11"/>
      <c r="F191" s="53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</row>
    <row r="192" spans="1:35" x14ac:dyDescent="0.4">
      <c r="A192" s="35"/>
      <c r="B192" s="37" t="s">
        <v>367</v>
      </c>
      <c r="C192" s="53"/>
      <c r="D192" s="53"/>
      <c r="E192" s="53"/>
      <c r="F192" s="53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</row>
    <row r="193" spans="1:35" ht="14.7" x14ac:dyDescent="0.7">
      <c r="A193" s="35"/>
      <c r="B193" s="37"/>
      <c r="C193" s="21" t="s">
        <v>35</v>
      </c>
      <c r="D193" s="21" t="s">
        <v>343</v>
      </c>
      <c r="E193" s="21" t="s">
        <v>365</v>
      </c>
      <c r="F193" s="11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</row>
    <row r="194" spans="1:35" x14ac:dyDescent="0.4">
      <c r="A194" s="35"/>
      <c r="B194" s="85" t="s">
        <v>68</v>
      </c>
      <c r="C194" s="91">
        <f>C182+C188</f>
        <v>31367.975999999999</v>
      </c>
      <c r="D194" s="91">
        <f>D182+D188</f>
        <v>0</v>
      </c>
      <c r="E194" s="91">
        <f>C194-D194</f>
        <v>31367.975999999999</v>
      </c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</row>
    <row r="195" spans="1:35" ht="14.7" x14ac:dyDescent="0.7">
      <c r="A195" s="35"/>
      <c r="B195" s="85" t="s">
        <v>61</v>
      </c>
      <c r="C195" s="210">
        <f>C183+C189</f>
        <v>45527.928</v>
      </c>
      <c r="D195" s="210">
        <f>D183+D189</f>
        <v>0</v>
      </c>
      <c r="E195" s="210">
        <f>C195-D195</f>
        <v>45527.928</v>
      </c>
      <c r="F195" s="37"/>
      <c r="G195" s="37"/>
      <c r="H195" s="37"/>
      <c r="I195" s="37"/>
      <c r="J195" s="92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</row>
    <row r="196" spans="1:35" x14ac:dyDescent="0.4">
      <c r="A196" s="35"/>
      <c r="B196" s="85" t="s">
        <v>35</v>
      </c>
      <c r="C196" s="91">
        <f>+C195+C194</f>
        <v>76895.903999999995</v>
      </c>
      <c r="D196" s="91">
        <f>D194+D195</f>
        <v>0</v>
      </c>
      <c r="E196" s="91">
        <f>E194+E195</f>
        <v>76895.903999999995</v>
      </c>
      <c r="F196" s="37"/>
      <c r="G196" s="37"/>
      <c r="H196" s="37"/>
      <c r="I196" s="37"/>
      <c r="J196" s="92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</row>
    <row r="197" spans="1:35" x14ac:dyDescent="0.4">
      <c r="A197" s="35"/>
      <c r="B197" s="37"/>
      <c r="C197" s="11"/>
      <c r="D197" s="19"/>
      <c r="E197" s="11"/>
      <c r="F197" s="180"/>
      <c r="G197" s="37"/>
      <c r="H197" s="37"/>
      <c r="I197" s="37"/>
      <c r="J197" s="92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</row>
    <row r="198" spans="1:35" x14ac:dyDescent="0.4">
      <c r="A198" s="35"/>
      <c r="B198" s="37" t="s">
        <v>292</v>
      </c>
      <c r="C198" s="37"/>
      <c r="D198" s="37"/>
      <c r="E198" s="37"/>
      <c r="F198" s="37"/>
      <c r="G198" s="67"/>
      <c r="H198" s="37"/>
      <c r="I198" s="37"/>
      <c r="J198" s="92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</row>
    <row r="199" spans="1:35" x14ac:dyDescent="0.4">
      <c r="A199" s="35"/>
      <c r="B199" s="37"/>
      <c r="C199" s="67" t="s">
        <v>337</v>
      </c>
      <c r="D199" s="67" t="s">
        <v>337</v>
      </c>
      <c r="E199" s="67"/>
      <c r="F199" s="37"/>
      <c r="G199" s="67"/>
      <c r="H199" s="37"/>
      <c r="I199" s="37"/>
      <c r="J199" s="92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</row>
    <row r="200" spans="1:35" x14ac:dyDescent="0.4">
      <c r="A200" s="35"/>
      <c r="B200" s="67"/>
      <c r="C200" s="164" t="s">
        <v>370</v>
      </c>
      <c r="D200" s="164" t="s">
        <v>371</v>
      </c>
      <c r="E200" s="164" t="s">
        <v>372</v>
      </c>
      <c r="F200" s="37"/>
      <c r="G200" s="164"/>
      <c r="H200" s="37"/>
      <c r="I200" s="92"/>
      <c r="J200" s="92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</row>
    <row r="201" spans="1:35" x14ac:dyDescent="0.4">
      <c r="A201" s="35"/>
      <c r="B201" s="85" t="s">
        <v>68</v>
      </c>
      <c r="C201" s="91">
        <f>C174</f>
        <v>31369</v>
      </c>
      <c r="D201" s="91">
        <f>E194</f>
        <v>31367.975999999999</v>
      </c>
      <c r="E201" s="91">
        <f>D201-C201</f>
        <v>-1.0240000000012515</v>
      </c>
      <c r="F201" s="37"/>
      <c r="G201" s="37"/>
      <c r="H201" s="37"/>
      <c r="I201" s="92"/>
      <c r="J201" s="92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</row>
    <row r="202" spans="1:35" x14ac:dyDescent="0.4">
      <c r="A202" s="35"/>
      <c r="B202" s="85" t="s">
        <v>61</v>
      </c>
      <c r="C202" s="189">
        <f>C175</f>
        <v>45529</v>
      </c>
      <c r="D202" s="189">
        <f>E195</f>
        <v>45527.928</v>
      </c>
      <c r="E202" s="189">
        <f>D202-C202</f>
        <v>-1.0720000000001164</v>
      </c>
      <c r="F202" s="37"/>
      <c r="G202" s="37"/>
      <c r="H202" s="37"/>
      <c r="I202" s="92"/>
      <c r="J202" s="92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</row>
    <row r="203" spans="1:35" x14ac:dyDescent="0.4">
      <c r="A203" s="35"/>
      <c r="B203" s="85" t="s">
        <v>35</v>
      </c>
      <c r="C203" s="91">
        <f>+C202+C201</f>
        <v>76898</v>
      </c>
      <c r="D203" s="91">
        <f>+D202+D201</f>
        <v>76895.903999999995</v>
      </c>
      <c r="E203" s="91">
        <f>+E202+E201</f>
        <v>-2.0960000000013679</v>
      </c>
      <c r="F203" s="37"/>
      <c r="G203" s="37"/>
      <c r="H203" s="37"/>
      <c r="I203" s="92"/>
      <c r="J203" s="92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</row>
    <row r="204" spans="1:35" x14ac:dyDescent="0.4">
      <c r="A204" s="35"/>
      <c r="B204" s="67"/>
      <c r="C204" s="37"/>
      <c r="D204" s="37"/>
      <c r="E204" s="37"/>
      <c r="F204" s="37"/>
      <c r="G204" s="37"/>
      <c r="H204" s="37"/>
      <c r="I204" s="92"/>
      <c r="J204" s="92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</row>
    <row r="205" spans="1:35" x14ac:dyDescent="0.4">
      <c r="A205" s="84"/>
      <c r="B205" s="47" t="s">
        <v>274</v>
      </c>
      <c r="C205" s="37"/>
      <c r="D205" s="37"/>
      <c r="E205" s="37"/>
      <c r="F205" s="37"/>
      <c r="G205" s="37"/>
      <c r="H205" s="37"/>
      <c r="I205" s="37"/>
      <c r="J205" s="92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</row>
    <row r="206" spans="1:35" x14ac:dyDescent="0.4">
      <c r="A206" s="84"/>
      <c r="B206" s="47"/>
      <c r="C206" s="37"/>
      <c r="D206" s="37"/>
      <c r="E206" s="37"/>
      <c r="F206" s="37"/>
      <c r="G206" s="37"/>
      <c r="H206" s="37"/>
      <c r="I206" s="37"/>
      <c r="J206" s="92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</row>
    <row r="207" spans="1:35" x14ac:dyDescent="0.4">
      <c r="A207" s="84"/>
      <c r="B207" s="108" t="s">
        <v>275</v>
      </c>
      <c r="C207" s="37"/>
      <c r="D207" s="37"/>
      <c r="E207" s="37"/>
      <c r="F207" s="37"/>
      <c r="G207" s="37"/>
      <c r="H207" s="37"/>
      <c r="I207" s="37"/>
      <c r="J207" s="92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</row>
    <row r="208" spans="1:35" x14ac:dyDescent="0.4">
      <c r="A208" s="84"/>
      <c r="B208" s="35"/>
      <c r="C208" s="53" t="str">
        <f t="shared" ref="C208" si="2">C55</f>
        <v>SC1/SC5</v>
      </c>
      <c r="D208" s="53" t="str">
        <f>D55</f>
        <v>SC3</v>
      </c>
      <c r="E208" s="53" t="str">
        <f>E55</f>
        <v>SC2 ND</v>
      </c>
      <c r="F208" s="53" t="str">
        <f>F55</f>
        <v>SC4</v>
      </c>
      <c r="G208" s="53" t="str">
        <f>G55</f>
        <v>SC6</v>
      </c>
      <c r="H208" s="53" t="str">
        <f>H55</f>
        <v>SC2 Dem</v>
      </c>
      <c r="I208" s="92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</row>
    <row r="209" spans="1:35" x14ac:dyDescent="0.4">
      <c r="A209" s="84"/>
      <c r="B209" s="35" t="s">
        <v>276</v>
      </c>
      <c r="C209" s="94">
        <f>'BGS Cost &amp; Bid Factors'!C538</f>
        <v>1.421</v>
      </c>
      <c r="D209" s="94">
        <f>'BGS Cost &amp; Bid Factors'!D538</f>
        <v>1.421</v>
      </c>
      <c r="E209" s="94">
        <f>'BGS Cost &amp; Bid Factors'!E538</f>
        <v>0.52300000000000002</v>
      </c>
      <c r="F209" s="94">
        <f>'BGS Cost &amp; Bid Factors'!F538</f>
        <v>1.147</v>
      </c>
      <c r="G209" s="94">
        <f>'BGS Cost &amp; Bid Factors'!G538</f>
        <v>1.147</v>
      </c>
      <c r="H209" s="94">
        <f>'BGS Cost &amp; Bid Factors'!H538</f>
        <v>0.52300000000000002</v>
      </c>
      <c r="I209" s="92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</row>
    <row r="210" spans="1:35" x14ac:dyDescent="0.4">
      <c r="A210" s="84"/>
      <c r="B210" s="35" t="s">
        <v>383</v>
      </c>
      <c r="C210" s="37"/>
      <c r="D210" s="37"/>
      <c r="E210" s="37"/>
      <c r="F210" s="37"/>
      <c r="G210" s="37"/>
      <c r="H210" s="171">
        <f>'BGS Cost &amp; Bid Factors'!H539</f>
        <v>1.32</v>
      </c>
      <c r="I210" s="92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</row>
    <row r="211" spans="1:35" x14ac:dyDescent="0.4">
      <c r="A211" s="35"/>
      <c r="B211" s="37"/>
      <c r="C211" s="37"/>
      <c r="D211" s="37"/>
      <c r="E211" s="37"/>
      <c r="F211" s="37"/>
      <c r="G211" s="37"/>
      <c r="H211" s="171">
        <f>'BGS Cost &amp; Bid Factors'!H540</f>
        <v>1.1100000000000001</v>
      </c>
      <c r="I211" s="92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</row>
    <row r="212" spans="1:35" x14ac:dyDescent="0.4">
      <c r="A212" s="35"/>
      <c r="B212" s="37"/>
      <c r="C212" s="37"/>
      <c r="D212" s="37"/>
      <c r="E212" s="37"/>
      <c r="F212" s="37"/>
      <c r="G212" s="37"/>
      <c r="H212" s="37"/>
      <c r="I212" s="92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</row>
    <row r="213" spans="1:35" x14ac:dyDescent="0.4">
      <c r="A213" s="35"/>
      <c r="B213" s="37"/>
      <c r="C213" s="37"/>
      <c r="D213" s="37"/>
      <c r="E213" s="37"/>
      <c r="F213" s="37"/>
      <c r="G213" s="37"/>
      <c r="H213" s="37"/>
      <c r="I213" s="92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</row>
    <row r="214" spans="1:35" x14ac:dyDescent="0.4">
      <c r="A214" s="35"/>
      <c r="B214" s="108" t="s">
        <v>279</v>
      </c>
      <c r="C214" s="37"/>
      <c r="D214" s="37"/>
      <c r="E214" s="37"/>
      <c r="F214" s="37"/>
      <c r="G214" s="37"/>
      <c r="H214" s="37"/>
      <c r="I214" s="92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</row>
    <row r="215" spans="1:35" x14ac:dyDescent="0.4">
      <c r="A215" s="35"/>
      <c r="B215" s="37"/>
      <c r="C215" s="37"/>
      <c r="D215" s="37"/>
      <c r="E215" s="37"/>
      <c r="F215" s="37"/>
      <c r="G215" s="37"/>
      <c r="H215" s="37"/>
      <c r="I215" s="92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</row>
    <row r="216" spans="1:35" x14ac:dyDescent="0.4">
      <c r="A216" s="35"/>
      <c r="B216" s="37"/>
      <c r="C216" s="37"/>
      <c r="D216" s="37"/>
      <c r="E216" s="37"/>
      <c r="F216" s="37"/>
      <c r="G216" s="37"/>
      <c r="H216" s="37"/>
      <c r="I216" s="92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</row>
    <row r="217" spans="1:35" x14ac:dyDescent="0.4">
      <c r="A217" s="35"/>
      <c r="B217" s="182" t="s">
        <v>68</v>
      </c>
      <c r="C217" s="37"/>
      <c r="D217" s="37"/>
      <c r="E217" s="37"/>
      <c r="F217" s="37"/>
      <c r="G217" s="37"/>
      <c r="H217" s="37"/>
      <c r="I217" s="92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</row>
    <row r="218" spans="1:35" x14ac:dyDescent="0.4">
      <c r="A218" s="35"/>
      <c r="B218" s="69" t="s">
        <v>265</v>
      </c>
      <c r="C218" s="105">
        <f t="shared" ref="C218:H225" si="3">IF(C121&gt;0,C121+C$209,"")</f>
        <v>8.9949999999999992</v>
      </c>
      <c r="D218" s="105" t="str">
        <f t="shared" si="3"/>
        <v/>
      </c>
      <c r="E218" s="105">
        <f t="shared" si="3"/>
        <v>7.3789999999999996</v>
      </c>
      <c r="F218" s="105">
        <f t="shared" si="3"/>
        <v>6.5979999999999999</v>
      </c>
      <c r="G218" s="105">
        <f t="shared" si="3"/>
        <v>6.6059999999999999</v>
      </c>
      <c r="H218" s="105">
        <f t="shared" si="3"/>
        <v>6.2079999999999993</v>
      </c>
      <c r="I218" s="92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</row>
    <row r="219" spans="1:35" x14ac:dyDescent="0.4">
      <c r="A219" s="35"/>
      <c r="B219" s="69" t="s">
        <v>266</v>
      </c>
      <c r="C219" s="105" t="str">
        <f t="shared" si="3"/>
        <v/>
      </c>
      <c r="D219" s="105">
        <f t="shared" si="3"/>
        <v>16.126000000000001</v>
      </c>
      <c r="E219" s="105" t="str">
        <f t="shared" si="3"/>
        <v/>
      </c>
      <c r="F219" s="105" t="str">
        <f t="shared" si="3"/>
        <v/>
      </c>
      <c r="G219" s="105" t="str">
        <f t="shared" si="3"/>
        <v/>
      </c>
      <c r="H219" s="105" t="str">
        <f t="shared" si="3"/>
        <v/>
      </c>
      <c r="I219" s="92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</row>
    <row r="220" spans="1:35" x14ac:dyDescent="0.4">
      <c r="A220" s="35"/>
      <c r="B220" s="69" t="s">
        <v>267</v>
      </c>
      <c r="C220" s="105" t="str">
        <f t="shared" si="3"/>
        <v/>
      </c>
      <c r="D220" s="105">
        <f t="shared" si="3"/>
        <v>6.407</v>
      </c>
      <c r="E220" s="105" t="str">
        <f t="shared" si="3"/>
        <v/>
      </c>
      <c r="F220" s="105" t="str">
        <f t="shared" si="3"/>
        <v/>
      </c>
      <c r="G220" s="105" t="str">
        <f t="shared" si="3"/>
        <v/>
      </c>
      <c r="H220" s="105" t="str">
        <f t="shared" si="3"/>
        <v/>
      </c>
      <c r="I220" s="92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</row>
    <row r="221" spans="1:35" x14ac:dyDescent="0.4">
      <c r="A221" s="35"/>
      <c r="B221" s="67" t="s">
        <v>40</v>
      </c>
      <c r="C221" s="105">
        <f t="shared" si="3"/>
        <v>6.5609999999999999</v>
      </c>
      <c r="D221" s="105" t="str">
        <f t="shared" si="3"/>
        <v/>
      </c>
      <c r="E221" s="105" t="str">
        <f t="shared" si="3"/>
        <v/>
      </c>
      <c r="F221" s="105" t="str">
        <f t="shared" si="3"/>
        <v/>
      </c>
      <c r="G221" s="105" t="str">
        <f t="shared" si="3"/>
        <v/>
      </c>
      <c r="H221" s="105" t="str">
        <f t="shared" si="3"/>
        <v/>
      </c>
      <c r="I221" s="92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</row>
    <row r="222" spans="1:35" x14ac:dyDescent="0.4">
      <c r="A222" s="35"/>
      <c r="B222" s="69" t="s">
        <v>41</v>
      </c>
      <c r="C222" s="105">
        <f t="shared" si="3"/>
        <v>10.904</v>
      </c>
      <c r="D222" s="105" t="str">
        <f t="shared" si="3"/>
        <v/>
      </c>
      <c r="E222" s="105" t="str">
        <f t="shared" si="3"/>
        <v/>
      </c>
      <c r="F222" s="105" t="str">
        <f t="shared" si="3"/>
        <v/>
      </c>
      <c r="G222" s="105" t="str">
        <f t="shared" si="3"/>
        <v/>
      </c>
      <c r="H222" s="105" t="str">
        <f t="shared" si="3"/>
        <v/>
      </c>
      <c r="I222" s="92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</row>
    <row r="223" spans="1:35" x14ac:dyDescent="0.4">
      <c r="A223" s="35"/>
      <c r="B223" s="105"/>
      <c r="C223" s="105"/>
      <c r="D223" s="105" t="str">
        <f t="shared" si="3"/>
        <v/>
      </c>
      <c r="E223" s="105" t="str">
        <f t="shared" si="3"/>
        <v/>
      </c>
      <c r="F223" s="105" t="str">
        <f t="shared" si="3"/>
        <v/>
      </c>
      <c r="G223" s="105" t="str">
        <f t="shared" si="3"/>
        <v/>
      </c>
      <c r="H223" s="105" t="str">
        <f t="shared" si="3"/>
        <v/>
      </c>
      <c r="I223" s="92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</row>
    <row r="224" spans="1:35" x14ac:dyDescent="0.4">
      <c r="A224" s="35"/>
      <c r="B224" s="37"/>
      <c r="C224" s="105" t="str">
        <f t="shared" si="3"/>
        <v/>
      </c>
      <c r="D224" s="105" t="str">
        <f t="shared" si="3"/>
        <v/>
      </c>
      <c r="E224" s="105" t="str">
        <f t="shared" si="3"/>
        <v/>
      </c>
      <c r="F224" s="105" t="str">
        <f t="shared" si="3"/>
        <v/>
      </c>
      <c r="G224" s="105" t="str">
        <f t="shared" si="3"/>
        <v/>
      </c>
      <c r="H224" s="105" t="str">
        <f t="shared" si="3"/>
        <v/>
      </c>
      <c r="I224" s="92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</row>
    <row r="225" spans="1:35" x14ac:dyDescent="0.4">
      <c r="A225" s="35"/>
      <c r="B225" s="67" t="s">
        <v>268</v>
      </c>
      <c r="C225" s="105" t="str">
        <f t="shared" si="3"/>
        <v/>
      </c>
      <c r="D225" s="105" t="str">
        <f>IF(D128&gt;0,D128+D$209,"")</f>
        <v/>
      </c>
      <c r="E225" s="105" t="str">
        <f>IF(E128&gt;0,E128+E$209,"")</f>
        <v/>
      </c>
      <c r="F225" s="105" t="str">
        <f>IF(F128&gt;0,F128+F$209,"")</f>
        <v/>
      </c>
      <c r="G225" s="105" t="str">
        <f>IF(G128&gt;0,G128+G$209,"")</f>
        <v/>
      </c>
      <c r="H225" s="105">
        <f>IF(H128&gt;0,H128+H$210,"")</f>
        <v>3.1589999999999998</v>
      </c>
      <c r="I225" s="92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</row>
    <row r="226" spans="1:35" x14ac:dyDescent="0.4">
      <c r="A226" s="35"/>
      <c r="B226" s="67" t="s">
        <v>269</v>
      </c>
      <c r="C226" s="37"/>
      <c r="D226" s="37"/>
      <c r="E226" s="37"/>
      <c r="F226" s="37"/>
      <c r="G226" s="37"/>
      <c r="H226" s="105">
        <f>IF(H129&gt;0,H129+H$210,"")</f>
        <v>6.1680000000000001</v>
      </c>
      <c r="I226" s="92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</row>
    <row r="227" spans="1:35" x14ac:dyDescent="0.4">
      <c r="A227" s="35"/>
      <c r="B227" s="67"/>
      <c r="C227" s="37"/>
      <c r="D227" s="37"/>
      <c r="E227" s="37"/>
      <c r="F227" s="37"/>
      <c r="G227" s="37"/>
      <c r="H227" s="37"/>
      <c r="I227" s="92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</row>
    <row r="228" spans="1:35" x14ac:dyDescent="0.4">
      <c r="A228" s="35"/>
      <c r="B228" s="182" t="s">
        <v>61</v>
      </c>
      <c r="C228" s="37"/>
      <c r="D228" s="37"/>
      <c r="E228" s="37"/>
      <c r="F228" s="37"/>
      <c r="G228" s="37"/>
      <c r="H228" s="37"/>
      <c r="I228" s="92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</row>
    <row r="229" spans="1:35" x14ac:dyDescent="0.4">
      <c r="A229" s="35"/>
      <c r="B229" s="69" t="s">
        <v>265</v>
      </c>
      <c r="C229" s="105">
        <f t="shared" ref="C229:H233" si="4">IF(C132&gt;0,C132+C$209,"")</f>
        <v>9.2729999999999997</v>
      </c>
      <c r="D229" s="105" t="str">
        <f t="shared" si="4"/>
        <v/>
      </c>
      <c r="E229" s="105">
        <f t="shared" si="4"/>
        <v>6.7709999999999999</v>
      </c>
      <c r="F229" s="105">
        <f t="shared" si="4"/>
        <v>6.4110000000000005</v>
      </c>
      <c r="G229" s="105">
        <f t="shared" si="4"/>
        <v>6.391</v>
      </c>
      <c r="H229" s="105">
        <f t="shared" si="4"/>
        <v>5.9639999999999995</v>
      </c>
      <c r="I229" s="92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</row>
    <row r="230" spans="1:35" x14ac:dyDescent="0.4">
      <c r="A230" s="35"/>
      <c r="B230" s="69" t="s">
        <v>266</v>
      </c>
      <c r="C230" s="105" t="str">
        <f t="shared" si="4"/>
        <v/>
      </c>
      <c r="D230" s="105">
        <f t="shared" si="4"/>
        <v>11.542</v>
      </c>
      <c r="E230" s="105" t="str">
        <f t="shared" si="4"/>
        <v/>
      </c>
      <c r="F230" s="105" t="str">
        <f t="shared" si="4"/>
        <v/>
      </c>
      <c r="G230" s="105" t="str">
        <f t="shared" si="4"/>
        <v/>
      </c>
      <c r="H230" s="105" t="str">
        <f t="shared" si="4"/>
        <v/>
      </c>
      <c r="I230" s="92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</row>
    <row r="231" spans="1:35" x14ac:dyDescent="0.4">
      <c r="A231" s="35"/>
      <c r="B231" s="69" t="s">
        <v>267</v>
      </c>
      <c r="C231" s="105" t="str">
        <f t="shared" si="4"/>
        <v/>
      </c>
      <c r="D231" s="105">
        <f t="shared" si="4"/>
        <v>6.4780000000000006</v>
      </c>
      <c r="E231" s="105" t="str">
        <f t="shared" si="4"/>
        <v/>
      </c>
      <c r="F231" s="105" t="str">
        <f t="shared" si="4"/>
        <v/>
      </c>
      <c r="G231" s="105" t="str">
        <f t="shared" si="4"/>
        <v/>
      </c>
      <c r="H231" s="105" t="str">
        <f t="shared" si="4"/>
        <v/>
      </c>
      <c r="I231" s="92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</row>
    <row r="232" spans="1:35" x14ac:dyDescent="0.4">
      <c r="A232" s="35"/>
      <c r="B232" s="37"/>
      <c r="C232" s="105" t="str">
        <f t="shared" si="4"/>
        <v/>
      </c>
      <c r="D232" s="105" t="str">
        <f t="shared" si="4"/>
        <v/>
      </c>
      <c r="E232" s="105" t="str">
        <f t="shared" si="4"/>
        <v/>
      </c>
      <c r="F232" s="105" t="str">
        <f t="shared" si="4"/>
        <v/>
      </c>
      <c r="G232" s="105" t="str">
        <f t="shared" si="4"/>
        <v/>
      </c>
      <c r="H232" s="105" t="str">
        <f t="shared" si="4"/>
        <v/>
      </c>
      <c r="I232" s="92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</row>
    <row r="233" spans="1:35" x14ac:dyDescent="0.4">
      <c r="A233" s="35"/>
      <c r="B233" s="67" t="s">
        <v>268</v>
      </c>
      <c r="C233" s="105" t="str">
        <f t="shared" si="4"/>
        <v/>
      </c>
      <c r="D233" s="105" t="str">
        <f>IF(D136&gt;0,D136+D$209,"")</f>
        <v/>
      </c>
      <c r="E233" s="105" t="str">
        <f>IF(E136&gt;0,E136+E$209,"")</f>
        <v/>
      </c>
      <c r="F233" s="105" t="str">
        <f>IF(F136&gt;0,F136+F$209,"")</f>
        <v/>
      </c>
      <c r="G233" s="105" t="str">
        <f>IF(G136&gt;0,G136+G$209,"")</f>
        <v/>
      </c>
      <c r="H233" s="105">
        <f>IF(H136&gt;0,H136+H$211,"")</f>
        <v>3.2880000000000003</v>
      </c>
      <c r="I233" s="92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</row>
    <row r="234" spans="1:35" x14ac:dyDescent="0.4">
      <c r="A234" s="35"/>
      <c r="B234" s="67" t="s">
        <v>269</v>
      </c>
      <c r="C234" s="37"/>
      <c r="D234" s="37"/>
      <c r="E234" s="37"/>
      <c r="F234" s="37"/>
      <c r="G234" s="37"/>
      <c r="H234" s="105">
        <f>IF(H137&gt;0,H137+H$211,"")</f>
        <v>5.593</v>
      </c>
      <c r="I234" s="92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</row>
    <row r="235" spans="1:35" x14ac:dyDescent="0.4">
      <c r="A235" s="35"/>
      <c r="B235" s="67"/>
      <c r="C235" s="37"/>
      <c r="D235" s="37"/>
      <c r="E235" s="37"/>
      <c r="F235" s="37"/>
      <c r="G235" s="37"/>
      <c r="H235" s="37"/>
      <c r="I235" s="92"/>
      <c r="J235" s="92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</row>
    <row r="236" spans="1:35" ht="13" thickBot="1" x14ac:dyDescent="0.45">
      <c r="A236" s="35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</row>
    <row r="237" spans="1:35" ht="13" thickBot="1" x14ac:dyDescent="0.45">
      <c r="A237" s="215" t="s">
        <v>384</v>
      </c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</row>
    <row r="238" spans="1:35" ht="13" thickBot="1" x14ac:dyDescent="0.45">
      <c r="A238" s="35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</row>
    <row r="239" spans="1:35" x14ac:dyDescent="0.4">
      <c r="A239" s="35"/>
      <c r="B239" s="218" t="s">
        <v>385</v>
      </c>
      <c r="C239" s="219"/>
      <c r="D239" s="219"/>
      <c r="E239" s="220"/>
      <c r="F239" s="132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</row>
    <row r="240" spans="1:35" x14ac:dyDescent="0.4">
      <c r="A240" s="35"/>
      <c r="B240" s="221"/>
      <c r="C240" s="53"/>
      <c r="D240" s="53"/>
      <c r="E240" s="92"/>
      <c r="F240" s="134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</row>
    <row r="241" spans="1:35" x14ac:dyDescent="0.4">
      <c r="A241" s="35"/>
      <c r="B241" s="222" t="s">
        <v>386</v>
      </c>
      <c r="C241" s="53"/>
      <c r="D241" s="53"/>
      <c r="E241" s="92"/>
      <c r="F241" s="134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</row>
    <row r="242" spans="1:35" x14ac:dyDescent="0.4">
      <c r="A242" s="35"/>
      <c r="B242" s="221"/>
      <c r="C242" s="53"/>
      <c r="D242" s="52" t="s">
        <v>387</v>
      </c>
      <c r="E242" s="223" t="s">
        <v>388</v>
      </c>
      <c r="F242" s="224" t="s">
        <v>35</v>
      </c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</row>
    <row r="243" spans="1:35" x14ac:dyDescent="0.4">
      <c r="A243" s="35"/>
      <c r="B243" s="221"/>
      <c r="C243" s="53"/>
      <c r="D243" s="53"/>
      <c r="E243" s="92"/>
      <c r="F243" s="134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</row>
    <row r="244" spans="1:35" x14ac:dyDescent="0.4">
      <c r="A244" s="35"/>
      <c r="B244" s="221"/>
      <c r="C244" s="53" t="s">
        <v>68</v>
      </c>
      <c r="D244" s="225">
        <v>368374</v>
      </c>
      <c r="E244" s="225">
        <v>46507</v>
      </c>
      <c r="F244" s="226">
        <f>SUM(D244:E244)</f>
        <v>414881</v>
      </c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</row>
    <row r="245" spans="1:35" x14ac:dyDescent="0.4">
      <c r="A245" s="35"/>
      <c r="B245" s="221"/>
      <c r="C245" s="53" t="s">
        <v>61</v>
      </c>
      <c r="D245" s="225">
        <v>535213</v>
      </c>
      <c r="E245" s="225">
        <v>67570</v>
      </c>
      <c r="F245" s="226">
        <f>SUM(D245:E245)</f>
        <v>602783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</row>
    <row r="246" spans="1:35" x14ac:dyDescent="0.4">
      <c r="A246" s="35"/>
      <c r="B246" s="221"/>
      <c r="C246" s="227" t="s">
        <v>35</v>
      </c>
      <c r="D246" s="228">
        <f>SUM(D244:D245)</f>
        <v>903587</v>
      </c>
      <c r="E246" s="228">
        <f t="shared" ref="E246:F246" si="5">SUM(E244:E245)</f>
        <v>114077</v>
      </c>
      <c r="F246" s="228">
        <f t="shared" si="5"/>
        <v>1017664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</row>
    <row r="247" spans="1:35" x14ac:dyDescent="0.4">
      <c r="A247" s="35"/>
      <c r="B247" s="221"/>
      <c r="C247" s="53"/>
      <c r="D247" s="53"/>
      <c r="E247" s="92"/>
      <c r="F247" s="134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</row>
    <row r="248" spans="1:35" x14ac:dyDescent="0.4">
      <c r="A248" s="35"/>
      <c r="B248" s="222" t="s">
        <v>389</v>
      </c>
      <c r="C248" s="53"/>
      <c r="D248" s="53"/>
      <c r="E248" s="92"/>
      <c r="F248" s="134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</row>
    <row r="249" spans="1:35" x14ac:dyDescent="0.4">
      <c r="A249" s="35"/>
      <c r="B249" s="221"/>
      <c r="C249" s="53"/>
      <c r="D249" s="52" t="s">
        <v>387</v>
      </c>
      <c r="E249" s="223" t="s">
        <v>388</v>
      </c>
      <c r="F249" s="224" t="s">
        <v>35</v>
      </c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</row>
    <row r="250" spans="1:35" x14ac:dyDescent="0.4">
      <c r="A250" s="35"/>
      <c r="B250" s="221"/>
      <c r="C250" s="53"/>
      <c r="D250" s="53"/>
      <c r="E250" s="92"/>
      <c r="F250" s="134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</row>
    <row r="251" spans="1:35" x14ac:dyDescent="0.4">
      <c r="A251" s="35"/>
      <c r="B251" s="221"/>
      <c r="C251" s="53" t="s">
        <v>68</v>
      </c>
      <c r="D251" s="225">
        <v>396336.71473936579</v>
      </c>
      <c r="E251" s="225">
        <v>50511.16566089174</v>
      </c>
      <c r="F251" s="226">
        <f>SUM(D251:E251)</f>
        <v>446847.88040025753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</row>
    <row r="252" spans="1:35" x14ac:dyDescent="0.4">
      <c r="A252" s="35"/>
      <c r="B252" s="221"/>
      <c r="C252" s="53" t="s">
        <v>61</v>
      </c>
      <c r="D252" s="225">
        <v>575809.94007454743</v>
      </c>
      <c r="E252" s="225">
        <v>72695.315073072314</v>
      </c>
      <c r="F252" s="226">
        <f>SUM(D252:E252)</f>
        <v>648505.25514761976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</row>
    <row r="253" spans="1:35" x14ac:dyDescent="0.4">
      <c r="A253" s="35"/>
      <c r="B253" s="229"/>
      <c r="C253" s="227" t="s">
        <v>35</v>
      </c>
      <c r="D253" s="228">
        <f>SUM(D251:D252)</f>
        <v>972146.65481391316</v>
      </c>
      <c r="E253" s="228">
        <f t="shared" ref="E253:F253" si="6">SUM(E251:E252)</f>
        <v>123206.48073396405</v>
      </c>
      <c r="F253" s="228">
        <f t="shared" si="6"/>
        <v>1095353.1355478773</v>
      </c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</row>
    <row r="254" spans="1:35" ht="13" thickBot="1" x14ac:dyDescent="0.45">
      <c r="A254" s="35"/>
      <c r="B254" s="136"/>
      <c r="C254" s="230"/>
      <c r="D254" s="230"/>
      <c r="E254" s="231"/>
      <c r="F254" s="174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</row>
    <row r="255" spans="1:35" x14ac:dyDescent="0.4">
      <c r="A255" s="35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</row>
    <row r="256" spans="1:35" ht="13" thickBot="1" x14ac:dyDescent="0.45">
      <c r="A256" s="35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</row>
    <row r="257" spans="1:35" ht="15.7" thickBot="1" x14ac:dyDescent="0.55000000000000004">
      <c r="A257" s="35"/>
      <c r="B257" s="232"/>
      <c r="C257" s="233"/>
      <c r="D257" s="234" t="s">
        <v>390</v>
      </c>
      <c r="E257" s="276" t="s">
        <v>391</v>
      </c>
      <c r="F257" s="276"/>
      <c r="G257" s="277"/>
      <c r="H257" s="276" t="s">
        <v>392</v>
      </c>
      <c r="I257" s="276"/>
      <c r="J257" s="276"/>
      <c r="K257" s="275" t="s">
        <v>393</v>
      </c>
      <c r="L257" s="276"/>
      <c r="M257" s="277"/>
      <c r="N257" s="276" t="s">
        <v>114</v>
      </c>
      <c r="O257" s="276"/>
      <c r="P257" s="275" t="s">
        <v>394</v>
      </c>
      <c r="Q257" s="276"/>
      <c r="R257" s="277"/>
      <c r="S257" s="275" t="s">
        <v>395</v>
      </c>
      <c r="T257" s="276"/>
      <c r="U257" s="27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</row>
    <row r="258" spans="1:35" ht="43.5" customHeight="1" thickBot="1" x14ac:dyDescent="0.45">
      <c r="A258" s="35"/>
      <c r="B258" s="235"/>
      <c r="C258" s="236"/>
      <c r="D258" s="237" t="s">
        <v>396</v>
      </c>
      <c r="E258" s="238" t="s">
        <v>397</v>
      </c>
      <c r="F258" s="238" t="s">
        <v>398</v>
      </c>
      <c r="G258" s="239" t="s">
        <v>399</v>
      </c>
      <c r="H258" s="238" t="s">
        <v>396</v>
      </c>
      <c r="I258" s="238" t="s">
        <v>398</v>
      </c>
      <c r="J258" s="238" t="s">
        <v>399</v>
      </c>
      <c r="K258" s="240" t="s">
        <v>396</v>
      </c>
      <c r="L258" s="238" t="s">
        <v>400</v>
      </c>
      <c r="M258" s="239" t="s">
        <v>399</v>
      </c>
      <c r="N258" s="238" t="s">
        <v>401</v>
      </c>
      <c r="O258" s="238" t="s">
        <v>399</v>
      </c>
      <c r="P258" s="240" t="s">
        <v>402</v>
      </c>
      <c r="Q258" s="238" t="s">
        <v>403</v>
      </c>
      <c r="R258" s="239" t="s">
        <v>399</v>
      </c>
      <c r="S258" s="240" t="s">
        <v>402</v>
      </c>
      <c r="T258" s="238" t="s">
        <v>403</v>
      </c>
      <c r="U258" s="239" t="s">
        <v>399</v>
      </c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</row>
    <row r="259" spans="1:35" x14ac:dyDescent="0.4">
      <c r="A259" s="35"/>
      <c r="B259" s="63"/>
      <c r="C259" s="241"/>
      <c r="D259" s="242"/>
      <c r="E259" s="243"/>
      <c r="F259" s="243"/>
      <c r="G259" s="243"/>
      <c r="H259" s="242"/>
      <c r="I259" s="242"/>
      <c r="J259" s="85"/>
      <c r="K259" s="244"/>
      <c r="L259" s="85"/>
      <c r="M259" s="245"/>
      <c r="N259" s="242"/>
      <c r="O259" s="85"/>
      <c r="P259" s="244"/>
      <c r="Q259" s="85"/>
      <c r="R259" s="134"/>
      <c r="S259" s="244"/>
      <c r="T259" s="85"/>
      <c r="U259" s="134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</row>
    <row r="260" spans="1:35" x14ac:dyDescent="0.4">
      <c r="A260" s="35"/>
      <c r="B260" s="62">
        <v>44348</v>
      </c>
      <c r="C260" s="241"/>
      <c r="D260" s="246">
        <v>7842</v>
      </c>
      <c r="E260" s="247"/>
      <c r="F260" s="247"/>
      <c r="G260" s="247"/>
      <c r="H260" s="246">
        <v>7200</v>
      </c>
      <c r="I260" s="248">
        <v>32.349809922068047</v>
      </c>
      <c r="J260" s="249">
        <f t="shared" ref="J260:J271" si="7">H260*I260</f>
        <v>232918.63143888995</v>
      </c>
      <c r="K260" s="250">
        <f>D260-H260</f>
        <v>642</v>
      </c>
      <c r="L260" s="248">
        <v>24.305555555555557</v>
      </c>
      <c r="M260" s="251">
        <f t="shared" ref="M260:M271" si="8">K260*L260</f>
        <v>15604.166666666668</v>
      </c>
      <c r="N260" s="248">
        <v>2.2437515837588968</v>
      </c>
      <c r="O260" s="249">
        <f t="shared" ref="O260:O271" si="9">N260*(K260+H260)</f>
        <v>17595.499919837268</v>
      </c>
      <c r="P260" s="248">
        <v>0</v>
      </c>
      <c r="Q260" s="248">
        <v>0</v>
      </c>
      <c r="R260" s="251">
        <f>P260*Q260*1000</f>
        <v>0</v>
      </c>
      <c r="S260" s="248">
        <v>51.17717130005525</v>
      </c>
      <c r="T260" s="248">
        <v>6.0521786971830984</v>
      </c>
      <c r="U260" s="251">
        <f>S260*T260*1000</f>
        <v>309733.38592428464</v>
      </c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</row>
    <row r="261" spans="1:35" x14ac:dyDescent="0.4">
      <c r="A261" s="35"/>
      <c r="B261" s="62">
        <f>B260+31-DAY(B260+31)+1</f>
        <v>44378</v>
      </c>
      <c r="C261" s="241"/>
      <c r="D261" s="246">
        <v>11167</v>
      </c>
      <c r="E261" s="247"/>
      <c r="F261" s="247"/>
      <c r="G261" s="247"/>
      <c r="H261" s="246">
        <v>7440</v>
      </c>
      <c r="I261" s="248">
        <v>32.349809922068047</v>
      </c>
      <c r="J261" s="249">
        <f t="shared" si="7"/>
        <v>240682.58582018627</v>
      </c>
      <c r="K261" s="250">
        <f t="shared" ref="K261:K271" si="10">D261-H261</f>
        <v>3727</v>
      </c>
      <c r="L261" s="248">
        <v>28.991935483870968</v>
      </c>
      <c r="M261" s="251">
        <f t="shared" si="8"/>
        <v>108052.94354838709</v>
      </c>
      <c r="N261" s="248">
        <v>2.0642484560840444</v>
      </c>
      <c r="O261" s="249">
        <f t="shared" si="9"/>
        <v>23051.462509090525</v>
      </c>
      <c r="P261" s="248">
        <v>0</v>
      </c>
      <c r="Q261" s="248">
        <v>0</v>
      </c>
      <c r="R261" s="251">
        <f t="shared" ref="R261:R271" si="11">P261*Q261*1000</f>
        <v>0</v>
      </c>
      <c r="S261" s="248">
        <v>51.17717130005525</v>
      </c>
      <c r="T261" s="248">
        <v>6.0547842691990077</v>
      </c>
      <c r="U261" s="251">
        <f t="shared" ref="U261:U271" si="12">S261*T261*1000</f>
        <v>309866.73172967741</v>
      </c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</row>
    <row r="262" spans="1:35" x14ac:dyDescent="0.4">
      <c r="A262" s="35"/>
      <c r="B262" s="62">
        <f t="shared" ref="B262:B271" si="13">B261+31-DAY(B261+31)+1</f>
        <v>44409</v>
      </c>
      <c r="C262" s="241"/>
      <c r="D262" s="246">
        <v>10547</v>
      </c>
      <c r="E262" s="247"/>
      <c r="F262" s="247"/>
      <c r="G262" s="247"/>
      <c r="H262" s="246">
        <v>7440</v>
      </c>
      <c r="I262" s="248">
        <v>32.349809922068047</v>
      </c>
      <c r="J262" s="249">
        <f t="shared" si="7"/>
        <v>240682.58582018627</v>
      </c>
      <c r="K262" s="250">
        <f t="shared" si="10"/>
        <v>3107</v>
      </c>
      <c r="L262" s="248">
        <v>27.74462365591398</v>
      </c>
      <c r="M262" s="251">
        <f t="shared" si="8"/>
        <v>86202.545698924732</v>
      </c>
      <c r="N262" s="248">
        <v>1.9656781122448281</v>
      </c>
      <c r="O262" s="249">
        <f t="shared" si="9"/>
        <v>20732.007049846201</v>
      </c>
      <c r="P262" s="248">
        <v>0</v>
      </c>
      <c r="Q262" s="248">
        <v>0</v>
      </c>
      <c r="R262" s="251">
        <f t="shared" si="11"/>
        <v>0</v>
      </c>
      <c r="S262" s="248">
        <v>51.17717130005525</v>
      </c>
      <c r="T262" s="248">
        <v>6.0771830080408025</v>
      </c>
      <c r="U262" s="251">
        <f t="shared" si="12"/>
        <v>311013.0358242892</v>
      </c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</row>
    <row r="263" spans="1:35" x14ac:dyDescent="0.4">
      <c r="A263" s="35"/>
      <c r="B263" s="62">
        <f t="shared" si="13"/>
        <v>44440</v>
      </c>
      <c r="C263" s="241"/>
      <c r="D263" s="246">
        <v>7647</v>
      </c>
      <c r="E263" s="247"/>
      <c r="F263" s="247"/>
      <c r="G263" s="247"/>
      <c r="H263" s="246">
        <v>7200</v>
      </c>
      <c r="I263" s="248">
        <v>32.349809922068047</v>
      </c>
      <c r="J263" s="249">
        <f t="shared" si="7"/>
        <v>232918.63143888995</v>
      </c>
      <c r="K263" s="250">
        <f t="shared" si="10"/>
        <v>447</v>
      </c>
      <c r="L263" s="248">
        <v>24.5</v>
      </c>
      <c r="M263" s="251">
        <f t="shared" si="8"/>
        <v>10951.5</v>
      </c>
      <c r="N263" s="248">
        <v>2.00495611969128</v>
      </c>
      <c r="O263" s="249">
        <f t="shared" si="9"/>
        <v>15331.899447279218</v>
      </c>
      <c r="P263" s="248">
        <v>0</v>
      </c>
      <c r="Q263" s="248">
        <v>0</v>
      </c>
      <c r="R263" s="251">
        <f t="shared" si="11"/>
        <v>0</v>
      </c>
      <c r="S263" s="248">
        <v>51.17717130005525</v>
      </c>
      <c r="T263" s="248">
        <v>6.0811161388109891</v>
      </c>
      <c r="U263" s="251">
        <f t="shared" si="12"/>
        <v>311214.32233146054</v>
      </c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</row>
    <row r="264" spans="1:35" x14ac:dyDescent="0.4">
      <c r="A264" s="35"/>
      <c r="B264" s="62">
        <f t="shared" si="13"/>
        <v>44470</v>
      </c>
      <c r="C264" s="241"/>
      <c r="D264" s="246">
        <v>6867</v>
      </c>
      <c r="E264" s="247"/>
      <c r="F264" s="247"/>
      <c r="G264" s="247"/>
      <c r="H264" s="246">
        <v>7440</v>
      </c>
      <c r="I264" s="248">
        <v>32.349809922068047</v>
      </c>
      <c r="J264" s="249">
        <f t="shared" si="7"/>
        <v>240682.58582018627</v>
      </c>
      <c r="K264" s="250">
        <f t="shared" si="10"/>
        <v>-573</v>
      </c>
      <c r="L264" s="248">
        <v>24.008064516129032</v>
      </c>
      <c r="M264" s="251">
        <f t="shared" si="8"/>
        <v>-13756.620967741936</v>
      </c>
      <c r="N264" s="248">
        <v>2.1038565325965646</v>
      </c>
      <c r="O264" s="249">
        <f t="shared" si="9"/>
        <v>14447.182809340609</v>
      </c>
      <c r="P264" s="248">
        <v>0</v>
      </c>
      <c r="Q264" s="248">
        <v>0</v>
      </c>
      <c r="R264" s="251">
        <f t="shared" si="11"/>
        <v>0</v>
      </c>
      <c r="S264" s="248">
        <v>51.17717130005525</v>
      </c>
      <c r="T264" s="248">
        <v>6.0909351944167502</v>
      </c>
      <c r="U264" s="251">
        <f t="shared" si="12"/>
        <v>311716.83382220136</v>
      </c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</row>
    <row r="265" spans="1:35" x14ac:dyDescent="0.4">
      <c r="A265" s="35"/>
      <c r="B265" s="62">
        <f t="shared" si="13"/>
        <v>44501</v>
      </c>
      <c r="C265" s="241"/>
      <c r="D265" s="246">
        <v>7343</v>
      </c>
      <c r="E265" s="247"/>
      <c r="F265" s="247"/>
      <c r="G265" s="247"/>
      <c r="H265" s="246">
        <v>7210</v>
      </c>
      <c r="I265" s="248">
        <v>32.349809922068047</v>
      </c>
      <c r="J265" s="249">
        <f t="shared" si="7"/>
        <v>233242.12953811063</v>
      </c>
      <c r="K265" s="250">
        <f t="shared" si="10"/>
        <v>133</v>
      </c>
      <c r="L265" s="248">
        <v>26.444174757281555</v>
      </c>
      <c r="M265" s="251">
        <f t="shared" si="8"/>
        <v>3517.075242718447</v>
      </c>
      <c r="N265" s="248">
        <v>2.0580826023281813</v>
      </c>
      <c r="O265" s="249">
        <f t="shared" si="9"/>
        <v>15112.500548895836</v>
      </c>
      <c r="P265" s="248">
        <v>0</v>
      </c>
      <c r="Q265" s="248">
        <v>0</v>
      </c>
      <c r="R265" s="251">
        <f t="shared" si="11"/>
        <v>0</v>
      </c>
      <c r="S265" s="248">
        <v>51.17717130005525</v>
      </c>
      <c r="T265" s="248">
        <v>3.1975465571205004</v>
      </c>
      <c r="U265" s="251">
        <f t="shared" si="12"/>
        <v>163641.38789365772</v>
      </c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</row>
    <row r="266" spans="1:35" x14ac:dyDescent="0.4">
      <c r="A266" s="35"/>
      <c r="B266" s="62">
        <f t="shared" si="13"/>
        <v>44531</v>
      </c>
      <c r="C266" s="241"/>
      <c r="D266" s="246">
        <v>7925</v>
      </c>
      <c r="E266" s="247"/>
      <c r="F266" s="247"/>
      <c r="G266" s="247"/>
      <c r="H266" s="246">
        <v>7440</v>
      </c>
      <c r="I266" s="248">
        <v>32.349809922068047</v>
      </c>
      <c r="J266" s="249">
        <f t="shared" si="7"/>
        <v>240682.58582018627</v>
      </c>
      <c r="K266" s="250">
        <f t="shared" si="10"/>
        <v>485</v>
      </c>
      <c r="L266" s="248">
        <v>36.575268817204304</v>
      </c>
      <c r="M266" s="251">
        <f t="shared" si="8"/>
        <v>17739.005376344088</v>
      </c>
      <c r="N266" s="248">
        <v>1.9637448458864317</v>
      </c>
      <c r="O266" s="249">
        <f t="shared" si="9"/>
        <v>15562.677903649972</v>
      </c>
      <c r="P266" s="248">
        <v>0</v>
      </c>
      <c r="Q266" s="248">
        <v>0</v>
      </c>
      <c r="R266" s="251">
        <f t="shared" si="11"/>
        <v>0</v>
      </c>
      <c r="S266" s="248">
        <v>51.17717130005525</v>
      </c>
      <c r="T266" s="248">
        <v>3.2033296056503828</v>
      </c>
      <c r="U266" s="251">
        <f t="shared" si="12"/>
        <v>163937.34795890807</v>
      </c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</row>
    <row r="267" spans="1:35" x14ac:dyDescent="0.4">
      <c r="A267" s="35"/>
      <c r="B267" s="62">
        <f t="shared" si="13"/>
        <v>44562</v>
      </c>
      <c r="C267" s="241"/>
      <c r="D267" s="246">
        <v>8056</v>
      </c>
      <c r="E267" s="247"/>
      <c r="F267" s="247"/>
      <c r="G267" s="247"/>
      <c r="H267" s="246">
        <v>7440</v>
      </c>
      <c r="I267" s="248">
        <v>32.349809922068047</v>
      </c>
      <c r="J267" s="249">
        <f t="shared" si="7"/>
        <v>240682.58582018627</v>
      </c>
      <c r="K267" s="250">
        <f t="shared" si="10"/>
        <v>616</v>
      </c>
      <c r="L267" s="248">
        <v>49.604838709677416</v>
      </c>
      <c r="M267" s="251">
        <f t="shared" si="8"/>
        <v>30556.580645161288</v>
      </c>
      <c r="N267" s="248">
        <v>1.8199491085918791</v>
      </c>
      <c r="O267" s="249">
        <f t="shared" si="9"/>
        <v>14661.510018816178</v>
      </c>
      <c r="P267" s="248">
        <v>0</v>
      </c>
      <c r="Q267" s="248">
        <v>0</v>
      </c>
      <c r="R267" s="251">
        <f t="shared" si="11"/>
        <v>0</v>
      </c>
      <c r="S267" s="248">
        <v>51.17717130005525</v>
      </c>
      <c r="T267" s="248">
        <v>3.2179699232943078</v>
      </c>
      <c r="U267" s="251">
        <f t="shared" si="12"/>
        <v>164686.59800285843</v>
      </c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</row>
    <row r="268" spans="1:35" x14ac:dyDescent="0.4">
      <c r="A268" s="35"/>
      <c r="B268" s="62">
        <f t="shared" si="13"/>
        <v>44593</v>
      </c>
      <c r="C268" s="241"/>
      <c r="D268" s="246">
        <v>7796</v>
      </c>
      <c r="E268" s="247"/>
      <c r="F268" s="247"/>
      <c r="G268" s="247"/>
      <c r="H268" s="246">
        <v>6720</v>
      </c>
      <c r="I268" s="248">
        <v>32.349809922068047</v>
      </c>
      <c r="J268" s="249">
        <f t="shared" si="7"/>
        <v>217390.72267629727</v>
      </c>
      <c r="K268" s="250">
        <f t="shared" si="10"/>
        <v>1076</v>
      </c>
      <c r="L268" s="248">
        <v>47.86904761904762</v>
      </c>
      <c r="M268" s="251">
        <f t="shared" si="8"/>
        <v>51507.095238095237</v>
      </c>
      <c r="N268" s="248">
        <v>1.7572201175187128</v>
      </c>
      <c r="O268" s="249">
        <f t="shared" si="9"/>
        <v>13699.288036175885</v>
      </c>
      <c r="P268" s="248">
        <v>0</v>
      </c>
      <c r="Q268" s="248">
        <v>0</v>
      </c>
      <c r="R268" s="251">
        <f t="shared" si="11"/>
        <v>0</v>
      </c>
      <c r="S268" s="248">
        <v>51.17717130005525</v>
      </c>
      <c r="T268" s="248">
        <v>3.2727097298395287</v>
      </c>
      <c r="U268" s="251">
        <f t="shared" si="12"/>
        <v>167488.02645935511</v>
      </c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</row>
    <row r="269" spans="1:35" x14ac:dyDescent="0.4">
      <c r="A269" s="35"/>
      <c r="B269" s="62">
        <f t="shared" si="13"/>
        <v>44621</v>
      </c>
      <c r="C269" s="241"/>
      <c r="D269" s="246">
        <v>7758</v>
      </c>
      <c r="E269" s="247"/>
      <c r="F269" s="247"/>
      <c r="G269" s="247"/>
      <c r="H269" s="246">
        <v>7430</v>
      </c>
      <c r="I269" s="248">
        <v>32.349809922068047</v>
      </c>
      <c r="J269" s="249">
        <f t="shared" si="7"/>
        <v>240359.08772096559</v>
      </c>
      <c r="K269" s="250">
        <f t="shared" si="10"/>
        <v>328</v>
      </c>
      <c r="L269" s="248">
        <v>33.455248990578738</v>
      </c>
      <c r="M269" s="251">
        <f t="shared" si="8"/>
        <v>10973.321668909826</v>
      </c>
      <c r="N269" s="248">
        <v>1.7305829579372012</v>
      </c>
      <c r="O269" s="249">
        <f t="shared" si="9"/>
        <v>13425.862587676807</v>
      </c>
      <c r="P269" s="248">
        <v>0</v>
      </c>
      <c r="Q269" s="248">
        <v>0</v>
      </c>
      <c r="R269" s="251">
        <f t="shared" si="11"/>
        <v>0</v>
      </c>
      <c r="S269" s="248">
        <v>51.17717130005525</v>
      </c>
      <c r="T269" s="248">
        <v>3.266704536249494</v>
      </c>
      <c r="U269" s="251">
        <f t="shared" si="12"/>
        <v>167180.6976383079</v>
      </c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</row>
    <row r="270" spans="1:35" x14ac:dyDescent="0.4">
      <c r="A270" s="35"/>
      <c r="B270" s="62">
        <f t="shared" si="13"/>
        <v>44652</v>
      </c>
      <c r="C270" s="241"/>
      <c r="D270" s="246">
        <v>6657</v>
      </c>
      <c r="E270" s="247"/>
      <c r="F270" s="247"/>
      <c r="G270" s="247"/>
      <c r="H270" s="246">
        <v>7200</v>
      </c>
      <c r="I270" s="248">
        <v>32.349809922068047</v>
      </c>
      <c r="J270" s="249">
        <f t="shared" si="7"/>
        <v>232918.63143888995</v>
      </c>
      <c r="K270" s="250">
        <f t="shared" si="10"/>
        <v>-543</v>
      </c>
      <c r="L270" s="248">
        <v>26.3</v>
      </c>
      <c r="M270" s="251">
        <f t="shared" si="8"/>
        <v>-14280.9</v>
      </c>
      <c r="N270" s="248">
        <v>1.8093171260204601</v>
      </c>
      <c r="O270" s="249">
        <f t="shared" si="9"/>
        <v>12044.624107918204</v>
      </c>
      <c r="P270" s="248">
        <v>0</v>
      </c>
      <c r="Q270" s="248">
        <v>0</v>
      </c>
      <c r="R270" s="251">
        <f t="shared" si="11"/>
        <v>0</v>
      </c>
      <c r="S270" s="248">
        <v>51.17717130005525</v>
      </c>
      <c r="T270" s="248">
        <v>3.2743628786338692</v>
      </c>
      <c r="U270" s="251">
        <f t="shared" si="12"/>
        <v>167572.62993838754</v>
      </c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</row>
    <row r="271" spans="1:35" x14ac:dyDescent="0.4">
      <c r="A271" s="35"/>
      <c r="B271" s="62">
        <f t="shared" si="13"/>
        <v>44682</v>
      </c>
      <c r="C271" s="241"/>
      <c r="D271" s="246">
        <v>5476</v>
      </c>
      <c r="E271" s="247"/>
      <c r="F271" s="247"/>
      <c r="G271" s="247"/>
      <c r="H271" s="246">
        <v>7440</v>
      </c>
      <c r="I271" s="248">
        <v>32.349809922068047</v>
      </c>
      <c r="J271" s="249">
        <f t="shared" si="7"/>
        <v>240682.58582018627</v>
      </c>
      <c r="K271" s="250">
        <f t="shared" si="10"/>
        <v>-1964</v>
      </c>
      <c r="L271" s="248">
        <v>24.548387096774192</v>
      </c>
      <c r="M271" s="251">
        <f t="shared" si="8"/>
        <v>-48213.032258064515</v>
      </c>
      <c r="N271" s="248">
        <v>1.9826462900186868</v>
      </c>
      <c r="O271" s="249">
        <f t="shared" si="9"/>
        <v>10856.971084142329</v>
      </c>
      <c r="P271" s="248">
        <v>0</v>
      </c>
      <c r="Q271" s="248">
        <v>0</v>
      </c>
      <c r="R271" s="251">
        <f t="shared" si="11"/>
        <v>0</v>
      </c>
      <c r="S271" s="248">
        <v>51.17717130005525</v>
      </c>
      <c r="T271" s="248">
        <v>7.8635025330812853</v>
      </c>
      <c r="U271" s="251">
        <f t="shared" si="12"/>
        <v>402431.81615391932</v>
      </c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</row>
    <row r="272" spans="1:35" ht="13" thickBot="1" x14ac:dyDescent="0.45">
      <c r="A272" s="35"/>
      <c r="B272" s="252"/>
      <c r="C272" s="174"/>
      <c r="D272" s="242"/>
      <c r="E272" s="253"/>
      <c r="F272" s="253"/>
      <c r="G272" s="254"/>
      <c r="H272" s="242"/>
      <c r="I272" s="242"/>
      <c r="J272" s="253"/>
      <c r="K272" s="255"/>
      <c r="L272" s="253"/>
      <c r="M272" s="254"/>
      <c r="N272" s="242"/>
      <c r="O272" s="253"/>
      <c r="P272" s="255"/>
      <c r="Q272" s="253"/>
      <c r="R272" s="174"/>
      <c r="S272" s="255"/>
      <c r="T272" s="253"/>
      <c r="U272" s="174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</row>
    <row r="273" spans="1:35" ht="13" thickBot="1" x14ac:dyDescent="0.45">
      <c r="A273" s="35"/>
      <c r="B273" s="256" t="s">
        <v>35</v>
      </c>
      <c r="C273" s="257"/>
      <c r="D273" s="258">
        <f>SUM(D260:D272)</f>
        <v>95081</v>
      </c>
      <c r="E273" s="259">
        <v>0</v>
      </c>
      <c r="F273" s="260">
        <v>0</v>
      </c>
      <c r="G273" s="261">
        <v>0</v>
      </c>
      <c r="H273" s="259">
        <f>SUM(H260:H272)</f>
        <v>87600</v>
      </c>
      <c r="I273" s="260"/>
      <c r="J273" s="259">
        <f>SUM(J260:J272)</f>
        <v>2833843.3491731607</v>
      </c>
      <c r="K273" s="262">
        <f>SUM(K260:K272)</f>
        <v>7481</v>
      </c>
      <c r="L273" s="260"/>
      <c r="M273" s="261">
        <f>SUM(M260:M272)</f>
        <v>258853.68085940092</v>
      </c>
      <c r="N273" s="263">
        <f>O273/D273</f>
        <v>1.9617114462686454</v>
      </c>
      <c r="O273" s="259">
        <f>SUM(O260:O271)</f>
        <v>186521.48602266907</v>
      </c>
      <c r="P273" s="264"/>
      <c r="Q273" s="260"/>
      <c r="R273" s="261">
        <f>SUM(R260:R272)</f>
        <v>0</v>
      </c>
      <c r="S273" s="264"/>
      <c r="T273" s="260"/>
      <c r="U273" s="261">
        <f>SUM(U260:U272)</f>
        <v>2950482.8136773063</v>
      </c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</row>
    <row r="274" spans="1:35" x14ac:dyDescent="0.4">
      <c r="A274" s="35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</row>
    <row r="275" spans="1:35" x14ac:dyDescent="0.4">
      <c r="A275" s="35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</row>
    <row r="276" spans="1:35" x14ac:dyDescent="0.4">
      <c r="A276" s="35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</row>
    <row r="277" spans="1:35" x14ac:dyDescent="0.4">
      <c r="A277" s="35"/>
      <c r="B277" s="265" t="s">
        <v>404</v>
      </c>
      <c r="C277" s="85"/>
      <c r="D277" s="85"/>
      <c r="E277" s="85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</row>
    <row r="278" spans="1:35" x14ac:dyDescent="0.4">
      <c r="A278" s="35"/>
      <c r="B278" s="85"/>
      <c r="C278" s="85"/>
      <c r="D278" s="85"/>
      <c r="E278" s="85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</row>
    <row r="279" spans="1:35" x14ac:dyDescent="0.4">
      <c r="A279" s="35"/>
      <c r="B279" s="35" t="s">
        <v>405</v>
      </c>
      <c r="C279" s="85"/>
      <c r="D279" s="266">
        <f>$G$273</f>
        <v>0</v>
      </c>
      <c r="E279" s="267">
        <f>ROUND(D279/$D$273,2)</f>
        <v>0</v>
      </c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</row>
    <row r="280" spans="1:35" x14ac:dyDescent="0.4">
      <c r="A280" s="35"/>
      <c r="B280" s="35" t="s">
        <v>392</v>
      </c>
      <c r="C280" s="85"/>
      <c r="D280" s="266">
        <f>$J$273</f>
        <v>2833843.3491731607</v>
      </c>
      <c r="E280" s="267">
        <f>ROUND(D280/$D$273,2)</f>
        <v>29.8</v>
      </c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</row>
    <row r="281" spans="1:35" x14ac:dyDescent="0.4">
      <c r="A281" s="35"/>
      <c r="B281" s="35" t="s">
        <v>393</v>
      </c>
      <c r="C281" s="85"/>
      <c r="D281" s="266">
        <f>$M$273</f>
        <v>258853.68085940092</v>
      </c>
      <c r="E281" s="267">
        <f>ROUND(D281/$K$273,2)</f>
        <v>34.6</v>
      </c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</row>
    <row r="282" spans="1:35" x14ac:dyDescent="0.4">
      <c r="A282" s="35"/>
      <c r="B282" s="35" t="s">
        <v>114</v>
      </c>
      <c r="C282" s="85"/>
      <c r="D282" s="266">
        <f>O273</f>
        <v>186521.48602266907</v>
      </c>
      <c r="E282" s="267">
        <f>ROUND(D282/$D$273,2)</f>
        <v>1.96</v>
      </c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</row>
    <row r="283" spans="1:35" x14ac:dyDescent="0.4">
      <c r="A283" s="35"/>
      <c r="B283" s="35" t="s">
        <v>394</v>
      </c>
      <c r="C283" s="85"/>
      <c r="D283" s="268">
        <f>U273</f>
        <v>2950482.8136773063</v>
      </c>
      <c r="E283" s="269">
        <f>ROUND(D283/$D$273,2)</f>
        <v>31.03</v>
      </c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</row>
    <row r="284" spans="1:35" x14ac:dyDescent="0.4">
      <c r="A284" s="35"/>
      <c r="B284" s="85"/>
      <c r="C284" s="85"/>
      <c r="D284" s="266">
        <f>SUM(D279:D283)</f>
        <v>6229701.3297325373</v>
      </c>
      <c r="E284" s="267">
        <f>SUM(E279:E283)</f>
        <v>97.39</v>
      </c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</row>
    <row r="285" spans="1:35" x14ac:dyDescent="0.4">
      <c r="A285" s="35"/>
      <c r="B285" s="85" t="s">
        <v>406</v>
      </c>
      <c r="C285" s="85"/>
      <c r="D285" s="266">
        <f>$D$273</f>
        <v>95081</v>
      </c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</row>
    <row r="286" spans="1:35" x14ac:dyDescent="0.4">
      <c r="A286" s="35"/>
      <c r="B286" s="85" t="s">
        <v>241</v>
      </c>
      <c r="C286" s="85"/>
      <c r="D286" s="169">
        <f>ROUND(D284/D285,2)</f>
        <v>65.52</v>
      </c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</row>
    <row r="287" spans="1:35" x14ac:dyDescent="0.4">
      <c r="A287" s="35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</row>
    <row r="288" spans="1:35" x14ac:dyDescent="0.4">
      <c r="A288" s="35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</row>
    <row r="289" spans="1:35" x14ac:dyDescent="0.4">
      <c r="A289" s="35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</row>
    <row r="290" spans="1:35" x14ac:dyDescent="0.4">
      <c r="A290" s="35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</row>
    <row r="291" spans="1:35" x14ac:dyDescent="0.4">
      <c r="A291" s="35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</row>
    <row r="292" spans="1:35" x14ac:dyDescent="0.4">
      <c r="A292" s="35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</row>
    <row r="293" spans="1:35" x14ac:dyDescent="0.4">
      <c r="A293" s="35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</row>
    <row r="294" spans="1:35" x14ac:dyDescent="0.4">
      <c r="A294" s="35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</row>
    <row r="295" spans="1:35" x14ac:dyDescent="0.4">
      <c r="A295" s="35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</row>
    <row r="296" spans="1:35" x14ac:dyDescent="0.4">
      <c r="A296" s="35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</row>
    <row r="297" spans="1:35" x14ac:dyDescent="0.4">
      <c r="A297" s="35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</row>
    <row r="298" spans="1:35" x14ac:dyDescent="0.4">
      <c r="A298" s="35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</row>
    <row r="299" spans="1:35" x14ac:dyDescent="0.4">
      <c r="A299" s="35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</row>
    <row r="300" spans="1:35" x14ac:dyDescent="0.4">
      <c r="A300" s="35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</row>
    <row r="301" spans="1:35" x14ac:dyDescent="0.4">
      <c r="A301" s="35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</row>
    <row r="302" spans="1:35" x14ac:dyDescent="0.4">
      <c r="A302" s="35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</row>
    <row r="303" spans="1:35" x14ac:dyDescent="0.4">
      <c r="A303" s="35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</row>
    <row r="304" spans="1:35" x14ac:dyDescent="0.4">
      <c r="A304" s="35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</row>
    <row r="305" spans="1:35" x14ac:dyDescent="0.4">
      <c r="A305" s="35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</row>
    <row r="306" spans="1:35" x14ac:dyDescent="0.4">
      <c r="A306" s="35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</row>
    <row r="307" spans="1:35" x14ac:dyDescent="0.4">
      <c r="A307" s="35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</row>
    <row r="308" spans="1:35" x14ac:dyDescent="0.4">
      <c r="A308" s="35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Jacob, Shajan</dc:creator>
  <cp:lastModifiedBy>Northcutt, Rachel</cp:lastModifiedBy>
  <dcterms:created xsi:type="dcterms:W3CDTF">2021-01-14T13:29:23Z</dcterms:created>
  <dcterms:modified xsi:type="dcterms:W3CDTF">2021-01-18T15:06:02Z</dcterms:modified>
</cp:coreProperties>
</file>