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ra-nycfs\Work\Projects\Energy\20-21 BGS (114324)\2021 Auction\3 Rates\1 July Filing\1 Rcvd from EDCs\0 POSTED\"/>
    </mc:Choice>
  </mc:AlternateContent>
  <xr:revisionPtr revIDLastSave="0" documentId="13_ncr:1_{5C8660D1-E739-427C-B000-E3F77DD02ECD}" xr6:coauthVersionLast="41" xr6:coauthVersionMax="44" xr10:uidLastSave="{00000000-0000-0000-0000-000000000000}"/>
  <bookViews>
    <workbookView xWindow="-120" yWindow="-120" windowWidth="29040" windowHeight="15840" xr2:uid="{2A9E788A-E2AE-4005-ADBC-D655685CBD30}"/>
  </bookViews>
  <sheets>
    <sheet name="BGS Cost &amp; Bid Factors" sheetId="1" r:id="rId1"/>
    <sheet name="Weighted Avg Price Calc" sheetId="2" r:id="rId2"/>
    <sheet name="Rate Calculati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1">'Weighted Avg Price Calc'!$A$1:$N$51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[1]Assumptions!#REF!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9" i="3" l="1"/>
  <c r="R273" i="3"/>
  <c r="H273" i="3"/>
  <c r="U271" i="3"/>
  <c r="R271" i="3"/>
  <c r="J271" i="3"/>
  <c r="U270" i="3"/>
  <c r="R270" i="3"/>
  <c r="O270" i="3"/>
  <c r="M270" i="3"/>
  <c r="J270" i="3"/>
  <c r="U269" i="3"/>
  <c r="R269" i="3"/>
  <c r="J269" i="3"/>
  <c r="U268" i="3"/>
  <c r="R268" i="3"/>
  <c r="O268" i="3"/>
  <c r="M268" i="3"/>
  <c r="J268" i="3"/>
  <c r="U267" i="3"/>
  <c r="R267" i="3"/>
  <c r="J267" i="3"/>
  <c r="U266" i="3"/>
  <c r="R266" i="3"/>
  <c r="O266" i="3"/>
  <c r="M266" i="3"/>
  <c r="J266" i="3"/>
  <c r="U265" i="3"/>
  <c r="R265" i="3"/>
  <c r="J265" i="3"/>
  <c r="U264" i="3"/>
  <c r="R264" i="3"/>
  <c r="O264" i="3"/>
  <c r="M264" i="3"/>
  <c r="J264" i="3"/>
  <c r="U263" i="3"/>
  <c r="R263" i="3"/>
  <c r="J263" i="3"/>
  <c r="U262" i="3"/>
  <c r="R262" i="3"/>
  <c r="O262" i="3"/>
  <c r="M262" i="3"/>
  <c r="J262" i="3"/>
  <c r="U261" i="3"/>
  <c r="R261" i="3"/>
  <c r="J261" i="3"/>
  <c r="B261" i="3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U260" i="3"/>
  <c r="R260" i="3"/>
  <c r="O260" i="3"/>
  <c r="M260" i="3"/>
  <c r="J260" i="3"/>
  <c r="D273" i="3"/>
  <c r="E253" i="3"/>
  <c r="D253" i="3"/>
  <c r="F252" i="3"/>
  <c r="F251" i="3"/>
  <c r="F253" i="3" s="1"/>
  <c r="E246" i="3"/>
  <c r="F245" i="3"/>
  <c r="G233" i="3"/>
  <c r="F233" i="3"/>
  <c r="E233" i="3"/>
  <c r="D233" i="3"/>
  <c r="C233" i="3"/>
  <c r="H232" i="3"/>
  <c r="G232" i="3"/>
  <c r="F232" i="3"/>
  <c r="E232" i="3"/>
  <c r="D232" i="3"/>
  <c r="C232" i="3"/>
  <c r="H231" i="3"/>
  <c r="G231" i="3"/>
  <c r="F231" i="3"/>
  <c r="E231" i="3"/>
  <c r="C231" i="3"/>
  <c r="H230" i="3"/>
  <c r="G230" i="3"/>
  <c r="F230" i="3"/>
  <c r="E230" i="3"/>
  <c r="C230" i="3"/>
  <c r="D229" i="3"/>
  <c r="G225" i="3"/>
  <c r="F225" i="3"/>
  <c r="E225" i="3"/>
  <c r="D225" i="3"/>
  <c r="C225" i="3"/>
  <c r="H224" i="3"/>
  <c r="G224" i="3"/>
  <c r="F224" i="3"/>
  <c r="E224" i="3"/>
  <c r="D224" i="3"/>
  <c r="C224" i="3"/>
  <c r="H223" i="3"/>
  <c r="G223" i="3"/>
  <c r="F223" i="3"/>
  <c r="E223" i="3"/>
  <c r="D223" i="3"/>
  <c r="H222" i="3"/>
  <c r="G222" i="3"/>
  <c r="F222" i="3"/>
  <c r="E222" i="3"/>
  <c r="D222" i="3"/>
  <c r="H221" i="3"/>
  <c r="G221" i="3"/>
  <c r="F221" i="3"/>
  <c r="E221" i="3"/>
  <c r="D221" i="3"/>
  <c r="H220" i="3"/>
  <c r="G220" i="3"/>
  <c r="F220" i="3"/>
  <c r="E220" i="3"/>
  <c r="C220" i="3"/>
  <c r="H219" i="3"/>
  <c r="G219" i="3"/>
  <c r="F219" i="3"/>
  <c r="E219" i="3"/>
  <c r="C219" i="3"/>
  <c r="D218" i="3"/>
  <c r="H211" i="3"/>
  <c r="H208" i="3"/>
  <c r="G208" i="3"/>
  <c r="F208" i="3"/>
  <c r="E208" i="3"/>
  <c r="D195" i="3"/>
  <c r="D196" i="3" s="1"/>
  <c r="D194" i="3"/>
  <c r="D190" i="3"/>
  <c r="D184" i="3"/>
  <c r="H167" i="3"/>
  <c r="G167" i="3"/>
  <c r="F167" i="3"/>
  <c r="E167" i="3"/>
  <c r="D167" i="3"/>
  <c r="C167" i="3"/>
  <c r="H118" i="3"/>
  <c r="G118" i="3"/>
  <c r="F118" i="3"/>
  <c r="E118" i="3"/>
  <c r="D118" i="3"/>
  <c r="C118" i="3"/>
  <c r="D104" i="3"/>
  <c r="D103" i="3"/>
  <c r="D105" i="3" s="1"/>
  <c r="D100" i="3"/>
  <c r="D95" i="3"/>
  <c r="H78" i="3"/>
  <c r="G78" i="3"/>
  <c r="F78" i="3"/>
  <c r="E78" i="3"/>
  <c r="D78" i="3"/>
  <c r="C78" i="3"/>
  <c r="H55" i="3"/>
  <c r="G55" i="3"/>
  <c r="F55" i="3"/>
  <c r="E55" i="3"/>
  <c r="D55" i="3"/>
  <c r="D208" i="3" s="1"/>
  <c r="C55" i="3"/>
  <c r="C208" i="3" s="1"/>
  <c r="L48" i="3"/>
  <c r="L50" i="3" s="1"/>
  <c r="H40" i="3"/>
  <c r="H39" i="3"/>
  <c r="J37" i="3"/>
  <c r="I37" i="3"/>
  <c r="H37" i="3"/>
  <c r="D33" i="3"/>
  <c r="C33" i="3"/>
  <c r="G12" i="3"/>
  <c r="F12" i="3"/>
  <c r="E12" i="3"/>
  <c r="D12" i="3"/>
  <c r="C12" i="3"/>
  <c r="D44" i="2"/>
  <c r="I42" i="2"/>
  <c r="D41" i="2"/>
  <c r="E30" i="2"/>
  <c r="D25" i="2"/>
  <c r="D24" i="2"/>
  <c r="F16" i="2"/>
  <c r="E16" i="2"/>
  <c r="D16" i="2"/>
  <c r="G16" i="2" s="1"/>
  <c r="D15" i="2"/>
  <c r="D14" i="2"/>
  <c r="E12" i="2"/>
  <c r="E14" i="2" s="1"/>
  <c r="D12" i="2"/>
  <c r="I10" i="2"/>
  <c r="G9" i="2"/>
  <c r="D30" i="2" s="1"/>
  <c r="E6" i="2"/>
  <c r="D6" i="2"/>
  <c r="H586" i="1"/>
  <c r="G586" i="1"/>
  <c r="F586" i="1"/>
  <c r="E586" i="1"/>
  <c r="D586" i="1"/>
  <c r="C586" i="1"/>
  <c r="H575" i="1"/>
  <c r="G575" i="1"/>
  <c r="F575" i="1"/>
  <c r="E575" i="1"/>
  <c r="D575" i="1"/>
  <c r="C575" i="1"/>
  <c r="G561" i="1"/>
  <c r="F561" i="1"/>
  <c r="E561" i="1"/>
  <c r="D561" i="1"/>
  <c r="C561" i="1"/>
  <c r="H560" i="1"/>
  <c r="G560" i="1"/>
  <c r="F560" i="1"/>
  <c r="E560" i="1"/>
  <c r="D560" i="1"/>
  <c r="C560" i="1"/>
  <c r="H559" i="1"/>
  <c r="G559" i="1"/>
  <c r="F559" i="1"/>
  <c r="E559" i="1"/>
  <c r="C559" i="1"/>
  <c r="H558" i="1"/>
  <c r="G558" i="1"/>
  <c r="F558" i="1"/>
  <c r="E558" i="1"/>
  <c r="C558" i="1"/>
  <c r="D557" i="1"/>
  <c r="G554" i="1"/>
  <c r="F554" i="1"/>
  <c r="E554" i="1"/>
  <c r="D554" i="1"/>
  <c r="C554" i="1"/>
  <c r="H553" i="1"/>
  <c r="G553" i="1"/>
  <c r="F553" i="1"/>
  <c r="E553" i="1"/>
  <c r="D553" i="1"/>
  <c r="C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C549" i="1"/>
  <c r="H548" i="1"/>
  <c r="G548" i="1"/>
  <c r="F548" i="1"/>
  <c r="E548" i="1"/>
  <c r="C548" i="1"/>
  <c r="D547" i="1"/>
  <c r="H210" i="3"/>
  <c r="H209" i="3"/>
  <c r="G209" i="3"/>
  <c r="F209" i="3"/>
  <c r="E209" i="3"/>
  <c r="D209" i="3"/>
  <c r="C209" i="3"/>
  <c r="E537" i="1"/>
  <c r="D537" i="1"/>
  <c r="H491" i="1"/>
  <c r="H537" i="1" s="1"/>
  <c r="G491" i="1"/>
  <c r="G537" i="1" s="1"/>
  <c r="F491" i="1"/>
  <c r="F537" i="1" s="1"/>
  <c r="E491" i="1"/>
  <c r="D491" i="1"/>
  <c r="C491" i="1"/>
  <c r="C537" i="1" s="1"/>
  <c r="C468" i="1"/>
  <c r="C467" i="1"/>
  <c r="M466" i="1"/>
  <c r="L49" i="3"/>
  <c r="P457" i="1"/>
  <c r="Q456" i="1"/>
  <c r="Q455" i="1"/>
  <c r="Q457" i="1" s="1"/>
  <c r="Q454" i="1"/>
  <c r="Q453" i="1"/>
  <c r="Q452" i="1"/>
  <c r="R451" i="1"/>
  <c r="R457" i="1" s="1"/>
  <c r="C451" i="1"/>
  <c r="D451" i="1" s="1"/>
  <c r="R450" i="1"/>
  <c r="R449" i="1"/>
  <c r="D449" i="1"/>
  <c r="I417" i="1"/>
  <c r="G417" i="1"/>
  <c r="F417" i="1"/>
  <c r="G416" i="1"/>
  <c r="F416" i="1"/>
  <c r="F415" i="1"/>
  <c r="I414" i="1"/>
  <c r="G415" i="1"/>
  <c r="D416" i="1"/>
  <c r="E416" i="1" s="1"/>
  <c r="J416" i="1" s="1"/>
  <c r="D410" i="1"/>
  <c r="E410" i="1" s="1"/>
  <c r="G420" i="1"/>
  <c r="D418" i="1"/>
  <c r="E418" i="1" s="1"/>
  <c r="I409" i="1"/>
  <c r="H383" i="1"/>
  <c r="G383" i="1"/>
  <c r="F383" i="1"/>
  <c r="E383" i="1"/>
  <c r="D383" i="1"/>
  <c r="C383" i="1"/>
  <c r="H361" i="1"/>
  <c r="G361" i="1"/>
  <c r="F361" i="1"/>
  <c r="E361" i="1"/>
  <c r="D361" i="1"/>
  <c r="C361" i="1"/>
  <c r="J350" i="1"/>
  <c r="D346" i="1"/>
  <c r="C346" i="1"/>
  <c r="G325" i="1"/>
  <c r="F325" i="1"/>
  <c r="E325" i="1"/>
  <c r="D325" i="1"/>
  <c r="C325" i="1"/>
  <c r="J296" i="1"/>
  <c r="I296" i="1"/>
  <c r="I350" i="1" s="1"/>
  <c r="C292" i="1"/>
  <c r="G271" i="1"/>
  <c r="F271" i="1"/>
  <c r="E271" i="1"/>
  <c r="D271" i="1"/>
  <c r="C271" i="1"/>
  <c r="D253" i="1"/>
  <c r="C253" i="1"/>
  <c r="G231" i="1"/>
  <c r="F231" i="1"/>
  <c r="E231" i="1"/>
  <c r="D231" i="1"/>
  <c r="C231" i="1"/>
  <c r="L217" i="1"/>
  <c r="V214" i="1"/>
  <c r="V213" i="1"/>
  <c r="L211" i="1"/>
  <c r="C196" i="1"/>
  <c r="G179" i="1"/>
  <c r="F179" i="1"/>
  <c r="E179" i="1"/>
  <c r="D179" i="1"/>
  <c r="C179" i="1"/>
  <c r="G165" i="1"/>
  <c r="F165" i="1"/>
  <c r="E165" i="1"/>
  <c r="D165" i="1"/>
  <c r="C165" i="1"/>
  <c r="C158" i="1"/>
  <c r="C154" i="1"/>
  <c r="H146" i="1"/>
  <c r="I141" i="1"/>
  <c r="I139" i="1"/>
  <c r="H137" i="1"/>
  <c r="G137" i="1"/>
  <c r="F137" i="1"/>
  <c r="E137" i="1"/>
  <c r="D137" i="1"/>
  <c r="C137" i="1"/>
  <c r="H122" i="1"/>
  <c r="G122" i="1"/>
  <c r="F122" i="1"/>
  <c r="E122" i="1"/>
  <c r="D122" i="1"/>
  <c r="C122" i="1"/>
  <c r="H104" i="1"/>
  <c r="G104" i="1"/>
  <c r="F104" i="1"/>
  <c r="E104" i="1"/>
  <c r="D104" i="1"/>
  <c r="C104" i="1"/>
  <c r="H86" i="1"/>
  <c r="G86" i="1"/>
  <c r="F86" i="1"/>
  <c r="E86" i="1"/>
  <c r="D86" i="1"/>
  <c r="C86" i="1"/>
  <c r="H76" i="1"/>
  <c r="G76" i="1"/>
  <c r="F76" i="1"/>
  <c r="E76" i="1"/>
  <c r="D76" i="1"/>
  <c r="C76" i="1"/>
  <c r="S71" i="1"/>
  <c r="S60" i="1"/>
  <c r="S84" i="1" s="1"/>
  <c r="O44" i="1"/>
  <c r="P48" i="1"/>
  <c r="O48" i="1"/>
  <c r="M45" i="1"/>
  <c r="Q42" i="1"/>
  <c r="P42" i="1"/>
  <c r="O42" i="1"/>
  <c r="N42" i="1"/>
  <c r="M42" i="1"/>
  <c r="L42" i="1"/>
  <c r="H42" i="1"/>
  <c r="G42" i="1"/>
  <c r="F42" i="1"/>
  <c r="E42" i="1"/>
  <c r="D42" i="1"/>
  <c r="C42" i="1"/>
  <c r="M37" i="1"/>
  <c r="M36" i="1"/>
  <c r="M35" i="1"/>
  <c r="M34" i="1"/>
  <c r="M33" i="1"/>
  <c r="M32" i="1"/>
  <c r="M30" i="1"/>
  <c r="M29" i="1"/>
  <c r="M28" i="1"/>
  <c r="M27" i="1"/>
  <c r="Q24" i="1"/>
  <c r="P24" i="1"/>
  <c r="O24" i="1"/>
  <c r="N24" i="1"/>
  <c r="M24" i="1"/>
  <c r="L24" i="1"/>
  <c r="H24" i="1"/>
  <c r="G24" i="1"/>
  <c r="F24" i="1"/>
  <c r="E24" i="1"/>
  <c r="D24" i="1"/>
  <c r="C24" i="1"/>
  <c r="Q19" i="1"/>
  <c r="O19" i="1"/>
  <c r="M19" i="1"/>
  <c r="L19" i="1"/>
  <c r="G19" i="1"/>
  <c r="P19" i="1" s="1"/>
  <c r="N19" i="1"/>
  <c r="Q18" i="1"/>
  <c r="M18" i="1"/>
  <c r="L18" i="1"/>
  <c r="G18" i="1"/>
  <c r="P18" i="1" s="1"/>
  <c r="N18" i="1"/>
  <c r="Q17" i="1"/>
  <c r="O17" i="1"/>
  <c r="M17" i="1"/>
  <c r="L17" i="1"/>
  <c r="G17" i="1"/>
  <c r="P17" i="1" s="1"/>
  <c r="N17" i="1"/>
  <c r="Q16" i="1"/>
  <c r="M16" i="1"/>
  <c r="L16" i="1"/>
  <c r="G16" i="1"/>
  <c r="P16" i="1" s="1"/>
  <c r="N16" i="1"/>
  <c r="Q15" i="1"/>
  <c r="O15" i="1"/>
  <c r="M15" i="1"/>
  <c r="L15" i="1"/>
  <c r="G15" i="1"/>
  <c r="P15" i="1" s="1"/>
  <c r="N15" i="1"/>
  <c r="Q14" i="1"/>
  <c r="M14" i="1"/>
  <c r="L14" i="1"/>
  <c r="G14" i="1"/>
  <c r="P14" i="1" s="1"/>
  <c r="N14" i="1"/>
  <c r="Q13" i="1"/>
  <c r="O13" i="1"/>
  <c r="M13" i="1"/>
  <c r="L13" i="1"/>
  <c r="N13" i="1"/>
  <c r="Q12" i="1"/>
  <c r="M12" i="1"/>
  <c r="L12" i="1"/>
  <c r="G12" i="1"/>
  <c r="P12" i="1" s="1"/>
  <c r="N12" i="1"/>
  <c r="Q11" i="1"/>
  <c r="O11" i="1"/>
  <c r="M11" i="1"/>
  <c r="L11" i="1"/>
  <c r="G11" i="1"/>
  <c r="P11" i="1" s="1"/>
  <c r="N11" i="1"/>
  <c r="Q10" i="1"/>
  <c r="M10" i="1"/>
  <c r="L10" i="1"/>
  <c r="G10" i="1"/>
  <c r="P10" i="1" s="1"/>
  <c r="N10" i="1"/>
  <c r="Q9" i="1"/>
  <c r="O9" i="1"/>
  <c r="M9" i="1"/>
  <c r="L9" i="1"/>
  <c r="G9" i="1"/>
  <c r="P9" i="1" s="1"/>
  <c r="N9" i="1"/>
  <c r="Q8" i="1"/>
  <c r="M8" i="1"/>
  <c r="S75" i="1" s="1"/>
  <c r="L8" i="1"/>
  <c r="N8" i="1"/>
  <c r="Q6" i="1"/>
  <c r="P6" i="1"/>
  <c r="O6" i="1"/>
  <c r="N6" i="1"/>
  <c r="M6" i="1"/>
  <c r="L6" i="1"/>
  <c r="S62" i="1" l="1"/>
  <c r="S66" i="1"/>
  <c r="S77" i="1"/>
  <c r="S78" i="1"/>
  <c r="C474" i="1"/>
  <c r="C473" i="1"/>
  <c r="A2" i="3"/>
  <c r="A2" i="2"/>
  <c r="L136" i="1"/>
  <c r="L137" i="1"/>
  <c r="B136" i="1"/>
  <c r="L4" i="1"/>
  <c r="S74" i="1"/>
  <c r="O8" i="1"/>
  <c r="O10" i="1"/>
  <c r="O12" i="1"/>
  <c r="O14" i="1"/>
  <c r="O16" i="1"/>
  <c r="O18" i="1"/>
  <c r="M44" i="1"/>
  <c r="M46" i="1" s="1"/>
  <c r="E145" i="1"/>
  <c r="S457" i="1"/>
  <c r="E41" i="2"/>
  <c r="G41" i="2" s="1"/>
  <c r="E447" i="1"/>
  <c r="S79" i="1"/>
  <c r="F451" i="1"/>
  <c r="G8" i="1"/>
  <c r="C56" i="1"/>
  <c r="F461" i="1"/>
  <c r="B41" i="1"/>
  <c r="D56" i="1"/>
  <c r="D167" i="1" s="1"/>
  <c r="S73" i="1"/>
  <c r="F413" i="1"/>
  <c r="I413" i="1" s="1"/>
  <c r="F420" i="1"/>
  <c r="I420" i="1" s="1"/>
  <c r="F410" i="1"/>
  <c r="I410" i="1" s="1"/>
  <c r="F418" i="1"/>
  <c r="I418" i="1" s="1"/>
  <c r="F411" i="1"/>
  <c r="I411" i="1" s="1"/>
  <c r="F419" i="1"/>
  <c r="I419" i="1" s="1"/>
  <c r="F412" i="1"/>
  <c r="I412" i="1" s="1"/>
  <c r="D447" i="1"/>
  <c r="S63" i="1"/>
  <c r="F56" i="1"/>
  <c r="F167" i="1" s="1"/>
  <c r="B1" i="1"/>
  <c r="M26" i="1"/>
  <c r="S64" i="1" s="1"/>
  <c r="P44" i="1"/>
  <c r="G56" i="1"/>
  <c r="G167" i="1" s="1"/>
  <c r="G413" i="1"/>
  <c r="G410" i="1"/>
  <c r="J410" i="1" s="1"/>
  <c r="G418" i="1"/>
  <c r="J418" i="1" s="1"/>
  <c r="G411" i="1"/>
  <c r="G419" i="1"/>
  <c r="G412" i="1"/>
  <c r="G461" i="1"/>
  <c r="M49" i="1"/>
  <c r="M48" i="1"/>
  <c r="S67" i="1"/>
  <c r="T67" i="1" s="1"/>
  <c r="I415" i="1"/>
  <c r="E415" i="1"/>
  <c r="J415" i="1" s="1"/>
  <c r="F449" i="1"/>
  <c r="C472" i="1"/>
  <c r="M261" i="3"/>
  <c r="O261" i="3"/>
  <c r="O273" i="3" s="1"/>
  <c r="D3" i="1"/>
  <c r="G13" i="1"/>
  <c r="M23" i="1"/>
  <c r="M31" i="1"/>
  <c r="S68" i="1" s="1"/>
  <c r="L44" i="1"/>
  <c r="E144" i="1"/>
  <c r="E147" i="1" s="1"/>
  <c r="D415" i="1"/>
  <c r="C466" i="1"/>
  <c r="C599" i="1"/>
  <c r="G206" i="1"/>
  <c r="H263" i="1" s="1"/>
  <c r="C598" i="1"/>
  <c r="M269" i="3"/>
  <c r="O269" i="3"/>
  <c r="E414" i="1"/>
  <c r="J414" i="1" s="1"/>
  <c r="D417" i="1"/>
  <c r="E417" i="1" s="1"/>
  <c r="J417" i="1" s="1"/>
  <c r="D29" i="2"/>
  <c r="D26" i="2"/>
  <c r="J273" i="3"/>
  <c r="D280" i="3" s="1"/>
  <c r="L48" i="1"/>
  <c r="C167" i="1"/>
  <c r="F244" i="3"/>
  <c r="F246" i="3" s="1"/>
  <c r="D246" i="3"/>
  <c r="D419" i="1"/>
  <c r="E419" i="1" s="1"/>
  <c r="D411" i="1"/>
  <c r="E411" i="1" s="1"/>
  <c r="J411" i="1" s="1"/>
  <c r="D420" i="1"/>
  <c r="E420" i="1" s="1"/>
  <c r="J420" i="1" s="1"/>
  <c r="D412" i="1"/>
  <c r="E412" i="1" s="1"/>
  <c r="J412" i="1" s="1"/>
  <c r="D413" i="1"/>
  <c r="E413" i="1" s="1"/>
  <c r="J413" i="1" s="1"/>
  <c r="I416" i="1"/>
  <c r="M265" i="3"/>
  <c r="O265" i="3"/>
  <c r="E409" i="1"/>
  <c r="J409" i="1" s="1"/>
  <c r="K273" i="3"/>
  <c r="U273" i="3"/>
  <c r="D283" i="3" s="1"/>
  <c r="E283" i="3" s="1"/>
  <c r="M263" i="3"/>
  <c r="O263" i="3"/>
  <c r="M267" i="3"/>
  <c r="O267" i="3"/>
  <c r="M271" i="3"/>
  <c r="O271" i="3"/>
  <c r="M273" i="3"/>
  <c r="D281" i="3" s="1"/>
  <c r="E281" i="3" s="1"/>
  <c r="E29" i="2"/>
  <c r="E31" i="2" s="1"/>
  <c r="E15" i="2"/>
  <c r="E279" i="3"/>
  <c r="D285" i="3"/>
  <c r="N273" i="3" l="1"/>
  <c r="D282" i="3"/>
  <c r="E282" i="3" s="1"/>
  <c r="D47" i="2"/>
  <c r="C464" i="1"/>
  <c r="D149" i="1"/>
  <c r="J419" i="1"/>
  <c r="E280" i="3"/>
  <c r="D284" i="3"/>
  <c r="D286" i="3" s="1"/>
  <c r="E42" i="2" s="1"/>
  <c r="C600" i="1"/>
  <c r="P13" i="1"/>
  <c r="P8" i="1"/>
  <c r="S92" i="1"/>
  <c r="T78" i="1"/>
  <c r="T63" i="1"/>
  <c r="D150" i="1"/>
  <c r="C465" i="1"/>
  <c r="D31" i="2"/>
  <c r="E47" i="2"/>
  <c r="L138" i="1"/>
  <c r="L133" i="1"/>
  <c r="H461" i="1"/>
  <c r="D161" i="1" s="1"/>
  <c r="C469" i="1" s="1"/>
  <c r="F459" i="1"/>
  <c r="J428" i="1"/>
  <c r="F425" i="1"/>
  <c r="E284" i="3"/>
  <c r="M50" i="1"/>
  <c r="G459" i="1"/>
  <c r="J429" i="1"/>
  <c r="T74" i="1"/>
  <c r="S87" i="1"/>
  <c r="I54" i="1" l="1"/>
  <c r="C188" i="3"/>
  <c r="E188" i="3" s="1"/>
  <c r="C99" i="3"/>
  <c r="E45" i="2"/>
  <c r="E46" i="2" s="1"/>
  <c r="C98" i="3"/>
  <c r="E98" i="3" s="1"/>
  <c r="K42" i="2"/>
  <c r="C189" i="3"/>
  <c r="I46" i="1"/>
  <c r="G47" i="2"/>
  <c r="I52" i="1"/>
  <c r="L52" i="1"/>
  <c r="L53" i="1" s="1"/>
  <c r="G170" i="1"/>
  <c r="I149" i="1"/>
  <c r="F170" i="1"/>
  <c r="G171" i="1"/>
  <c r="D170" i="1"/>
  <c r="F171" i="1"/>
  <c r="C170" i="1"/>
  <c r="E171" i="1"/>
  <c r="D171" i="1"/>
  <c r="C171" i="1"/>
  <c r="P213" i="1"/>
  <c r="H439" i="1"/>
  <c r="D73" i="1" s="1"/>
  <c r="H437" i="1"/>
  <c r="D71" i="1" s="1"/>
  <c r="H435" i="1"/>
  <c r="D69" i="1" s="1"/>
  <c r="H433" i="1"/>
  <c r="G432" i="1"/>
  <c r="C66" i="1" s="1"/>
  <c r="H429" i="1"/>
  <c r="D63" i="1" s="1"/>
  <c r="G428" i="1"/>
  <c r="G439" i="1"/>
  <c r="C73" i="1" s="1"/>
  <c r="G437" i="1"/>
  <c r="C71" i="1" s="1"/>
  <c r="G435" i="1"/>
  <c r="C69" i="1" s="1"/>
  <c r="G433" i="1"/>
  <c r="H430" i="1"/>
  <c r="D64" i="1" s="1"/>
  <c r="G429" i="1"/>
  <c r="C63" i="1" s="1"/>
  <c r="G436" i="1"/>
  <c r="C70" i="1" s="1"/>
  <c r="H438" i="1"/>
  <c r="D72" i="1" s="1"/>
  <c r="H431" i="1"/>
  <c r="D65" i="1" s="1"/>
  <c r="H428" i="1"/>
  <c r="G438" i="1"/>
  <c r="C72" i="1" s="1"/>
  <c r="G431" i="1"/>
  <c r="C65" i="1" s="1"/>
  <c r="H434" i="1"/>
  <c r="D68" i="1" s="1"/>
  <c r="G430" i="1"/>
  <c r="C64" i="1" s="1"/>
  <c r="H436" i="1"/>
  <c r="D70" i="1" s="1"/>
  <c r="H432" i="1"/>
  <c r="D66" i="1" s="1"/>
  <c r="G434" i="1"/>
  <c r="C68" i="1" s="1"/>
  <c r="F172" i="1"/>
  <c r="I150" i="1"/>
  <c r="G172" i="1"/>
  <c r="C172" i="1"/>
  <c r="P214" i="1"/>
  <c r="E172" i="1"/>
  <c r="D172" i="1"/>
  <c r="R428" i="1" l="1"/>
  <c r="D67" i="1"/>
  <c r="C100" i="3"/>
  <c r="E99" i="3"/>
  <c r="Q48" i="1"/>
  <c r="R429" i="1"/>
  <c r="R432" i="1"/>
  <c r="D62" i="1"/>
  <c r="I53" i="1"/>
  <c r="N48" i="1"/>
  <c r="I49" i="1"/>
  <c r="E88" i="1"/>
  <c r="E90" i="1"/>
  <c r="E108" i="1" s="1"/>
  <c r="E89" i="1"/>
  <c r="E107" i="1" s="1"/>
  <c r="C67" i="1"/>
  <c r="Q428" i="1"/>
  <c r="Q430" i="1" s="1"/>
  <c r="I51" i="1"/>
  <c r="I45" i="1"/>
  <c r="C190" i="3"/>
  <c r="E189" i="3"/>
  <c r="E190" i="3" s="1"/>
  <c r="I48" i="1"/>
  <c r="Q429" i="1"/>
  <c r="Q432" i="1"/>
  <c r="C62" i="1"/>
  <c r="P217" i="1"/>
  <c r="E56" i="1"/>
  <c r="N44" i="1"/>
  <c r="I44" i="1"/>
  <c r="I50" i="1"/>
  <c r="I55" i="1"/>
  <c r="E100" i="3"/>
  <c r="I47" i="1"/>
  <c r="H88" i="1" l="1"/>
  <c r="H56" i="1"/>
  <c r="Q44" i="1"/>
  <c r="H92" i="1"/>
  <c r="H110" i="1" s="1"/>
  <c r="H128" i="1" s="1"/>
  <c r="C202" i="1" s="1"/>
  <c r="H94" i="1"/>
  <c r="H112" i="1" s="1"/>
  <c r="H93" i="1"/>
  <c r="H111" i="1" s="1"/>
  <c r="E106" i="1"/>
  <c r="C94" i="1"/>
  <c r="C112" i="1" s="1"/>
  <c r="E94" i="1"/>
  <c r="E112" i="1" s="1"/>
  <c r="D94" i="1"/>
  <c r="F94" i="1"/>
  <c r="F112" i="1" s="1"/>
  <c r="G94" i="1"/>
  <c r="G112" i="1" s="1"/>
  <c r="S432" i="1"/>
  <c r="C90" i="1"/>
  <c r="C108" i="1" s="1"/>
  <c r="F90" i="1"/>
  <c r="F108" i="1" s="1"/>
  <c r="D90" i="1"/>
  <c r="G90" i="1"/>
  <c r="G108" i="1" s="1"/>
  <c r="E167" i="1"/>
  <c r="E170" i="1"/>
  <c r="D92" i="1"/>
  <c r="D110" i="1" s="1"/>
  <c r="D128" i="1" s="1"/>
  <c r="D188" i="1" s="1"/>
  <c r="E93" i="1"/>
  <c r="E111" i="1" s="1"/>
  <c r="D93" i="1"/>
  <c r="F93" i="1"/>
  <c r="F111" i="1" s="1"/>
  <c r="E92" i="1"/>
  <c r="E110" i="1" s="1"/>
  <c r="E128" i="1" s="1"/>
  <c r="C92" i="1"/>
  <c r="C110" i="1" s="1"/>
  <c r="C128" i="1" s="1"/>
  <c r="C188" i="1" s="1"/>
  <c r="C93" i="1"/>
  <c r="C111" i="1" s="1"/>
  <c r="F92" i="1"/>
  <c r="F110" i="1" s="1"/>
  <c r="F128" i="1" s="1"/>
  <c r="F188" i="1" s="1"/>
  <c r="G93" i="1"/>
  <c r="G111" i="1" s="1"/>
  <c r="G92" i="1"/>
  <c r="G110" i="1" s="1"/>
  <c r="G128" i="1" s="1"/>
  <c r="G188" i="1" s="1"/>
  <c r="Q213" i="1"/>
  <c r="R430" i="1"/>
  <c r="H90" i="1"/>
  <c r="H108" i="1" s="1"/>
  <c r="I56" i="1"/>
  <c r="F88" i="1"/>
  <c r="F89" i="1"/>
  <c r="F107" i="1" s="1"/>
  <c r="D88" i="1"/>
  <c r="D89" i="1"/>
  <c r="C88" i="1"/>
  <c r="C89" i="1"/>
  <c r="C107" i="1" s="1"/>
  <c r="G88" i="1"/>
  <c r="G89" i="1"/>
  <c r="G107" i="1" s="1"/>
  <c r="H89" i="1"/>
  <c r="H107" i="1" s="1"/>
  <c r="F364" i="1" l="1"/>
  <c r="F280" i="1"/>
  <c r="D112" i="1"/>
  <c r="C298" i="1"/>
  <c r="C96" i="1"/>
  <c r="C106" i="1"/>
  <c r="D107" i="1"/>
  <c r="S93" i="1"/>
  <c r="S94" i="1" s="1"/>
  <c r="D125" i="1" s="1"/>
  <c r="D182" i="1" s="1"/>
  <c r="E188" i="1"/>
  <c r="D108" i="1"/>
  <c r="D96" i="1"/>
  <c r="D106" i="1"/>
  <c r="C280" i="1"/>
  <c r="C364" i="1"/>
  <c r="F96" i="1"/>
  <c r="F106" i="1"/>
  <c r="R213" i="1"/>
  <c r="S213" i="1" s="1"/>
  <c r="L213" i="1"/>
  <c r="D111" i="1"/>
  <c r="S88" i="1"/>
  <c r="S89" i="1" s="1"/>
  <c r="D130" i="1" s="1"/>
  <c r="D190" i="1" s="1"/>
  <c r="Q214" i="1"/>
  <c r="G364" i="1"/>
  <c r="G280" i="1"/>
  <c r="E114" i="1"/>
  <c r="E124" i="1"/>
  <c r="G106" i="1"/>
  <c r="G96" i="1"/>
  <c r="D280" i="1"/>
  <c r="D386" i="1" s="1"/>
  <c r="D364" i="1"/>
  <c r="E96" i="1"/>
  <c r="H106" i="1"/>
  <c r="H96" i="1"/>
  <c r="D274" i="1" l="1"/>
  <c r="D282" i="1"/>
  <c r="D126" i="1"/>
  <c r="D183" i="1" s="1"/>
  <c r="E132" i="1"/>
  <c r="E192" i="1" s="1"/>
  <c r="E181" i="1"/>
  <c r="D129" i="1"/>
  <c r="D189" i="1" s="1"/>
  <c r="C386" i="1"/>
  <c r="G386" i="1"/>
  <c r="D114" i="1"/>
  <c r="D124" i="1"/>
  <c r="C114" i="1"/>
  <c r="C124" i="1"/>
  <c r="F386" i="1"/>
  <c r="H124" i="1"/>
  <c r="H114" i="1"/>
  <c r="C98" i="1"/>
  <c r="E280" i="1"/>
  <c r="E364" i="1"/>
  <c r="G124" i="1"/>
  <c r="G114" i="1"/>
  <c r="M213" i="1"/>
  <c r="F124" i="1"/>
  <c r="F114" i="1"/>
  <c r="E273" i="1" l="1"/>
  <c r="E363" i="1"/>
  <c r="F132" i="1"/>
  <c r="F192" i="1" s="1"/>
  <c r="F181" i="1"/>
  <c r="E386" i="1"/>
  <c r="C181" i="1"/>
  <c r="C132" i="1"/>
  <c r="C192" i="1" s="1"/>
  <c r="D275" i="1"/>
  <c r="E284" i="1"/>
  <c r="R214" i="1"/>
  <c r="L214" i="1"/>
  <c r="C116" i="1"/>
  <c r="C133" i="1" s="1"/>
  <c r="E365" i="1"/>
  <c r="E369" i="1" s="1"/>
  <c r="D181" i="1"/>
  <c r="D132" i="1"/>
  <c r="D192" i="1" s="1"/>
  <c r="D281" i="1"/>
  <c r="H213" i="1"/>
  <c r="N213" i="1"/>
  <c r="Z213" i="1" s="1"/>
  <c r="AA213" i="1" s="1"/>
  <c r="I259" i="1"/>
  <c r="I298" i="1" s="1"/>
  <c r="I352" i="1" s="1"/>
  <c r="G132" i="1"/>
  <c r="G192" i="1" s="1"/>
  <c r="G181" i="1"/>
  <c r="H132" i="1"/>
  <c r="C206" i="1" s="1"/>
  <c r="C198" i="1"/>
  <c r="C184" i="1" l="1"/>
  <c r="C273" i="1"/>
  <c r="C294" i="1"/>
  <c r="C302" i="1"/>
  <c r="F273" i="1"/>
  <c r="F363" i="1"/>
  <c r="G363" i="1"/>
  <c r="G273" i="1"/>
  <c r="F284" i="1"/>
  <c r="H202" i="1"/>
  <c r="H64" i="3"/>
  <c r="D363" i="1"/>
  <c r="D273" i="1"/>
  <c r="D385" i="1" s="1"/>
  <c r="G284" i="1"/>
  <c r="E368" i="1"/>
  <c r="I39" i="3"/>
  <c r="H500" i="1"/>
  <c r="D284" i="1"/>
  <c r="S214" i="1"/>
  <c r="M214" i="1" s="1"/>
  <c r="I213" i="1"/>
  <c r="C210" i="1" s="1"/>
  <c r="J259" i="1"/>
  <c r="J298" i="1" s="1"/>
  <c r="J352" i="1" s="1"/>
  <c r="C284" i="1"/>
  <c r="E385" i="1"/>
  <c r="E387" i="1" s="1"/>
  <c r="E391" i="1" s="1"/>
  <c r="D255" i="1" l="1"/>
  <c r="G365" i="1"/>
  <c r="G369" i="1" s="1"/>
  <c r="J39" i="3"/>
  <c r="H501" i="1"/>
  <c r="H523" i="1" s="1"/>
  <c r="F365" i="1"/>
  <c r="F369" i="1" s="1"/>
  <c r="D365" i="1"/>
  <c r="D369" i="1" s="1"/>
  <c r="C305" i="1"/>
  <c r="H385" i="1"/>
  <c r="H522" i="1"/>
  <c r="H554" i="1"/>
  <c r="H65" i="3"/>
  <c r="I202" i="1"/>
  <c r="D387" i="1"/>
  <c r="D391" i="1" s="1"/>
  <c r="E390" i="1"/>
  <c r="F385" i="1"/>
  <c r="C276" i="1"/>
  <c r="H214" i="1"/>
  <c r="I260" i="1"/>
  <c r="I299" i="1" s="1"/>
  <c r="N214" i="1"/>
  <c r="G385" i="1"/>
  <c r="C238" i="1"/>
  <c r="C185" i="1"/>
  <c r="C239" i="1" s="1"/>
  <c r="D348" i="1" l="1"/>
  <c r="D35" i="3" s="1"/>
  <c r="C363" i="1"/>
  <c r="D368" i="1"/>
  <c r="G368" i="1"/>
  <c r="I353" i="1"/>
  <c r="H386" i="1"/>
  <c r="F368" i="1"/>
  <c r="D390" i="1"/>
  <c r="C332" i="1"/>
  <c r="C19" i="3" s="1"/>
  <c r="C277" i="1"/>
  <c r="C333" i="1" s="1"/>
  <c r="C20" i="3" s="1"/>
  <c r="G390" i="1"/>
  <c r="G387" i="1"/>
  <c r="G391" i="1" s="1"/>
  <c r="F387" i="1"/>
  <c r="F391" i="1" s="1"/>
  <c r="H72" i="3"/>
  <c r="H203" i="1"/>
  <c r="C214" i="1"/>
  <c r="C218" i="1"/>
  <c r="C313" i="1"/>
  <c r="I214" i="1"/>
  <c r="J260" i="1"/>
  <c r="J299" i="1" s="1"/>
  <c r="J353" i="1" s="1"/>
  <c r="I40" i="3" l="1"/>
  <c r="H508" i="1"/>
  <c r="C316" i="1"/>
  <c r="H387" i="1"/>
  <c r="H390" i="1" s="1"/>
  <c r="C395" i="1"/>
  <c r="C385" i="1"/>
  <c r="D259" i="1"/>
  <c r="C372" i="1"/>
  <c r="C365" i="1"/>
  <c r="C369" i="1" s="1"/>
  <c r="H509" i="1"/>
  <c r="H531" i="1" s="1"/>
  <c r="J40" i="3"/>
  <c r="F390" i="1"/>
  <c r="C221" i="1"/>
  <c r="H73" i="3"/>
  <c r="I203" i="1"/>
  <c r="C309" i="1"/>
  <c r="H365" i="1" l="1"/>
  <c r="H368" i="1" s="1"/>
  <c r="C373" i="1"/>
  <c r="C394" i="1"/>
  <c r="C396" i="1" s="1"/>
  <c r="C400" i="1" s="1"/>
  <c r="C387" i="1"/>
  <c r="C391" i="1" s="1"/>
  <c r="E377" i="1"/>
  <c r="H391" i="1"/>
  <c r="E400" i="1"/>
  <c r="D318" i="1"/>
  <c r="C352" i="1" s="1"/>
  <c r="D317" i="1"/>
  <c r="D352" i="1"/>
  <c r="D39" i="3" s="1"/>
  <c r="C368" i="1"/>
  <c r="H561" i="1"/>
  <c r="H530" i="1"/>
  <c r="D223" i="1"/>
  <c r="D222" i="1"/>
  <c r="H369" i="1" l="1"/>
  <c r="J377" i="1"/>
  <c r="F20" i="2" s="1"/>
  <c r="C39" i="3"/>
  <c r="E399" i="1"/>
  <c r="J399" i="1" s="1"/>
  <c r="C399" i="1"/>
  <c r="L52" i="3"/>
  <c r="M468" i="1"/>
  <c r="F486" i="1"/>
  <c r="C568" i="1"/>
  <c r="D484" i="1"/>
  <c r="G242" i="1"/>
  <c r="F242" i="1"/>
  <c r="C242" i="1"/>
  <c r="D234" i="1"/>
  <c r="E242" i="1"/>
  <c r="D244" i="1"/>
  <c r="E233" i="1"/>
  <c r="D235" i="1"/>
  <c r="E246" i="1"/>
  <c r="D243" i="1"/>
  <c r="G246" i="1"/>
  <c r="F246" i="1"/>
  <c r="D246" i="1"/>
  <c r="C233" i="1"/>
  <c r="F233" i="1"/>
  <c r="G233" i="1"/>
  <c r="C246" i="1"/>
  <c r="C255" i="1"/>
  <c r="C259" i="1"/>
  <c r="C263" i="1"/>
  <c r="C374" i="1"/>
  <c r="C377" i="1" s="1"/>
  <c r="E378" i="1"/>
  <c r="J378" i="1" s="1"/>
  <c r="J400" i="1"/>
  <c r="G336" i="1"/>
  <c r="F336" i="1"/>
  <c r="C336" i="1"/>
  <c r="D338" i="1"/>
  <c r="D328" i="1"/>
  <c r="E336" i="1"/>
  <c r="E340" i="1"/>
  <c r="E27" i="3" s="1"/>
  <c r="D329" i="1"/>
  <c r="E327" i="1"/>
  <c r="D337" i="1"/>
  <c r="G340" i="1"/>
  <c r="G27" i="3" s="1"/>
  <c r="G327" i="1"/>
  <c r="F327" i="1"/>
  <c r="C340" i="1"/>
  <c r="C27" i="3" s="1"/>
  <c r="D340" i="1"/>
  <c r="D27" i="3" s="1"/>
  <c r="C327" i="1"/>
  <c r="C14" i="3" s="1"/>
  <c r="F340" i="1"/>
  <c r="F27" i="3" s="1"/>
  <c r="C348" i="1"/>
  <c r="C356" i="1"/>
  <c r="C43" i="3" s="1"/>
  <c r="C390" i="1"/>
  <c r="C569" i="1" l="1"/>
  <c r="E23" i="3"/>
  <c r="F21" i="2"/>
  <c r="C570" i="1"/>
  <c r="F14" i="3"/>
  <c r="D15" i="3"/>
  <c r="F10" i="2"/>
  <c r="M469" i="1"/>
  <c r="M470" i="1" s="1"/>
  <c r="D485" i="1" s="1"/>
  <c r="D486" i="1" s="1"/>
  <c r="F488" i="1"/>
  <c r="D25" i="3"/>
  <c r="C23" i="3"/>
  <c r="C35" i="3"/>
  <c r="D24" i="3"/>
  <c r="G14" i="3"/>
  <c r="F50" i="3"/>
  <c r="F52" i="3"/>
  <c r="I52" i="3"/>
  <c r="L53" i="3" s="1"/>
  <c r="L54" i="3" s="1"/>
  <c r="F23" i="3"/>
  <c r="E14" i="3"/>
  <c r="G23" i="3"/>
  <c r="D16" i="3"/>
  <c r="C378" i="1"/>
  <c r="C572" i="1"/>
  <c r="C571" i="1"/>
  <c r="C497" i="1" l="1"/>
  <c r="C493" i="1"/>
  <c r="C496" i="1"/>
  <c r="H504" i="1"/>
  <c r="E504" i="1"/>
  <c r="H493" i="1"/>
  <c r="D495" i="1"/>
  <c r="F493" i="1"/>
  <c r="D505" i="1"/>
  <c r="F504" i="1"/>
  <c r="D506" i="1"/>
  <c r="G504" i="1"/>
  <c r="G493" i="1"/>
  <c r="E493" i="1"/>
  <c r="C504" i="1"/>
  <c r="D494" i="1"/>
  <c r="H589" i="1"/>
  <c r="F589" i="1"/>
  <c r="E589" i="1"/>
  <c r="D589" i="1"/>
  <c r="C589" i="1"/>
  <c r="G589" i="1"/>
  <c r="G588" i="1"/>
  <c r="F588" i="1"/>
  <c r="D588" i="1"/>
  <c r="C588" i="1"/>
  <c r="H588" i="1"/>
  <c r="E588" i="1"/>
  <c r="F30" i="2"/>
  <c r="G30" i="2" s="1"/>
  <c r="F12" i="2"/>
  <c r="F14" i="2" s="1"/>
  <c r="F15" i="2" s="1"/>
  <c r="G15" i="2" s="1"/>
  <c r="G17" i="2" s="1"/>
  <c r="F29" i="2"/>
  <c r="D590" i="1" l="1"/>
  <c r="E590" i="1"/>
  <c r="F590" i="1"/>
  <c r="H590" i="1"/>
  <c r="C590" i="1"/>
  <c r="C594" i="1"/>
  <c r="H515" i="1"/>
  <c r="H547" i="1"/>
  <c r="D517" i="1"/>
  <c r="D549" i="1"/>
  <c r="E526" i="1"/>
  <c r="E578" i="1"/>
  <c r="E557" i="1"/>
  <c r="F577" i="1"/>
  <c r="F547" i="1"/>
  <c r="F515" i="1"/>
  <c r="E515" i="1"/>
  <c r="E577" i="1"/>
  <c r="E547" i="1"/>
  <c r="G526" i="1"/>
  <c r="G557" i="1"/>
  <c r="G578" i="1"/>
  <c r="H557" i="1"/>
  <c r="H579" i="1"/>
  <c r="H526" i="1"/>
  <c r="D548" i="1"/>
  <c r="D516" i="1"/>
  <c r="D577" i="1"/>
  <c r="C593" i="1"/>
  <c r="C603" i="1" s="1"/>
  <c r="D528" i="1"/>
  <c r="D559" i="1"/>
  <c r="C550" i="1"/>
  <c r="C518" i="1"/>
  <c r="C557" i="1"/>
  <c r="C578" i="1"/>
  <c r="C526" i="1"/>
  <c r="F31" i="2"/>
  <c r="G29" i="2"/>
  <c r="F526" i="1"/>
  <c r="F557" i="1"/>
  <c r="F578" i="1"/>
  <c r="C577" i="1"/>
  <c r="C547" i="1"/>
  <c r="C183" i="3"/>
  <c r="C94" i="3"/>
  <c r="D35" i="2"/>
  <c r="G577" i="1"/>
  <c r="G547" i="1"/>
  <c r="G515" i="1"/>
  <c r="G590" i="1"/>
  <c r="D578" i="1"/>
  <c r="D558" i="1"/>
  <c r="D527" i="1"/>
  <c r="C519" i="1"/>
  <c r="C551" i="1"/>
  <c r="D579" i="1" l="1"/>
  <c r="F579" i="1"/>
  <c r="C582" i="1"/>
  <c r="C608" i="1" s="1"/>
  <c r="C579" i="1"/>
  <c r="C583" i="1"/>
  <c r="G579" i="1"/>
  <c r="E94" i="3"/>
  <c r="C104" i="3"/>
  <c r="C595" i="1"/>
  <c r="C604" i="1"/>
  <c r="C605" i="1" s="1"/>
  <c r="C182" i="3"/>
  <c r="C184" i="3" s="1"/>
  <c r="D34" i="2"/>
  <c r="G31" i="2"/>
  <c r="D36" i="2" s="1"/>
  <c r="D42" i="2" s="1"/>
  <c r="D45" i="2" s="1"/>
  <c r="D46" i="2" s="1"/>
  <c r="G46" i="2" s="1"/>
  <c r="G48" i="2" s="1"/>
  <c r="D48" i="3" s="1"/>
  <c r="D50" i="3" s="1"/>
  <c r="C93" i="3"/>
  <c r="C95" i="3" s="1"/>
  <c r="C195" i="3"/>
  <c r="E183" i="3"/>
  <c r="E579" i="1"/>
  <c r="C584" i="1" l="1"/>
  <c r="C103" i="3"/>
  <c r="E103" i="3" s="1"/>
  <c r="E93" i="3"/>
  <c r="E95" i="3" s="1"/>
  <c r="E195" i="3"/>
  <c r="D202" i="3" s="1"/>
  <c r="E104" i="3"/>
  <c r="D110" i="3" s="1"/>
  <c r="E182" i="3"/>
  <c r="E184" i="3" s="1"/>
  <c r="C194" i="3"/>
  <c r="E194" i="3" s="1"/>
  <c r="C60" i="3"/>
  <c r="C61" i="3"/>
  <c r="C57" i="3"/>
  <c r="H68" i="3"/>
  <c r="C68" i="3"/>
  <c r="F57" i="3"/>
  <c r="E68" i="3"/>
  <c r="D58" i="3"/>
  <c r="D69" i="3"/>
  <c r="G68" i="3"/>
  <c r="D70" i="3"/>
  <c r="E57" i="3"/>
  <c r="F68" i="3"/>
  <c r="G57" i="3"/>
  <c r="H57" i="3"/>
  <c r="D59" i="3"/>
  <c r="C609" i="1"/>
  <c r="C610" i="1" s="1"/>
  <c r="C105" i="3" l="1"/>
  <c r="C196" i="3"/>
  <c r="F81" i="3"/>
  <c r="C81" i="3"/>
  <c r="F80" i="3"/>
  <c r="E80" i="3"/>
  <c r="H81" i="3"/>
  <c r="G80" i="3"/>
  <c r="C80" i="3"/>
  <c r="H80" i="3"/>
  <c r="G81" i="3"/>
  <c r="D81" i="3"/>
  <c r="D109" i="3"/>
  <c r="D111" i="3" s="1"/>
  <c r="E105" i="3"/>
  <c r="E81" i="3"/>
  <c r="D80" i="3"/>
  <c r="D201" i="3"/>
  <c r="E196" i="3"/>
  <c r="C85" i="3" l="1"/>
  <c r="C109" i="3" s="1"/>
  <c r="E109" i="3" s="1"/>
  <c r="G109" i="3" s="1"/>
  <c r="E82" i="3"/>
  <c r="G82" i="3"/>
  <c r="C86" i="3"/>
  <c r="C82" i="3"/>
  <c r="H82" i="3"/>
  <c r="D203" i="3"/>
  <c r="F82" i="3"/>
  <c r="D82" i="3"/>
  <c r="H128" i="3" l="1"/>
  <c r="H129" i="3"/>
  <c r="E121" i="3"/>
  <c r="C121" i="3"/>
  <c r="D122" i="3"/>
  <c r="D123" i="3"/>
  <c r="C124" i="3"/>
  <c r="F121" i="3"/>
  <c r="H121" i="3"/>
  <c r="G121" i="3"/>
  <c r="C125" i="3"/>
  <c r="C110" i="3"/>
  <c r="C87" i="3"/>
  <c r="F143" i="3" l="1"/>
  <c r="F218" i="3"/>
  <c r="F169" i="3"/>
  <c r="W121" i="3"/>
  <c r="AE121" i="3" s="1"/>
  <c r="C169" i="3"/>
  <c r="C218" i="3"/>
  <c r="T121" i="3"/>
  <c r="AB121" i="3" s="1"/>
  <c r="U123" i="3"/>
  <c r="AC123" i="3" s="1"/>
  <c r="D145" i="3"/>
  <c r="D220" i="3"/>
  <c r="E218" i="3"/>
  <c r="E169" i="3"/>
  <c r="V121" i="3"/>
  <c r="AD121" i="3" s="1"/>
  <c r="E143" i="3"/>
  <c r="C221" i="3"/>
  <c r="C146" i="3"/>
  <c r="T124" i="3"/>
  <c r="AB124" i="3" s="1"/>
  <c r="C111" i="3"/>
  <c r="E110" i="3"/>
  <c r="C147" i="3"/>
  <c r="T125" i="3"/>
  <c r="AB125" i="3" s="1"/>
  <c r="C222" i="3"/>
  <c r="H151" i="3"/>
  <c r="H226" i="3"/>
  <c r="D169" i="3"/>
  <c r="U122" i="3"/>
  <c r="AC122" i="3" s="1"/>
  <c r="D219" i="3"/>
  <c r="D144" i="3"/>
  <c r="G143" i="3"/>
  <c r="G169" i="3"/>
  <c r="X121" i="3"/>
  <c r="AF121" i="3" s="1"/>
  <c r="G218" i="3"/>
  <c r="H143" i="3"/>
  <c r="H169" i="3"/>
  <c r="Y121" i="3"/>
  <c r="AG121" i="3" s="1"/>
  <c r="H218" i="3"/>
  <c r="Y128" i="3"/>
  <c r="AG128" i="3" s="1"/>
  <c r="H225" i="3"/>
  <c r="H150" i="3"/>
  <c r="C174" i="3" l="1"/>
  <c r="C201" i="3" s="1"/>
  <c r="E201" i="3" s="1"/>
  <c r="G110" i="3"/>
  <c r="E111" i="3"/>
  <c r="H136" i="3" l="1"/>
  <c r="H137" i="3"/>
  <c r="F132" i="3"/>
  <c r="D134" i="3"/>
  <c r="D133" i="3"/>
  <c r="C132" i="3"/>
  <c r="E132" i="3"/>
  <c r="G132" i="3"/>
  <c r="H132" i="3"/>
  <c r="D231" i="3" l="1"/>
  <c r="U133" i="3"/>
  <c r="AC133" i="3" s="1"/>
  <c r="D156" i="3"/>
  <c r="X131" i="3"/>
  <c r="AF131" i="3" s="1"/>
  <c r="G154" i="3"/>
  <c r="G170" i="3"/>
  <c r="G171" i="3" s="1"/>
  <c r="G229" i="3"/>
  <c r="F229" i="3"/>
  <c r="F170" i="3"/>
  <c r="F171" i="3" s="1"/>
  <c r="F154" i="3"/>
  <c r="W131" i="3"/>
  <c r="AE131" i="3" s="1"/>
  <c r="D170" i="3"/>
  <c r="D171" i="3" s="1"/>
  <c r="D155" i="3"/>
  <c r="U132" i="3"/>
  <c r="AC132" i="3" s="1"/>
  <c r="D230" i="3"/>
  <c r="H159" i="3"/>
  <c r="H234" i="3"/>
  <c r="E229" i="3"/>
  <c r="E170" i="3"/>
  <c r="E171" i="3" s="1"/>
  <c r="E154" i="3"/>
  <c r="V131" i="3"/>
  <c r="AD131" i="3" s="1"/>
  <c r="C154" i="3"/>
  <c r="T131" i="3"/>
  <c r="AB131" i="3" s="1"/>
  <c r="C229" i="3"/>
  <c r="C170" i="3"/>
  <c r="Y131" i="3"/>
  <c r="AG131" i="3" s="1"/>
  <c r="H170" i="3"/>
  <c r="H171" i="3" s="1"/>
  <c r="H229" i="3"/>
  <c r="H154" i="3"/>
  <c r="H158" i="3"/>
  <c r="Y135" i="3"/>
  <c r="AG135" i="3" s="1"/>
  <c r="H233" i="3"/>
  <c r="C171" i="3" l="1"/>
  <c r="C175" i="3"/>
  <c r="C176" i="3" l="1"/>
  <c r="C202" i="3"/>
  <c r="C203" i="3" l="1"/>
  <c r="E202" i="3"/>
  <c r="E203" i="3" s="1"/>
</calcChain>
</file>

<file path=xl/sharedStrings.xml><?xml version="1.0" encoding="utf-8"?>
<sst xmlns="http://schemas.openxmlformats.org/spreadsheetml/2006/main" count="1128" uniqueCount="408">
  <si>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</si>
  <si>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</si>
  <si>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</si>
  <si>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</si>
  <si>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</si>
  <si>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</si>
  <si>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</si>
  <si>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SC1/SC5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</si>
  <si>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</si>
  <si>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</si>
  <si>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</si>
  <si>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</si>
  <si>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</si>
  <si>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</si>
  <si>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</si>
  <si>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</si>
  <si>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</si>
  <si>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</si>
  <si>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</si>
  <si>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</si>
  <si>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</si>
  <si>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</si>
  <si>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</si>
  <si>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</si>
  <si>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</si>
  <si>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</si>
  <si>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</si>
  <si>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</si>
  <si>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</si>
  <si>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</si>
  <si>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</si>
  <si>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</si>
  <si>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</si>
  <si>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</si>
  <si>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</si>
  <si>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</si>
  <si>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</si>
  <si>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</si>
  <si>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</si>
  <si>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</si>
  <si>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</si>
  <si>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</si>
  <si>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</si>
  <si>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</si>
  <si>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</si>
  <si>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</si>
  <si>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</si>
  <si>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</si>
  <si>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</si>
  <si>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</si>
  <si>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</si>
  <si>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</si>
  <si>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</si>
  <si>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</si>
  <si>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</si>
  <si>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</si>
  <si>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</si>
  <si>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</si>
  <si>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</si>
  <si>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</si>
  <si>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</si>
  <si>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</si>
  <si>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</si>
  <si>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</si>
  <si>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</si>
  <si>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</si>
  <si>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</si>
  <si>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</si>
  <si>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</si>
  <si>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</si>
  <si>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</si>
  <si>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</si>
  <si>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</si>
  <si>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</si>
  <si>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</si>
  <si>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</si>
  <si>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</si>
  <si>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</si>
  <si>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</si>
  <si>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</si>
  <si>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</si>
  <si>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</si>
  <si>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</si>
  <si>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</si>
  <si>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</si>
  <si>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</si>
  <si>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</si>
  <si>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</si>
  <si>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</si>
  <si>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</si>
  <si>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</si>
  <si>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</si>
  <si>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</si>
  <si>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</si>
  <si>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</si>
  <si>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</si>
  <si>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</si>
  <si>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</si>
  <si>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</si>
  <si>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</si>
  <si>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</si>
  <si>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</si>
  <si>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</si>
  <si>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</si>
  <si>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</si>
  <si>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</si>
  <si>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</si>
  <si>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</si>
  <si>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</si>
  <si>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</si>
  <si>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</si>
  <si>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</si>
  <si>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</si>
  <si>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</si>
  <si>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</si>
  <si>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</si>
  <si>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</si>
  <si>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</si>
  <si>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</si>
  <si>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</si>
  <si>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</si>
  <si>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</si>
  <si>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</si>
  <si>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</si>
  <si>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</si>
  <si>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</si>
  <si>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</si>
  <si>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</si>
  <si>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</si>
  <si>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</si>
  <si>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</si>
  <si>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</si>
  <si>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</si>
  <si>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</si>
  <si>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</si>
  <si>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</si>
  <si>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</si>
  <si>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</si>
  <si>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</si>
  <si>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</si>
  <si>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</si>
  <si>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</si>
  <si>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</si>
  <si>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</si>
  <si>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</si>
  <si>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</si>
  <si>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</si>
  <si>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</si>
  <si>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</si>
  <si>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</si>
  <si>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</si>
  <si>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</si>
  <si>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</si>
  <si>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</si>
  <si>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</si>
  <si>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</si>
  <si>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</si>
  <si>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</si>
  <si>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</si>
  <si>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</si>
  <si>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</si>
  <si>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</si>
  <si>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</si>
  <si>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</si>
  <si>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</si>
  <si>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</si>
  <si>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</si>
  <si>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</si>
  <si>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</si>
  <si>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</si>
  <si>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</si>
  <si>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</si>
  <si>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</si>
  <si>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</si>
  <si>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</si>
  <si>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</si>
  <si>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</si>
  <si>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</si>
  <si>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</si>
  <si>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</si>
  <si>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</si>
  <si>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</si>
  <si>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</si>
  <si>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</si>
  <si>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</si>
  <si>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</si>
  <si>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</si>
  <si>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</si>
  <si>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</si>
  <si>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</si>
  <si>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</si>
  <si>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</si>
  <si>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</si>
  <si>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</si>
  <si>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</si>
  <si>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</si>
  <si>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</si>
  <si>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</si>
  <si>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</si>
  <si>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</si>
  <si>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</si>
  <si>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</si>
  <si>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</si>
  <si>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</si>
  <si>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</si>
  <si>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</si>
  <si>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</si>
  <si>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</si>
  <si>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</si>
  <si>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</si>
  <si>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Weighted</t>
  </si>
  <si>
    <t xml:space="preserve"> Capacity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</si>
  <si>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</si>
  <si>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</si>
  <si>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</si>
  <si>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</si>
  <si>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</si>
  <si>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</si>
  <si>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</si>
  <si>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</si>
  <si>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</si>
  <si>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</si>
  <si>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</si>
  <si>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</si>
  <si>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</si>
  <si>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</si>
  <si>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</si>
  <si>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</si>
  <si>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</si>
  <si>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</si>
  <si>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</si>
  <si>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</si>
  <si>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</si>
  <si>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</si>
  <si>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</si>
  <si>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</si>
  <si>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</si>
  <si>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</si>
  <si>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</si>
  <si>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</si>
  <si>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</si>
  <si>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</si>
  <si>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</si>
  <si>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</si>
  <si>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</si>
  <si>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</si>
  <si>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</si>
  <si>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</si>
  <si>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</si>
  <si>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</si>
  <si>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</si>
  <si>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</si>
  <si>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</si>
  <si>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</si>
  <si>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 xml:space="preserve"> 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</si>
  <si>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</si>
  <si>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</si>
  <si>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</si>
  <si>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</si>
  <si>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</si>
  <si>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</si>
  <si>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</si>
  <si>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</si>
  <si>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</si>
  <si>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</si>
  <si>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</si>
  <si>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</si>
  <si>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</si>
  <si>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</si>
  <si>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</si>
  <si>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</si>
  <si>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</si>
  <si>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SC1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</si>
  <si>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</si>
  <si>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</si>
  <si>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</si>
  <si>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</si>
  <si>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Summer $/kW</t>
  </si>
  <si>
    <t>Winter 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</si>
  <si>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</si>
  <si>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</si>
  <si>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</si>
  <si>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</si>
  <si>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</si>
  <si>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</si>
  <si>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</si>
  <si>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</si>
  <si>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</si>
  <si>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</si>
  <si>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</si>
  <si>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</si>
  <si>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</si>
  <si>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Differences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</si>
  <si>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</si>
  <si>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</si>
  <si>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</si>
  <si>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</si>
  <si>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</si>
  <si>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</si>
  <si>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</si>
  <si>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</si>
  <si>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</si>
  <si>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</si>
  <si>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2(a)</t>
  </si>
  <si>
    <t>Winning Bid Price (¢/kWh)*</t>
  </si>
  <si>
    <t>2(b)</t>
  </si>
  <si>
    <t>Capacity Proxy Price True-up - in (¢/kWh)*</t>
  </si>
  <si>
    <t>Entered After 2022 BGS Auction</t>
  </si>
  <si>
    <t>2(C)</t>
  </si>
  <si>
    <t xml:space="preserve"> = 2(a) + 2(b)</t>
  </si>
  <si>
    <t>Transmission (¢/kWh)</t>
  </si>
  <si>
    <t>Average transmission cost included in bid for existing tranches only</t>
  </si>
  <si>
    <t>BGS (¢/kWh)</t>
  </si>
  <si>
    <t>=(2) - (3)</t>
  </si>
  <si>
    <t>Weighted Avg BGS</t>
  </si>
  <si>
    <t>= (1) / Total Tranches * (4)</t>
  </si>
  <si>
    <t>Weighted Avg Trans</t>
  </si>
  <si>
    <t>= (1) / Total Tranches * (3)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</si>
  <si>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</si>
  <si>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</si>
  <si>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</si>
  <si>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</si>
  <si>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</si>
  <si>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</si>
  <si>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</si>
  <si>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</si>
  <si>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</si>
  <si>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</si>
  <si>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</si>
  <si>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(2c) / 100 * (8) * (10) * 1,000</t>
  </si>
  <si>
    <t>= (1) / Total Tranches * (2c) / 100* (9) * (11) * 1,000</t>
  </si>
  <si>
    <t>= (13) + (14)</t>
  </si>
  <si>
    <t>Average Cost (NJ Statewide Auction)</t>
  </si>
  <si>
    <t>= sum(line 13) / (10) / 1000 * 100  rounded to 3 decimal places</t>
  </si>
  <si>
    <t>= sum(line 14) / (11) / 1000 * 100  rounded to 3 decimal places</t>
  </si>
  <si>
    <t>= sum(line 15) / (12)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</si>
  <si>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</si>
  <si>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</si>
  <si>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</si>
  <si>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</si>
  <si>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</si>
  <si>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</si>
  <si>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(excludes transmission).</t>
  </si>
  <si>
    <t>Transmission</t>
  </si>
  <si>
    <t>= (20) - (21)</t>
  </si>
  <si>
    <t>= (19) / Total Tranches * (22)</t>
  </si>
  <si>
    <t>= (19) / Total Tranches * (21)</t>
  </si>
  <si>
    <t>Weighted Avg Total Price</t>
  </si>
  <si>
    <t>= (23) + (24)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</si>
  <si>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</si>
  <si>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</si>
  <si>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</si>
  <si>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</si>
  <si>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</si>
  <si>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</si>
  <si>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</si>
  <si>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</si>
  <si>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</si>
  <si>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</si>
  <si>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</si>
  <si>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</si>
  <si>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</si>
  <si>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</si>
  <si>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</si>
  <si>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</si>
  <si>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</si>
  <si>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</si>
  <si>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</si>
  <si>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</si>
  <si>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</si>
  <si>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</si>
  <si>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</si>
  <si>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</si>
  <si>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</si>
  <si>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</si>
  <si>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</si>
  <si>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</si>
  <si>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</si>
  <si>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</si>
  <si>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</si>
  <si>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</si>
  <si>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</si>
  <si>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$/kW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</si>
  <si>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</si>
  <si>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</si>
  <si>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</si>
  <si>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</si>
  <si>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</si>
  <si>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</si>
  <si>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</si>
  <si>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</si>
  <si>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</si>
  <si>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</si>
  <si>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</si>
  <si>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</si>
  <si>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</si>
  <si>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</si>
  <si>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</si>
  <si>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</si>
  <si>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</si>
  <si>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</si>
  <si>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</si>
  <si>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</si>
  <si>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</si>
  <si>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</si>
  <si>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</si>
  <si>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Based on Jun  2021 to May 2022 Forwards @ PJM West as of June 01, 2020</t>
  </si>
  <si>
    <t>Based on Jun 2021 to May 2022 Forwards @ NYISO Zone G and Lower Hudson Valley (LHV) as of June 04,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</si>
</sst>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0.0000"/>
    <numFmt numFmtId="176" formatCode="&quot;$&quot;#,##0.00"/>
    <numFmt numFmtId="177" formatCode="0.000%"/>
    <numFmt numFmtId="178" formatCode="_(* #,##0.000000_);_(* \(#,##0.000000\);_(* &quot;-&quot;??_);_(@_)"/>
    <numFmt numFmtId="179" formatCode="#,##0.000_);\(#,##0.000\)"/>
    <numFmt numFmtId="180" formatCode="0.00_);\(0.00\)"/>
  </numFmts>
  <fonts count="2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sz val="8"/>
      <name val="Arial"/>
      <family val="2"/>
    </font>
    <font>
      <b/>
      <i/>
      <sz val="8.6999999999999993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6">
    <xf numFmtId="0" fontId="0" fillId="0" borderId="0" xfId="0"/>
    <xf numFmtId="0" fontId="8" fillId="0" borderId="0" xfId="0" applyFont="1" applyFill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2" fillId="0" borderId="0" xfId="0" applyFont="1" applyFill="1"/>
    <xf numFmtId="0" fontId="6" fillId="0" borderId="0" xfId="0" quotePrefix="1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173" fontId="7" fillId="0" borderId="0" xfId="1" quotePrefix="1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quotePrefix="1" applyFont="1" applyFill="1" applyAlignment="1">
      <alignment horizontal="right"/>
    </xf>
    <xf numFmtId="44" fontId="7" fillId="0" borderId="0" xfId="2" quotePrefix="1" applyFont="1" applyFill="1"/>
    <xf numFmtId="0" fontId="7" fillId="0" borderId="4" xfId="0" applyFont="1" applyFill="1" applyBorder="1"/>
    <xf numFmtId="0" fontId="8" fillId="0" borderId="0" xfId="0" quotePrefix="1" applyFont="1" applyFill="1" applyAlignment="1">
      <alignment horizontal="right"/>
    </xf>
    <xf numFmtId="0" fontId="9" fillId="0" borderId="4" xfId="0" quotePrefix="1" applyFont="1" applyFill="1" applyBorder="1" applyAlignment="1">
      <alignment horizontal="left"/>
    </xf>
    <xf numFmtId="173" fontId="7" fillId="0" borderId="0" xfId="0" applyNumberFormat="1" applyFont="1" applyFill="1"/>
    <xf numFmtId="43" fontId="7" fillId="0" borderId="0" xfId="1" quotePrefix="1" applyFont="1" applyFill="1"/>
    <xf numFmtId="44" fontId="7" fillId="0" borderId="0" xfId="0" applyNumberFormat="1" applyFont="1" applyFill="1"/>
    <xf numFmtId="0" fontId="9" fillId="0" borderId="4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44" fontId="2" fillId="0" borderId="0" xfId="0" quotePrefix="1" applyNumberFormat="1" applyFont="1" applyFill="1"/>
    <xf numFmtId="0" fontId="0" fillId="0" borderId="0" xfId="0" quotePrefix="1" applyFill="1" applyAlignment="1">
      <alignment horizontal="left"/>
    </xf>
    <xf numFmtId="0" fontId="14" fillId="0" borderId="0" xfId="0" applyFont="1" applyFill="1"/>
    <xf numFmtId="2" fontId="2" fillId="0" borderId="0" xfId="0" applyNumberFormat="1" applyFont="1" applyFill="1"/>
    <xf numFmtId="44" fontId="9" fillId="0" borderId="0" xfId="0" applyNumberFormat="1" applyFont="1" applyFill="1"/>
    <xf numFmtId="44" fontId="14" fillId="0" borderId="0" xfId="0" applyNumberFormat="1" applyFont="1" applyFill="1"/>
    <xf numFmtId="0" fontId="9" fillId="0" borderId="0" xfId="0" quotePrefix="1" applyFont="1" applyFill="1" applyAlignment="1">
      <alignment horizontal="left"/>
    </xf>
    <xf numFmtId="0" fontId="9" fillId="0" borderId="0" xfId="0" applyFont="1" applyFill="1"/>
    <xf numFmtId="0" fontId="2" fillId="0" borderId="0" xfId="0" applyFont="1" applyFill="1" applyAlignment="1">
      <alignment horizontal="right"/>
    </xf>
    <xf numFmtId="170" fontId="2" fillId="0" borderId="0" xfId="0" quotePrefix="1" applyNumberFormat="1" applyFont="1" applyFill="1" applyAlignment="1">
      <alignment horizontal="right"/>
    </xf>
    <xf numFmtId="170" fontId="2" fillId="0" borderId="0" xfId="0" applyNumberFormat="1" applyFont="1" applyFill="1"/>
    <xf numFmtId="0" fontId="2" fillId="0" borderId="0" xfId="0" quotePrefix="1" applyFont="1" applyFill="1" applyAlignment="1">
      <alignment horizontal="right"/>
    </xf>
    <xf numFmtId="166" fontId="9" fillId="0" borderId="0" xfId="2" applyNumberFormat="1" applyFont="1" applyFill="1"/>
    <xf numFmtId="166" fontId="9" fillId="0" borderId="0" xfId="2" quotePrefix="1" applyNumberFormat="1" applyFont="1" applyFill="1"/>
    <xf numFmtId="166" fontId="9" fillId="0" borderId="0" xfId="0" applyNumberFormat="1" applyFont="1" applyFill="1"/>
    <xf numFmtId="43" fontId="18" fillId="0" borderId="0" xfId="1" applyFont="1" applyFill="1" applyAlignment="1">
      <alignment horizontal="right"/>
    </xf>
    <xf numFmtId="166" fontId="18" fillId="0" borderId="0" xfId="0" applyNumberFormat="1" applyFont="1" applyFill="1"/>
    <xf numFmtId="166" fontId="2" fillId="0" borderId="0" xfId="0" applyNumberFormat="1" applyFont="1" applyFill="1"/>
    <xf numFmtId="177" fontId="6" fillId="0" borderId="0" xfId="3" applyNumberFormat="1" applyFont="1" applyFill="1"/>
    <xf numFmtId="0" fontId="9" fillId="0" borderId="0" xfId="0" applyFont="1" applyFill="1" applyAlignment="1">
      <alignment horizontal="right"/>
    </xf>
    <xf numFmtId="179" fontId="0" fillId="0" borderId="0" xfId="0" quotePrefix="1" applyNumberFormat="1" applyFill="1" applyAlignment="1">
      <alignment horizontal="right"/>
    </xf>
    <xf numFmtId="179" fontId="0" fillId="0" borderId="0" xfId="0" applyNumberFormat="1" applyFill="1"/>
    <xf numFmtId="164" fontId="0" fillId="0" borderId="0" xfId="3" quotePrefix="1" applyNumberFormat="1" applyFont="1" applyFill="1" applyAlignment="1">
      <alignment horizontal="right"/>
    </xf>
    <xf numFmtId="179" fontId="2" fillId="0" borderId="0" xfId="0" applyNumberFormat="1" applyFont="1" applyFill="1"/>
    <xf numFmtId="0" fontId="2" fillId="0" borderId="0" xfId="0" applyFont="1" applyFill="1" applyAlignment="1">
      <alignment horizontal="left"/>
    </xf>
    <xf numFmtId="179" fontId="2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7" fillId="0" borderId="16" xfId="0" applyFont="1" applyFill="1" applyBorder="1" applyAlignment="1">
      <alignment horizontal="centerContinuous" vertical="center"/>
    </xf>
    <xf numFmtId="0" fontId="7" fillId="0" borderId="17" xfId="0" applyFont="1" applyFill="1" applyBorder="1" applyAlignment="1">
      <alignment horizontal="centerContinuous" vertical="center"/>
    </xf>
    <xf numFmtId="0" fontId="7" fillId="0" borderId="18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69" fontId="7" fillId="0" borderId="19" xfId="1" applyNumberFormat="1" applyFont="1" applyFill="1" applyBorder="1" applyAlignment="1">
      <alignment horizontal="right"/>
    </xf>
    <xf numFmtId="0" fontId="19" fillId="0" borderId="0" xfId="0" applyFont="1" applyFill="1"/>
    <xf numFmtId="0" fontId="1" fillId="0" borderId="9" xfId="0" applyFont="1" applyFill="1" applyBorder="1"/>
    <xf numFmtId="0" fontId="19" fillId="0" borderId="15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0" fontId="7" fillId="0" borderId="9" xfId="0" applyFont="1" applyFill="1" applyBorder="1"/>
    <xf numFmtId="17" fontId="7" fillId="0" borderId="0" xfId="0" applyNumberFormat="1" applyFont="1" applyFill="1"/>
    <xf numFmtId="0" fontId="7" fillId="0" borderId="13" xfId="0" applyFont="1" applyFill="1" applyBorder="1"/>
    <xf numFmtId="0" fontId="7" fillId="0" borderId="17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/>
    </xf>
    <xf numFmtId="37" fontId="9" fillId="0" borderId="0" xfId="0" applyNumberFormat="1" applyFont="1" applyFill="1"/>
    <xf numFmtId="180" fontId="9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quotePrefix="1" applyFont="1" applyFill="1"/>
    <xf numFmtId="39" fontId="2" fillId="0" borderId="0" xfId="0" quotePrefix="1" applyNumberFormat="1" applyFont="1" applyFill="1"/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9" fontId="5" fillId="0" borderId="0" xfId="3" applyFont="1" applyFill="1"/>
    <xf numFmtId="0" fontId="5" fillId="0" borderId="0" xfId="0" quotePrefix="1" applyFont="1" applyFill="1" applyAlignment="1">
      <alignment horizontal="center" wrapText="1"/>
    </xf>
    <xf numFmtId="17" fontId="5" fillId="0" borderId="0" xfId="0" quotePrefix="1" applyNumberFormat="1" applyFont="1" applyFill="1" applyAlignment="1">
      <alignment horizontal="left"/>
    </xf>
    <xf numFmtId="3" fontId="2" fillId="0" borderId="0" xfId="0" applyNumberFormat="1" applyFont="1" applyFill="1"/>
    <xf numFmtId="3" fontId="9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" fontId="2" fillId="0" borderId="0" xfId="0" applyNumberFormat="1" applyFont="1" applyFill="1"/>
    <xf numFmtId="167" fontId="2" fillId="0" borderId="0" xfId="0" applyNumberFormat="1" applyFont="1" applyFill="1"/>
    <xf numFmtId="168" fontId="2" fillId="0" borderId="0" xfId="0" applyNumberFormat="1" applyFont="1" applyFill="1" applyAlignment="1">
      <alignment horizontal="right"/>
    </xf>
    <xf numFmtId="43" fontId="2" fillId="0" borderId="0" xfId="0" applyNumberFormat="1" applyFont="1" applyFill="1"/>
    <xf numFmtId="0" fontId="2" fillId="0" borderId="0" xfId="0" quotePrefix="1" applyFont="1" applyFill="1"/>
    <xf numFmtId="14" fontId="2" fillId="0" borderId="0" xfId="0" applyNumberFormat="1" applyFont="1" applyFill="1"/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0" fontId="2" fillId="0" borderId="0" xfId="0" applyNumberFormat="1" applyFont="1" applyFill="1"/>
    <xf numFmtId="7" fontId="2" fillId="0" borderId="0" xfId="0" applyNumberFormat="1" applyFont="1" applyFill="1"/>
    <xf numFmtId="0" fontId="6" fillId="0" borderId="0" xfId="0" applyFont="1" applyFill="1"/>
    <xf numFmtId="0" fontId="10" fillId="0" borderId="0" xfId="0" applyFont="1" applyFill="1"/>
    <xf numFmtId="0" fontId="11" fillId="0" borderId="0" xfId="0" applyFont="1" applyFill="1"/>
    <xf numFmtId="17" fontId="9" fillId="0" borderId="0" xfId="0" applyNumberFormat="1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9" fontId="11" fillId="0" borderId="0" xfId="0" applyNumberFormat="1" applyFont="1" applyFill="1"/>
    <xf numFmtId="171" fontId="11" fillId="0" borderId="0" xfId="2" quotePrefix="1" applyNumberFormat="1" applyFont="1" applyFill="1"/>
    <xf numFmtId="3" fontId="11" fillId="0" borderId="0" xfId="0" quotePrefix="1" applyNumberFormat="1" applyFont="1" applyFill="1"/>
    <xf numFmtId="3" fontId="11" fillId="0" borderId="0" xfId="0" applyNumberFormat="1" applyFont="1" applyFill="1"/>
    <xf numFmtId="4" fontId="11" fillId="0" borderId="0" xfId="0" applyNumberFormat="1" applyFont="1" applyFill="1"/>
    <xf numFmtId="0" fontId="12" fillId="0" borderId="0" xfId="0" applyFont="1" applyFill="1" applyAlignment="1">
      <alignment horizontal="left"/>
    </xf>
    <xf numFmtId="0" fontId="11" fillId="0" borderId="0" xfId="0" quotePrefix="1" applyFont="1" applyFill="1"/>
    <xf numFmtId="44" fontId="11" fillId="0" borderId="0" xfId="2" applyFont="1" applyFill="1"/>
    <xf numFmtId="44" fontId="11" fillId="0" borderId="0" xfId="0" applyNumberFormat="1" applyFont="1" applyFill="1"/>
    <xf numFmtId="17" fontId="2" fillId="0" borderId="0" xfId="0" applyNumberFormat="1" applyFont="1" applyFill="1" applyAlignment="1">
      <alignment horizontal="right"/>
    </xf>
    <xf numFmtId="171" fontId="7" fillId="0" borderId="0" xfId="0" applyNumberFormat="1" applyFont="1" applyFill="1"/>
    <xf numFmtId="17" fontId="9" fillId="0" borderId="0" xfId="0" quotePrefix="1" applyNumberFormat="1" applyFont="1" applyFill="1" applyAlignment="1">
      <alignment horizontal="left"/>
    </xf>
    <xf numFmtId="174" fontId="7" fillId="0" borderId="0" xfId="1" applyNumberFormat="1" applyFont="1" applyFill="1"/>
    <xf numFmtId="43" fontId="7" fillId="0" borderId="0" xfId="1" applyFont="1" applyFill="1"/>
    <xf numFmtId="0" fontId="8" fillId="0" borderId="5" xfId="0" applyFont="1" applyFill="1" applyBorder="1" applyAlignment="1">
      <alignment horizontal="right"/>
    </xf>
    <xf numFmtId="175" fontId="2" fillId="0" borderId="0" xfId="0" applyNumberFormat="1" applyFont="1" applyFill="1"/>
    <xf numFmtId="4" fontId="2" fillId="0" borderId="5" xfId="0" applyNumberFormat="1" applyFont="1" applyFill="1" applyBorder="1"/>
    <xf numFmtId="0" fontId="2" fillId="0" borderId="5" xfId="0" applyFont="1" applyFill="1" applyBorder="1"/>
    <xf numFmtId="0" fontId="9" fillId="0" borderId="0" xfId="0" applyFont="1" applyFill="1" applyAlignment="1">
      <alignment horizontal="center"/>
    </xf>
    <xf numFmtId="164" fontId="9" fillId="0" borderId="0" xfId="3" applyNumberFormat="1" applyFont="1" applyFill="1"/>
    <xf numFmtId="0" fontId="14" fillId="0" borderId="6" xfId="0" applyFont="1" applyFill="1" applyBorder="1"/>
    <xf numFmtId="0" fontId="14" fillId="0" borderId="8" xfId="0" applyFont="1" applyFill="1" applyBorder="1"/>
    <xf numFmtId="0" fontId="14" fillId="0" borderId="10" xfId="0" applyFont="1" applyFill="1" applyBorder="1"/>
    <xf numFmtId="0" fontId="7" fillId="0" borderId="14" xfId="0" applyFont="1" applyFill="1" applyBorder="1" applyAlignment="1">
      <alignment horizontal="left"/>
    </xf>
    <xf numFmtId="44" fontId="6" fillId="0" borderId="0" xfId="0" quotePrefix="1" applyNumberFormat="1" applyFont="1" applyFill="1"/>
    <xf numFmtId="166" fontId="7" fillId="0" borderId="0" xfId="0" applyNumberFormat="1" applyFont="1" applyFill="1"/>
    <xf numFmtId="166" fontId="9" fillId="0" borderId="0" xfId="0" quotePrefix="1" applyNumberFormat="1" applyFont="1" applyFill="1" applyAlignment="1">
      <alignment horizontal="left"/>
    </xf>
    <xf numFmtId="0" fontId="20" fillId="0" borderId="0" xfId="0" applyFont="1" applyFill="1"/>
    <xf numFmtId="1" fontId="7" fillId="0" borderId="0" xfId="1" applyNumberFormat="1" applyFont="1" applyFill="1"/>
    <xf numFmtId="17" fontId="2" fillId="0" borderId="0" xfId="0" applyNumberFormat="1" applyFont="1" applyFill="1"/>
    <xf numFmtId="10" fontId="2" fillId="0" borderId="0" xfId="3" quotePrefix="1" applyNumberFormat="1" applyFont="1" applyFill="1"/>
    <xf numFmtId="164" fontId="2" fillId="0" borderId="0" xfId="3" quotePrefix="1" applyNumberFormat="1" applyFont="1" applyFill="1"/>
    <xf numFmtId="9" fontId="2" fillId="0" borderId="0" xfId="3" quotePrefix="1" applyFont="1" applyFill="1"/>
    <xf numFmtId="10" fontId="2" fillId="0" borderId="0" xfId="3" applyNumberFormat="1" applyFont="1" applyFill="1"/>
    <xf numFmtId="9" fontId="2" fillId="0" borderId="0" xfId="3" applyFont="1" applyFill="1"/>
    <xf numFmtId="9" fontId="2" fillId="0" borderId="0" xfId="3" quotePrefix="1" applyFont="1" applyFill="1" applyAlignment="1">
      <alignment horizontal="center"/>
    </xf>
    <xf numFmtId="164" fontId="2" fillId="0" borderId="0" xfId="3" quotePrefix="1" applyNumberFormat="1" applyFont="1" applyFill="1" applyAlignment="1">
      <alignment horizontal="right"/>
    </xf>
    <xf numFmtId="3" fontId="2" fillId="0" borderId="0" xfId="0" quotePrefix="1" applyNumberFormat="1" applyFont="1" applyFill="1"/>
    <xf numFmtId="17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3" fontId="2" fillId="0" borderId="4" xfId="0" applyNumberFormat="1" applyFont="1" applyFill="1" applyBorder="1"/>
    <xf numFmtId="3" fontId="2" fillId="0" borderId="0" xfId="0" quotePrefix="1" applyNumberFormat="1" applyFont="1" applyFill="1" applyAlignment="1">
      <alignment horizontal="right"/>
    </xf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44" fontId="2" fillId="0" borderId="0" xfId="2" quotePrefix="1" applyFont="1" applyFill="1"/>
    <xf numFmtId="166" fontId="2" fillId="0" borderId="0" xfId="2" applyNumberFormat="1" applyFont="1" applyFill="1"/>
    <xf numFmtId="44" fontId="2" fillId="0" borderId="0" xfId="0" applyNumberFormat="1" applyFont="1" applyFill="1"/>
    <xf numFmtId="44" fontId="2" fillId="0" borderId="0" xfId="2" applyFont="1" applyFill="1"/>
    <xf numFmtId="166" fontId="2" fillId="0" borderId="0" xfId="2" quotePrefix="1" applyNumberFormat="1" applyFont="1" applyFill="1"/>
    <xf numFmtId="39" fontId="2" fillId="0" borderId="0" xfId="0" applyNumberFormat="1" applyFont="1" applyFill="1"/>
    <xf numFmtId="168" fontId="2" fillId="0" borderId="0" xfId="0" applyNumberFormat="1" applyFont="1" applyFill="1"/>
    <xf numFmtId="168" fontId="7" fillId="0" borderId="0" xfId="0" applyNumberFormat="1" applyFont="1" applyFill="1"/>
    <xf numFmtId="169" fontId="2" fillId="0" borderId="0" xfId="0" applyNumberFormat="1" applyFont="1" applyFill="1"/>
    <xf numFmtId="43" fontId="2" fillId="0" borderId="0" xfId="1" applyFont="1" applyFill="1"/>
    <xf numFmtId="7" fontId="2" fillId="0" borderId="0" xfId="2" applyNumberFormat="1" applyFont="1" applyFill="1"/>
    <xf numFmtId="5" fontId="2" fillId="0" borderId="0" xfId="0" applyNumberFormat="1" applyFont="1" applyFill="1"/>
    <xf numFmtId="44" fontId="2" fillId="0" borderId="0" xfId="2" quotePrefix="1" applyFont="1" applyFill="1" applyAlignment="1">
      <alignment horizontal="left"/>
    </xf>
    <xf numFmtId="171" fontId="2" fillId="0" borderId="0" xfId="2" quotePrefix="1" applyNumberFormat="1" applyFont="1" applyFill="1"/>
    <xf numFmtId="171" fontId="2" fillId="0" borderId="0" xfId="0" applyNumberFormat="1" applyFont="1" applyFill="1"/>
    <xf numFmtId="166" fontId="2" fillId="0" borderId="0" xfId="2" quotePrefix="1" applyNumberFormat="1" applyFont="1" applyFill="1" applyAlignment="1">
      <alignment horizontal="left"/>
    </xf>
    <xf numFmtId="166" fontId="2" fillId="0" borderId="6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3" fontId="2" fillId="0" borderId="9" xfId="0" applyNumberFormat="1" applyFont="1" applyFill="1" applyBorder="1"/>
    <xf numFmtId="0" fontId="2" fillId="0" borderId="10" xfId="0" applyFont="1" applyFill="1" applyBorder="1"/>
    <xf numFmtId="3" fontId="2" fillId="0" borderId="11" xfId="0" applyNumberFormat="1" applyFont="1" applyFill="1" applyBorder="1"/>
    <xf numFmtId="172" fontId="2" fillId="0" borderId="0" xfId="0" applyNumberFormat="1" applyFont="1" applyFill="1"/>
    <xf numFmtId="43" fontId="2" fillId="0" borderId="0" xfId="1" quotePrefix="1" applyFont="1" applyFill="1"/>
    <xf numFmtId="173" fontId="2" fillId="0" borderId="0" xfId="1" quotePrefix="1" applyNumberFormat="1" applyFont="1" applyFill="1"/>
    <xf numFmtId="17" fontId="2" fillId="0" borderId="0" xfId="0" quotePrefix="1" applyNumberFormat="1" applyFont="1" applyFill="1" applyAlignment="1">
      <alignment horizontal="right"/>
    </xf>
    <xf numFmtId="0" fontId="2" fillId="0" borderId="4" xfId="0" applyFont="1" applyFill="1" applyBorder="1" applyAlignment="1">
      <alignment horizontal="right"/>
    </xf>
    <xf numFmtId="173" fontId="2" fillId="0" borderId="0" xfId="0" applyNumberFormat="1" applyFont="1" applyFill="1"/>
    <xf numFmtId="166" fontId="2" fillId="0" borderId="0" xfId="0" quotePrefix="1" applyNumberFormat="1" applyFont="1" applyFill="1" applyAlignment="1">
      <alignment horizontal="left"/>
    </xf>
    <xf numFmtId="166" fontId="2" fillId="0" borderId="0" xfId="3" applyNumberFormat="1" applyFont="1" applyFill="1"/>
    <xf numFmtId="0" fontId="2" fillId="0" borderId="5" xfId="0" applyFont="1" applyFill="1" applyBorder="1" applyAlignment="1">
      <alignment horizontal="right"/>
    </xf>
    <xf numFmtId="9" fontId="2" fillId="0" borderId="0" xfId="1" applyNumberFormat="1" applyFont="1" applyFill="1"/>
    <xf numFmtId="164" fontId="2" fillId="0" borderId="0" xfId="0" applyNumberFormat="1" applyFont="1" applyFill="1"/>
    <xf numFmtId="7" fontId="2" fillId="0" borderId="0" xfId="0" applyNumberFormat="1" applyFont="1" applyFill="1" applyAlignment="1">
      <alignment horizontal="right"/>
    </xf>
    <xf numFmtId="43" fontId="2" fillId="0" borderId="0" xfId="2" applyNumberFormat="1" applyFont="1" applyFill="1"/>
    <xf numFmtId="7" fontId="2" fillId="0" borderId="0" xfId="3" applyNumberFormat="1" applyFont="1" applyFill="1"/>
    <xf numFmtId="2" fontId="2" fillId="0" borderId="12" xfId="0" applyNumberFormat="1" applyFont="1" applyFill="1" applyBorder="1"/>
    <xf numFmtId="169" fontId="2" fillId="0" borderId="0" xfId="1" applyNumberFormat="1" applyFont="1" applyFill="1"/>
    <xf numFmtId="176" fontId="2" fillId="0" borderId="0" xfId="0" applyNumberFormat="1" applyFont="1" applyFill="1"/>
    <xf numFmtId="2" fontId="2" fillId="0" borderId="13" xfId="0" applyNumberFormat="1" applyFont="1" applyFill="1" applyBorder="1"/>
    <xf numFmtId="0" fontId="2" fillId="0" borderId="11" xfId="0" applyFont="1" applyFill="1" applyBorder="1"/>
    <xf numFmtId="0" fontId="2" fillId="0" borderId="14" xfId="0" applyFont="1" applyFill="1" applyBorder="1"/>
    <xf numFmtId="176" fontId="2" fillId="0" borderId="0" xfId="0" applyNumberFormat="1" applyFont="1" applyFill="1" applyAlignment="1">
      <alignment horizontal="left"/>
    </xf>
    <xf numFmtId="177" fontId="2" fillId="0" borderId="0" xfId="0" applyNumberFormat="1" applyFont="1" applyFill="1"/>
    <xf numFmtId="2" fontId="2" fillId="0" borderId="0" xfId="0" quotePrefix="1" applyNumberFormat="1" applyFont="1" applyFill="1" applyAlignment="1">
      <alignment horizontal="right"/>
    </xf>
    <xf numFmtId="178" fontId="2" fillId="0" borderId="0" xfId="1" quotePrefix="1" applyNumberFormat="1" applyFont="1" applyFill="1"/>
    <xf numFmtId="174" fontId="2" fillId="0" borderId="0" xfId="1" quotePrefix="1" applyNumberFormat="1" applyFont="1" applyFill="1"/>
    <xf numFmtId="0" fontId="14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4" fillId="0" borderId="0" xfId="0" quotePrefix="1" applyFont="1" applyFill="1" applyAlignment="1">
      <alignment horizontal="left"/>
    </xf>
    <xf numFmtId="170" fontId="14" fillId="0" borderId="0" xfId="0" applyNumberFormat="1" applyFont="1" applyFill="1"/>
    <xf numFmtId="170" fontId="17" fillId="0" borderId="0" xfId="0" applyNumberFormat="1" applyFont="1" applyFill="1"/>
    <xf numFmtId="9" fontId="14" fillId="0" borderId="0" xfId="3" applyFont="1" applyFill="1" applyAlignment="1">
      <alignment horizontal="right"/>
    </xf>
    <xf numFmtId="175" fontId="14" fillId="0" borderId="0" xfId="0" applyNumberFormat="1" applyFont="1" applyFill="1"/>
    <xf numFmtId="0" fontId="14" fillId="0" borderId="0" xfId="0" applyFont="1" applyFill="1" applyAlignment="1">
      <alignment horizontal="right"/>
    </xf>
    <xf numFmtId="3" fontId="14" fillId="0" borderId="0" xfId="0" applyNumberFormat="1" applyFont="1" applyFill="1"/>
    <xf numFmtId="3" fontId="16" fillId="0" borderId="0" xfId="0" applyNumberFormat="1" applyFont="1" applyFill="1"/>
    <xf numFmtId="0" fontId="16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right"/>
    </xf>
    <xf numFmtId="0" fontId="17" fillId="0" borderId="0" xfId="0" applyFont="1" applyFill="1"/>
    <xf numFmtId="170" fontId="17" fillId="0" borderId="15" xfId="0" applyNumberFormat="1" applyFont="1" applyFill="1" applyBorder="1"/>
    <xf numFmtId="0" fontId="14" fillId="0" borderId="0" xfId="0" applyFont="1" applyFill="1" applyAlignment="1">
      <alignment horizontal="left"/>
    </xf>
    <xf numFmtId="179" fontId="2" fillId="0" borderId="0" xfId="0" quotePrefix="1" applyNumberFormat="1" applyFont="1" applyFill="1" applyAlignment="1">
      <alignment horizontal="right"/>
    </xf>
    <xf numFmtId="175" fontId="2" fillId="0" borderId="0" xfId="0" quotePrefix="1" applyNumberFormat="1" applyFont="1" applyFill="1" applyAlignment="1">
      <alignment horizontal="right"/>
    </xf>
    <xf numFmtId="39" fontId="2" fillId="0" borderId="12" xfId="0" applyNumberFormat="1" applyFont="1" applyFill="1" applyBorder="1"/>
    <xf numFmtId="169" fontId="2" fillId="0" borderId="0" xfId="1" applyNumberFormat="1" applyFont="1" applyFill="1" applyAlignment="1">
      <alignment horizontal="right"/>
    </xf>
    <xf numFmtId="169" fontId="2" fillId="0" borderId="9" xfId="1" applyNumberFormat="1" applyFont="1" applyFill="1" applyBorder="1" applyAlignment="1">
      <alignment horizontal="right"/>
    </xf>
    <xf numFmtId="43" fontId="2" fillId="0" borderId="8" xfId="1" quotePrefix="1" applyFont="1" applyFill="1" applyBorder="1"/>
    <xf numFmtId="0" fontId="2" fillId="0" borderId="13" xfId="0" applyFont="1" applyFill="1" applyBorder="1"/>
    <xf numFmtId="39" fontId="2" fillId="0" borderId="13" xfId="0" applyNumberFormat="1" applyFont="1" applyFill="1" applyBorder="1"/>
    <xf numFmtId="0" fontId="2" fillId="0" borderId="13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2" fontId="2" fillId="0" borderId="2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38" fontId="2" fillId="0" borderId="0" xfId="0" applyNumberFormat="1" applyFont="1" applyFill="1" applyAlignment="1">
      <alignment horizontal="center"/>
    </xf>
    <xf numFmtId="37" fontId="2" fillId="0" borderId="8" xfId="0" applyNumberFormat="1" applyFont="1" applyFill="1" applyBorder="1" applyAlignment="1">
      <alignment horizontal="center"/>
    </xf>
    <xf numFmtId="38" fontId="2" fillId="0" borderId="9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8" xfId="0" applyFont="1" applyFill="1" applyBorder="1"/>
    <xf numFmtId="37" fontId="2" fillId="0" borderId="15" xfId="0" applyNumberFormat="1" applyFont="1" applyFill="1" applyBorder="1" applyAlignment="1">
      <alignment horizontal="center"/>
    </xf>
    <xf numFmtId="37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7" fontId="2" fillId="0" borderId="18" xfId="0" applyNumberFormat="1" applyFont="1" applyFill="1" applyBorder="1" applyAlignment="1">
      <alignment horizontal="center"/>
    </xf>
    <xf numFmtId="37" fontId="2" fillId="0" borderId="16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37" fontId="2" fillId="0" borderId="0" xfId="0" applyNumberFormat="1" applyFont="1" applyFill="1"/>
    <xf numFmtId="180" fontId="2" fillId="0" borderId="0" xfId="0" applyNumberFormat="1" applyFont="1" applyFill="1"/>
    <xf numFmtId="0" fontId="10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09fi\datadirs\Forecasting\ORU%20Historical%20Data\NoCustomers\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JJanocha/NJ%20Restructuring/2000%20Rates/Rate%20Design/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EW%20JERSEY%20DEFERRAL%20RECOVERY%20CASE%202002/DEFERRAL%20CASE/Work%20Papers/Janocha%20Work%20Papers/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PRICING/200%20Reports/2004%204Bs/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PRICING/200%20Reports,%204Bs,%208Bs/8Bs/2006%208Bs/O&amp;R/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August%202003%20Rate%20Change/BPU%20Deferral%20Order/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2004%20May%20Board%20Retreat/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2004%20NNC%20SBC%20Rate%20Update/Update%20for%20June%20Actuals/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ewJerseyDeferrals/1999%20Deferrals/oct99/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Chantale.LaCasse%20Group/Stored/BGS/Starting%20Prices%20-%202016/RSCP%20Starting%20Price/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 refreshError="1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 refreshError="1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</v>
          </cell>
        </row>
      </sheetData>
      <sheetData sheetId="13"/>
      <sheetData sheetId="14">
        <row r="8">
          <cell r="C8">
            <v>6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8568-C0E3-47DB-B574-EB9BE244E123}">
  <sheetPr codeName="Sheet3">
    <tabColor rgb="FF7030A0"/>
  </sheetPr>
  <dimension ref="A1:AA610"/>
  <sheetViews>
    <sheetView tabSelected="1" zoomScale="90" zoomScaleNormal="90" workbookViewId="0"/>
  </sheetViews>
  <sheetFormatPr defaultColWidth="9.28515625" defaultRowHeight="12.75" x14ac:dyDescent="0.2"/>
  <cols>
    <col min="1" max="1" width="10.7109375" style="49" customWidth="1"/>
    <col min="2" max="2" width="27.85546875" style="6" customWidth="1"/>
    <col min="3" max="3" width="16.42578125" style="6" customWidth="1"/>
    <col min="4" max="4" width="16.140625" style="6" customWidth="1"/>
    <col min="5" max="5" width="12.7109375" style="6" customWidth="1"/>
    <col min="6" max="7" width="13.42578125" style="6" customWidth="1"/>
    <col min="8" max="8" width="12.7109375" style="6" customWidth="1"/>
    <col min="9" max="9" width="14.85546875" style="6" customWidth="1"/>
    <col min="10" max="10" width="12.7109375" style="6" customWidth="1"/>
    <col min="11" max="11" width="17.28515625" style="6" customWidth="1"/>
    <col min="12" max="12" width="15.28515625" style="6" bestFit="1" customWidth="1"/>
    <col min="13" max="13" width="13.42578125" style="6" customWidth="1"/>
    <col min="14" max="14" width="12" style="6" customWidth="1"/>
    <col min="15" max="15" width="11.140625" style="6" customWidth="1"/>
    <col min="16" max="16" width="12.28515625" style="6" customWidth="1"/>
    <col min="17" max="17" width="13" style="6" customWidth="1"/>
    <col min="18" max="18" width="9.85546875" style="6" bestFit="1" customWidth="1"/>
    <col min="19" max="19" width="10.7109375" style="6" customWidth="1"/>
    <col min="20" max="22" width="11.7109375" style="6" customWidth="1"/>
    <col min="23" max="23" width="9.28515625" style="6"/>
    <col min="24" max="24" width="11.140625" style="6" bestFit="1" customWidth="1"/>
    <col min="25" max="25" width="9.28515625" style="6"/>
    <col min="26" max="26" width="13.85546875" style="6" bestFit="1" customWidth="1"/>
    <col min="27" max="27" width="15.28515625" style="6" customWidth="1"/>
    <col min="28" max="28" width="13.5703125" style="6" customWidth="1"/>
    <col min="29" max="16384" width="9.28515625" style="6"/>
  </cols>
  <sheetData>
    <row r="1" spans="1:26" ht="15.75" x14ac:dyDescent="0.25">
      <c r="B1" s="75" t="str">
        <f>"Development of BGS Cost and Bid Factors for Rates Effective June 1, " &amp;M1</f>
        <v>Development of BGS Cost and Bid Factors for Rates Effective June 1, 2021</v>
      </c>
      <c r="G1" s="140"/>
      <c r="M1" s="141">
        <v>2021</v>
      </c>
      <c r="N1" s="6" t="s">
        <v>0</v>
      </c>
    </row>
    <row r="2" spans="1:26" ht="15" x14ac:dyDescent="0.2">
      <c r="A2" s="76"/>
      <c r="I2" s="77"/>
    </row>
    <row r="3" spans="1:26" x14ac:dyDescent="0.2">
      <c r="D3" s="78" t="str">
        <f>"Based on " &amp;M1-2  &amp;" Load Profile Information"</f>
        <v>Based on 2019 Load Profile Information</v>
      </c>
    </row>
    <row r="4" spans="1:26" x14ac:dyDescent="0.2">
      <c r="A4" s="79" t="s">
        <v>1</v>
      </c>
      <c r="B4" s="80" t="s">
        <v>2</v>
      </c>
      <c r="C4" s="81"/>
      <c r="D4" s="10" t="s">
        <v>3</v>
      </c>
      <c r="K4" s="80"/>
      <c r="L4" s="5" t="str">
        <f>"'% usage during Off-Peak period (from "&amp;M1-1&amp;" profiles)"</f>
        <v>'% usage during Off-Peak period (from 2020 profiles)</v>
      </c>
    </row>
    <row r="5" spans="1:26" ht="25.5" x14ac:dyDescent="0.2">
      <c r="A5" s="9"/>
      <c r="C5" s="82" t="s">
        <v>4</v>
      </c>
      <c r="D5" s="82" t="s">
        <v>4</v>
      </c>
      <c r="E5" s="82" t="s">
        <v>4</v>
      </c>
      <c r="F5" s="10" t="s">
        <v>5</v>
      </c>
      <c r="G5" s="83"/>
      <c r="H5" s="82" t="s">
        <v>4</v>
      </c>
      <c r="I5" s="82"/>
      <c r="J5" s="82"/>
      <c r="K5" s="10"/>
      <c r="L5" s="82" t="s">
        <v>4</v>
      </c>
      <c r="M5" s="82" t="s">
        <v>4</v>
      </c>
      <c r="N5" s="82" t="s">
        <v>4</v>
      </c>
      <c r="O5" s="10" t="s">
        <v>6</v>
      </c>
      <c r="P5" s="83"/>
      <c r="Q5" s="82" t="s">
        <v>4</v>
      </c>
      <c r="R5" s="82"/>
    </row>
    <row r="6" spans="1:26" x14ac:dyDescent="0.2">
      <c r="A6" s="9"/>
      <c r="B6" s="84"/>
      <c r="C6" s="59" t="s">
        <v>7</v>
      </c>
      <c r="D6" s="59" t="s">
        <v>8</v>
      </c>
      <c r="E6" s="59" t="s">
        <v>9</v>
      </c>
      <c r="F6" s="59" t="s">
        <v>10</v>
      </c>
      <c r="G6" s="59" t="s">
        <v>11</v>
      </c>
      <c r="H6" s="59" t="s">
        <v>12</v>
      </c>
      <c r="I6" s="12"/>
      <c r="J6" s="12"/>
      <c r="K6" s="85"/>
      <c r="L6" s="12" t="str">
        <f t="shared" ref="L6:Q6" si="0">+C6</f>
        <v>SC1/SC5</v>
      </c>
      <c r="M6" s="12" t="str">
        <f t="shared" si="0"/>
        <v>SC3</v>
      </c>
      <c r="N6" s="12" t="str">
        <f t="shared" si="0"/>
        <v>SC2 ND</v>
      </c>
      <c r="O6" s="12" t="str">
        <f t="shared" si="0"/>
        <v>SC4</v>
      </c>
      <c r="P6" s="12" t="str">
        <f t="shared" si="0"/>
        <v>SC6</v>
      </c>
      <c r="Q6" s="12" t="str">
        <f t="shared" si="0"/>
        <v>SC2 Dem</v>
      </c>
      <c r="R6" s="12"/>
    </row>
    <row r="7" spans="1:26" x14ac:dyDescent="0.2">
      <c r="A7" s="9"/>
    </row>
    <row r="8" spans="1:26" x14ac:dyDescent="0.2">
      <c r="A8" s="9"/>
      <c r="B8" s="142" t="s">
        <v>13</v>
      </c>
      <c r="C8" s="143">
        <v>0.45648210987814286</v>
      </c>
      <c r="D8" s="143">
        <v>0.49815455167767375</v>
      </c>
      <c r="E8" s="143">
        <v>0.35762574167388106</v>
      </c>
      <c r="F8" s="143">
        <v>0.53525497819623891</v>
      </c>
      <c r="G8" s="143">
        <f>F8</f>
        <v>0.53525497819623891</v>
      </c>
      <c r="H8" s="143">
        <v>0.52398694077053742</v>
      </c>
      <c r="I8" s="144"/>
      <c r="J8" s="144"/>
      <c r="K8" s="145"/>
      <c r="L8" s="144">
        <f t="shared" ref="L8:Q19" si="1">1-C8</f>
        <v>0.54351789012185714</v>
      </c>
      <c r="M8" s="144">
        <f t="shared" si="1"/>
        <v>0.50184544832232625</v>
      </c>
      <c r="N8" s="144">
        <f t="shared" si="1"/>
        <v>0.64237425832611894</v>
      </c>
      <c r="O8" s="144">
        <f t="shared" si="1"/>
        <v>0.46474502180376109</v>
      </c>
      <c r="P8" s="144">
        <f t="shared" si="1"/>
        <v>0.46474502180376109</v>
      </c>
      <c r="Q8" s="144">
        <f t="shared" si="1"/>
        <v>0.47601305922946258</v>
      </c>
      <c r="R8" s="145"/>
      <c r="S8" s="102"/>
      <c r="T8" s="102"/>
      <c r="U8" s="102"/>
      <c r="V8" s="102"/>
      <c r="W8" s="102"/>
      <c r="X8" s="102"/>
      <c r="Y8" s="102"/>
      <c r="Z8" s="102"/>
    </row>
    <row r="9" spans="1:26" x14ac:dyDescent="0.2">
      <c r="A9" s="9"/>
      <c r="B9" s="142" t="s">
        <v>14</v>
      </c>
      <c r="C9" s="143">
        <v>0.43822996022901062</v>
      </c>
      <c r="D9" s="143">
        <v>0.47576391977646199</v>
      </c>
      <c r="E9" s="143">
        <v>0.35225625432959001</v>
      </c>
      <c r="F9" s="143">
        <v>0.51405661847539641</v>
      </c>
      <c r="G9" s="143">
        <f t="shared" ref="G9:G19" si="2">F9</f>
        <v>0.51405661847539641</v>
      </c>
      <c r="H9" s="143">
        <v>0.50476395482681369</v>
      </c>
      <c r="I9" s="144"/>
      <c r="J9" s="144"/>
      <c r="K9" s="145"/>
      <c r="L9" s="144">
        <f t="shared" si="1"/>
        <v>0.56177003977098938</v>
      </c>
      <c r="M9" s="144">
        <f t="shared" si="1"/>
        <v>0.52423608022353796</v>
      </c>
      <c r="N9" s="144">
        <f t="shared" si="1"/>
        <v>0.64774374567041004</v>
      </c>
      <c r="O9" s="144">
        <f t="shared" si="1"/>
        <v>0.48594338152460359</v>
      </c>
      <c r="P9" s="144">
        <f t="shared" si="1"/>
        <v>0.48594338152460359</v>
      </c>
      <c r="Q9" s="144">
        <f t="shared" si="1"/>
        <v>0.49523604517318631</v>
      </c>
      <c r="R9" s="145"/>
      <c r="S9" s="102"/>
      <c r="T9" s="102"/>
      <c r="U9" s="102"/>
      <c r="V9" s="102"/>
      <c r="W9" s="102"/>
      <c r="X9" s="102"/>
      <c r="Y9" s="102"/>
      <c r="Z9" s="102"/>
    </row>
    <row r="10" spans="1:26" x14ac:dyDescent="0.2">
      <c r="A10" s="9"/>
      <c r="B10" s="142" t="s">
        <v>15</v>
      </c>
      <c r="C10" s="143">
        <v>0.45829998666683125</v>
      </c>
      <c r="D10" s="143">
        <v>0.49069391842226501</v>
      </c>
      <c r="E10" s="143">
        <v>0.35547823944018037</v>
      </c>
      <c r="F10" s="143">
        <v>0.53153102204981884</v>
      </c>
      <c r="G10" s="143">
        <f t="shared" si="2"/>
        <v>0.53153102204981884</v>
      </c>
      <c r="H10" s="143">
        <v>0.52391347710811198</v>
      </c>
      <c r="I10" s="144"/>
      <c r="J10" s="144"/>
      <c r="K10" s="145"/>
      <c r="L10" s="144">
        <f t="shared" si="1"/>
        <v>0.54170001333316875</v>
      </c>
      <c r="M10" s="144">
        <f t="shared" si="1"/>
        <v>0.50930608157773505</v>
      </c>
      <c r="N10" s="144">
        <f t="shared" si="1"/>
        <v>0.64452176055981969</v>
      </c>
      <c r="O10" s="144">
        <f t="shared" si="1"/>
        <v>0.46846897795018116</v>
      </c>
      <c r="P10" s="144">
        <f t="shared" si="1"/>
        <v>0.46846897795018116</v>
      </c>
      <c r="Q10" s="144">
        <f t="shared" si="1"/>
        <v>0.47608652289188802</v>
      </c>
      <c r="R10" s="145"/>
      <c r="S10" s="102"/>
      <c r="T10" s="102"/>
      <c r="U10" s="102"/>
      <c r="V10" s="102"/>
      <c r="W10" s="102"/>
      <c r="X10" s="102"/>
      <c r="Y10" s="102"/>
      <c r="Z10" s="102"/>
    </row>
    <row r="11" spans="1:26" x14ac:dyDescent="0.2">
      <c r="A11" s="9"/>
      <c r="B11" s="142" t="s">
        <v>16</v>
      </c>
      <c r="C11" s="143">
        <v>0.47413489677081183</v>
      </c>
      <c r="D11" s="143">
        <v>0.50360598145364277</v>
      </c>
      <c r="E11" s="143">
        <v>0.36684240558997211</v>
      </c>
      <c r="F11" s="143">
        <v>0.54549117205431563</v>
      </c>
      <c r="G11" s="143">
        <f t="shared" si="2"/>
        <v>0.54549117205431563</v>
      </c>
      <c r="H11" s="143">
        <v>0.54241910273082705</v>
      </c>
      <c r="I11" s="144"/>
      <c r="J11" s="144"/>
      <c r="K11" s="145"/>
      <c r="L11" s="144">
        <f t="shared" si="1"/>
        <v>0.52586510322918811</v>
      </c>
      <c r="M11" s="144">
        <f t="shared" si="1"/>
        <v>0.49639401854635723</v>
      </c>
      <c r="N11" s="144">
        <f t="shared" si="1"/>
        <v>0.63315759441002784</v>
      </c>
      <c r="O11" s="144">
        <f t="shared" si="1"/>
        <v>0.45450882794568437</v>
      </c>
      <c r="P11" s="144">
        <f t="shared" si="1"/>
        <v>0.45450882794568437</v>
      </c>
      <c r="Q11" s="144">
        <f t="shared" si="1"/>
        <v>0.45758089726917295</v>
      </c>
      <c r="R11" s="145"/>
      <c r="S11" s="102"/>
      <c r="T11" s="102"/>
      <c r="U11" s="102"/>
      <c r="V11" s="102"/>
      <c r="W11" s="102"/>
      <c r="X11" s="102"/>
      <c r="Y11" s="102"/>
      <c r="Z11" s="102"/>
    </row>
    <row r="12" spans="1:26" x14ac:dyDescent="0.2">
      <c r="A12" s="9"/>
      <c r="B12" s="142" t="s">
        <v>17</v>
      </c>
      <c r="C12" s="143">
        <v>0.42048957086327132</v>
      </c>
      <c r="D12" s="143">
        <v>0.45507554736848532</v>
      </c>
      <c r="E12" s="143">
        <v>0.29848170836604337</v>
      </c>
      <c r="F12" s="143">
        <v>0.48919255188755595</v>
      </c>
      <c r="G12" s="143">
        <f t="shared" si="2"/>
        <v>0.48919255188755595</v>
      </c>
      <c r="H12" s="143">
        <v>0.49389307041401381</v>
      </c>
      <c r="I12" s="144"/>
      <c r="J12" s="144"/>
      <c r="K12" s="145"/>
      <c r="L12" s="144">
        <f t="shared" si="1"/>
        <v>0.57951042913672868</v>
      </c>
      <c r="M12" s="144">
        <f t="shared" si="1"/>
        <v>0.54492445263151468</v>
      </c>
      <c r="N12" s="144">
        <f t="shared" si="1"/>
        <v>0.70151829163395663</v>
      </c>
      <c r="O12" s="144">
        <f t="shared" si="1"/>
        <v>0.51080744811244405</v>
      </c>
      <c r="P12" s="144">
        <f t="shared" si="1"/>
        <v>0.51080744811244405</v>
      </c>
      <c r="Q12" s="144">
        <f t="shared" si="1"/>
        <v>0.50610692958598613</v>
      </c>
      <c r="R12" s="145"/>
      <c r="S12" s="102"/>
      <c r="T12" s="102"/>
      <c r="U12" s="102"/>
      <c r="V12" s="102"/>
      <c r="W12" s="102"/>
      <c r="X12" s="102"/>
      <c r="Y12" s="102"/>
      <c r="Z12" s="102"/>
    </row>
    <row r="13" spans="1:26" x14ac:dyDescent="0.2">
      <c r="A13" s="9"/>
      <c r="B13" s="142" t="s">
        <v>18</v>
      </c>
      <c r="C13" s="143">
        <v>0.48780629688958466</v>
      </c>
      <c r="D13" s="143">
        <v>0.51141956007787193</v>
      </c>
      <c r="E13" s="143">
        <v>0.3153795027029821</v>
      </c>
      <c r="F13" s="143">
        <v>0.54799900649257038</v>
      </c>
      <c r="G13" s="143">
        <f t="shared" si="2"/>
        <v>0.54799900649257038</v>
      </c>
      <c r="H13" s="143">
        <v>0.55197738665043572</v>
      </c>
      <c r="I13" s="144"/>
      <c r="J13" s="144"/>
      <c r="K13" s="145"/>
      <c r="L13" s="144">
        <f t="shared" si="1"/>
        <v>0.51219370311041534</v>
      </c>
      <c r="M13" s="144">
        <f t="shared" si="1"/>
        <v>0.48858043992212807</v>
      </c>
      <c r="N13" s="144">
        <f t="shared" si="1"/>
        <v>0.6846204972970179</v>
      </c>
      <c r="O13" s="144">
        <f t="shared" si="1"/>
        <v>0.45200099350742962</v>
      </c>
      <c r="P13" s="144">
        <f t="shared" si="1"/>
        <v>0.45200099350742962</v>
      </c>
      <c r="Q13" s="144">
        <f t="shared" si="1"/>
        <v>0.44802261334956428</v>
      </c>
      <c r="R13" s="145"/>
      <c r="S13" s="102"/>
      <c r="T13" s="102"/>
      <c r="U13" s="102"/>
      <c r="V13" s="102"/>
      <c r="W13" s="102"/>
      <c r="X13" s="102"/>
      <c r="Y13" s="102"/>
      <c r="Z13" s="102"/>
    </row>
    <row r="14" spans="1:26" x14ac:dyDescent="0.2">
      <c r="A14" s="9"/>
      <c r="B14" s="142" t="s">
        <v>19</v>
      </c>
      <c r="C14" s="143">
        <v>0.49701654925977123</v>
      </c>
      <c r="D14" s="143">
        <v>0.52852737628219459</v>
      </c>
      <c r="E14" s="143">
        <v>0.31574873247891666</v>
      </c>
      <c r="F14" s="143">
        <v>0.54948724247608183</v>
      </c>
      <c r="G14" s="143">
        <f t="shared" si="2"/>
        <v>0.54948724247608183</v>
      </c>
      <c r="H14" s="143">
        <v>0.55139978052403349</v>
      </c>
      <c r="I14" s="144"/>
      <c r="J14" s="144"/>
      <c r="K14" s="145"/>
      <c r="L14" s="144">
        <f t="shared" si="1"/>
        <v>0.50298345074022877</v>
      </c>
      <c r="M14" s="144">
        <f t="shared" si="1"/>
        <v>0.47147262371780541</v>
      </c>
      <c r="N14" s="144">
        <f t="shared" si="1"/>
        <v>0.68425126752108334</v>
      </c>
      <c r="O14" s="144">
        <f t="shared" si="1"/>
        <v>0.45051275752391817</v>
      </c>
      <c r="P14" s="144">
        <f t="shared" si="1"/>
        <v>0.45051275752391817</v>
      </c>
      <c r="Q14" s="144">
        <f t="shared" si="1"/>
        <v>0.44860021947596651</v>
      </c>
      <c r="R14" s="145"/>
      <c r="S14" s="102"/>
      <c r="T14" s="102"/>
      <c r="U14" s="102"/>
      <c r="V14" s="102"/>
      <c r="W14" s="102"/>
      <c r="X14" s="102"/>
      <c r="Y14" s="102"/>
      <c r="Z14" s="102"/>
    </row>
    <row r="15" spans="1:26" x14ac:dyDescent="0.2">
      <c r="A15" s="9"/>
      <c r="B15" s="142" t="s">
        <v>20</v>
      </c>
      <c r="C15" s="143">
        <v>0.47144417532959454</v>
      </c>
      <c r="D15" s="143">
        <v>0.48479482564303428</v>
      </c>
      <c r="E15" s="143">
        <v>0.28982694823700506</v>
      </c>
      <c r="F15" s="143">
        <v>0.51448423892365525</v>
      </c>
      <c r="G15" s="143">
        <f t="shared" si="2"/>
        <v>0.51448423892365525</v>
      </c>
      <c r="H15" s="143">
        <v>0.51593748788247129</v>
      </c>
      <c r="I15" s="144"/>
      <c r="J15" s="144"/>
      <c r="K15" s="145"/>
      <c r="L15" s="144">
        <f t="shared" si="1"/>
        <v>0.52855582467040541</v>
      </c>
      <c r="M15" s="144">
        <f t="shared" si="1"/>
        <v>0.51520517435696567</v>
      </c>
      <c r="N15" s="144">
        <f t="shared" si="1"/>
        <v>0.71017305176299494</v>
      </c>
      <c r="O15" s="144">
        <f t="shared" si="1"/>
        <v>0.48551576107634475</v>
      </c>
      <c r="P15" s="144">
        <f t="shared" si="1"/>
        <v>0.48551576107634475</v>
      </c>
      <c r="Q15" s="144">
        <f t="shared" si="1"/>
        <v>0.48406251211752871</v>
      </c>
      <c r="R15" s="145"/>
      <c r="S15" s="102"/>
      <c r="T15" s="102"/>
      <c r="U15" s="102"/>
      <c r="V15" s="102"/>
      <c r="W15" s="102"/>
      <c r="X15" s="102"/>
      <c r="Y15" s="102"/>
      <c r="Z15" s="102"/>
    </row>
    <row r="16" spans="1:26" x14ac:dyDescent="0.2">
      <c r="A16" s="9"/>
      <c r="B16" s="142" t="s">
        <v>21</v>
      </c>
      <c r="C16" s="143">
        <v>0.47284370453343649</v>
      </c>
      <c r="D16" s="143">
        <v>0.49593197739972605</v>
      </c>
      <c r="E16" s="143">
        <v>0.35055212201445851</v>
      </c>
      <c r="F16" s="143">
        <v>0.53198902869846421</v>
      </c>
      <c r="G16" s="143">
        <f t="shared" si="2"/>
        <v>0.53198902869846421</v>
      </c>
      <c r="H16" s="143">
        <v>0.53309653379942468</v>
      </c>
      <c r="I16" s="144"/>
      <c r="J16" s="144"/>
      <c r="K16" s="145"/>
      <c r="L16" s="144">
        <f t="shared" si="1"/>
        <v>0.52715629546656351</v>
      </c>
      <c r="M16" s="144">
        <f t="shared" si="1"/>
        <v>0.50406802260027395</v>
      </c>
      <c r="N16" s="144">
        <f t="shared" si="1"/>
        <v>0.64944787798554149</v>
      </c>
      <c r="O16" s="144">
        <f t="shared" si="1"/>
        <v>0.46801097130153579</v>
      </c>
      <c r="P16" s="144">
        <f t="shared" si="1"/>
        <v>0.46801097130153579</v>
      </c>
      <c r="Q16" s="144">
        <f t="shared" si="1"/>
        <v>0.46690346620057532</v>
      </c>
      <c r="R16" s="145"/>
      <c r="S16" s="102"/>
      <c r="T16" s="102"/>
      <c r="U16" s="102"/>
      <c r="V16" s="102"/>
      <c r="W16" s="102"/>
      <c r="X16" s="102"/>
      <c r="Y16" s="102"/>
      <c r="Z16" s="102"/>
    </row>
    <row r="17" spans="1:26" x14ac:dyDescent="0.2">
      <c r="A17" s="9"/>
      <c r="B17" s="142" t="s">
        <v>22</v>
      </c>
      <c r="C17" s="143">
        <v>0.47103653946598389</v>
      </c>
      <c r="D17" s="143">
        <v>0.51528432027714777</v>
      </c>
      <c r="E17" s="143">
        <v>0.35617459224689085</v>
      </c>
      <c r="F17" s="146">
        <v>0.53591817338457626</v>
      </c>
      <c r="G17" s="143">
        <f t="shared" si="2"/>
        <v>0.53591817338457626</v>
      </c>
      <c r="H17" s="143">
        <v>0.53293831397185321</v>
      </c>
      <c r="I17" s="144"/>
      <c r="J17" s="144"/>
      <c r="K17" s="145"/>
      <c r="L17" s="144">
        <f t="shared" si="1"/>
        <v>0.52896346053401611</v>
      </c>
      <c r="M17" s="144">
        <f t="shared" si="1"/>
        <v>0.48471567972285223</v>
      </c>
      <c r="N17" s="144">
        <f t="shared" si="1"/>
        <v>0.64382540775310915</v>
      </c>
      <c r="O17" s="144">
        <f t="shared" si="1"/>
        <v>0.46408182661542374</v>
      </c>
      <c r="P17" s="144">
        <f t="shared" si="1"/>
        <v>0.46408182661542374</v>
      </c>
      <c r="Q17" s="144">
        <f t="shared" si="1"/>
        <v>0.46706168602814679</v>
      </c>
      <c r="R17" s="145"/>
      <c r="S17" s="102"/>
      <c r="T17" s="102"/>
      <c r="U17" s="102"/>
      <c r="V17" s="102"/>
      <c r="W17" s="102"/>
      <c r="X17" s="102"/>
      <c r="Y17" s="102"/>
      <c r="Z17" s="102"/>
    </row>
    <row r="18" spans="1:26" x14ac:dyDescent="0.2">
      <c r="A18" s="9"/>
      <c r="B18" s="142" t="s">
        <v>23</v>
      </c>
      <c r="C18" s="143">
        <v>0.42874342682695032</v>
      </c>
      <c r="D18" s="143">
        <v>0.48271593609680846</v>
      </c>
      <c r="E18" s="143">
        <v>0.34159749208280854</v>
      </c>
      <c r="F18" s="143">
        <v>0.50583173400966452</v>
      </c>
      <c r="G18" s="143">
        <f t="shared" si="2"/>
        <v>0.50583173400966452</v>
      </c>
      <c r="H18" s="143">
        <v>0.49406724089837589</v>
      </c>
      <c r="I18" s="144"/>
      <c r="J18" s="144"/>
      <c r="K18" s="145"/>
      <c r="L18" s="144">
        <f t="shared" si="1"/>
        <v>0.57125657317304968</v>
      </c>
      <c r="M18" s="144">
        <f t="shared" si="1"/>
        <v>0.51728406390319148</v>
      </c>
      <c r="N18" s="144">
        <f t="shared" si="1"/>
        <v>0.65840250791719146</v>
      </c>
      <c r="O18" s="144">
        <f t="shared" si="1"/>
        <v>0.49416826599033548</v>
      </c>
      <c r="P18" s="144">
        <f t="shared" si="1"/>
        <v>0.49416826599033548</v>
      </c>
      <c r="Q18" s="144">
        <f t="shared" si="1"/>
        <v>0.50593275910162405</v>
      </c>
      <c r="R18" s="145"/>
      <c r="S18" s="102"/>
      <c r="T18" s="102"/>
      <c r="U18" s="102"/>
      <c r="V18" s="102"/>
      <c r="W18" s="102"/>
      <c r="X18" s="102"/>
      <c r="Y18" s="102"/>
      <c r="Z18" s="102"/>
    </row>
    <row r="19" spans="1:26" x14ac:dyDescent="0.2">
      <c r="A19" s="9"/>
      <c r="B19" s="142" t="s">
        <v>24</v>
      </c>
      <c r="C19" s="143">
        <v>0.45160460745295933</v>
      </c>
      <c r="D19" s="143">
        <v>0.50829017064535242</v>
      </c>
      <c r="E19" s="143">
        <v>0.36232342155924663</v>
      </c>
      <c r="F19" s="143">
        <v>0.52862178767657597</v>
      </c>
      <c r="G19" s="143">
        <f t="shared" si="2"/>
        <v>0.52862178767657597</v>
      </c>
      <c r="H19" s="143">
        <v>0.52134450803206656</v>
      </c>
      <c r="I19" s="144"/>
      <c r="J19" s="144"/>
      <c r="K19" s="145"/>
      <c r="L19" s="144">
        <f t="shared" si="1"/>
        <v>0.54839539254704062</v>
      </c>
      <c r="M19" s="144">
        <f t="shared" si="1"/>
        <v>0.49170982935464758</v>
      </c>
      <c r="N19" s="144">
        <f t="shared" si="1"/>
        <v>0.63767657844075343</v>
      </c>
      <c r="O19" s="144">
        <f t="shared" si="1"/>
        <v>0.47137821232342403</v>
      </c>
      <c r="P19" s="144">
        <f t="shared" si="1"/>
        <v>0.47137821232342403</v>
      </c>
      <c r="Q19" s="144">
        <f t="shared" si="1"/>
        <v>0.47865549196793344</v>
      </c>
      <c r="R19" s="145"/>
      <c r="S19" s="102"/>
      <c r="T19" s="102"/>
      <c r="U19" s="102"/>
      <c r="V19" s="102"/>
      <c r="W19" s="102"/>
      <c r="X19" s="102"/>
      <c r="Y19" s="102"/>
      <c r="Z19" s="102"/>
    </row>
    <row r="20" spans="1:26" x14ac:dyDescent="0.2">
      <c r="A20" s="9"/>
      <c r="B20" s="142"/>
      <c r="C20" s="145"/>
      <c r="D20" s="145"/>
      <c r="E20" s="145"/>
      <c r="F20" s="147"/>
      <c r="G20" s="147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</row>
    <row r="21" spans="1:26" x14ac:dyDescent="0.2">
      <c r="A21" s="9"/>
      <c r="B21" s="142"/>
      <c r="C21" s="145"/>
      <c r="D21" s="145"/>
      <c r="E21" s="145"/>
      <c r="F21" s="147"/>
      <c r="G21" s="147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</row>
    <row r="22" spans="1:26" x14ac:dyDescent="0.2">
      <c r="A22" s="79" t="s">
        <v>25</v>
      </c>
      <c r="B22" s="5" t="s">
        <v>26</v>
      </c>
      <c r="C22" s="145"/>
      <c r="D22" s="145"/>
      <c r="E22" s="86" t="s">
        <v>27</v>
      </c>
      <c r="F22" s="147"/>
      <c r="G22" s="147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</row>
    <row r="23" spans="1:26" ht="38.25" x14ac:dyDescent="0.2">
      <c r="A23" s="9"/>
      <c r="C23" s="82" t="s">
        <v>28</v>
      </c>
      <c r="D23" s="82"/>
      <c r="E23" s="82" t="s">
        <v>28</v>
      </c>
      <c r="F23" s="82" t="s">
        <v>28</v>
      </c>
      <c r="G23" s="82" t="s">
        <v>28</v>
      </c>
      <c r="H23" s="82" t="s">
        <v>28</v>
      </c>
      <c r="I23" s="82"/>
      <c r="J23" s="82"/>
      <c r="K23" s="10"/>
      <c r="L23" s="82" t="s">
        <v>28</v>
      </c>
      <c r="M23" s="87" t="str">
        <f>M1-2&amp;" Forecasted Billed Sales"</f>
        <v>2019 Forecasted Billed Sales</v>
      </c>
      <c r="N23" s="82" t="s">
        <v>28</v>
      </c>
      <c r="O23" s="82" t="s">
        <v>28</v>
      </c>
      <c r="P23" s="82" t="s">
        <v>28</v>
      </c>
      <c r="Q23" s="82" t="s">
        <v>28</v>
      </c>
      <c r="R23" s="82"/>
    </row>
    <row r="24" spans="1:26" x14ac:dyDescent="0.2">
      <c r="A24" s="9"/>
      <c r="B24" s="84" t="s">
        <v>29</v>
      </c>
      <c r="C24" s="59" t="str">
        <f>+C6</f>
        <v>SC1/SC5</v>
      </c>
      <c r="D24" s="59" t="str">
        <f t="shared" ref="D24:H24" si="3">+D6</f>
        <v>SC3</v>
      </c>
      <c r="E24" s="59" t="str">
        <f t="shared" si="3"/>
        <v>SC2 ND</v>
      </c>
      <c r="F24" s="59" t="str">
        <f t="shared" si="3"/>
        <v>SC4</v>
      </c>
      <c r="G24" s="59" t="str">
        <f t="shared" si="3"/>
        <v>SC6</v>
      </c>
      <c r="H24" s="59" t="str">
        <f t="shared" si="3"/>
        <v>SC2 Dem</v>
      </c>
      <c r="I24" s="12"/>
      <c r="J24" s="12"/>
      <c r="K24" s="85"/>
      <c r="L24" s="12" t="str">
        <f t="shared" ref="L24:Q24" si="4">+C6</f>
        <v>SC1/SC5</v>
      </c>
      <c r="M24" s="12" t="str">
        <f t="shared" si="4"/>
        <v>SC3</v>
      </c>
      <c r="N24" s="12" t="str">
        <f t="shared" si="4"/>
        <v>SC2 ND</v>
      </c>
      <c r="O24" s="12" t="str">
        <f t="shared" si="4"/>
        <v>SC4</v>
      </c>
      <c r="P24" s="12" t="str">
        <f t="shared" si="4"/>
        <v>SC6</v>
      </c>
      <c r="Q24" s="12" t="str">
        <f t="shared" si="4"/>
        <v>SC2 Dem</v>
      </c>
      <c r="R24" s="12"/>
    </row>
    <row r="25" spans="1:26" x14ac:dyDescent="0.2">
      <c r="A25" s="9"/>
    </row>
    <row r="26" spans="1:26" x14ac:dyDescent="0.2">
      <c r="A26" s="9"/>
      <c r="B26" s="142" t="s">
        <v>13</v>
      </c>
      <c r="C26" s="148" t="s">
        <v>30</v>
      </c>
      <c r="D26" s="149">
        <v>0.36141957122784751</v>
      </c>
      <c r="E26" s="148" t="s">
        <v>30</v>
      </c>
      <c r="F26" s="148" t="s">
        <v>30</v>
      </c>
      <c r="G26" s="148" t="s">
        <v>30</v>
      </c>
      <c r="H26" s="148" t="s">
        <v>30</v>
      </c>
      <c r="I26" s="144"/>
      <c r="J26" s="144"/>
      <c r="K26" s="145"/>
      <c r="L26" s="145"/>
      <c r="M26" s="144">
        <f t="shared" ref="M26:M37" si="5">1-D26</f>
        <v>0.63858042877215249</v>
      </c>
      <c r="N26" s="145"/>
      <c r="O26" s="145"/>
      <c r="P26" s="145"/>
      <c r="Q26" s="145"/>
      <c r="R26" s="145"/>
    </row>
    <row r="27" spans="1:26" x14ac:dyDescent="0.2">
      <c r="A27" s="9"/>
      <c r="B27" s="142" t="s">
        <v>14</v>
      </c>
      <c r="C27" s="148" t="s">
        <v>30</v>
      </c>
      <c r="D27" s="149">
        <v>0.36468281036834926</v>
      </c>
      <c r="E27" s="148" t="s">
        <v>30</v>
      </c>
      <c r="F27" s="148" t="s">
        <v>30</v>
      </c>
      <c r="G27" s="148" t="s">
        <v>30</v>
      </c>
      <c r="H27" s="148" t="s">
        <v>30</v>
      </c>
      <c r="I27" s="144"/>
      <c r="J27" s="144"/>
      <c r="K27" s="145"/>
      <c r="L27" s="145"/>
      <c r="M27" s="144">
        <f t="shared" si="5"/>
        <v>0.63531718963165074</v>
      </c>
      <c r="N27" s="145"/>
      <c r="O27" s="145"/>
      <c r="P27" s="145"/>
      <c r="Q27" s="145"/>
      <c r="R27" s="145"/>
    </row>
    <row r="28" spans="1:26" x14ac:dyDescent="0.2">
      <c r="A28" s="9"/>
      <c r="B28" s="142" t="s">
        <v>15</v>
      </c>
      <c r="C28" s="148" t="s">
        <v>30</v>
      </c>
      <c r="D28" s="149">
        <v>0.35472020504058094</v>
      </c>
      <c r="E28" s="148" t="s">
        <v>30</v>
      </c>
      <c r="F28" s="148" t="s">
        <v>30</v>
      </c>
      <c r="G28" s="148" t="s">
        <v>30</v>
      </c>
      <c r="H28" s="148" t="s">
        <v>30</v>
      </c>
      <c r="I28" s="144"/>
      <c r="J28" s="144"/>
      <c r="K28" s="145"/>
      <c r="L28" s="145"/>
      <c r="M28" s="144">
        <f t="shared" si="5"/>
        <v>0.64527979495941912</v>
      </c>
      <c r="N28" s="145"/>
      <c r="O28" s="145"/>
      <c r="P28" s="145"/>
      <c r="Q28" s="145"/>
      <c r="R28" s="145"/>
    </row>
    <row r="29" spans="1:26" x14ac:dyDescent="0.2">
      <c r="A29" s="9"/>
      <c r="B29" s="142" t="s">
        <v>16</v>
      </c>
      <c r="C29" s="148" t="s">
        <v>30</v>
      </c>
      <c r="D29" s="149">
        <v>0.30855172771340433</v>
      </c>
      <c r="E29" s="148" t="s">
        <v>30</v>
      </c>
      <c r="F29" s="148" t="s">
        <v>30</v>
      </c>
      <c r="G29" s="148" t="s">
        <v>30</v>
      </c>
      <c r="H29" s="148" t="s">
        <v>30</v>
      </c>
      <c r="I29" s="144"/>
      <c r="J29" s="144"/>
      <c r="K29" s="145"/>
      <c r="L29" s="145"/>
      <c r="M29" s="144">
        <f t="shared" si="5"/>
        <v>0.69144827228659567</v>
      </c>
      <c r="N29" s="145"/>
      <c r="O29" s="145"/>
      <c r="P29" s="145"/>
      <c r="Q29" s="145"/>
      <c r="R29" s="145"/>
    </row>
    <row r="30" spans="1:26" x14ac:dyDescent="0.2">
      <c r="A30" s="9"/>
      <c r="B30" s="142" t="s">
        <v>17</v>
      </c>
      <c r="C30" s="148" t="s">
        <v>30</v>
      </c>
      <c r="D30" s="149">
        <v>0.35807521780919604</v>
      </c>
      <c r="E30" s="148" t="s">
        <v>30</v>
      </c>
      <c r="F30" s="148" t="s">
        <v>30</v>
      </c>
      <c r="G30" s="148" t="s">
        <v>30</v>
      </c>
      <c r="H30" s="148" t="s">
        <v>30</v>
      </c>
      <c r="I30" s="144"/>
      <c r="J30" s="144"/>
      <c r="K30" s="145"/>
      <c r="L30" s="145"/>
      <c r="M30" s="144">
        <f t="shared" si="5"/>
        <v>0.64192478219080396</v>
      </c>
      <c r="N30" s="145"/>
      <c r="O30" s="145"/>
      <c r="P30" s="145"/>
      <c r="Q30" s="145"/>
      <c r="R30" s="145"/>
    </row>
    <row r="31" spans="1:26" x14ac:dyDescent="0.2">
      <c r="A31" s="9"/>
      <c r="B31" s="142" t="s">
        <v>18</v>
      </c>
      <c r="C31" s="148" t="s">
        <v>30</v>
      </c>
      <c r="D31" s="149">
        <v>0.35964194094208829</v>
      </c>
      <c r="E31" s="148" t="s">
        <v>30</v>
      </c>
      <c r="F31" s="148" t="s">
        <v>30</v>
      </c>
      <c r="G31" s="148" t="s">
        <v>30</v>
      </c>
      <c r="H31" s="148" t="s">
        <v>30</v>
      </c>
      <c r="I31" s="144"/>
      <c r="J31" s="144"/>
      <c r="K31" s="145"/>
      <c r="L31" s="145"/>
      <c r="M31" s="144">
        <f t="shared" si="5"/>
        <v>0.64035805905791165</v>
      </c>
      <c r="N31" s="145"/>
      <c r="O31" s="145"/>
      <c r="P31" s="145"/>
      <c r="Q31" s="145"/>
      <c r="R31" s="145"/>
    </row>
    <row r="32" spans="1:26" x14ac:dyDescent="0.2">
      <c r="A32" s="9"/>
      <c r="B32" s="142" t="s">
        <v>19</v>
      </c>
      <c r="C32" s="148" t="s">
        <v>30</v>
      </c>
      <c r="D32" s="149">
        <v>0.38509532062391683</v>
      </c>
      <c r="E32" s="148" t="s">
        <v>30</v>
      </c>
      <c r="F32" s="148" t="s">
        <v>30</v>
      </c>
      <c r="G32" s="148" t="s">
        <v>30</v>
      </c>
      <c r="H32" s="148" t="s">
        <v>30</v>
      </c>
      <c r="I32" s="144"/>
      <c r="J32" s="144"/>
      <c r="K32" s="145"/>
      <c r="L32" s="145"/>
      <c r="M32" s="144">
        <f t="shared" si="5"/>
        <v>0.61490467937608317</v>
      </c>
      <c r="N32" s="145"/>
      <c r="O32" s="145"/>
      <c r="P32" s="145"/>
      <c r="Q32" s="145"/>
      <c r="R32" s="145"/>
    </row>
    <row r="33" spans="1:19" x14ac:dyDescent="0.2">
      <c r="A33" s="9"/>
      <c r="B33" s="142" t="s">
        <v>20</v>
      </c>
      <c r="C33" s="148" t="s">
        <v>30</v>
      </c>
      <c r="D33" s="149">
        <v>0.40689720243430672</v>
      </c>
      <c r="E33" s="148" t="s">
        <v>30</v>
      </c>
      <c r="F33" s="148" t="s">
        <v>30</v>
      </c>
      <c r="G33" s="148" t="s">
        <v>30</v>
      </c>
      <c r="H33" s="148" t="s">
        <v>30</v>
      </c>
      <c r="I33" s="144"/>
      <c r="J33" s="144"/>
      <c r="K33" s="145"/>
      <c r="L33" s="145"/>
      <c r="M33" s="144">
        <f t="shared" si="5"/>
        <v>0.59310279756569328</v>
      </c>
      <c r="N33" s="145"/>
      <c r="O33" s="145"/>
      <c r="P33" s="145"/>
      <c r="Q33" s="145"/>
      <c r="R33" s="145"/>
    </row>
    <row r="34" spans="1:19" x14ac:dyDescent="0.2">
      <c r="A34" s="9"/>
      <c r="B34" s="142" t="s">
        <v>21</v>
      </c>
      <c r="C34" s="148" t="s">
        <v>30</v>
      </c>
      <c r="D34" s="149">
        <v>0.2942009093248692</v>
      </c>
      <c r="E34" s="148" t="s">
        <v>30</v>
      </c>
      <c r="F34" s="148" t="s">
        <v>30</v>
      </c>
      <c r="G34" s="148" t="s">
        <v>30</v>
      </c>
      <c r="H34" s="148" t="s">
        <v>30</v>
      </c>
      <c r="I34" s="144"/>
      <c r="J34" s="144"/>
      <c r="K34" s="145"/>
      <c r="L34" s="145"/>
      <c r="M34" s="144">
        <f t="shared" si="5"/>
        <v>0.7057990906751308</v>
      </c>
      <c r="N34" s="145"/>
      <c r="O34" s="145"/>
      <c r="P34" s="145"/>
      <c r="Q34" s="145"/>
      <c r="R34" s="145"/>
    </row>
    <row r="35" spans="1:19" x14ac:dyDescent="0.2">
      <c r="A35" s="9"/>
      <c r="B35" s="142" t="s">
        <v>22</v>
      </c>
      <c r="C35" s="148" t="s">
        <v>30</v>
      </c>
      <c r="D35" s="149">
        <v>0.40175934249390011</v>
      </c>
      <c r="E35" s="148" t="s">
        <v>30</v>
      </c>
      <c r="F35" s="148" t="s">
        <v>30</v>
      </c>
      <c r="G35" s="148" t="s">
        <v>30</v>
      </c>
      <c r="H35" s="148" t="s">
        <v>30</v>
      </c>
      <c r="I35" s="144"/>
      <c r="J35" s="144"/>
      <c r="K35" s="145"/>
      <c r="L35" s="145"/>
      <c r="M35" s="144">
        <f t="shared" si="5"/>
        <v>0.59824065750609989</v>
      </c>
      <c r="N35" s="145"/>
      <c r="O35" s="145"/>
      <c r="P35" s="145"/>
      <c r="Q35" s="145"/>
      <c r="R35" s="145"/>
    </row>
    <row r="36" spans="1:19" x14ac:dyDescent="0.2">
      <c r="A36" s="9"/>
      <c r="B36" s="142" t="s">
        <v>23</v>
      </c>
      <c r="C36" s="148" t="s">
        <v>30</v>
      </c>
      <c r="D36" s="149">
        <v>0.32607058317193888</v>
      </c>
      <c r="E36" s="148" t="s">
        <v>30</v>
      </c>
      <c r="F36" s="148" t="s">
        <v>30</v>
      </c>
      <c r="G36" s="148" t="s">
        <v>30</v>
      </c>
      <c r="H36" s="148" t="s">
        <v>30</v>
      </c>
      <c r="I36" s="144"/>
      <c r="J36" s="144"/>
      <c r="K36" s="145"/>
      <c r="L36" s="145"/>
      <c r="M36" s="144">
        <f t="shared" si="5"/>
        <v>0.67392941682806118</v>
      </c>
      <c r="N36" s="145"/>
      <c r="O36" s="145"/>
      <c r="P36" s="145"/>
      <c r="Q36" s="145"/>
      <c r="R36" s="145"/>
    </row>
    <row r="37" spans="1:19" x14ac:dyDescent="0.2">
      <c r="A37" s="9"/>
      <c r="B37" s="142" t="s">
        <v>24</v>
      </c>
      <c r="C37" s="148" t="s">
        <v>30</v>
      </c>
      <c r="D37" s="149">
        <v>0.35336260688698867</v>
      </c>
      <c r="E37" s="148" t="s">
        <v>30</v>
      </c>
      <c r="F37" s="148" t="s">
        <v>30</v>
      </c>
      <c r="G37" s="148" t="s">
        <v>30</v>
      </c>
      <c r="H37" s="148" t="s">
        <v>30</v>
      </c>
      <c r="I37" s="144"/>
      <c r="J37" s="144"/>
      <c r="K37" s="145"/>
      <c r="L37" s="145"/>
      <c r="M37" s="144">
        <f t="shared" si="5"/>
        <v>0.64663739311301138</v>
      </c>
      <c r="N37" s="145"/>
      <c r="O37" s="145"/>
      <c r="P37" s="145"/>
      <c r="Q37" s="145"/>
      <c r="R37" s="145"/>
    </row>
    <row r="38" spans="1:19" x14ac:dyDescent="0.2">
      <c r="A38" s="9"/>
      <c r="B38" s="142"/>
      <c r="C38" s="145"/>
      <c r="D38" s="145"/>
      <c r="E38" s="145"/>
      <c r="F38" s="147"/>
      <c r="G38" s="147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</row>
    <row r="39" spans="1:19" x14ac:dyDescent="0.2">
      <c r="A39" s="9"/>
      <c r="B39" s="142"/>
      <c r="C39" s="145"/>
      <c r="D39" s="145"/>
      <c r="E39" s="145"/>
      <c r="F39" s="147"/>
      <c r="G39" s="147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</row>
    <row r="40" spans="1:19" x14ac:dyDescent="0.2">
      <c r="A40" s="79" t="s">
        <v>31</v>
      </c>
      <c r="B40" s="69" t="s">
        <v>32</v>
      </c>
      <c r="L40" s="3" t="s">
        <v>33</v>
      </c>
    </row>
    <row r="41" spans="1:19" x14ac:dyDescent="0.2">
      <c r="A41" s="9"/>
      <c r="B41" s="88" t="str">
        <f>"Calendar month billed sales forecasted for " &amp;M1</f>
        <v>Calendar month billed sales forecasted for 2021</v>
      </c>
    </row>
    <row r="42" spans="1:19" x14ac:dyDescent="0.2">
      <c r="A42" s="9"/>
      <c r="B42" s="10" t="s">
        <v>34</v>
      </c>
      <c r="C42" s="11" t="str">
        <f>+C6</f>
        <v>SC1/SC5</v>
      </c>
      <c r="D42" s="11" t="str">
        <f t="shared" ref="D42:H42" si="6">+D6</f>
        <v>SC3</v>
      </c>
      <c r="E42" s="11" t="str">
        <f t="shared" si="6"/>
        <v>SC2 ND</v>
      </c>
      <c r="F42" s="11" t="str">
        <f t="shared" si="6"/>
        <v>SC4</v>
      </c>
      <c r="G42" s="11" t="str">
        <f t="shared" si="6"/>
        <v>SC6</v>
      </c>
      <c r="H42" s="11" t="str">
        <f t="shared" si="6"/>
        <v>SC2 Dem</v>
      </c>
      <c r="I42" s="11" t="s">
        <v>35</v>
      </c>
      <c r="J42" s="12"/>
      <c r="K42" s="12"/>
      <c r="L42" s="12" t="str">
        <f t="shared" ref="L42:Q42" si="7">+C6</f>
        <v>SC1/SC5</v>
      </c>
      <c r="M42" s="12" t="str">
        <f t="shared" si="7"/>
        <v>SC3</v>
      </c>
      <c r="N42" s="12" t="str">
        <f t="shared" si="7"/>
        <v>SC2 ND</v>
      </c>
      <c r="O42" s="12" t="str">
        <f t="shared" si="7"/>
        <v>SC4</v>
      </c>
      <c r="P42" s="12" t="str">
        <f t="shared" si="7"/>
        <v>SC6</v>
      </c>
      <c r="Q42" s="12" t="str">
        <f t="shared" si="7"/>
        <v>SC2 Dem</v>
      </c>
      <c r="R42" s="12"/>
    </row>
    <row r="43" spans="1:19" x14ac:dyDescent="0.2">
      <c r="A43" s="9"/>
    </row>
    <row r="44" spans="1:19" x14ac:dyDescent="0.2">
      <c r="A44" s="9"/>
      <c r="B44" s="142" t="s">
        <v>13</v>
      </c>
      <c r="C44" s="89">
        <v>55496.5</v>
      </c>
      <c r="D44" s="89">
        <v>21.5</v>
      </c>
      <c r="E44" s="89">
        <v>1753</v>
      </c>
      <c r="F44" s="89">
        <v>540</v>
      </c>
      <c r="G44" s="89">
        <v>505.5</v>
      </c>
      <c r="H44" s="89">
        <v>24174.821499999998</v>
      </c>
      <c r="I44" s="89">
        <f t="shared" ref="I44:I55" si="8">SUM(C44:H44)</f>
        <v>82491.321499999991</v>
      </c>
      <c r="J44" s="89"/>
      <c r="K44" s="33" t="s">
        <v>36</v>
      </c>
      <c r="L44" s="150">
        <f t="shared" ref="L44:Q44" si="9">SUM(C44:C48,C53:C55)</f>
        <v>367354.5</v>
      </c>
      <c r="M44" s="89">
        <f t="shared" si="9"/>
        <v>156.5</v>
      </c>
      <c r="N44" s="89">
        <f t="shared" si="9"/>
        <v>11472</v>
      </c>
      <c r="O44" s="89">
        <f t="shared" si="9"/>
        <v>3737</v>
      </c>
      <c r="P44" s="89">
        <f t="shared" si="9"/>
        <v>3649</v>
      </c>
      <c r="Q44" s="89">
        <f t="shared" si="9"/>
        <v>186556.90600000002</v>
      </c>
      <c r="R44" s="89"/>
    </row>
    <row r="45" spans="1:19" x14ac:dyDescent="0.2">
      <c r="A45" s="9"/>
      <c r="B45" s="142" t="s">
        <v>14</v>
      </c>
      <c r="C45" s="89">
        <v>48417</v>
      </c>
      <c r="D45" s="89">
        <v>14.5</v>
      </c>
      <c r="E45" s="89">
        <v>1986</v>
      </c>
      <c r="F45" s="89">
        <v>450.5</v>
      </c>
      <c r="G45" s="89">
        <v>425</v>
      </c>
      <c r="H45" s="89">
        <v>22346.824000000001</v>
      </c>
      <c r="I45" s="89">
        <f t="shared" si="8"/>
        <v>73639.823999999993</v>
      </c>
      <c r="J45" s="89"/>
      <c r="K45" s="33" t="s">
        <v>37</v>
      </c>
      <c r="L45" s="150"/>
      <c r="M45" s="89">
        <f>SUMPRODUCT(D26:D30,D44:D48)+SUMPRODUCT(D35:D37,D53:D55)</f>
        <v>54.438977461843002</v>
      </c>
      <c r="R45" s="89"/>
    </row>
    <row r="46" spans="1:19" x14ac:dyDescent="0.2">
      <c r="A46" s="9"/>
      <c r="B46" s="142" t="s">
        <v>15</v>
      </c>
      <c r="C46" s="89">
        <v>44715.5</v>
      </c>
      <c r="D46" s="89">
        <v>8.5</v>
      </c>
      <c r="E46" s="89">
        <v>1741</v>
      </c>
      <c r="F46" s="89">
        <v>447.5</v>
      </c>
      <c r="G46" s="89">
        <v>404</v>
      </c>
      <c r="H46" s="89">
        <v>19698.281500000001</v>
      </c>
      <c r="I46" s="89">
        <f t="shared" si="8"/>
        <v>67014.781499999997</v>
      </c>
      <c r="J46" s="89"/>
      <c r="K46" s="33" t="s">
        <v>38</v>
      </c>
      <c r="L46" s="150"/>
      <c r="M46" s="89">
        <f>+M44-M45</f>
        <v>102.061022538157</v>
      </c>
      <c r="R46" s="89"/>
    </row>
    <row r="47" spans="1:19" x14ac:dyDescent="0.2">
      <c r="A47" s="9"/>
      <c r="B47" s="142" t="s">
        <v>16</v>
      </c>
      <c r="C47" s="89">
        <v>39833.5</v>
      </c>
      <c r="D47" s="89">
        <v>32</v>
      </c>
      <c r="E47" s="89">
        <v>1285</v>
      </c>
      <c r="F47" s="89">
        <v>389</v>
      </c>
      <c r="G47" s="89">
        <v>392.5</v>
      </c>
      <c r="H47" s="89">
        <v>22174.197500000002</v>
      </c>
      <c r="I47" s="89">
        <f t="shared" si="8"/>
        <v>64106.197500000002</v>
      </c>
      <c r="J47" s="89"/>
    </row>
    <row r="48" spans="1:19" x14ac:dyDescent="0.2">
      <c r="A48" s="9"/>
      <c r="B48" s="142" t="s">
        <v>17</v>
      </c>
      <c r="C48" s="89">
        <v>39320</v>
      </c>
      <c r="D48" s="89">
        <v>15.5</v>
      </c>
      <c r="E48" s="89">
        <v>922</v>
      </c>
      <c r="F48" s="89">
        <v>344.5</v>
      </c>
      <c r="G48" s="89">
        <v>396.5</v>
      </c>
      <c r="H48" s="89">
        <v>20773.599000000002</v>
      </c>
      <c r="I48" s="89">
        <f t="shared" si="8"/>
        <v>61772.099000000002</v>
      </c>
      <c r="J48" s="89"/>
      <c r="K48" s="33" t="s">
        <v>39</v>
      </c>
      <c r="L48" s="150">
        <f>SUM(C49:C52)</f>
        <v>286985.5</v>
      </c>
      <c r="M48" s="89">
        <f>+SUM(D49:D52)</f>
        <v>97.5</v>
      </c>
      <c r="N48" s="89">
        <f>+SUM(E49:E52)</f>
        <v>4662</v>
      </c>
      <c r="O48" s="89">
        <f>+SUM(F49:F52)</f>
        <v>1434.5</v>
      </c>
      <c r="P48" s="89">
        <f>+SUM(G49:G52)</f>
        <v>1523</v>
      </c>
      <c r="Q48" s="89">
        <f>+SUM(H49:H52)</f>
        <v>109202.45299999999</v>
      </c>
      <c r="R48" s="89"/>
    </row>
    <row r="49" spans="1:23" x14ac:dyDescent="0.2">
      <c r="A49" s="9"/>
      <c r="B49" s="142" t="s">
        <v>18</v>
      </c>
      <c r="C49" s="89">
        <v>58945</v>
      </c>
      <c r="D49" s="89">
        <v>19.5</v>
      </c>
      <c r="E49" s="89">
        <v>1037</v>
      </c>
      <c r="F49" s="89">
        <v>313.5</v>
      </c>
      <c r="G49" s="89">
        <v>372.5</v>
      </c>
      <c r="H49" s="89">
        <v>25307.851000000002</v>
      </c>
      <c r="I49" s="89">
        <f t="shared" si="8"/>
        <v>85995.350999999995</v>
      </c>
      <c r="J49" s="89"/>
      <c r="K49" s="33" t="s">
        <v>37</v>
      </c>
      <c r="L49" s="150"/>
      <c r="M49" s="89">
        <f>+SUMPRODUCT(D31:D34,D49:D52)</f>
        <v>35.479439676550008</v>
      </c>
      <c r="R49" s="89"/>
    </row>
    <row r="50" spans="1:23" x14ac:dyDescent="0.2">
      <c r="A50" s="9"/>
      <c r="B50" s="142" t="s">
        <v>19</v>
      </c>
      <c r="C50" s="89">
        <v>78861</v>
      </c>
      <c r="D50" s="89">
        <v>26</v>
      </c>
      <c r="E50" s="89">
        <v>1314</v>
      </c>
      <c r="F50" s="89">
        <v>336.5</v>
      </c>
      <c r="G50" s="89">
        <v>367</v>
      </c>
      <c r="H50" s="89">
        <v>26364.540499999999</v>
      </c>
      <c r="I50" s="89">
        <f t="shared" si="8"/>
        <v>107269.0405</v>
      </c>
      <c r="J50" s="89"/>
      <c r="K50" s="33" t="s">
        <v>38</v>
      </c>
      <c r="L50" s="150"/>
      <c r="M50" s="89">
        <f>+M48-M49</f>
        <v>62.020560323449992</v>
      </c>
      <c r="R50" s="89"/>
    </row>
    <row r="51" spans="1:23" x14ac:dyDescent="0.2">
      <c r="A51" s="9"/>
      <c r="B51" s="142" t="s">
        <v>20</v>
      </c>
      <c r="C51" s="89">
        <v>81022.5</v>
      </c>
      <c r="D51" s="89">
        <v>28</v>
      </c>
      <c r="E51" s="89">
        <v>1110</v>
      </c>
      <c r="F51" s="89">
        <v>368.5</v>
      </c>
      <c r="G51" s="89">
        <v>359.5</v>
      </c>
      <c r="H51" s="89">
        <v>28871.3485</v>
      </c>
      <c r="I51" s="89">
        <f t="shared" si="8"/>
        <v>111759.84849999999</v>
      </c>
      <c r="J51" s="89"/>
    </row>
    <row r="52" spans="1:23" x14ac:dyDescent="0.2">
      <c r="A52" s="9"/>
      <c r="B52" s="142" t="s">
        <v>21</v>
      </c>
      <c r="C52" s="89">
        <v>68157</v>
      </c>
      <c r="D52" s="89">
        <v>24</v>
      </c>
      <c r="E52" s="89">
        <v>1201</v>
      </c>
      <c r="F52" s="89">
        <v>416</v>
      </c>
      <c r="G52" s="89">
        <v>424</v>
      </c>
      <c r="H52" s="89">
        <v>28658.713</v>
      </c>
      <c r="I52" s="89">
        <f t="shared" si="8"/>
        <v>98880.713000000003</v>
      </c>
      <c r="J52" s="89"/>
      <c r="K52" s="33" t="s">
        <v>40</v>
      </c>
      <c r="L52" s="150">
        <f>ROUND(L48*E156,0)</f>
        <v>126130</v>
      </c>
    </row>
    <row r="53" spans="1:23" x14ac:dyDescent="0.2">
      <c r="A53" s="9"/>
      <c r="B53" s="142" t="s">
        <v>22</v>
      </c>
      <c r="C53" s="89">
        <v>49348.5</v>
      </c>
      <c r="D53" s="89">
        <v>15.5</v>
      </c>
      <c r="E53" s="89">
        <v>1117</v>
      </c>
      <c r="F53" s="89">
        <v>495.5</v>
      </c>
      <c r="G53" s="89">
        <v>463</v>
      </c>
      <c r="H53" s="89">
        <v>26880.09</v>
      </c>
      <c r="I53" s="89">
        <f t="shared" si="8"/>
        <v>78319.59</v>
      </c>
      <c r="J53" s="89"/>
      <c r="K53" s="36" t="s">
        <v>41</v>
      </c>
      <c r="L53" s="150">
        <f>L48-L52</f>
        <v>160855.5</v>
      </c>
    </row>
    <row r="54" spans="1:23" x14ac:dyDescent="0.2">
      <c r="A54" s="9"/>
      <c r="B54" s="142" t="s">
        <v>23</v>
      </c>
      <c r="C54" s="89">
        <v>40059</v>
      </c>
      <c r="D54" s="89">
        <v>22</v>
      </c>
      <c r="E54" s="89">
        <v>1131</v>
      </c>
      <c r="F54" s="89">
        <v>506</v>
      </c>
      <c r="G54" s="89">
        <v>526.5</v>
      </c>
      <c r="H54" s="89">
        <v>23890.938000000002</v>
      </c>
      <c r="I54" s="89">
        <f t="shared" si="8"/>
        <v>66135.437999999995</v>
      </c>
      <c r="J54" s="89"/>
      <c r="K54" s="36" t="s">
        <v>42</v>
      </c>
      <c r="L54" s="150"/>
    </row>
    <row r="55" spans="1:23" x14ac:dyDescent="0.2">
      <c r="A55" s="9"/>
      <c r="B55" s="142" t="s">
        <v>24</v>
      </c>
      <c r="C55" s="90">
        <v>50164.5</v>
      </c>
      <c r="D55" s="90">
        <v>27</v>
      </c>
      <c r="E55" s="90">
        <v>1537</v>
      </c>
      <c r="F55" s="90">
        <v>564</v>
      </c>
      <c r="G55" s="90">
        <v>536</v>
      </c>
      <c r="H55" s="90">
        <v>26618.154500000001</v>
      </c>
      <c r="I55" s="90">
        <f t="shared" si="8"/>
        <v>79446.654500000004</v>
      </c>
      <c r="J55" s="89"/>
      <c r="M55" s="150"/>
    </row>
    <row r="56" spans="1:23" x14ac:dyDescent="0.2">
      <c r="A56" s="9"/>
      <c r="B56" s="151" t="s">
        <v>35</v>
      </c>
      <c r="C56" s="89">
        <f>SUM(C44:C55)</f>
        <v>654340</v>
      </c>
      <c r="D56" s="89">
        <f t="shared" ref="D56:H56" si="10">SUM(D44:D55)</f>
        <v>254</v>
      </c>
      <c r="E56" s="89">
        <f t="shared" si="10"/>
        <v>16134</v>
      </c>
      <c r="F56" s="89">
        <f>SUM(F44:F55)</f>
        <v>5171.5</v>
      </c>
      <c r="G56" s="89">
        <f>SUM(G44:G55)</f>
        <v>5172</v>
      </c>
      <c r="H56" s="89">
        <f t="shared" si="10"/>
        <v>295759.359</v>
      </c>
      <c r="I56" s="89">
        <f>SUM(I44:I55)</f>
        <v>976830.85899999994</v>
      </c>
      <c r="J56" s="89"/>
      <c r="M56" s="150"/>
    </row>
    <row r="57" spans="1:23" x14ac:dyDescent="0.2">
      <c r="A57" s="9"/>
      <c r="B57" s="142"/>
      <c r="N57" s="150"/>
      <c r="O57" s="3" t="s">
        <v>43</v>
      </c>
    </row>
    <row r="58" spans="1:23" x14ac:dyDescent="0.2">
      <c r="A58" s="9"/>
      <c r="O58" s="152"/>
      <c r="P58" s="153"/>
      <c r="Q58" s="153"/>
      <c r="R58" s="153"/>
      <c r="S58" s="153"/>
      <c r="T58" s="153"/>
      <c r="U58" s="153"/>
      <c r="V58" s="153"/>
      <c r="W58" s="154"/>
    </row>
    <row r="59" spans="1:23" x14ac:dyDescent="0.2">
      <c r="A59" s="79" t="s">
        <v>44</v>
      </c>
      <c r="B59" s="3" t="s">
        <v>45</v>
      </c>
      <c r="G59" s="91"/>
      <c r="H59" s="3"/>
      <c r="N59" s="150"/>
      <c r="O59" s="92"/>
      <c r="P59" s="6" t="s">
        <v>46</v>
      </c>
      <c r="W59" s="130"/>
    </row>
    <row r="60" spans="1:23" x14ac:dyDescent="0.2">
      <c r="A60" s="9"/>
      <c r="B60" s="78" t="s">
        <v>47</v>
      </c>
      <c r="N60" s="150"/>
      <c r="O60" s="155"/>
      <c r="P60" s="12"/>
      <c r="Q60" s="12"/>
      <c r="R60" s="12"/>
      <c r="S60" s="59" t="str">
        <f>D6</f>
        <v>SC3</v>
      </c>
      <c r="T60" s="59"/>
      <c r="U60" s="59"/>
      <c r="W60" s="93"/>
    </row>
    <row r="61" spans="1:23" x14ac:dyDescent="0.2">
      <c r="A61" s="9"/>
      <c r="C61" s="11" t="s">
        <v>48</v>
      </c>
      <c r="D61" s="11" t="s">
        <v>49</v>
      </c>
      <c r="G61" s="12"/>
      <c r="H61" s="12"/>
      <c r="I61" s="12"/>
      <c r="N61" s="150"/>
      <c r="O61" s="156"/>
      <c r="W61" s="130"/>
    </row>
    <row r="62" spans="1:23" x14ac:dyDescent="0.2">
      <c r="A62" s="9"/>
      <c r="B62" s="142" t="s">
        <v>13</v>
      </c>
      <c r="C62" s="94">
        <f t="shared" ref="C62:D73" si="11">G428</f>
        <v>42.61</v>
      </c>
      <c r="D62" s="94">
        <f t="shared" si="11"/>
        <v>33.909999999999997</v>
      </c>
      <c r="H62" s="12"/>
      <c r="I62" s="12"/>
      <c r="O62" s="155"/>
      <c r="P62" s="89"/>
      <c r="Q62" s="33" t="s">
        <v>36</v>
      </c>
      <c r="R62" s="89"/>
      <c r="S62" s="157">
        <f>SUM(D44:D48,D53:D55)</f>
        <v>156.5</v>
      </c>
      <c r="T62" s="89"/>
      <c r="U62" s="157"/>
      <c r="V62" s="89"/>
      <c r="W62" s="130"/>
    </row>
    <row r="63" spans="1:23" x14ac:dyDescent="0.2">
      <c r="A63" s="9"/>
      <c r="B63" s="142" t="s">
        <v>14</v>
      </c>
      <c r="C63" s="94">
        <f t="shared" si="11"/>
        <v>39.840000000000003</v>
      </c>
      <c r="D63" s="94">
        <f t="shared" si="11"/>
        <v>31.67</v>
      </c>
      <c r="H63" s="12"/>
      <c r="I63" s="12"/>
      <c r="O63" s="155"/>
      <c r="P63" s="89"/>
      <c r="Q63" s="33" t="s">
        <v>37</v>
      </c>
      <c r="S63" s="157">
        <f>SUMPRODUCT(D26:D30,D44:D48)+SUMPRODUCT(D35:D37,D53:D55)</f>
        <v>54.438977461843002</v>
      </c>
      <c r="T63" s="6">
        <f>S63/S62</f>
        <v>0.34785289112998724</v>
      </c>
      <c r="U63" s="157"/>
      <c r="W63" s="130"/>
    </row>
    <row r="64" spans="1:23" x14ac:dyDescent="0.2">
      <c r="A64" s="9"/>
      <c r="B64" s="142" t="s">
        <v>15</v>
      </c>
      <c r="C64" s="94">
        <f t="shared" si="11"/>
        <v>31.58</v>
      </c>
      <c r="D64" s="94">
        <f t="shared" si="11"/>
        <v>24.98</v>
      </c>
      <c r="H64" s="12"/>
      <c r="I64" s="12"/>
      <c r="M64" s="12"/>
      <c r="N64" s="12"/>
      <c r="O64" s="155"/>
      <c r="P64" s="89"/>
      <c r="Q64" s="33" t="s">
        <v>38</v>
      </c>
      <c r="S64" s="157">
        <f>SUMPRODUCT(M26:M30,D44:D48)+SUMPRODUCT(M35:M37,D53:D55)</f>
        <v>102.061022538157</v>
      </c>
      <c r="U64" s="157"/>
      <c r="W64" s="130"/>
    </row>
    <row r="65" spans="1:23" x14ac:dyDescent="0.2">
      <c r="A65" s="9"/>
      <c r="B65" s="142" t="s">
        <v>16</v>
      </c>
      <c r="C65" s="94">
        <f t="shared" si="11"/>
        <v>26.47</v>
      </c>
      <c r="D65" s="94">
        <f t="shared" si="11"/>
        <v>20.85</v>
      </c>
      <c r="H65" s="12"/>
      <c r="I65" s="12"/>
      <c r="O65" s="156"/>
      <c r="W65" s="130"/>
    </row>
    <row r="66" spans="1:23" x14ac:dyDescent="0.2">
      <c r="A66" s="9"/>
      <c r="B66" s="142" t="s">
        <v>17</v>
      </c>
      <c r="C66" s="94">
        <f t="shared" si="11"/>
        <v>26.16</v>
      </c>
      <c r="D66" s="94">
        <f t="shared" si="11"/>
        <v>20.69</v>
      </c>
      <c r="H66" s="12"/>
      <c r="I66" s="12"/>
      <c r="N66" s="150"/>
      <c r="O66" s="155"/>
      <c r="P66" s="89"/>
      <c r="Q66" s="33" t="s">
        <v>39</v>
      </c>
      <c r="R66" s="89"/>
      <c r="S66" s="157">
        <f>+SUM(D49:D52)</f>
        <v>97.5</v>
      </c>
      <c r="T66" s="89"/>
      <c r="U66" s="157"/>
      <c r="V66" s="89"/>
      <c r="W66" s="130"/>
    </row>
    <row r="67" spans="1:23" x14ac:dyDescent="0.2">
      <c r="A67" s="9"/>
      <c r="B67" s="142" t="s">
        <v>18</v>
      </c>
      <c r="C67" s="94">
        <f t="shared" si="11"/>
        <v>26.65</v>
      </c>
      <c r="D67" s="94">
        <f t="shared" si="11"/>
        <v>17.86</v>
      </c>
      <c r="H67" s="12"/>
      <c r="I67" s="12"/>
      <c r="N67" s="150"/>
      <c r="O67" s="155"/>
      <c r="P67" s="89"/>
      <c r="Q67" s="33" t="s">
        <v>37</v>
      </c>
      <c r="S67" s="157">
        <f>+SUMPRODUCT(D31:D34,D49:D52)</f>
        <v>35.479439676550008</v>
      </c>
      <c r="T67" s="158">
        <f>S67/S66</f>
        <v>0.36389168899025648</v>
      </c>
      <c r="U67" s="157"/>
      <c r="V67" s="158"/>
      <c r="W67" s="130"/>
    </row>
    <row r="68" spans="1:23" x14ac:dyDescent="0.2">
      <c r="A68" s="9"/>
      <c r="B68" s="142" t="s">
        <v>19</v>
      </c>
      <c r="C68" s="94">
        <f t="shared" si="11"/>
        <v>30.64</v>
      </c>
      <c r="D68" s="94">
        <f t="shared" si="11"/>
        <v>20.5</v>
      </c>
      <c r="H68" s="12"/>
      <c r="I68" s="12"/>
      <c r="N68" s="150"/>
      <c r="O68" s="155"/>
      <c r="P68" s="89"/>
      <c r="Q68" s="33" t="s">
        <v>38</v>
      </c>
      <c r="S68" s="157">
        <f>SUMPRODUCT(M31:M34,D49:D52)</f>
        <v>62.020560323449985</v>
      </c>
      <c r="U68" s="157"/>
      <c r="W68" s="130"/>
    </row>
    <row r="69" spans="1:23" x14ac:dyDescent="0.2">
      <c r="A69" s="9"/>
      <c r="B69" s="142" t="s">
        <v>20</v>
      </c>
      <c r="C69" s="94">
        <f t="shared" si="11"/>
        <v>28.64</v>
      </c>
      <c r="D69" s="94">
        <f t="shared" si="11"/>
        <v>19.23</v>
      </c>
      <c r="H69" s="12"/>
      <c r="I69" s="12"/>
      <c r="O69" s="155"/>
      <c r="W69" s="130"/>
    </row>
    <row r="70" spans="1:23" x14ac:dyDescent="0.2">
      <c r="A70" s="9"/>
      <c r="B70" s="142" t="s">
        <v>21</v>
      </c>
      <c r="C70" s="94">
        <f t="shared" si="11"/>
        <v>28.07</v>
      </c>
      <c r="D70" s="94">
        <f t="shared" si="11"/>
        <v>18.829999999999998</v>
      </c>
      <c r="H70" s="12"/>
      <c r="I70" s="12"/>
      <c r="N70" s="150"/>
      <c r="O70" s="92"/>
      <c r="P70" s="6" t="s">
        <v>50</v>
      </c>
      <c r="W70" s="130"/>
    </row>
    <row r="71" spans="1:23" x14ac:dyDescent="0.2">
      <c r="A71" s="9"/>
      <c r="B71" s="142" t="s">
        <v>22</v>
      </c>
      <c r="C71" s="94">
        <f t="shared" si="11"/>
        <v>27.51</v>
      </c>
      <c r="D71" s="94">
        <f t="shared" si="11"/>
        <v>21.91</v>
      </c>
      <c r="H71" s="12"/>
      <c r="I71" s="12"/>
      <c r="N71" s="150"/>
      <c r="O71" s="155"/>
      <c r="P71" s="12"/>
      <c r="Q71" s="12"/>
      <c r="R71" s="12"/>
      <c r="S71" s="12" t="str">
        <f>S60</f>
        <v>SC3</v>
      </c>
      <c r="T71" s="12"/>
      <c r="U71" s="12"/>
      <c r="V71" s="12"/>
      <c r="W71" s="130"/>
    </row>
    <row r="72" spans="1:23" x14ac:dyDescent="0.2">
      <c r="A72" s="9"/>
      <c r="B72" s="142" t="s">
        <v>23</v>
      </c>
      <c r="C72" s="94">
        <f t="shared" si="11"/>
        <v>28.39</v>
      </c>
      <c r="D72" s="94">
        <f t="shared" si="11"/>
        <v>22.44</v>
      </c>
      <c r="H72" s="12"/>
      <c r="I72" s="12"/>
      <c r="N72" s="150"/>
      <c r="O72" s="156"/>
      <c r="W72" s="130"/>
    </row>
    <row r="73" spans="1:23" x14ac:dyDescent="0.2">
      <c r="A73" s="9"/>
      <c r="B73" s="142" t="s">
        <v>24</v>
      </c>
      <c r="C73" s="94">
        <f t="shared" si="11"/>
        <v>31.6</v>
      </c>
      <c r="D73" s="94">
        <f t="shared" si="11"/>
        <v>24.98</v>
      </c>
      <c r="H73" s="12"/>
      <c r="I73" s="12"/>
      <c r="O73" s="155"/>
      <c r="P73" s="89"/>
      <c r="Q73" s="33" t="s">
        <v>36</v>
      </c>
      <c r="R73" s="89"/>
      <c r="S73" s="157">
        <f>SUM(D44:D48,D53:D55)</f>
        <v>156.5</v>
      </c>
      <c r="T73" s="89"/>
      <c r="U73" s="157"/>
      <c r="V73" s="89"/>
      <c r="W73" s="130"/>
    </row>
    <row r="74" spans="1:23" x14ac:dyDescent="0.2">
      <c r="A74" s="9"/>
      <c r="B74" s="142"/>
      <c r="C74" s="94"/>
      <c r="D74" s="94"/>
      <c r="G74" s="147"/>
      <c r="M74" s="12"/>
      <c r="N74" s="12"/>
      <c r="O74" s="155"/>
      <c r="P74" s="89"/>
      <c r="Q74" s="33" t="s">
        <v>37</v>
      </c>
      <c r="S74" s="157">
        <f>SUMPRODUCT(D8:D12,D44:D48)+SUMPRODUCT(D17:D19,D53:D55)</f>
        <v>77.279352560996131</v>
      </c>
      <c r="T74" s="6">
        <f>S74/S73</f>
        <v>0.49379777994246726</v>
      </c>
      <c r="U74" s="157"/>
      <c r="W74" s="130"/>
    </row>
    <row r="75" spans="1:23" x14ac:dyDescent="0.2">
      <c r="A75" s="9"/>
      <c r="B75" s="142"/>
      <c r="C75" s="94"/>
      <c r="D75" s="94"/>
      <c r="I75" s="147"/>
      <c r="O75" s="155"/>
      <c r="P75" s="89"/>
      <c r="Q75" s="33" t="s">
        <v>38</v>
      </c>
      <c r="S75" s="157">
        <f>SUMPRODUCT(M8:M12,D44:D48)+SUMPRODUCT(M17:M19,D53:D55)</f>
        <v>79.220647439003869</v>
      </c>
      <c r="U75" s="157"/>
      <c r="W75" s="130"/>
    </row>
    <row r="76" spans="1:23" x14ac:dyDescent="0.2">
      <c r="A76" s="7" t="s">
        <v>51</v>
      </c>
      <c r="B76" s="69" t="s">
        <v>52</v>
      </c>
      <c r="C76" s="11" t="str">
        <f t="shared" ref="C76:H76" si="12">+C6</f>
        <v>SC1/SC5</v>
      </c>
      <c r="D76" s="11" t="str">
        <f t="shared" si="12"/>
        <v>SC3</v>
      </c>
      <c r="E76" s="11" t="str">
        <f t="shared" si="12"/>
        <v>SC2 ND</v>
      </c>
      <c r="F76" s="11" t="str">
        <f t="shared" si="12"/>
        <v>SC4</v>
      </c>
      <c r="G76" s="11" t="str">
        <f t="shared" si="12"/>
        <v>SC6</v>
      </c>
      <c r="H76" s="11" t="str">
        <f t="shared" si="12"/>
        <v>SC2 Dem</v>
      </c>
      <c r="J76" s="12"/>
      <c r="N76" s="150"/>
      <c r="O76" s="156"/>
      <c r="W76" s="130"/>
    </row>
    <row r="77" spans="1:23" x14ac:dyDescent="0.2">
      <c r="A77" s="9"/>
      <c r="C77" s="159"/>
      <c r="D77" s="159"/>
      <c r="E77" s="159"/>
      <c r="N77" s="150"/>
      <c r="O77" s="155"/>
      <c r="P77" s="12"/>
      <c r="Q77" s="33" t="s">
        <v>39</v>
      </c>
      <c r="R77" s="12"/>
      <c r="S77" s="157">
        <f>+SUM(D49:D52)</f>
        <v>97.5</v>
      </c>
      <c r="T77" s="12"/>
      <c r="U77" s="157"/>
      <c r="V77" s="12"/>
      <c r="W77" s="130"/>
    </row>
    <row r="78" spans="1:23" x14ac:dyDescent="0.2">
      <c r="A78" s="9"/>
      <c r="B78" s="6" t="s">
        <v>53</v>
      </c>
      <c r="C78" s="158">
        <v>1.0861261013242314</v>
      </c>
      <c r="D78" s="158">
        <v>1.0861261013242314</v>
      </c>
      <c r="E78" s="158">
        <v>1.0861261013242314</v>
      </c>
      <c r="F78" s="158">
        <v>1.082344318201282</v>
      </c>
      <c r="G78" s="158">
        <v>1.082344318201282</v>
      </c>
      <c r="H78" s="158">
        <v>1.0861261013242314</v>
      </c>
      <c r="I78" s="158"/>
      <c r="J78" s="1"/>
      <c r="N78" s="150"/>
      <c r="O78" s="155"/>
      <c r="P78" s="89"/>
      <c r="Q78" s="33" t="s">
        <v>37</v>
      </c>
      <c r="S78" s="157">
        <f>+SUMPRODUCT(D13:D16,D49:D52)</f>
        <v>49.191015780453952</v>
      </c>
      <c r="T78" s="6">
        <f>S78/S77</f>
        <v>0.50452323877388672</v>
      </c>
      <c r="U78" s="157"/>
      <c r="W78" s="130"/>
    </row>
    <row r="79" spans="1:23" x14ac:dyDescent="0.2">
      <c r="A79" s="9"/>
      <c r="I79" s="158"/>
      <c r="J79" s="158"/>
      <c r="O79" s="155"/>
      <c r="P79" s="89"/>
      <c r="Q79" s="33" t="s">
        <v>38</v>
      </c>
      <c r="S79" s="157">
        <f>SUMPRODUCT(M13:M16,D49:D52)</f>
        <v>48.308984219546048</v>
      </c>
      <c r="U79" s="157"/>
      <c r="W79" s="130"/>
    </row>
    <row r="80" spans="1:23" x14ac:dyDescent="0.2">
      <c r="A80" s="9"/>
      <c r="B80" s="6" t="s">
        <v>54</v>
      </c>
      <c r="C80" s="158"/>
      <c r="I80" s="158"/>
      <c r="J80" s="158"/>
      <c r="O80" s="155"/>
      <c r="P80" s="89"/>
      <c r="Q80" s="33"/>
      <c r="S80" s="157"/>
      <c r="U80" s="157"/>
      <c r="W80" s="130"/>
    </row>
    <row r="81" spans="1:23" x14ac:dyDescent="0.2">
      <c r="A81" s="9"/>
      <c r="B81" s="6" t="s">
        <v>55</v>
      </c>
      <c r="C81" s="158">
        <v>1.0759868023743153</v>
      </c>
      <c r="D81" s="158">
        <v>1.0759868023743153</v>
      </c>
      <c r="E81" s="158">
        <v>1.0736499339056849</v>
      </c>
      <c r="F81" s="158">
        <v>1.0722403232824547</v>
      </c>
      <c r="G81" s="158">
        <v>1.0660419148399998</v>
      </c>
      <c r="H81" s="158">
        <v>1.0759868023743153</v>
      </c>
      <c r="I81" s="158"/>
      <c r="J81" s="158"/>
      <c r="O81" s="155"/>
      <c r="P81" s="89"/>
      <c r="Q81" s="33"/>
      <c r="S81" s="157"/>
      <c r="U81" s="157"/>
      <c r="W81" s="130"/>
    </row>
    <row r="82" spans="1:23" x14ac:dyDescent="0.2">
      <c r="A82" s="9"/>
      <c r="N82" s="150"/>
      <c r="O82" s="92"/>
      <c r="W82" s="130"/>
    </row>
    <row r="83" spans="1:23" x14ac:dyDescent="0.2">
      <c r="A83" s="7" t="s">
        <v>56</v>
      </c>
      <c r="B83" s="3" t="s">
        <v>57</v>
      </c>
      <c r="N83" s="150"/>
      <c r="O83" s="155"/>
      <c r="P83" s="6" t="s">
        <v>58</v>
      </c>
      <c r="W83" s="130"/>
    </row>
    <row r="84" spans="1:23" x14ac:dyDescent="0.2">
      <c r="A84" s="9"/>
      <c r="B84" s="78" t="s">
        <v>59</v>
      </c>
      <c r="N84" s="150"/>
      <c r="O84" s="156"/>
      <c r="P84" s="12"/>
      <c r="Q84" s="12"/>
      <c r="R84" s="12"/>
      <c r="S84" s="12" t="str">
        <f>S60</f>
        <v>SC3</v>
      </c>
      <c r="T84" s="12"/>
      <c r="U84" s="12"/>
      <c r="V84" s="12"/>
      <c r="W84" s="130"/>
    </row>
    <row r="85" spans="1:23" x14ac:dyDescent="0.2">
      <c r="A85" s="9"/>
      <c r="B85" s="10" t="s">
        <v>60</v>
      </c>
      <c r="O85" s="155"/>
      <c r="W85" s="130"/>
    </row>
    <row r="86" spans="1:23" x14ac:dyDescent="0.2">
      <c r="A86" s="9"/>
      <c r="B86" s="3"/>
      <c r="C86" s="11" t="str">
        <f t="shared" ref="C86:H86" si="13">+C6</f>
        <v>SC1/SC5</v>
      </c>
      <c r="D86" s="11" t="str">
        <f t="shared" si="13"/>
        <v>SC3</v>
      </c>
      <c r="E86" s="11" t="str">
        <f t="shared" si="13"/>
        <v>SC2 ND</v>
      </c>
      <c r="F86" s="11" t="str">
        <f t="shared" si="13"/>
        <v>SC4</v>
      </c>
      <c r="G86" s="11" t="str">
        <f t="shared" si="13"/>
        <v>SC6</v>
      </c>
      <c r="H86" s="11" t="str">
        <f t="shared" si="13"/>
        <v>SC2 Dem</v>
      </c>
      <c r="I86" s="12"/>
      <c r="J86" s="12"/>
      <c r="O86" s="155"/>
      <c r="P86" s="89"/>
      <c r="Q86" s="33" t="s">
        <v>61</v>
      </c>
      <c r="R86" s="89"/>
      <c r="S86" s="89"/>
      <c r="T86" s="89"/>
      <c r="U86" s="89"/>
      <c r="V86" s="89"/>
      <c r="W86" s="130"/>
    </row>
    <row r="87" spans="1:23" x14ac:dyDescent="0.2">
      <c r="A87" s="9"/>
      <c r="O87" s="155"/>
      <c r="P87" s="89"/>
      <c r="Q87" s="36" t="s">
        <v>62</v>
      </c>
      <c r="S87" s="89">
        <f>S74-S63</f>
        <v>22.840375099153128</v>
      </c>
      <c r="U87" s="89"/>
      <c r="W87" s="130"/>
    </row>
    <row r="88" spans="1:23" x14ac:dyDescent="0.2">
      <c r="A88" s="9"/>
      <c r="B88" s="142" t="s">
        <v>63</v>
      </c>
      <c r="C88" s="160">
        <f t="shared" ref="C88:H88" si="14">(SUMPRODUCT(C13:C16,C49:C52,$C67:$C70)*C78+SUMPRODUCT(L13:L16,C49:C52,$D67:$D70)*C78)/SUM(C49:C52)</f>
        <v>25.804460207963935</v>
      </c>
      <c r="D88" s="160">
        <f t="shared" si="14"/>
        <v>26.0262821449573</v>
      </c>
      <c r="E88" s="160">
        <f t="shared" si="14"/>
        <v>24.093539190185428</v>
      </c>
      <c r="F88" s="160">
        <f t="shared" si="14"/>
        <v>26.12928285450467</v>
      </c>
      <c r="G88" s="160">
        <f t="shared" si="14"/>
        <v>26.107919330175804</v>
      </c>
      <c r="H88" s="160">
        <f t="shared" si="14"/>
        <v>26.245944577864279</v>
      </c>
      <c r="I88" s="160"/>
      <c r="J88" s="160"/>
      <c r="O88" s="156"/>
      <c r="P88" s="89"/>
      <c r="Q88" s="33" t="s">
        <v>64</v>
      </c>
      <c r="S88" s="161">
        <f>S87*(D93-D94)</f>
        <v>162.08269249530809</v>
      </c>
      <c r="U88" s="161"/>
      <c r="W88" s="130"/>
    </row>
    <row r="89" spans="1:23" x14ac:dyDescent="0.2">
      <c r="A89" s="9"/>
      <c r="B89" s="122" t="s">
        <v>65</v>
      </c>
      <c r="C89" s="160">
        <f t="shared" ref="C89:H89" si="15">(SUMPRODUCT(C13:C16,C49:C52,$C67:$C70)*C78)/SUMPRODUCT(C13:C16,C49:C52)</f>
        <v>31.128635264260286</v>
      </c>
      <c r="D89" s="160">
        <f t="shared" si="15"/>
        <v>31.125495254898251</v>
      </c>
      <c r="E89" s="160">
        <f t="shared" si="15"/>
        <v>31.06201414767925</v>
      </c>
      <c r="F89" s="160">
        <f t="shared" si="15"/>
        <v>30.85984976047898</v>
      </c>
      <c r="G89" s="160">
        <f t="shared" si="15"/>
        <v>30.824031831999267</v>
      </c>
      <c r="H89" s="160">
        <f t="shared" si="15"/>
        <v>30.969080177054668</v>
      </c>
      <c r="I89" s="160"/>
      <c r="J89" s="160"/>
      <c r="O89" s="155"/>
      <c r="Q89" s="33" t="s">
        <v>66</v>
      </c>
      <c r="S89" s="162">
        <f>ROUND(S88/S73,2)</f>
        <v>1.04</v>
      </c>
      <c r="U89" s="162"/>
      <c r="W89" s="130"/>
    </row>
    <row r="90" spans="1:23" x14ac:dyDescent="0.2">
      <c r="A90" s="9"/>
      <c r="B90" s="122" t="s">
        <v>67</v>
      </c>
      <c r="C90" s="160">
        <f t="shared" ref="C90:H90" si="16">(SUMPRODUCT(L13:L16,C49:C52,$D67:$D70)*C78)/SUMPRODUCT(L13:L16,C49:C52)</f>
        <v>20.84704421329349</v>
      </c>
      <c r="D90" s="160">
        <f t="shared" si="16"/>
        <v>20.833966955321959</v>
      </c>
      <c r="E90" s="160">
        <f t="shared" si="16"/>
        <v>20.837403337421833</v>
      </c>
      <c r="F90" s="160">
        <f t="shared" si="16"/>
        <v>20.684489751383236</v>
      </c>
      <c r="G90" s="160">
        <f t="shared" si="16"/>
        <v>20.660228116215791</v>
      </c>
      <c r="H90" s="160">
        <f t="shared" si="16"/>
        <v>20.760105704138599</v>
      </c>
      <c r="I90" s="160"/>
      <c r="J90" s="160"/>
      <c r="O90" s="155"/>
      <c r="P90" s="12"/>
      <c r="V90" s="12"/>
      <c r="W90" s="130"/>
    </row>
    <row r="91" spans="1:23" x14ac:dyDescent="0.2">
      <c r="A91" s="9"/>
      <c r="C91" s="163"/>
      <c r="D91" s="163"/>
      <c r="E91" s="163"/>
      <c r="F91" s="163"/>
      <c r="G91" s="163"/>
      <c r="H91" s="163"/>
      <c r="I91" s="163"/>
      <c r="J91" s="163"/>
      <c r="O91" s="155"/>
      <c r="P91" s="89"/>
      <c r="Q91" s="33" t="s">
        <v>68</v>
      </c>
      <c r="R91" s="12"/>
      <c r="S91" s="42"/>
      <c r="T91" s="12"/>
      <c r="U91" s="42"/>
      <c r="W91" s="130"/>
    </row>
    <row r="92" spans="1:23" x14ac:dyDescent="0.2">
      <c r="A92" s="9"/>
      <c r="B92" s="142" t="s">
        <v>69</v>
      </c>
      <c r="C92" s="160">
        <f t="shared" ref="C92:H92" si="17">(SUMPRODUCT(C8:C12,C44:C48,$C62:$C66)*C78+SUMPRODUCT(L8:L12,C44:C48,$D62:$D66)*C78+SUMPRODUCT(C17:C19,C53:C55,$C71:$C73)*C78+SUMPRODUCT(L17:L19,C53:C55,$D71:$D73)*C78)/SUM(C44:C48,C53:C55)</f>
        <v>31.096156689629758</v>
      </c>
      <c r="D92" s="160">
        <f t="shared" si="17"/>
        <v>30.545038780206713</v>
      </c>
      <c r="E92" s="160">
        <f t="shared" si="17"/>
        <v>31.013023012676229</v>
      </c>
      <c r="F92" s="160">
        <f t="shared" si="17"/>
        <v>31.387116473118191</v>
      </c>
      <c r="G92" s="160">
        <f t="shared" si="17"/>
        <v>31.173814309468234</v>
      </c>
      <c r="H92" s="160">
        <f t="shared" si="17"/>
        <v>31.078675828837142</v>
      </c>
      <c r="I92" s="160"/>
      <c r="J92" s="160"/>
      <c r="O92" s="155"/>
      <c r="P92" s="89"/>
      <c r="Q92" s="36" t="s">
        <v>62</v>
      </c>
      <c r="S92" s="89">
        <f>S78-S67</f>
        <v>13.711576103903944</v>
      </c>
      <c r="U92" s="89"/>
      <c r="W92" s="130"/>
    </row>
    <row r="93" spans="1:23" x14ac:dyDescent="0.2">
      <c r="A93" s="9"/>
      <c r="B93" s="122" t="s">
        <v>65</v>
      </c>
      <c r="C93" s="160">
        <f t="shared" ref="C93" si="18">(SUMPRODUCT(C8:C12,C44:C48,$C62:$C66)*C78+SUMPRODUCT(C17:C19,C53:C55,$C71:$C73)*C78)/(SUMPRODUCT(C8:C12,C44:C48)+SUMPRODUCT(C17:C19,C53:C55))</f>
        <v>35.084703743947713</v>
      </c>
      <c r="D93" s="160">
        <f>(SUMPRODUCT(D8:D12,D44:D48,$C62:$C66)*D78+SUMPRODUCT(D17:D19,D53:D55,$C71:$C73)*D78)/(SUMPRODUCT(D8:D12,D44:D48)+SUMPRODUCT(D17:D19,D53:D55))</f>
        <v>34.137213532935249</v>
      </c>
      <c r="E93" s="160">
        <f>(SUMPRODUCT(E8:E12,E44:E48,$C62:$C66)*E78+SUMPRODUCT(E17:E19,E53:E55,$C71:$C73)*E78)/(SUMPRODUCT(E8:E12,E44:E48)+SUMPRODUCT(E17:E19,E53:E55))</f>
        <v>35.902902164422891</v>
      </c>
      <c r="F93" s="160">
        <f>(SUMPRODUCT(F8:F12,F44:F48,$C62:$C66)*F78+SUMPRODUCT(F17:F19,F53:F55,$C71:$C73)*F78)/(SUMPRODUCT(F8:F12,F44:F48)+SUMPRODUCT(F17:F19,F53:F55))</f>
        <v>34.850071390607724</v>
      </c>
      <c r="G93" s="160">
        <f>(SUMPRODUCT(G8:G12,G44:G48,$C62:$C66)*G78+SUMPRODUCT(G17:G19,G53:G55,$C71:$C73)*G78)/(SUMPRODUCT(G8:G12,G44:G48)+SUMPRODUCT(G17:G19,G53:G55))</f>
        <v>34.628100438606538</v>
      </c>
      <c r="H93" s="160">
        <f>(SUMPRODUCT(H8:H12,H44:H48,$C62:$C66)*H78+SUMPRODUCT(H17:H19,H53:H55,$C71:$C73)*H78)/(SUMPRODUCT(H8:H12,H44:H48)+SUMPRODUCT(H17:H19,H53:H55))</f>
        <v>34.526405113024431</v>
      </c>
      <c r="I93" s="160"/>
      <c r="J93" s="160"/>
      <c r="Q93" s="33" t="s">
        <v>64</v>
      </c>
      <c r="S93" s="161">
        <f>S92*(D89-D90)</f>
        <v>141.11307350512149</v>
      </c>
      <c r="U93" s="161"/>
    </row>
    <row r="94" spans="1:23" x14ac:dyDescent="0.2">
      <c r="A94" s="9"/>
      <c r="B94" s="122" t="s">
        <v>67</v>
      </c>
      <c r="C94" s="160">
        <f t="shared" ref="C94:H94" si="19">(SUMPRODUCT(L8:L12,C44:C48,$D62:$D66)*C78+SUMPRODUCT(L17:L19,C53:C55,$D71:$D73)*C78)/(SUMPRODUCT(L8:L12,C44:C48)+SUMPRODUCT(L17:L19,C53:C55))</f>
        <v>27.824566664178072</v>
      </c>
      <c r="D94" s="160">
        <f t="shared" si="19"/>
        <v>27.040889948419434</v>
      </c>
      <c r="E94" s="160">
        <f t="shared" si="19"/>
        <v>28.361945581604832</v>
      </c>
      <c r="F94" s="160">
        <f t="shared" si="19"/>
        <v>27.572271138637561</v>
      </c>
      <c r="G94" s="160">
        <f t="shared" si="19"/>
        <v>27.381335546576206</v>
      </c>
      <c r="H94" s="160">
        <f t="shared" si="19"/>
        <v>27.379407801575105</v>
      </c>
      <c r="I94" s="160"/>
      <c r="J94" s="160"/>
      <c r="Q94" s="33" t="s">
        <v>66</v>
      </c>
      <c r="S94" s="162">
        <f>ROUND(S93/S77,2)</f>
        <v>1.45</v>
      </c>
      <c r="U94" s="162"/>
    </row>
    <row r="95" spans="1:23" x14ac:dyDescent="0.2">
      <c r="A95" s="9"/>
      <c r="C95" s="163"/>
      <c r="D95" s="163"/>
      <c r="E95" s="163"/>
      <c r="F95" s="163"/>
      <c r="G95" s="163"/>
      <c r="H95" s="163"/>
      <c r="I95" s="163"/>
      <c r="J95" s="163"/>
    </row>
    <row r="96" spans="1:23" x14ac:dyDescent="0.2">
      <c r="A96" s="9"/>
      <c r="B96" s="6" t="s">
        <v>70</v>
      </c>
      <c r="C96" s="160">
        <f t="shared" ref="C96" si="20">(C88*SUM(C49:C52)+C92*SUM(C44:C48,C53:C55))/C56</f>
        <v>28.775283503458798</v>
      </c>
      <c r="D96" s="163">
        <f>(D88*SUM(D49:D52)+D92*SUM(D44:D48,D53:D55))/D56</f>
        <v>28.810476685967274</v>
      </c>
      <c r="E96" s="163">
        <f>(E88*SUM(E49:E52)+E92*SUM(E44:E48,E53:E55))/E56</f>
        <v>29.01360355188212</v>
      </c>
      <c r="F96" s="163">
        <f>(F88*SUM(F49:F52)+F92*SUM(F44:F48,F53:F55))/F56</f>
        <v>29.928668764348764</v>
      </c>
      <c r="G96" s="163">
        <f>(G88*SUM(G49:G52)+G92*SUM(G44:G48,G53:G55))/G56</f>
        <v>29.682059078713717</v>
      </c>
      <c r="H96" s="163">
        <f>(H88*SUM(H49:H52)+H92*SUM(H44:H48,H53:H55))/H56</f>
        <v>29.294299134620697</v>
      </c>
      <c r="I96" s="163"/>
      <c r="J96" s="163"/>
    </row>
    <row r="97" spans="1:11" x14ac:dyDescent="0.2">
      <c r="A97" s="9"/>
      <c r="C97" s="160"/>
      <c r="D97" s="163"/>
      <c r="E97" s="163"/>
      <c r="F97" s="163"/>
      <c r="G97" s="163"/>
      <c r="H97" s="163"/>
      <c r="I97" s="163"/>
      <c r="J97" s="163"/>
    </row>
    <row r="98" spans="1:11" x14ac:dyDescent="0.2">
      <c r="A98" s="9"/>
      <c r="B98" s="6" t="s">
        <v>71</v>
      </c>
      <c r="C98" s="160">
        <f>SUMPRODUCT(C96:H96,C56:H56)/SUM(C56:H56)</f>
        <v>28.947280834129693</v>
      </c>
      <c r="D98" s="163"/>
      <c r="E98" s="163"/>
      <c r="F98" s="163"/>
      <c r="G98" s="163"/>
      <c r="H98" s="163"/>
      <c r="I98" s="163"/>
      <c r="J98" s="163"/>
    </row>
    <row r="99" spans="1:11" x14ac:dyDescent="0.2">
      <c r="A99" s="9"/>
      <c r="C99" s="160"/>
      <c r="D99" s="163"/>
      <c r="E99" s="163"/>
      <c r="F99" s="163"/>
      <c r="G99" s="163"/>
      <c r="H99" s="163"/>
      <c r="I99" s="163"/>
      <c r="J99" s="163"/>
      <c r="K99" s="163"/>
    </row>
    <row r="100" spans="1:11" x14ac:dyDescent="0.2">
      <c r="A100" s="9"/>
      <c r="C100" s="163"/>
      <c r="D100" s="163"/>
      <c r="E100" s="163"/>
      <c r="F100" s="163"/>
      <c r="G100" s="163"/>
      <c r="H100" s="163"/>
      <c r="I100" s="163"/>
      <c r="J100" s="163"/>
      <c r="K100" s="163"/>
    </row>
    <row r="101" spans="1:11" x14ac:dyDescent="0.2">
      <c r="A101" s="7" t="s">
        <v>72</v>
      </c>
      <c r="B101" s="3" t="s">
        <v>73</v>
      </c>
      <c r="C101" s="163"/>
      <c r="D101" s="163"/>
      <c r="E101" s="163"/>
      <c r="F101" s="163"/>
      <c r="G101" s="163"/>
      <c r="H101" s="163"/>
      <c r="I101" s="163"/>
      <c r="J101" s="163"/>
      <c r="K101" s="163"/>
    </row>
    <row r="102" spans="1:11" x14ac:dyDescent="0.2">
      <c r="A102" s="9"/>
      <c r="B102" s="10" t="s">
        <v>59</v>
      </c>
      <c r="C102" s="163"/>
      <c r="D102" s="163"/>
      <c r="E102" s="163"/>
      <c r="F102" s="163"/>
      <c r="G102" s="163"/>
      <c r="H102" s="163"/>
      <c r="I102" s="163"/>
      <c r="J102" s="163"/>
      <c r="K102" s="163"/>
    </row>
    <row r="103" spans="1:11" x14ac:dyDescent="0.2">
      <c r="A103" s="9"/>
      <c r="B103" s="10" t="s">
        <v>74</v>
      </c>
      <c r="C103" s="163"/>
      <c r="D103" s="163"/>
      <c r="E103" s="163"/>
      <c r="F103" s="163"/>
      <c r="G103" s="163"/>
      <c r="H103" s="163"/>
      <c r="I103" s="163"/>
      <c r="J103" s="163"/>
      <c r="K103" s="163"/>
    </row>
    <row r="104" spans="1:11" x14ac:dyDescent="0.2">
      <c r="A104" s="9"/>
      <c r="B104" s="3"/>
      <c r="C104" s="11" t="str">
        <f t="shared" ref="C104:H104" si="21">+C6</f>
        <v>SC1/SC5</v>
      </c>
      <c r="D104" s="11" t="str">
        <f t="shared" si="21"/>
        <v>SC3</v>
      </c>
      <c r="E104" s="11" t="str">
        <f t="shared" si="21"/>
        <v>SC2 ND</v>
      </c>
      <c r="F104" s="11" t="str">
        <f t="shared" si="21"/>
        <v>SC4</v>
      </c>
      <c r="G104" s="11" t="str">
        <f t="shared" si="21"/>
        <v>SC6</v>
      </c>
      <c r="H104" s="11" t="str">
        <f t="shared" si="21"/>
        <v>SC2 Dem</v>
      </c>
      <c r="I104" s="12"/>
      <c r="J104" s="12"/>
    </row>
    <row r="105" spans="1:11" x14ac:dyDescent="0.2">
      <c r="A105" s="9"/>
      <c r="C105" s="42"/>
    </row>
    <row r="106" spans="1:11" x14ac:dyDescent="0.2">
      <c r="A106" s="9"/>
      <c r="B106" s="142" t="s">
        <v>63</v>
      </c>
      <c r="C106" s="164">
        <f t="shared" ref="C106" si="22">SUM(C49:C52)*C88/1000</f>
        <v>7405.5059150126335</v>
      </c>
      <c r="D106" s="164">
        <f>SUM(D49:D52)*D88/1000</f>
        <v>2.5375625091333367</v>
      </c>
      <c r="E106" s="164">
        <f>SUM(E49:E52)*E88/1000</f>
        <v>112.32407970464446</v>
      </c>
      <c r="F106" s="164">
        <f>SUM(F49:F52)*F88/1000</f>
        <v>37.482456254786953</v>
      </c>
      <c r="G106" s="164">
        <f>SUM(G49:G52)*G88/1000</f>
        <v>39.762361139857745</v>
      </c>
      <c r="H106" s="164">
        <f>SUM(H49:H52)*H88/1000</f>
        <v>2866.1215292048287</v>
      </c>
      <c r="I106" s="164"/>
      <c r="J106" s="164"/>
    </row>
    <row r="107" spans="1:11" x14ac:dyDescent="0.2">
      <c r="A107" s="9"/>
      <c r="B107" s="122" t="s">
        <v>65</v>
      </c>
      <c r="C107" s="164">
        <f t="shared" ref="C107" si="23">SUMPRODUCT(C49:C52,C13:C16)*C89/1000</f>
        <v>4307.3987045557951</v>
      </c>
      <c r="D107" s="164">
        <f>SUMPRODUCT(D49:D52,D13:D16)*D89/1000</f>
        <v>1.5310947282581444</v>
      </c>
      <c r="E107" s="164">
        <f>SUMPRODUCT(E49:E52,E13:E16)*E89/1000</f>
        <v>46.116635220457525</v>
      </c>
      <c r="F107" s="164">
        <f>SUMPRODUCT(F49:F52,F13:F16)*F89/1000</f>
        <v>23.687867105512897</v>
      </c>
      <c r="G107" s="164">
        <f>SUMPRODUCT(G49:G52,G13:G16)*G89/1000</f>
        <v>25.162023372985352</v>
      </c>
      <c r="H107" s="164">
        <f>SUMPRODUCT(H49:H52,H13:H16)*H89/1000</f>
        <v>1817.2790926961645</v>
      </c>
      <c r="I107" s="164"/>
      <c r="J107" s="164"/>
    </row>
    <row r="108" spans="1:11" x14ac:dyDescent="0.2">
      <c r="A108" s="9"/>
      <c r="B108" s="122" t="s">
        <v>67</v>
      </c>
      <c r="C108" s="164">
        <f t="shared" ref="C108:H108" si="24">SUMPRODUCT(C49:C52,L13:L16)*C90/1000</f>
        <v>3098.1072104568379</v>
      </c>
      <c r="D108" s="164">
        <f t="shared" si="24"/>
        <v>1.0064677808751923</v>
      </c>
      <c r="E108" s="164">
        <f t="shared" si="24"/>
        <v>66.207444484186937</v>
      </c>
      <c r="F108" s="164">
        <f t="shared" si="24"/>
        <v>13.794589149274049</v>
      </c>
      <c r="G108" s="164">
        <f t="shared" si="24"/>
        <v>14.600337766872391</v>
      </c>
      <c r="H108" s="164">
        <f t="shared" si="24"/>
        <v>1048.8424365086642</v>
      </c>
      <c r="I108" s="164"/>
      <c r="J108" s="164"/>
    </row>
    <row r="109" spans="1:11" x14ac:dyDescent="0.2">
      <c r="A109" s="9"/>
      <c r="C109" s="161"/>
      <c r="D109" s="161"/>
      <c r="E109" s="161"/>
      <c r="F109" s="161"/>
      <c r="G109" s="161"/>
      <c r="H109" s="161"/>
      <c r="I109" s="161"/>
      <c r="J109" s="161"/>
    </row>
    <row r="110" spans="1:11" x14ac:dyDescent="0.2">
      <c r="A110" s="9"/>
      <c r="B110" s="142" t="s">
        <v>69</v>
      </c>
      <c r="C110" s="161">
        <f t="shared" ref="C110" si="25">SUM(C44:C48,C53:C55)*C92/1000</f>
        <v>11423.313092640596</v>
      </c>
      <c r="D110" s="161">
        <f>SUM(D44:D48,D53:D55)*D92/1000</f>
        <v>4.7802985691023503</v>
      </c>
      <c r="E110" s="161">
        <f>SUM(E44:E48,E53:E55)*E92/1000</f>
        <v>355.78140000142167</v>
      </c>
      <c r="F110" s="161">
        <f>SUM(F44:F48,F53:F55)*F92/1000</f>
        <v>117.29365426004267</v>
      </c>
      <c r="G110" s="161">
        <f>SUM(G44:G48,G53:G55)*G92/1000</f>
        <v>113.75324841524959</v>
      </c>
      <c r="H110" s="161">
        <f>SUM(H44:H48,H53:H55)*H92/1000</f>
        <v>5797.9416052048427</v>
      </c>
      <c r="I110" s="161"/>
      <c r="J110" s="161"/>
    </row>
    <row r="111" spans="1:11" x14ac:dyDescent="0.2">
      <c r="A111" s="9"/>
      <c r="B111" s="122" t="s">
        <v>65</v>
      </c>
      <c r="C111" s="164">
        <f t="shared" ref="C111" si="26">(SUMPRODUCT(C44:C48,C8:C12)+SUMPRODUCT(C53:C55,C17:C19))*C93/1000</f>
        <v>5807.8746239240054</v>
      </c>
      <c r="D111" s="164">
        <f>(SUMPRODUCT(D44:D48,D8:D12)+SUMPRODUCT(D53:D55,D17:D19))*D93/1000</f>
        <v>2.6381017600617116</v>
      </c>
      <c r="E111" s="164">
        <f>(SUMPRODUCT(E44:E48,E8:E12)+SUMPRODUCT(E53:E55,E17:E19))*E93/1000</f>
        <v>144.79870111754974</v>
      </c>
      <c r="F111" s="164">
        <f>(SUMPRODUCT(F44:F48,F8:F12)+SUMPRODUCT(F53:F55,F17:F19))*F93/1000</f>
        <v>68.265861183351163</v>
      </c>
      <c r="G111" s="164">
        <f>(SUMPRODUCT(G44:G48,G8:G12)+SUMPRODUCT(G53:G55,G17:G19))*G93/1000</f>
        <v>66.127410703344722</v>
      </c>
      <c r="H111" s="164">
        <f>(SUMPRODUCT(H44:H48,H8:H12)+SUMPRODUCT(H53:H55,H17:H19))*H93/1000</f>
        <v>3333.9176834790915</v>
      </c>
      <c r="I111" s="164"/>
      <c r="J111" s="164"/>
    </row>
    <row r="112" spans="1:11" x14ac:dyDescent="0.2">
      <c r="A112" s="9"/>
      <c r="B112" s="122" t="s">
        <v>67</v>
      </c>
      <c r="C112" s="164">
        <f t="shared" ref="C112:H112" si="27">+(SUMPRODUCT(C44:C48,L8:L12)+SUMPRODUCT(C53:C55,L17:L19))*C94/1000</f>
        <v>5615.4384687165893</v>
      </c>
      <c r="D112" s="164">
        <f t="shared" si="27"/>
        <v>2.1421968090406396</v>
      </c>
      <c r="E112" s="164">
        <f t="shared" si="27"/>
        <v>210.98269888387196</v>
      </c>
      <c r="F112" s="164">
        <f t="shared" si="27"/>
        <v>49.027793076691523</v>
      </c>
      <c r="G112" s="164">
        <f t="shared" si="27"/>
        <v>47.625837711904865</v>
      </c>
      <c r="H112" s="164">
        <f t="shared" si="27"/>
        <v>2464.0239217257504</v>
      </c>
      <c r="I112" s="164"/>
      <c r="J112" s="164"/>
    </row>
    <row r="113" spans="1:10" x14ac:dyDescent="0.2">
      <c r="A113" s="9"/>
      <c r="C113" s="163"/>
      <c r="D113" s="163"/>
      <c r="E113" s="163"/>
      <c r="F113" s="163"/>
      <c r="G113" s="163"/>
      <c r="H113" s="163"/>
      <c r="I113" s="163"/>
      <c r="J113" s="163"/>
    </row>
    <row r="114" spans="1:10" x14ac:dyDescent="0.2">
      <c r="A114" s="9"/>
      <c r="B114" s="6" t="s">
        <v>70</v>
      </c>
      <c r="C114" s="161">
        <f>+C106+C110</f>
        <v>18828.81900765323</v>
      </c>
      <c r="D114" s="161">
        <f t="shared" ref="D114:H114" si="28">+D106+D110</f>
        <v>7.317861078235687</v>
      </c>
      <c r="E114" s="161">
        <f t="shared" si="28"/>
        <v>468.10547970606615</v>
      </c>
      <c r="F114" s="161">
        <f t="shared" si="28"/>
        <v>154.77611051482961</v>
      </c>
      <c r="G114" s="161">
        <f t="shared" si="28"/>
        <v>153.51560955510735</v>
      </c>
      <c r="H114" s="161">
        <f t="shared" si="28"/>
        <v>8664.063134409671</v>
      </c>
      <c r="I114" s="161"/>
      <c r="J114" s="161"/>
    </row>
    <row r="115" spans="1:10" x14ac:dyDescent="0.2">
      <c r="A115" s="9"/>
    </row>
    <row r="116" spans="1:10" x14ac:dyDescent="0.2">
      <c r="A116" s="9"/>
      <c r="B116" s="6" t="s">
        <v>71</v>
      </c>
      <c r="C116" s="164">
        <f>SUM(C114:H114)</f>
        <v>28276.597202917139</v>
      </c>
      <c r="D116" s="165"/>
      <c r="E116" s="160"/>
    </row>
    <row r="117" spans="1:10" x14ac:dyDescent="0.2">
      <c r="A117" s="9"/>
    </row>
    <row r="118" spans="1:10" x14ac:dyDescent="0.2">
      <c r="A118" s="9"/>
    </row>
    <row r="119" spans="1:10" x14ac:dyDescent="0.2">
      <c r="A119" s="7" t="s">
        <v>75</v>
      </c>
      <c r="B119" s="5" t="s">
        <v>76</v>
      </c>
      <c r="C119" s="163"/>
    </row>
    <row r="120" spans="1:10" x14ac:dyDescent="0.2">
      <c r="A120" s="9"/>
      <c r="B120" s="78" t="s">
        <v>77</v>
      </c>
      <c r="C120" s="163"/>
    </row>
    <row r="121" spans="1:10" x14ac:dyDescent="0.2">
      <c r="A121" s="9"/>
      <c r="B121" s="10"/>
      <c r="C121" s="163"/>
    </row>
    <row r="122" spans="1:10" x14ac:dyDescent="0.2">
      <c r="A122" s="9"/>
      <c r="B122" s="3"/>
      <c r="C122" s="11" t="str">
        <f t="shared" ref="C122:H122" si="29">+C6</f>
        <v>SC1/SC5</v>
      </c>
      <c r="D122" s="11" t="str">
        <f t="shared" si="29"/>
        <v>SC3</v>
      </c>
      <c r="E122" s="11" t="str">
        <f t="shared" si="29"/>
        <v>SC2 ND</v>
      </c>
      <c r="F122" s="11" t="str">
        <f t="shared" si="29"/>
        <v>SC4</v>
      </c>
      <c r="G122" s="11" t="str">
        <f t="shared" si="29"/>
        <v>SC6</v>
      </c>
      <c r="H122" s="11" t="str">
        <f t="shared" si="29"/>
        <v>SC2 Dem</v>
      </c>
      <c r="I122" s="12"/>
      <c r="J122" s="12"/>
    </row>
    <row r="123" spans="1:10" x14ac:dyDescent="0.2">
      <c r="A123" s="9"/>
      <c r="C123" s="42"/>
    </row>
    <row r="124" spans="1:10" x14ac:dyDescent="0.2">
      <c r="A124" s="9"/>
      <c r="B124" s="142" t="s">
        <v>63</v>
      </c>
      <c r="C124" s="160">
        <f t="shared" ref="C124" si="30">+C106/SUM(C49:C52)*1000</f>
        <v>25.804460207963931</v>
      </c>
      <c r="D124" s="160">
        <f>+D106/SUM(D49:D52)*1000</f>
        <v>26.0262821449573</v>
      </c>
      <c r="E124" s="160">
        <f>+E106/SUM(E49:E52)*1000</f>
        <v>24.093539190185428</v>
      </c>
      <c r="F124" s="160">
        <f>+F106/SUM(F49:F52)*1000</f>
        <v>26.129282854504673</v>
      </c>
      <c r="G124" s="160">
        <f>+G106/SUM(G49:G52)*1000</f>
        <v>26.1079193301758</v>
      </c>
      <c r="H124" s="160">
        <f>+H106/SUM(H49:H52)*1000</f>
        <v>26.245944577864282</v>
      </c>
      <c r="I124" s="160"/>
      <c r="J124" s="160"/>
    </row>
    <row r="125" spans="1:10" x14ac:dyDescent="0.2">
      <c r="A125" s="9"/>
      <c r="B125" s="122" t="s">
        <v>78</v>
      </c>
      <c r="C125" s="164"/>
      <c r="D125" s="160">
        <f>D89+S94</f>
        <v>32.57549525489825</v>
      </c>
      <c r="E125" s="164"/>
      <c r="F125" s="164"/>
      <c r="G125" s="164"/>
      <c r="H125" s="164"/>
      <c r="I125" s="160"/>
      <c r="J125" s="160"/>
    </row>
    <row r="126" spans="1:10" x14ac:dyDescent="0.2">
      <c r="A126" s="9"/>
      <c r="B126" s="122" t="s">
        <v>79</v>
      </c>
      <c r="C126" s="164"/>
      <c r="D126" s="160">
        <f>D90+S94</f>
        <v>22.283966955321958</v>
      </c>
      <c r="E126" s="164"/>
      <c r="F126" s="164"/>
      <c r="G126" s="164"/>
      <c r="H126" s="164"/>
      <c r="I126" s="160"/>
      <c r="J126" s="160"/>
    </row>
    <row r="127" spans="1:10" x14ac:dyDescent="0.2">
      <c r="A127" s="9"/>
      <c r="C127" s="161"/>
      <c r="D127" s="161"/>
      <c r="E127" s="161"/>
      <c r="F127" s="161"/>
      <c r="G127" s="161"/>
      <c r="H127" s="161"/>
      <c r="I127" s="161"/>
      <c r="J127" s="161"/>
    </row>
    <row r="128" spans="1:10" x14ac:dyDescent="0.2">
      <c r="A128" s="9"/>
      <c r="B128" s="142" t="s">
        <v>69</v>
      </c>
      <c r="C128" s="163">
        <f t="shared" ref="C128" si="31">+C110/SUM(C44:C48,C53:C55)*1000</f>
        <v>31.096156689629758</v>
      </c>
      <c r="D128" s="163">
        <f>+D110/SUM(D44:D48,D53:D55)*1000</f>
        <v>30.545038780206713</v>
      </c>
      <c r="E128" s="163">
        <f>+E110/SUM(E44:E48,E53:E55)*1000</f>
        <v>31.013023012676225</v>
      </c>
      <c r="F128" s="163">
        <f>+F110/SUM(F44:F48,F53:F55)*1000</f>
        <v>31.387116473118191</v>
      </c>
      <c r="G128" s="163">
        <f>+G110/SUM(G44:G48,G53:G55)*1000</f>
        <v>31.173814309468234</v>
      </c>
      <c r="H128" s="163">
        <f>+H110/SUM(H44:H48,H53:H55)*1000</f>
        <v>31.078675828837138</v>
      </c>
      <c r="I128" s="163"/>
      <c r="J128" s="163"/>
    </row>
    <row r="129" spans="1:21" x14ac:dyDescent="0.2">
      <c r="A129" s="9"/>
      <c r="B129" s="122" t="s">
        <v>78</v>
      </c>
      <c r="C129" s="164"/>
      <c r="D129" s="160">
        <f>D93+S89</f>
        <v>35.177213532935248</v>
      </c>
      <c r="E129" s="164"/>
      <c r="F129" s="164"/>
      <c r="G129" s="164"/>
      <c r="H129" s="164"/>
      <c r="I129" s="160"/>
      <c r="J129" s="160"/>
    </row>
    <row r="130" spans="1:21" x14ac:dyDescent="0.2">
      <c r="A130" s="9"/>
      <c r="B130" s="122" t="s">
        <v>79</v>
      </c>
      <c r="C130" s="164"/>
      <c r="D130" s="160">
        <f>D94+S89</f>
        <v>28.080889948419433</v>
      </c>
      <c r="E130" s="164"/>
      <c r="F130" s="164"/>
      <c r="G130" s="164"/>
      <c r="H130" s="164"/>
      <c r="I130" s="160"/>
      <c r="J130" s="160"/>
    </row>
    <row r="131" spans="1:21" x14ac:dyDescent="0.2">
      <c r="A131" s="9"/>
      <c r="C131" s="163"/>
      <c r="D131" s="163"/>
      <c r="E131" s="163"/>
      <c r="F131" s="163"/>
      <c r="G131" s="163"/>
      <c r="H131" s="163"/>
      <c r="I131" s="163"/>
      <c r="J131" s="163"/>
    </row>
    <row r="132" spans="1:21" x14ac:dyDescent="0.2">
      <c r="A132" s="9"/>
      <c r="B132" s="6" t="s">
        <v>80</v>
      </c>
      <c r="C132" s="160">
        <f t="shared" ref="C132" si="32">(C124*SUM(C49:C52)+C128*SUM(C44:C48,C53:C55))/C56</f>
        <v>28.775283503458798</v>
      </c>
      <c r="D132" s="160">
        <f>(D124*SUM(D49:D52)+D128*SUM(D44:D48,D53:D55))/D56</f>
        <v>28.810476685967274</v>
      </c>
      <c r="E132" s="160">
        <f>(E124*SUM(E49:E52)+E128*SUM(E44:E48,E53:E55))/E56</f>
        <v>29.013603551882117</v>
      </c>
      <c r="F132" s="160">
        <f>(F124*SUM(F49:F52)+F128*SUM(F44:F48,F53:F55))/F56</f>
        <v>29.928668764348764</v>
      </c>
      <c r="G132" s="160">
        <f>(G124*SUM(G49:G52)+G128*SUM(G44:G48,G53:G55))/G56</f>
        <v>29.682059078713717</v>
      </c>
      <c r="H132" s="160">
        <f>(H124*SUM(H49:H52)+H128*SUM(H44:H48,H53:H55))/H56</f>
        <v>29.294299134620697</v>
      </c>
      <c r="I132" s="160"/>
      <c r="J132" s="160"/>
      <c r="L132" s="6">
        <v>42644</v>
      </c>
    </row>
    <row r="133" spans="1:21" x14ac:dyDescent="0.2">
      <c r="A133" s="9"/>
      <c r="B133" s="6" t="s">
        <v>81</v>
      </c>
      <c r="C133" s="160">
        <f>+C116/SUM(C56:H56)*1000</f>
        <v>28.947280834129689</v>
      </c>
      <c r="L133" s="6">
        <f>L136-L132</f>
        <v>2069</v>
      </c>
    </row>
    <row r="134" spans="1:21" x14ac:dyDescent="0.2">
      <c r="A134" s="9"/>
    </row>
    <row r="135" spans="1:21" x14ac:dyDescent="0.2">
      <c r="A135" s="7" t="s">
        <v>82</v>
      </c>
      <c r="B135" s="5" t="s">
        <v>83</v>
      </c>
    </row>
    <row r="136" spans="1:21" x14ac:dyDescent="0.2">
      <c r="A136" s="9"/>
      <c r="B136" s="78" t="str">
        <f>"Obligations - annual average forecasted for " &amp;M1-1 &amp;"; costs are market estimates"</f>
        <v>Obligations - annual average forecasted for 2020; costs are market estimates</v>
      </c>
      <c r="L136" s="99">
        <f>(DATE($M$1+1,6,1))</f>
        <v>44713</v>
      </c>
    </row>
    <row r="137" spans="1:21" x14ac:dyDescent="0.2">
      <c r="A137" s="9"/>
      <c r="B137" s="10" t="s">
        <v>84</v>
      </c>
      <c r="C137" s="11" t="str">
        <f t="shared" ref="C137:H137" si="33">+C6</f>
        <v>SC1/SC5</v>
      </c>
      <c r="D137" s="11" t="str">
        <f t="shared" si="33"/>
        <v>SC3</v>
      </c>
      <c r="E137" s="11" t="str">
        <f t="shared" si="33"/>
        <v>SC2 ND</v>
      </c>
      <c r="F137" s="11" t="str">
        <f t="shared" si="33"/>
        <v>SC4</v>
      </c>
      <c r="G137" s="11" t="str">
        <f t="shared" si="33"/>
        <v>SC6</v>
      </c>
      <c r="H137" s="11" t="str">
        <f t="shared" si="33"/>
        <v>SC2 Dem</v>
      </c>
      <c r="I137" s="11" t="s">
        <v>85</v>
      </c>
      <c r="J137" s="12"/>
      <c r="L137" s="99">
        <f>(DATE($M$1,10,1))</f>
        <v>44470</v>
      </c>
    </row>
    <row r="138" spans="1:21" x14ac:dyDescent="0.2">
      <c r="A138" s="9"/>
      <c r="L138" s="6">
        <f>L136-L137</f>
        <v>243</v>
      </c>
    </row>
    <row r="139" spans="1:21" x14ac:dyDescent="0.2">
      <c r="A139" s="9"/>
      <c r="B139" s="6" t="s">
        <v>86</v>
      </c>
      <c r="C139" s="95">
        <v>274.26900000000001</v>
      </c>
      <c r="D139" s="95">
        <v>9.8000000000000004E-2</v>
      </c>
      <c r="E139" s="95">
        <v>3.4710000000000001</v>
      </c>
      <c r="F139" s="166">
        <v>0</v>
      </c>
      <c r="G139" s="166">
        <v>0</v>
      </c>
      <c r="H139" s="95">
        <v>80.141999999999996</v>
      </c>
      <c r="I139" s="95">
        <f>SUM(C139:H139)</f>
        <v>357.98</v>
      </c>
      <c r="J139" s="167" t="b">
        <v>1</v>
      </c>
      <c r="K139" s="95"/>
      <c r="L139" s="95"/>
      <c r="M139" s="95"/>
      <c r="N139" s="95"/>
      <c r="O139" s="95"/>
      <c r="P139" s="95"/>
      <c r="Q139" s="95"/>
      <c r="R139" s="94"/>
      <c r="S139" s="94"/>
      <c r="T139" s="94"/>
      <c r="U139" s="94"/>
    </row>
    <row r="140" spans="1:21" x14ac:dyDescent="0.2">
      <c r="A140" s="9"/>
      <c r="C140" s="95"/>
      <c r="D140" s="95"/>
      <c r="E140" s="95"/>
      <c r="F140" s="95"/>
      <c r="G140" s="95"/>
      <c r="H140" s="95"/>
      <c r="I140" s="95"/>
    </row>
    <row r="141" spans="1:21" x14ac:dyDescent="0.2">
      <c r="A141" s="9"/>
      <c r="B141" s="6" t="s">
        <v>87</v>
      </c>
      <c r="C141" s="95">
        <v>261.37099999999998</v>
      </c>
      <c r="D141" s="95">
        <v>0.107</v>
      </c>
      <c r="E141" s="95">
        <v>3.63</v>
      </c>
      <c r="F141" s="166">
        <v>0</v>
      </c>
      <c r="G141" s="166">
        <v>0</v>
      </c>
      <c r="H141" s="95">
        <v>88.96</v>
      </c>
      <c r="I141" s="95">
        <f>SUM(C141:H141)</f>
        <v>354.06799999999998</v>
      </c>
      <c r="J141" s="167" t="b">
        <v>1</v>
      </c>
      <c r="K141" s="95"/>
      <c r="L141" s="95"/>
      <c r="P141" s="95"/>
      <c r="Q141" s="95"/>
      <c r="R141" s="94"/>
      <c r="S141" s="94"/>
      <c r="T141" s="94"/>
      <c r="U141" s="94"/>
    </row>
    <row r="142" spans="1:21" x14ac:dyDescent="0.2">
      <c r="A142" s="9"/>
      <c r="C142" s="166"/>
      <c r="D142" s="166"/>
      <c r="E142" s="166"/>
      <c r="F142" s="166"/>
      <c r="G142" s="166"/>
      <c r="H142" s="166"/>
      <c r="I142" s="166"/>
      <c r="J142" s="166"/>
    </row>
    <row r="143" spans="1:21" x14ac:dyDescent="0.2">
      <c r="A143" s="9"/>
      <c r="B143" s="6" t="s">
        <v>88</v>
      </c>
      <c r="F143" s="166"/>
      <c r="G143" s="166"/>
      <c r="H143" s="166"/>
      <c r="I143" s="166"/>
      <c r="J143" s="166"/>
    </row>
    <row r="144" spans="1:21" x14ac:dyDescent="0.2">
      <c r="A144" s="9"/>
      <c r="D144" s="33" t="s">
        <v>89</v>
      </c>
      <c r="E144" s="168">
        <f>(DATE($M$1,10,1))-(DATE($M$1,6,1))</f>
        <v>122</v>
      </c>
      <c r="G144" s="33" t="s">
        <v>90</v>
      </c>
      <c r="H144" s="6">
        <v>4</v>
      </c>
      <c r="I144" s="166"/>
      <c r="J144" s="166"/>
      <c r="K144" s="96"/>
      <c r="L144" s="169"/>
    </row>
    <row r="145" spans="1:12" x14ac:dyDescent="0.2">
      <c r="A145" s="9"/>
      <c r="D145" s="36" t="s">
        <v>91</v>
      </c>
      <c r="E145" s="168">
        <f>(DATE($M$1+1,6,1))-(DATE($M$1,10,1))</f>
        <v>243</v>
      </c>
      <c r="G145" s="36" t="s">
        <v>92</v>
      </c>
      <c r="H145" s="6">
        <v>8</v>
      </c>
      <c r="I145" s="166"/>
      <c r="J145" s="166"/>
      <c r="K145" s="96"/>
      <c r="L145" s="169"/>
    </row>
    <row r="146" spans="1:12" x14ac:dyDescent="0.2">
      <c r="A146" s="9"/>
      <c r="G146" s="33" t="s">
        <v>93</v>
      </c>
      <c r="H146" s="6">
        <f>+H144+H145</f>
        <v>12</v>
      </c>
      <c r="I146" s="166"/>
      <c r="J146" s="166"/>
      <c r="K146" s="166"/>
    </row>
    <row r="147" spans="1:12" x14ac:dyDescent="0.2">
      <c r="A147" s="9"/>
      <c r="B147" s="6" t="s">
        <v>94</v>
      </c>
      <c r="C147" s="161">
        <v>42548</v>
      </c>
      <c r="D147" s="98" t="s">
        <v>95</v>
      </c>
      <c r="E147" s="97">
        <f>C147/SUM(E144:E145)</f>
        <v>116.56986301369864</v>
      </c>
      <c r="F147" s="97"/>
    </row>
    <row r="148" spans="1:12" x14ac:dyDescent="0.2">
      <c r="A148" s="9"/>
    </row>
    <row r="149" spans="1:12" x14ac:dyDescent="0.2">
      <c r="A149" s="9"/>
      <c r="B149" s="6" t="s">
        <v>96</v>
      </c>
      <c r="C149" s="6" t="s">
        <v>97</v>
      </c>
      <c r="D149" s="170">
        <f>F449</f>
        <v>166.56</v>
      </c>
      <c r="E149" s="98" t="s">
        <v>98</v>
      </c>
      <c r="G149" s="36" t="s">
        <v>99</v>
      </c>
      <c r="H149" s="33" t="s">
        <v>100</v>
      </c>
      <c r="I149" s="163">
        <f>+D149*365/1000</f>
        <v>60.794400000000003</v>
      </c>
      <c r="J149" s="6" t="s">
        <v>101</v>
      </c>
    </row>
    <row r="150" spans="1:12" x14ac:dyDescent="0.2">
      <c r="A150" s="9"/>
      <c r="B150" s="8" t="s">
        <v>102</v>
      </c>
      <c r="C150" s="6" t="s">
        <v>103</v>
      </c>
      <c r="D150" s="170">
        <f>F451</f>
        <v>145.66999999999999</v>
      </c>
      <c r="E150" s="98" t="s">
        <v>98</v>
      </c>
      <c r="H150" s="33" t="s">
        <v>104</v>
      </c>
      <c r="I150" s="163">
        <f>+D150*365/1000</f>
        <v>53.169549999999994</v>
      </c>
      <c r="J150" s="6" t="s">
        <v>101</v>
      </c>
      <c r="L150" s="99"/>
    </row>
    <row r="151" spans="1:12" x14ac:dyDescent="0.2">
      <c r="A151" s="9"/>
      <c r="D151" s="170"/>
      <c r="E151" s="98"/>
      <c r="H151" s="33"/>
      <c r="I151" s="163"/>
      <c r="L151" s="99"/>
    </row>
    <row r="152" spans="1:12" x14ac:dyDescent="0.2">
      <c r="A152" s="9"/>
      <c r="B152" s="8" t="s">
        <v>105</v>
      </c>
      <c r="L152" s="169"/>
    </row>
    <row r="153" spans="1:12" x14ac:dyDescent="0.2">
      <c r="A153" s="9"/>
      <c r="B153" s="78" t="s">
        <v>106</v>
      </c>
    </row>
    <row r="154" spans="1:12" x14ac:dyDescent="0.2">
      <c r="A154" s="9"/>
      <c r="B154" s="10"/>
      <c r="C154" s="100" t="str">
        <f>" ---------- "&amp;C6&amp;" ----------"</f>
        <v xml:space="preserve"> ---------- SC1/SC5 ----------</v>
      </c>
      <c r="D154" s="101"/>
      <c r="E154" s="101"/>
      <c r="H154" s="100"/>
      <c r="I154" s="101"/>
      <c r="J154" s="101"/>
    </row>
    <row r="155" spans="1:12" x14ac:dyDescent="0.2">
      <c r="A155" s="9"/>
      <c r="C155" s="33" t="s">
        <v>107</v>
      </c>
      <c r="D155" s="33"/>
      <c r="E155" s="33" t="s">
        <v>108</v>
      </c>
      <c r="H155" s="100"/>
      <c r="I155" s="101"/>
      <c r="J155" s="101"/>
    </row>
    <row r="156" spans="1:12" x14ac:dyDescent="0.2">
      <c r="A156" s="9"/>
      <c r="B156" s="36" t="s">
        <v>109</v>
      </c>
      <c r="C156" s="35">
        <v>5.9749999999999996</v>
      </c>
      <c r="D156" s="6" t="s">
        <v>110</v>
      </c>
      <c r="E156" s="102">
        <v>0.4395</v>
      </c>
      <c r="H156" s="100"/>
      <c r="I156" s="101"/>
      <c r="J156" s="101"/>
    </row>
    <row r="157" spans="1:12" x14ac:dyDescent="0.2">
      <c r="A157" s="9"/>
      <c r="B157" s="36" t="s">
        <v>111</v>
      </c>
      <c r="C157" s="35">
        <v>9.968</v>
      </c>
      <c r="D157" s="6" t="s">
        <v>110</v>
      </c>
      <c r="E157" s="102">
        <v>0.5605</v>
      </c>
      <c r="H157" s="100"/>
      <c r="I157" s="101"/>
      <c r="J157" s="101"/>
    </row>
    <row r="158" spans="1:12" x14ac:dyDescent="0.2">
      <c r="A158" s="9"/>
      <c r="B158" s="33" t="s">
        <v>112</v>
      </c>
      <c r="C158" s="35">
        <f>+C157-C156</f>
        <v>3.9930000000000003</v>
      </c>
      <c r="D158" s="6" t="s">
        <v>110</v>
      </c>
      <c r="H158" s="100"/>
      <c r="I158" s="101"/>
      <c r="J158" s="101"/>
    </row>
    <row r="159" spans="1:12" x14ac:dyDescent="0.2">
      <c r="A159" s="6"/>
      <c r="F159" s="10"/>
    </row>
    <row r="160" spans="1:12" x14ac:dyDescent="0.2">
      <c r="A160" s="7" t="s">
        <v>113</v>
      </c>
      <c r="B160" s="3" t="s">
        <v>114</v>
      </c>
    </row>
    <row r="161" spans="1:10" x14ac:dyDescent="0.2">
      <c r="A161" s="9"/>
      <c r="B161" s="10" t="s">
        <v>115</v>
      </c>
      <c r="D161" s="103">
        <f>H461</f>
        <v>17.34</v>
      </c>
      <c r="E161" s="8" t="s">
        <v>116</v>
      </c>
      <c r="F161" s="98"/>
    </row>
    <row r="162" spans="1:10" x14ac:dyDescent="0.2">
      <c r="A162" s="9"/>
      <c r="B162" s="10"/>
      <c r="F162" s="98"/>
    </row>
    <row r="163" spans="1:10" x14ac:dyDescent="0.2">
      <c r="A163" s="7" t="s">
        <v>117</v>
      </c>
      <c r="B163" s="3" t="s">
        <v>118</v>
      </c>
    </row>
    <row r="164" spans="1:10" x14ac:dyDescent="0.2">
      <c r="A164" s="79"/>
      <c r="B164" s="3"/>
    </row>
    <row r="165" spans="1:10" x14ac:dyDescent="0.2">
      <c r="A165" s="79"/>
      <c r="B165" s="3"/>
      <c r="C165" s="11" t="str">
        <f t="shared" ref="C165" si="34">+C6</f>
        <v>SC1/SC5</v>
      </c>
      <c r="D165" s="11" t="str">
        <f>+D6</f>
        <v>SC3</v>
      </c>
      <c r="E165" s="11" t="str">
        <f>+E6</f>
        <v>SC2 ND</v>
      </c>
      <c r="F165" s="11" t="str">
        <f>+F6</f>
        <v>SC4</v>
      </c>
      <c r="G165" s="11" t="str">
        <f>+G6</f>
        <v>SC6</v>
      </c>
    </row>
    <row r="166" spans="1:10" x14ac:dyDescent="0.2">
      <c r="A166" s="79"/>
      <c r="B166" s="3"/>
    </row>
    <row r="167" spans="1:10" x14ac:dyDescent="0.2">
      <c r="A167" s="9"/>
      <c r="B167" s="33" t="s">
        <v>119</v>
      </c>
      <c r="C167" s="160">
        <f t="shared" ref="C167" si="35">(+$C$147*C141*$H$146/12)/C56</f>
        <v>16.995466130757709</v>
      </c>
      <c r="D167" s="160">
        <f>(+$C$147*D141*$H$146/12)/D56</f>
        <v>17.923763779527558</v>
      </c>
      <c r="E167" s="160">
        <f>(+$C$147*E141*$H$146/12)/E56</f>
        <v>9.5729044254369651</v>
      </c>
      <c r="F167" s="160">
        <f>(+$C$147*F141*$H$146/12)/F56</f>
        <v>0</v>
      </c>
      <c r="G167" s="160">
        <f>(+$C$147*G141*$H$146/12)/G56</f>
        <v>0</v>
      </c>
      <c r="H167" s="160"/>
      <c r="I167" s="160"/>
      <c r="J167" s="160"/>
    </row>
    <row r="168" spans="1:10" x14ac:dyDescent="0.2">
      <c r="A168" s="9"/>
      <c r="B168" s="33"/>
      <c r="C168" s="160"/>
      <c r="D168" s="160"/>
      <c r="E168" s="160"/>
      <c r="F168" s="160"/>
      <c r="G168" s="160"/>
      <c r="H168" s="160"/>
      <c r="I168" s="160"/>
      <c r="J168" s="160"/>
    </row>
    <row r="169" spans="1:10" x14ac:dyDescent="0.2">
      <c r="A169" s="9"/>
      <c r="B169" s="33" t="s">
        <v>120</v>
      </c>
      <c r="C169" s="160"/>
      <c r="D169" s="160"/>
      <c r="E169" s="160"/>
      <c r="F169" s="160"/>
      <c r="G169" s="160"/>
      <c r="H169" s="160"/>
      <c r="I169" s="160"/>
      <c r="J169" s="160"/>
    </row>
    <row r="170" spans="1:10" x14ac:dyDescent="0.2">
      <c r="A170" s="9"/>
      <c r="B170" s="33" t="s">
        <v>121</v>
      </c>
      <c r="C170" s="160">
        <f t="shared" ref="C170" si="36">((+$D$149*$E$144*C139)+($D$150*$E$145*C139))/C56</f>
        <v>23.354457616789436</v>
      </c>
      <c r="D170" s="160">
        <f>((+$D$149*$E$144*D139)+($D$150*$E$145*D139))/D56</f>
        <v>21.49754622047244</v>
      </c>
      <c r="E170" s="160">
        <f>((+$D$149*$E$144*E139)+($D$150*$E$145*E139))/E56</f>
        <v>11.986961028263295</v>
      </c>
      <c r="F170" s="160">
        <f>((+$D$149*$E$144*F139)+($D$150*$E$145*F139))/F56</f>
        <v>0</v>
      </c>
      <c r="G170" s="160">
        <f>((+$D$149*$E$144*G139)+($D$150*$E$145*G139))/G56</f>
        <v>0</v>
      </c>
      <c r="H170" s="160"/>
      <c r="I170" s="160"/>
      <c r="J170" s="160"/>
    </row>
    <row r="171" spans="1:10" x14ac:dyDescent="0.2">
      <c r="A171" s="9"/>
      <c r="B171" s="33" t="s">
        <v>122</v>
      </c>
      <c r="C171" s="160">
        <f t="shared" ref="C171" si="37">C$139*$D149*$E144/SUM(C$49:C$52)</f>
        <v>19.419914407104194</v>
      </c>
      <c r="D171" s="160">
        <f>D$139*$D149*$E144/SUM(D$49:D$52)</f>
        <v>20.42452676923077</v>
      </c>
      <c r="E171" s="160">
        <f>E$139*$D149*$E144/SUM(E$49:E$52)</f>
        <v>15.129092818532818</v>
      </c>
      <c r="F171" s="160">
        <f>F$139*$D149*$E144/SUM(F$49:F$52)</f>
        <v>0</v>
      </c>
      <c r="G171" s="160">
        <f>G$139*$D149*$E144/SUM(G$49:G$52)</f>
        <v>0</v>
      </c>
      <c r="H171" s="160"/>
      <c r="I171" s="160"/>
      <c r="J171" s="160"/>
    </row>
    <row r="172" spans="1:10" x14ac:dyDescent="0.2">
      <c r="A172" s="9"/>
      <c r="B172" s="33" t="s">
        <v>123</v>
      </c>
      <c r="C172" s="160">
        <f t="shared" ref="C172" si="38">C$139*$D150*$E145/(SUM(C$44:C$48)+SUM(C$53:C$55))</f>
        <v>26.428210218984656</v>
      </c>
      <c r="D172" s="160">
        <f>D$139*$D150*$E145/(SUM(D$44:D$48)+SUM(D$53:D$55))</f>
        <v>22.166040766773161</v>
      </c>
      <c r="E172" s="160">
        <f>E$139*$D150*$E145/(SUM(E$44:E$48)+SUM(E$53:E$55))</f>
        <v>10.710059144874476</v>
      </c>
      <c r="F172" s="160">
        <f>F$139*$D150*$E145/(SUM(F$44:F$48)+SUM(F$53:F$55))</f>
        <v>0</v>
      </c>
      <c r="G172" s="160">
        <f>G$139*$D150*$E145/(SUM(G$44:G$48)+SUM(G$53:G$55))</f>
        <v>0</v>
      </c>
      <c r="H172" s="160"/>
      <c r="I172" s="160"/>
      <c r="J172" s="160"/>
    </row>
    <row r="173" spans="1:10" x14ac:dyDescent="0.2">
      <c r="A173" s="9"/>
      <c r="C173" s="42"/>
      <c r="D173" s="42"/>
      <c r="E173" s="42"/>
      <c r="F173" s="42"/>
      <c r="G173" s="42"/>
      <c r="H173" s="42"/>
      <c r="I173" s="160"/>
      <c r="J173" s="160"/>
    </row>
    <row r="174" spans="1:10" x14ac:dyDescent="0.2">
      <c r="A174" s="9"/>
      <c r="C174" s="171"/>
      <c r="D174" s="171"/>
      <c r="E174" s="171"/>
      <c r="F174" s="171"/>
      <c r="G174" s="171"/>
    </row>
    <row r="175" spans="1:10" x14ac:dyDescent="0.2">
      <c r="A175" s="7" t="s">
        <v>124</v>
      </c>
      <c r="B175" s="3" t="s">
        <v>125</v>
      </c>
    </row>
    <row r="176" spans="1:10" x14ac:dyDescent="0.2">
      <c r="A176" s="9"/>
      <c r="B176" s="3"/>
      <c r="C176" s="42"/>
      <c r="D176" s="42"/>
      <c r="E176" s="42"/>
      <c r="F176" s="42"/>
      <c r="G176" s="42"/>
    </row>
    <row r="177" spans="1:8" x14ac:dyDescent="0.2">
      <c r="A177" s="9"/>
      <c r="B177" s="5" t="s">
        <v>126</v>
      </c>
      <c r="C177" s="171"/>
      <c r="D177" s="171"/>
      <c r="E177" s="171"/>
      <c r="F177" s="171"/>
      <c r="G177" s="171"/>
    </row>
    <row r="178" spans="1:8" x14ac:dyDescent="0.2">
      <c r="A178" s="9"/>
      <c r="B178" s="10"/>
    </row>
    <row r="179" spans="1:8" x14ac:dyDescent="0.2">
      <c r="A179" s="9"/>
      <c r="C179" s="11" t="str">
        <f t="shared" ref="C179" si="39">+C6</f>
        <v>SC1/SC5</v>
      </c>
      <c r="D179" s="11" t="str">
        <f>+D6</f>
        <v>SC3</v>
      </c>
      <c r="E179" s="11" t="str">
        <f>+E6</f>
        <v>SC2 ND</v>
      </c>
      <c r="F179" s="11" t="str">
        <f>+F6</f>
        <v>SC4</v>
      </c>
      <c r="G179" s="11" t="str">
        <f>+G6</f>
        <v>SC6</v>
      </c>
    </row>
    <row r="180" spans="1:8" x14ac:dyDescent="0.2">
      <c r="A180" s="9"/>
      <c r="C180" s="12"/>
      <c r="D180" s="160"/>
      <c r="E180" s="12"/>
    </row>
    <row r="181" spans="1:8" x14ac:dyDescent="0.2">
      <c r="A181" s="9"/>
      <c r="B181" s="142" t="s">
        <v>63</v>
      </c>
      <c r="C181" s="172">
        <f t="shared" ref="C181" si="40">+C124+$D$161+C$167+C171</f>
        <v>79.559840745825824</v>
      </c>
      <c r="D181" s="160">
        <f>+D124+$D$161+D$167+D171</f>
        <v>81.714572693715624</v>
      </c>
      <c r="E181" s="160">
        <f>+E124+$D$161+E$167+E171</f>
        <v>66.135536434155213</v>
      </c>
      <c r="F181" s="160">
        <f>+F124+$D$161+F$167+F171</f>
        <v>43.469282854504669</v>
      </c>
      <c r="G181" s="160">
        <f>+G124+$D$161+G$167+G171</f>
        <v>43.4479193301758</v>
      </c>
      <c r="H181" s="160"/>
    </row>
    <row r="182" spans="1:8" x14ac:dyDescent="0.2">
      <c r="A182" s="9"/>
      <c r="B182" s="122" t="s">
        <v>78</v>
      </c>
      <c r="C182" s="160"/>
      <c r="D182" s="172">
        <f>+D125+$D$161+D$167+(D171*M48/M49)</f>
        <v>123.96729764367707</v>
      </c>
      <c r="E182" s="160"/>
      <c r="F182" s="160"/>
      <c r="G182" s="160"/>
    </row>
    <row r="183" spans="1:8" x14ac:dyDescent="0.2">
      <c r="A183" s="9"/>
      <c r="B183" s="122" t="s">
        <v>79</v>
      </c>
      <c r="C183" s="160"/>
      <c r="D183" s="172">
        <f>+D126+$D$161+D$167</f>
        <v>57.547730734849523</v>
      </c>
      <c r="E183" s="160"/>
      <c r="F183" s="160"/>
      <c r="G183" s="160"/>
    </row>
    <row r="184" spans="1:8" x14ac:dyDescent="0.2">
      <c r="A184" s="9"/>
      <c r="B184" s="33" t="s">
        <v>127</v>
      </c>
      <c r="C184" s="160">
        <f>(C181*SUM(C49:C52)-C158*10*E157*SUM(C49:C52))/SUM(C49:C52)</f>
        <v>57.179075745825813</v>
      </c>
      <c r="D184" s="160"/>
      <c r="E184" s="160"/>
      <c r="F184" s="160"/>
      <c r="G184" s="160"/>
    </row>
    <row r="185" spans="1:8" x14ac:dyDescent="0.2">
      <c r="A185" s="9"/>
      <c r="B185" s="33" t="s">
        <v>128</v>
      </c>
      <c r="C185" s="160">
        <f>C184+C158*10</f>
        <v>97.10907574582582</v>
      </c>
      <c r="D185" s="160"/>
      <c r="E185" s="160"/>
      <c r="F185" s="160"/>
      <c r="G185" s="160"/>
    </row>
    <row r="186" spans="1:8" x14ac:dyDescent="0.2">
      <c r="A186" s="9"/>
      <c r="B186" s="160"/>
      <c r="C186" s="160"/>
      <c r="D186" s="160"/>
      <c r="E186" s="160"/>
      <c r="F186" s="160"/>
      <c r="G186" s="160"/>
    </row>
    <row r="187" spans="1:8" x14ac:dyDescent="0.2">
      <c r="A187" s="9"/>
      <c r="C187" s="160"/>
      <c r="D187" s="160"/>
      <c r="E187" s="160"/>
      <c r="F187" s="160"/>
      <c r="G187" s="160"/>
    </row>
    <row r="188" spans="1:8" x14ac:dyDescent="0.2">
      <c r="A188" s="9"/>
      <c r="B188" s="142" t="s">
        <v>69</v>
      </c>
      <c r="C188" s="172">
        <f t="shared" ref="C188" si="41">+C128+$D$161+C$167+C172</f>
        <v>91.85983303937212</v>
      </c>
      <c r="D188" s="160">
        <f>+D128+$D$161+D$167+D172</f>
        <v>87.97484332650744</v>
      </c>
      <c r="E188" s="160">
        <f>+E128+$D$161+E$167+E172</f>
        <v>68.63598658298767</v>
      </c>
      <c r="F188" s="160">
        <f>+F128+$D$161+F$167+F172</f>
        <v>48.727116473118187</v>
      </c>
      <c r="G188" s="160">
        <f>+G128+$D$161+G$167+G172</f>
        <v>48.513814309468231</v>
      </c>
      <c r="H188" s="160"/>
    </row>
    <row r="189" spans="1:8" x14ac:dyDescent="0.2">
      <c r="A189" s="9"/>
      <c r="B189" s="122" t="s">
        <v>78</v>
      </c>
      <c r="C189" s="160"/>
      <c r="D189" s="172">
        <f>+D129+$D$161+D$167+(D172*M44/M45)</f>
        <v>134.16343393706524</v>
      </c>
      <c r="E189" s="160"/>
      <c r="F189" s="160"/>
      <c r="G189" s="160"/>
    </row>
    <row r="190" spans="1:8" x14ac:dyDescent="0.2">
      <c r="A190" s="9"/>
      <c r="B190" s="122" t="s">
        <v>79</v>
      </c>
      <c r="C190" s="160"/>
      <c r="D190" s="172">
        <f>+D130+$D$161+D$167</f>
        <v>63.344653727946991</v>
      </c>
      <c r="E190" s="160"/>
      <c r="F190" s="160"/>
      <c r="G190" s="160"/>
    </row>
    <row r="191" spans="1:8" x14ac:dyDescent="0.2">
      <c r="A191" s="9"/>
      <c r="C191" s="160"/>
      <c r="D191" s="160"/>
      <c r="E191" s="160"/>
      <c r="F191" s="160"/>
      <c r="G191" s="160"/>
    </row>
    <row r="192" spans="1:8" x14ac:dyDescent="0.2">
      <c r="A192" s="9"/>
      <c r="B192" s="6" t="s">
        <v>129</v>
      </c>
      <c r="C192" s="172">
        <f t="shared" ref="C192" si="42">+C132+$D$161+C$167+C170</f>
        <v>86.465207251005936</v>
      </c>
      <c r="D192" s="160">
        <f>+D132+$D$161+D$167+D170</f>
        <v>85.571786685967282</v>
      </c>
      <c r="E192" s="160">
        <f>+E132+$D$161+E$167+E170</f>
        <v>67.913469005582385</v>
      </c>
      <c r="F192" s="160">
        <f>+F132+$D$161+F$167+F170</f>
        <v>47.26866876434876</v>
      </c>
      <c r="G192" s="160">
        <f>+G132+$D$161+G$167+G170</f>
        <v>47.022059078713717</v>
      </c>
      <c r="H192" s="160"/>
    </row>
    <row r="193" spans="1:26" x14ac:dyDescent="0.2">
      <c r="A193" s="9"/>
      <c r="C193" s="160"/>
      <c r="D193" s="160"/>
      <c r="E193" s="160"/>
      <c r="F193" s="160"/>
      <c r="G193" s="160"/>
      <c r="H193" s="160"/>
    </row>
    <row r="194" spans="1:26" x14ac:dyDescent="0.2">
      <c r="A194" s="9"/>
      <c r="B194" s="5" t="s">
        <v>130</v>
      </c>
    </row>
    <row r="195" spans="1:26" x14ac:dyDescent="0.2">
      <c r="A195" s="9"/>
      <c r="B195" s="10"/>
    </row>
    <row r="196" spans="1:26" x14ac:dyDescent="0.2">
      <c r="A196" s="9"/>
      <c r="C196" s="11" t="str">
        <f>+H6</f>
        <v>SC2 Dem</v>
      </c>
      <c r="D196" s="12"/>
      <c r="F196" s="3" t="s">
        <v>131</v>
      </c>
    </row>
    <row r="197" spans="1:26" x14ac:dyDescent="0.2">
      <c r="A197" s="9"/>
      <c r="C197" s="12"/>
      <c r="E197" s="3"/>
    </row>
    <row r="198" spans="1:26" x14ac:dyDescent="0.2">
      <c r="A198" s="9"/>
      <c r="B198" s="142" t="s">
        <v>63</v>
      </c>
      <c r="C198" s="160">
        <f>+H124+$D$161</f>
        <v>43.585944577864282</v>
      </c>
      <c r="F198" s="31" t="s">
        <v>132</v>
      </c>
    </row>
    <row r="199" spans="1:26" x14ac:dyDescent="0.2">
      <c r="A199" s="9"/>
      <c r="B199" s="122"/>
      <c r="C199" s="160"/>
    </row>
    <row r="200" spans="1:26" x14ac:dyDescent="0.2">
      <c r="A200" s="9"/>
      <c r="B200" s="122"/>
      <c r="C200" s="160"/>
      <c r="G200" s="11"/>
      <c r="H200" s="14" t="s">
        <v>133</v>
      </c>
      <c r="I200" s="14" t="s">
        <v>134</v>
      </c>
    </row>
    <row r="201" spans="1:26" x14ac:dyDescent="0.2">
      <c r="A201" s="9"/>
      <c r="C201" s="160"/>
    </row>
    <row r="202" spans="1:26" x14ac:dyDescent="0.2">
      <c r="A202" s="9"/>
      <c r="B202" s="142" t="s">
        <v>69</v>
      </c>
      <c r="C202" s="160">
        <f>+H128+$D$161</f>
        <v>48.418675828837138</v>
      </c>
      <c r="F202" s="33" t="s">
        <v>97</v>
      </c>
      <c r="G202" s="173"/>
      <c r="H202" s="174">
        <f>H213</f>
        <v>1.9039999999999999</v>
      </c>
      <c r="I202" s="174">
        <f>I213</f>
        <v>4.6710000000000003</v>
      </c>
    </row>
    <row r="203" spans="1:26" x14ac:dyDescent="0.2">
      <c r="A203" s="9"/>
      <c r="B203" s="122"/>
      <c r="C203" s="160"/>
      <c r="F203" s="33" t="s">
        <v>103</v>
      </c>
      <c r="G203" s="173"/>
      <c r="H203" s="174">
        <f>H214</f>
        <v>2.577</v>
      </c>
      <c r="I203" s="174">
        <f>I214</f>
        <v>5.0090000000000003</v>
      </c>
    </row>
    <row r="204" spans="1:26" x14ac:dyDescent="0.2">
      <c r="A204" s="9"/>
      <c r="B204" s="122"/>
      <c r="C204" s="160"/>
    </row>
    <row r="205" spans="1:26" x14ac:dyDescent="0.2">
      <c r="A205" s="9"/>
      <c r="B205" s="122"/>
      <c r="C205" s="160"/>
      <c r="F205" s="51" t="s">
        <v>135</v>
      </c>
      <c r="H205" s="98"/>
    </row>
    <row r="206" spans="1:26" x14ac:dyDescent="0.2">
      <c r="A206" s="9"/>
      <c r="B206" s="6" t="s">
        <v>136</v>
      </c>
      <c r="C206" s="160">
        <f>+H132+$D$161</f>
        <v>46.634299134620697</v>
      </c>
      <c r="F206" s="33" t="s">
        <v>137</v>
      </c>
      <c r="G206" s="163">
        <f>+C147/1000/12</f>
        <v>3.545666666666667</v>
      </c>
      <c r="H206" s="98" t="s">
        <v>138</v>
      </c>
      <c r="P206" s="162"/>
    </row>
    <row r="207" spans="1:26" x14ac:dyDescent="0.2">
      <c r="A207" s="7" t="s">
        <v>124</v>
      </c>
      <c r="B207" s="104" t="s">
        <v>139</v>
      </c>
      <c r="C207" s="160"/>
      <c r="K207" s="105" t="s">
        <v>131</v>
      </c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</row>
    <row r="208" spans="1:26" x14ac:dyDescent="0.2">
      <c r="A208" s="7"/>
      <c r="C208" s="160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 spans="1:27" x14ac:dyDescent="0.2">
      <c r="A209" s="9"/>
      <c r="B209" s="107" t="s">
        <v>140</v>
      </c>
      <c r="C209" s="160"/>
      <c r="D209" s="160"/>
      <c r="F209" s="19" t="s">
        <v>132</v>
      </c>
      <c r="K209" s="108" t="s">
        <v>132</v>
      </c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 spans="1:27" x14ac:dyDescent="0.2">
      <c r="A210" s="9"/>
      <c r="B210" s="142" t="s">
        <v>63</v>
      </c>
      <c r="C210" s="172">
        <f>(C198*Q48+($H213*($M$223/4*H144))+($I213*($M$223/4*H144))+($G206*$H144*H141*1000))/Q48</f>
        <v>74.401417637783197</v>
      </c>
      <c r="D210" s="172"/>
      <c r="F210" s="155"/>
      <c r="K210" s="106"/>
      <c r="L210" s="106"/>
      <c r="M210" s="106"/>
      <c r="N210" s="106"/>
      <c r="O210" s="106"/>
      <c r="P210" s="106"/>
      <c r="Q210" s="106"/>
      <c r="R210" s="106"/>
      <c r="S210" s="106"/>
      <c r="T210" s="261" t="s">
        <v>141</v>
      </c>
      <c r="U210" s="261"/>
      <c r="V210" s="109"/>
      <c r="W210" s="109"/>
      <c r="X210" s="106"/>
      <c r="Y210" s="106"/>
      <c r="Z210" s="106" t="s">
        <v>142</v>
      </c>
      <c r="AA210" s="6">
        <v>3</v>
      </c>
    </row>
    <row r="211" spans="1:27" x14ac:dyDescent="0.2">
      <c r="A211" s="9"/>
      <c r="B211" s="122"/>
      <c r="C211" s="160"/>
      <c r="D211" s="160"/>
      <c r="K211" s="106"/>
      <c r="L211" s="110" t="str">
        <f>H6</f>
        <v>SC2 Dem</v>
      </c>
      <c r="M211" s="111" t="s">
        <v>143</v>
      </c>
      <c r="N211" s="111" t="s">
        <v>134</v>
      </c>
      <c r="O211" s="106"/>
      <c r="P211" s="106" t="s">
        <v>144</v>
      </c>
      <c r="Q211" s="112" t="s">
        <v>143</v>
      </c>
      <c r="R211" s="112" t="s">
        <v>134</v>
      </c>
      <c r="S211" s="112" t="s">
        <v>145</v>
      </c>
      <c r="T211" s="106" t="s">
        <v>146</v>
      </c>
      <c r="U211" s="106" t="s">
        <v>147</v>
      </c>
      <c r="V211" s="106" t="s">
        <v>148</v>
      </c>
      <c r="W211" s="106" t="s">
        <v>149</v>
      </c>
      <c r="X211" s="113">
        <v>0.33</v>
      </c>
      <c r="Y211" s="106"/>
      <c r="Z211" s="106"/>
    </row>
    <row r="212" spans="1:27" x14ac:dyDescent="0.2">
      <c r="A212" s="9"/>
      <c r="B212" s="122"/>
      <c r="C212" s="160"/>
      <c r="D212" s="160"/>
      <c r="F212" s="155"/>
      <c r="G212" s="11"/>
      <c r="H212" s="14" t="s">
        <v>133</v>
      </c>
      <c r="I212" s="14" t="s">
        <v>134</v>
      </c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</row>
    <row r="213" spans="1:27" x14ac:dyDescent="0.2">
      <c r="A213" s="9"/>
      <c r="C213" s="160"/>
      <c r="D213" s="160"/>
      <c r="F213" s="6" t="s">
        <v>97</v>
      </c>
      <c r="G213" s="174"/>
      <c r="H213" s="174">
        <f>M213</f>
        <v>1.9039999999999999</v>
      </c>
      <c r="I213" s="174">
        <f>N213</f>
        <v>4.6710000000000003</v>
      </c>
      <c r="K213" s="112" t="s">
        <v>97</v>
      </c>
      <c r="L213" s="114">
        <f>ROUND(H139*D149*E144/$M$223,3)</f>
        <v>5.09</v>
      </c>
      <c r="M213" s="35">
        <f>ROUND((P213-V213*(1-$X$211)*R213)/S213,$AA$210)</f>
        <v>1.9039999999999999</v>
      </c>
      <c r="N213" s="35">
        <f>ROUND(M213+V213*(1-$X$211),$AA$210)</f>
        <v>4.6710000000000003</v>
      </c>
      <c r="O213" s="106"/>
      <c r="P213" s="114">
        <f>H139*D149*E144</f>
        <v>1628511.0854399998</v>
      </c>
      <c r="Q213" s="115">
        <f>$M$229</f>
        <v>70489.097820244235</v>
      </c>
      <c r="R213" s="115">
        <f>$M$223</f>
        <v>319914.10217975575</v>
      </c>
      <c r="S213" s="116">
        <f>Q213+R213</f>
        <v>390403.19999999995</v>
      </c>
      <c r="T213" s="117">
        <v>1.69</v>
      </c>
      <c r="U213" s="117">
        <v>5.82</v>
      </c>
      <c r="V213" s="106">
        <f>U213-T213</f>
        <v>4.1300000000000008</v>
      </c>
      <c r="W213" s="106"/>
      <c r="X213" s="106"/>
      <c r="Y213" s="106"/>
      <c r="Z213" s="162">
        <f>M213*Q213+N213*R213</f>
        <v>1628530.0135313841</v>
      </c>
      <c r="AA213" s="162">
        <f>P213-Z213</f>
        <v>-18.928091384237632</v>
      </c>
    </row>
    <row r="214" spans="1:27" x14ac:dyDescent="0.2">
      <c r="A214" s="9"/>
      <c r="B214" s="142" t="s">
        <v>69</v>
      </c>
      <c r="C214" s="172">
        <f>(C202*Q44+($H214*($M$224/8*H145))+($I214*($M$224/8*H145))+($G206*$H145*H141*1000))/Q44</f>
        <v>82.308142391439176</v>
      </c>
      <c r="D214" s="172"/>
      <c r="F214" s="6" t="s">
        <v>103</v>
      </c>
      <c r="G214" s="174"/>
      <c r="H214" s="174">
        <f>M214</f>
        <v>2.577</v>
      </c>
      <c r="I214" s="174">
        <f>N214</f>
        <v>5.0090000000000003</v>
      </c>
      <c r="K214" s="112" t="s">
        <v>103</v>
      </c>
      <c r="L214" s="114">
        <f>ROUND(H139*D150*E145/$M$224,3)</f>
        <v>5.665</v>
      </c>
      <c r="M214" s="6">
        <f>ROUND((P214-V214*(1-$X$211)*R214)/S214,$AA$210)</f>
        <v>2.577</v>
      </c>
      <c r="N214" s="35">
        <f>ROUND(M214+V214*(1-$X$211),$AA$210)</f>
        <v>5.0090000000000003</v>
      </c>
      <c r="O214" s="106"/>
      <c r="P214" s="114">
        <f>H139*D150*E145</f>
        <v>2836851.2890199996</v>
      </c>
      <c r="Q214" s="115">
        <f>$M$230</f>
        <v>127426.92292694986</v>
      </c>
      <c r="R214" s="115">
        <f>$M$224</f>
        <v>500782.22707305016</v>
      </c>
      <c r="S214" s="116">
        <f>Q214+R214</f>
        <v>628209.15</v>
      </c>
      <c r="T214" s="117">
        <v>1.44</v>
      </c>
      <c r="U214" s="117">
        <v>5.07</v>
      </c>
      <c r="V214" s="106">
        <f>U214-T214</f>
        <v>3.6300000000000003</v>
      </c>
      <c r="W214" s="106"/>
      <c r="X214" s="106"/>
      <c r="Y214" s="106"/>
      <c r="Z214" s="106"/>
    </row>
    <row r="215" spans="1:27" x14ac:dyDescent="0.2">
      <c r="A215" s="9"/>
      <c r="B215" s="122"/>
      <c r="C215" s="160"/>
      <c r="G215" s="171"/>
      <c r="H215" s="171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</row>
    <row r="216" spans="1:27" x14ac:dyDescent="0.2">
      <c r="A216" s="9"/>
      <c r="B216" s="122"/>
      <c r="C216" s="160"/>
      <c r="K216" s="118" t="s">
        <v>135</v>
      </c>
      <c r="L216" s="106"/>
      <c r="M216" s="119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spans="1:27" x14ac:dyDescent="0.2">
      <c r="A217" s="9"/>
      <c r="B217" s="122"/>
      <c r="C217" s="160"/>
      <c r="G217" s="42"/>
      <c r="H217" s="42"/>
      <c r="K217" s="112" t="s">
        <v>137</v>
      </c>
      <c r="L217" s="120">
        <f>+C147/1000/12</f>
        <v>3.545666666666667</v>
      </c>
      <c r="M217" s="119" t="s">
        <v>138</v>
      </c>
      <c r="N217" s="106"/>
      <c r="O217" s="106"/>
      <c r="P217" s="121">
        <f>P213+P214</f>
        <v>4465362.3744599996</v>
      </c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</row>
    <row r="218" spans="1:27" x14ac:dyDescent="0.2">
      <c r="A218" s="9"/>
      <c r="B218" s="6" t="s">
        <v>150</v>
      </c>
      <c r="C218" s="172">
        <f>(C206*H56+($H213*($M$229/4*H144)+$H214*($M$230/8*H145)+$I213*($M$223/4*H144)+$I214*($M$224/8*H145))+($G206*$H146*H141*1000))/H56</f>
        <v>74.529941988387634</v>
      </c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spans="1:27" x14ac:dyDescent="0.2">
      <c r="A219" s="9"/>
      <c r="C219" s="164"/>
      <c r="D219" s="164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</row>
    <row r="220" spans="1:27" ht="13.5" thickBot="1" x14ac:dyDescent="0.25">
      <c r="A220" s="9"/>
      <c r="B220" s="3" t="s">
        <v>151</v>
      </c>
      <c r="C220" s="160"/>
      <c r="D220" s="160"/>
    </row>
    <row r="221" spans="1:27" x14ac:dyDescent="0.2">
      <c r="A221" s="9"/>
      <c r="B221" s="33" t="s">
        <v>152</v>
      </c>
      <c r="C221" s="175">
        <f>(+SUMPRODUCT(C192:G192,C56:G56)+SUMPRODUCT(C218,H56))/1000</f>
        <v>80225.670734240179</v>
      </c>
      <c r="L221" s="176" t="s">
        <v>153</v>
      </c>
      <c r="M221" s="177"/>
    </row>
    <row r="222" spans="1:27" x14ac:dyDescent="0.2">
      <c r="A222" s="9"/>
      <c r="C222" s="33" t="s">
        <v>154</v>
      </c>
      <c r="D222" s="172">
        <f>+C221/SUM(C56:H56)*1000</f>
        <v>82.128517946667543</v>
      </c>
      <c r="E222" s="6" t="s">
        <v>155</v>
      </c>
      <c r="L222" s="178"/>
      <c r="M222" s="179" t="s">
        <v>156</v>
      </c>
    </row>
    <row r="223" spans="1:27" x14ac:dyDescent="0.2">
      <c r="A223" s="9"/>
      <c r="C223" s="33" t="s">
        <v>157</v>
      </c>
      <c r="D223" s="172">
        <f>+C221/SUMPRODUCT(C56:H56,C81:H81)*1000</f>
        <v>76.336436216280376</v>
      </c>
      <c r="E223" s="6" t="s">
        <v>158</v>
      </c>
      <c r="L223" s="178" t="s">
        <v>68</v>
      </c>
      <c r="M223" s="180">
        <v>319914.10217975575</v>
      </c>
    </row>
    <row r="224" spans="1:27" ht="13.5" thickBot="1" x14ac:dyDescent="0.25">
      <c r="A224" s="9"/>
      <c r="L224" s="181" t="s">
        <v>61</v>
      </c>
      <c r="M224" s="182">
        <v>500782.22707305016</v>
      </c>
    </row>
    <row r="225" spans="1:13" x14ac:dyDescent="0.2">
      <c r="A225" s="9"/>
      <c r="E225" s="183"/>
    </row>
    <row r="226" spans="1:13" ht="13.5" thickBot="1" x14ac:dyDescent="0.25">
      <c r="A226" s="7" t="s">
        <v>159</v>
      </c>
      <c r="B226" s="3" t="s">
        <v>160</v>
      </c>
    </row>
    <row r="227" spans="1:13" x14ac:dyDescent="0.2">
      <c r="A227" s="9"/>
      <c r="B227" s="3"/>
      <c r="L227" s="176" t="s">
        <v>153</v>
      </c>
      <c r="M227" s="177"/>
    </row>
    <row r="228" spans="1:13" x14ac:dyDescent="0.2">
      <c r="A228" s="9"/>
      <c r="B228" s="3" t="s">
        <v>161</v>
      </c>
      <c r="L228" s="178"/>
      <c r="M228" s="179" t="s">
        <v>162</v>
      </c>
    </row>
    <row r="229" spans="1:13" x14ac:dyDescent="0.2">
      <c r="A229" s="9"/>
      <c r="B229" s="10" t="s">
        <v>163</v>
      </c>
      <c r="L229" s="178" t="s">
        <v>68</v>
      </c>
      <c r="M229" s="180">
        <v>70489.097820244235</v>
      </c>
    </row>
    <row r="230" spans="1:13" ht="13.5" thickBot="1" x14ac:dyDescent="0.25">
      <c r="A230" s="9"/>
      <c r="B230" s="3"/>
      <c r="L230" s="181" t="s">
        <v>61</v>
      </c>
      <c r="M230" s="182">
        <v>127426.92292694986</v>
      </c>
    </row>
    <row r="231" spans="1:13" x14ac:dyDescent="0.2">
      <c r="A231" s="9"/>
      <c r="C231" s="11" t="str">
        <f t="shared" ref="C231" si="43">+C6</f>
        <v>SC1/SC5</v>
      </c>
      <c r="D231" s="11" t="str">
        <f>+D6</f>
        <v>SC3</v>
      </c>
      <c r="E231" s="11" t="str">
        <f>+E6</f>
        <v>SC2 ND</v>
      </c>
      <c r="F231" s="11" t="str">
        <f>+F6</f>
        <v>SC4</v>
      </c>
      <c r="G231" s="11" t="str">
        <f>+G6</f>
        <v>SC6</v>
      </c>
    </row>
    <row r="232" spans="1:13" x14ac:dyDescent="0.2">
      <c r="A232" s="9"/>
      <c r="C232" s="12"/>
      <c r="D232" s="12"/>
      <c r="E232" s="12"/>
    </row>
    <row r="233" spans="1:13" x14ac:dyDescent="0.2">
      <c r="A233" s="9"/>
      <c r="B233" s="142" t="s">
        <v>63</v>
      </c>
      <c r="C233" s="13">
        <f>ROUND(+C181/$D$223,3)</f>
        <v>1.042</v>
      </c>
      <c r="D233" s="184"/>
      <c r="E233" s="13">
        <f>ROUND(+E181/$D$223,3)</f>
        <v>0.86599999999999999</v>
      </c>
      <c r="F233" s="13">
        <f>ROUND(+F181/$D$223,3)</f>
        <v>0.56899999999999995</v>
      </c>
      <c r="G233" s="13">
        <f>ROUND(+G181/$D$223,3)</f>
        <v>0.56899999999999995</v>
      </c>
      <c r="H233" s="184"/>
      <c r="I233" s="184"/>
      <c r="J233" s="184"/>
    </row>
    <row r="234" spans="1:13" x14ac:dyDescent="0.2">
      <c r="A234" s="9"/>
      <c r="B234" s="122" t="s">
        <v>78</v>
      </c>
      <c r="C234" s="184"/>
      <c r="D234" s="13">
        <f>ROUND(+D182/$D$223,3)</f>
        <v>1.6240000000000001</v>
      </c>
      <c r="E234" s="184"/>
      <c r="F234" s="184"/>
      <c r="G234" s="184"/>
      <c r="H234" s="184"/>
      <c r="I234" s="184"/>
      <c r="J234" s="184"/>
    </row>
    <row r="235" spans="1:13" x14ac:dyDescent="0.2">
      <c r="A235" s="9"/>
      <c r="B235" s="122" t="s">
        <v>79</v>
      </c>
      <c r="C235" s="184"/>
      <c r="D235" s="13">
        <f>ROUND(+D183/$D$223,3)</f>
        <v>0.754</v>
      </c>
      <c r="E235" s="184"/>
      <c r="F235" s="184"/>
      <c r="G235" s="184"/>
      <c r="H235" s="184"/>
      <c r="I235" s="184"/>
      <c r="J235" s="184"/>
    </row>
    <row r="236" spans="1:13" x14ac:dyDescent="0.2">
      <c r="A236" s="9"/>
      <c r="B236" s="122"/>
      <c r="C236" s="184"/>
      <c r="D236" s="21"/>
      <c r="E236" s="184"/>
      <c r="F236" s="184"/>
      <c r="G236" s="184"/>
      <c r="H236" s="184"/>
      <c r="I236" s="184"/>
      <c r="J236" s="184"/>
    </row>
    <row r="237" spans="1:13" x14ac:dyDescent="0.2">
      <c r="A237" s="9"/>
      <c r="B237" s="14"/>
      <c r="D237" s="21"/>
      <c r="E237" s="184"/>
      <c r="F237" s="184"/>
      <c r="G237" s="184"/>
      <c r="H237" s="184"/>
      <c r="I237" s="184"/>
      <c r="J237" s="184"/>
    </row>
    <row r="238" spans="1:13" x14ac:dyDescent="0.2">
      <c r="A238" s="9"/>
      <c r="B238" s="15" t="s">
        <v>164</v>
      </c>
      <c r="C238" s="16">
        <f>C184-C181</f>
        <v>-22.380765000000011</v>
      </c>
      <c r="D238" s="21"/>
      <c r="E238" s="184"/>
      <c r="F238" s="184"/>
      <c r="G238" s="184"/>
      <c r="H238" s="184"/>
      <c r="I238" s="184"/>
      <c r="J238" s="184"/>
    </row>
    <row r="239" spans="1:13" x14ac:dyDescent="0.2">
      <c r="A239" s="9"/>
      <c r="B239" s="15" t="s">
        <v>165</v>
      </c>
      <c r="C239" s="16">
        <f>C185-C181</f>
        <v>17.549234999999996</v>
      </c>
      <c r="D239" s="21"/>
      <c r="E239" s="184"/>
      <c r="F239" s="184"/>
      <c r="G239" s="184"/>
      <c r="H239" s="184"/>
      <c r="I239" s="184"/>
      <c r="J239" s="184"/>
    </row>
    <row r="240" spans="1:13" x14ac:dyDescent="0.2">
      <c r="A240" s="9"/>
      <c r="B240" s="184"/>
      <c r="C240" s="184"/>
      <c r="D240" s="21"/>
      <c r="E240" s="184"/>
      <c r="F240" s="184"/>
      <c r="G240" s="184"/>
      <c r="H240" s="184"/>
      <c r="I240" s="184"/>
      <c r="J240" s="184"/>
    </row>
    <row r="241" spans="1:10" x14ac:dyDescent="0.2">
      <c r="A241" s="9"/>
      <c r="C241" s="184"/>
      <c r="D241" s="184"/>
      <c r="E241" s="184"/>
      <c r="F241" s="184"/>
      <c r="G241" s="184"/>
      <c r="H241" s="184"/>
      <c r="I241" s="184"/>
      <c r="J241" s="184"/>
    </row>
    <row r="242" spans="1:10" x14ac:dyDescent="0.2">
      <c r="A242" s="9"/>
      <c r="B242" s="142" t="s">
        <v>69</v>
      </c>
      <c r="C242" s="13">
        <f>ROUND(+C188/$D$223,3)</f>
        <v>1.2030000000000001</v>
      </c>
      <c r="D242" s="185"/>
      <c r="E242" s="13">
        <f>ROUND(+E188/$D$223,3)</f>
        <v>0.89900000000000002</v>
      </c>
      <c r="F242" s="13">
        <f>ROUND(+F188/$D$223,3)</f>
        <v>0.63800000000000001</v>
      </c>
      <c r="G242" s="13">
        <f>ROUND(+G188/$D$223,3)</f>
        <v>0.63600000000000001</v>
      </c>
      <c r="H242" s="184"/>
      <c r="I242" s="184"/>
      <c r="J242" s="184"/>
    </row>
    <row r="243" spans="1:10" x14ac:dyDescent="0.2">
      <c r="A243" s="9"/>
      <c r="B243" s="122" t="s">
        <v>78</v>
      </c>
      <c r="C243" s="184"/>
      <c r="D243" s="13">
        <f>ROUND(+D189/$D$223,3)</f>
        <v>1.758</v>
      </c>
      <c r="E243" s="184"/>
      <c r="F243" s="184"/>
      <c r="G243" s="184"/>
      <c r="H243" s="184"/>
      <c r="I243" s="184"/>
      <c r="J243" s="184"/>
    </row>
    <row r="244" spans="1:10" x14ac:dyDescent="0.2">
      <c r="A244" s="9"/>
      <c r="B244" s="122" t="s">
        <v>79</v>
      </c>
      <c r="C244" s="184"/>
      <c r="D244" s="13">
        <f>ROUND(+D190/$D$223,3)</f>
        <v>0.83</v>
      </c>
      <c r="E244" s="184"/>
      <c r="F244" s="184"/>
      <c r="G244" s="184"/>
      <c r="H244" s="184"/>
      <c r="I244" s="184"/>
      <c r="J244" s="184"/>
    </row>
    <row r="245" spans="1:10" x14ac:dyDescent="0.2">
      <c r="A245" s="9"/>
      <c r="C245" s="184"/>
      <c r="D245" s="184"/>
      <c r="E245" s="184"/>
      <c r="F245" s="184"/>
      <c r="G245" s="184"/>
      <c r="H245" s="184"/>
      <c r="I245" s="184"/>
      <c r="J245" s="184"/>
    </row>
    <row r="246" spans="1:10" x14ac:dyDescent="0.2">
      <c r="A246" s="9"/>
      <c r="B246" s="6" t="s">
        <v>166</v>
      </c>
      <c r="C246" s="185">
        <f t="shared" ref="C246" si="44">ROUND(+C192/$D$223,3)</f>
        <v>1.133</v>
      </c>
      <c r="D246" s="185">
        <f>ROUND(+D192/$D$223,3)</f>
        <v>1.121</v>
      </c>
      <c r="E246" s="185">
        <f>ROUND(+E192/$D$223,3)</f>
        <v>0.89</v>
      </c>
      <c r="F246" s="185">
        <f>ROUND(+F192/$D$223,3)</f>
        <v>0.61899999999999999</v>
      </c>
      <c r="G246" s="185">
        <f>ROUND(+G192/$D$223,3)</f>
        <v>0.61599999999999999</v>
      </c>
      <c r="H246" s="184"/>
      <c r="I246" s="184"/>
      <c r="J246" s="184"/>
    </row>
    <row r="247" spans="1:10" x14ac:dyDescent="0.2">
      <c r="A247" s="9"/>
    </row>
    <row r="248" spans="1:10" x14ac:dyDescent="0.2">
      <c r="A248" s="7" t="s">
        <v>159</v>
      </c>
      <c r="B248" s="104" t="s">
        <v>139</v>
      </c>
    </row>
    <row r="249" spans="1:10" x14ac:dyDescent="0.2">
      <c r="A249" s="7"/>
      <c r="B249" s="104"/>
    </row>
    <row r="250" spans="1:10" x14ac:dyDescent="0.2">
      <c r="A250" s="9"/>
      <c r="B250" s="3" t="s">
        <v>167</v>
      </c>
    </row>
    <row r="251" spans="1:10" x14ac:dyDescent="0.2">
      <c r="A251" s="9"/>
      <c r="B251" s="10" t="s">
        <v>168</v>
      </c>
    </row>
    <row r="252" spans="1:10" x14ac:dyDescent="0.2">
      <c r="A252" s="9"/>
    </row>
    <row r="253" spans="1:10" x14ac:dyDescent="0.2">
      <c r="A253" s="9"/>
      <c r="C253" s="14" t="str">
        <f>+H6</f>
        <v>SC2 Dem</v>
      </c>
      <c r="D253" s="14" t="str">
        <f>+C253</f>
        <v>SC2 Dem</v>
      </c>
      <c r="E253" s="12"/>
      <c r="F253" s="12"/>
      <c r="G253" s="17" t="s">
        <v>131</v>
      </c>
    </row>
    <row r="254" spans="1:10" x14ac:dyDescent="0.2">
      <c r="A254" s="9"/>
      <c r="C254" s="11" t="s">
        <v>169</v>
      </c>
      <c r="D254" s="11" t="s">
        <v>170</v>
      </c>
      <c r="E254" s="12"/>
      <c r="F254" s="12"/>
      <c r="G254" s="155"/>
    </row>
    <row r="255" spans="1:10" x14ac:dyDescent="0.2">
      <c r="A255" s="9"/>
      <c r="B255" s="142" t="s">
        <v>63</v>
      </c>
      <c r="C255" s="13">
        <f>ROUND(+C210/$D$223,3)</f>
        <v>0.97499999999999998</v>
      </c>
      <c r="D255" s="123">
        <f>+C198-C210</f>
        <v>-30.815473059918915</v>
      </c>
      <c r="F255" s="162"/>
      <c r="G255" s="19" t="s">
        <v>132</v>
      </c>
    </row>
    <row r="256" spans="1:10" x14ac:dyDescent="0.2">
      <c r="A256" s="9"/>
      <c r="B256" s="186"/>
      <c r="C256" s="184"/>
      <c r="D256" s="3"/>
      <c r="E256" s="21"/>
      <c r="F256" s="22"/>
      <c r="G256" s="155"/>
    </row>
    <row r="257" spans="1:10" x14ac:dyDescent="0.2">
      <c r="A257" s="9"/>
      <c r="B257" s="122"/>
      <c r="C257" s="184"/>
      <c r="D257" s="3"/>
      <c r="E257" s="21"/>
      <c r="F257" s="22"/>
      <c r="G257" s="155"/>
      <c r="H257" s="11"/>
      <c r="I257" s="14" t="s">
        <v>133</v>
      </c>
      <c r="J257" s="14" t="s">
        <v>134</v>
      </c>
    </row>
    <row r="258" spans="1:10" x14ac:dyDescent="0.2">
      <c r="A258" s="9"/>
      <c r="C258" s="184"/>
      <c r="D258" s="3"/>
      <c r="E258" s="184"/>
      <c r="F258" s="22"/>
      <c r="G258" s="155"/>
    </row>
    <row r="259" spans="1:10" x14ac:dyDescent="0.2">
      <c r="A259" s="9"/>
      <c r="B259" s="142" t="s">
        <v>69</v>
      </c>
      <c r="C259" s="13">
        <f>ROUND(+C214/$D$223,3)</f>
        <v>1.0780000000000001</v>
      </c>
      <c r="D259" s="123">
        <f>+C202-C214</f>
        <v>-33.889466562602038</v>
      </c>
      <c r="E259" s="21"/>
      <c r="F259" s="22"/>
      <c r="G259" s="187" t="s">
        <v>97</v>
      </c>
      <c r="H259" s="173"/>
      <c r="I259" s="160">
        <f>M213</f>
        <v>1.9039999999999999</v>
      </c>
      <c r="J259" s="160">
        <f>N213</f>
        <v>4.6710000000000003</v>
      </c>
    </row>
    <row r="260" spans="1:10" x14ac:dyDescent="0.2">
      <c r="A260" s="9"/>
      <c r="B260" s="186"/>
      <c r="C260" s="184"/>
      <c r="E260" s="21"/>
      <c r="F260" s="22"/>
      <c r="G260" s="187" t="s">
        <v>103</v>
      </c>
      <c r="H260" s="173"/>
      <c r="I260" s="160">
        <f>M214</f>
        <v>2.577</v>
      </c>
      <c r="J260" s="160">
        <f>N214</f>
        <v>5.0090000000000003</v>
      </c>
    </row>
    <row r="261" spans="1:10" x14ac:dyDescent="0.2">
      <c r="A261" s="9"/>
      <c r="B261" s="122"/>
      <c r="C261" s="184"/>
      <c r="E261" s="21"/>
      <c r="F261" s="22"/>
      <c r="G261" s="187"/>
      <c r="H261" s="160"/>
      <c r="I261" s="98"/>
    </row>
    <row r="262" spans="1:10" x14ac:dyDescent="0.2">
      <c r="A262" s="9"/>
      <c r="C262" s="184"/>
      <c r="E262" s="184"/>
      <c r="G262" s="23" t="s">
        <v>135</v>
      </c>
    </row>
    <row r="263" spans="1:10" x14ac:dyDescent="0.2">
      <c r="A263" s="9"/>
      <c r="B263" s="6" t="s">
        <v>150</v>
      </c>
      <c r="C263" s="185">
        <f>ROUND(+C218/$D$223,3)</f>
        <v>0.97599999999999998</v>
      </c>
      <c r="E263" s="184"/>
      <c r="G263" s="187" t="s">
        <v>137</v>
      </c>
      <c r="H263" s="173">
        <f>+G206</f>
        <v>3.545666666666667</v>
      </c>
      <c r="I263" s="98" t="s">
        <v>138</v>
      </c>
    </row>
    <row r="264" spans="1:10" x14ac:dyDescent="0.2">
      <c r="A264" s="9"/>
      <c r="C264" s="184"/>
      <c r="E264" s="184"/>
    </row>
    <row r="265" spans="1:10" x14ac:dyDescent="0.2">
      <c r="A265" s="9"/>
      <c r="C265" s="184"/>
      <c r="E265" s="184"/>
    </row>
    <row r="266" spans="1:10" x14ac:dyDescent="0.2">
      <c r="A266" s="7" t="s">
        <v>171</v>
      </c>
      <c r="B266" s="5" t="s">
        <v>172</v>
      </c>
    </row>
    <row r="267" spans="1:10" x14ac:dyDescent="0.2">
      <c r="A267" s="9"/>
      <c r="B267" s="3"/>
    </row>
    <row r="268" spans="1:10" x14ac:dyDescent="0.2">
      <c r="A268" s="9"/>
      <c r="B268" s="3" t="s">
        <v>161</v>
      </c>
    </row>
    <row r="269" spans="1:10" x14ac:dyDescent="0.2">
      <c r="A269" s="9"/>
      <c r="B269" s="78" t="s">
        <v>173</v>
      </c>
    </row>
    <row r="270" spans="1:10" x14ac:dyDescent="0.2">
      <c r="A270" s="9"/>
      <c r="B270" s="10" t="s">
        <v>60</v>
      </c>
    </row>
    <row r="271" spans="1:10" x14ac:dyDescent="0.2">
      <c r="A271" s="9"/>
      <c r="C271" s="11" t="str">
        <f t="shared" ref="C271" si="45">+C6</f>
        <v>SC1/SC5</v>
      </c>
      <c r="D271" s="11" t="str">
        <f>+D6</f>
        <v>SC3</v>
      </c>
      <c r="E271" s="11" t="str">
        <f>+E6</f>
        <v>SC2 ND</v>
      </c>
      <c r="F271" s="11" t="str">
        <f>+F6</f>
        <v>SC4</v>
      </c>
      <c r="G271" s="11" t="str">
        <f>+G6</f>
        <v>SC6</v>
      </c>
    </row>
    <row r="272" spans="1:10" x14ac:dyDescent="0.2">
      <c r="A272" s="9"/>
      <c r="C272" s="12"/>
      <c r="D272" s="160"/>
      <c r="E272" s="12"/>
    </row>
    <row r="273" spans="1:9" x14ac:dyDescent="0.2">
      <c r="A273" s="9"/>
      <c r="B273" s="142" t="s">
        <v>63</v>
      </c>
      <c r="C273" s="172">
        <f t="shared" ref="C273" si="46">C181-C$167</f>
        <v>62.564374615068118</v>
      </c>
      <c r="D273" s="172">
        <f>D181-D$167</f>
        <v>63.790808914188062</v>
      </c>
      <c r="E273" s="172">
        <f>E181-E$167</f>
        <v>56.562632008718246</v>
      </c>
      <c r="F273" s="172">
        <f>F181-F$167</f>
        <v>43.469282854504669</v>
      </c>
      <c r="G273" s="172">
        <f>G181-G$167</f>
        <v>43.4479193301758</v>
      </c>
      <c r="H273" s="160"/>
    </row>
    <row r="274" spans="1:9" x14ac:dyDescent="0.2">
      <c r="A274" s="9"/>
      <c r="B274" s="122" t="s">
        <v>78</v>
      </c>
      <c r="C274" s="160"/>
      <c r="D274" s="172">
        <f>D182-D$167</f>
        <v>106.04353386414951</v>
      </c>
      <c r="E274" s="160"/>
      <c r="F274" s="160"/>
      <c r="G274" s="160"/>
    </row>
    <row r="275" spans="1:9" x14ac:dyDescent="0.2">
      <c r="A275" s="9"/>
      <c r="B275" s="122" t="s">
        <v>79</v>
      </c>
      <c r="C275" s="160"/>
      <c r="D275" s="172">
        <f>D183-D$167</f>
        <v>39.623966955321961</v>
      </c>
      <c r="E275" s="160"/>
      <c r="F275" s="160"/>
      <c r="G275" s="160"/>
    </row>
    <row r="276" spans="1:9" x14ac:dyDescent="0.2">
      <c r="A276" s="9"/>
      <c r="B276" s="33" t="s">
        <v>127</v>
      </c>
      <c r="C276" s="160">
        <f>(C273*SUM(C49:C52)-C158*10*E157*SUM(C49:C52))/SUM(C49:C52)</f>
        <v>40.183609615068107</v>
      </c>
      <c r="D276" s="172"/>
      <c r="E276" s="160"/>
      <c r="F276" s="160"/>
      <c r="G276" s="160"/>
    </row>
    <row r="277" spans="1:9" x14ac:dyDescent="0.2">
      <c r="A277" s="9"/>
      <c r="B277" s="33" t="s">
        <v>128</v>
      </c>
      <c r="C277" s="160">
        <f>C276+C158*10</f>
        <v>80.113609615068114</v>
      </c>
      <c r="D277" s="172"/>
      <c r="E277" s="160"/>
      <c r="F277" s="160"/>
      <c r="G277" s="160"/>
    </row>
    <row r="278" spans="1:9" x14ac:dyDescent="0.2">
      <c r="A278" s="9"/>
      <c r="B278" s="160"/>
      <c r="C278" s="160"/>
      <c r="D278" s="172"/>
      <c r="E278" s="160"/>
      <c r="F278" s="160"/>
      <c r="G278" s="160"/>
    </row>
    <row r="279" spans="1:9" x14ac:dyDescent="0.2">
      <c r="A279" s="9"/>
      <c r="C279" s="160"/>
      <c r="D279" s="160"/>
      <c r="E279" s="160"/>
      <c r="F279" s="160"/>
      <c r="G279" s="160"/>
    </row>
    <row r="280" spans="1:9" x14ac:dyDescent="0.2">
      <c r="A280" s="9"/>
      <c r="B280" s="142" t="s">
        <v>69</v>
      </c>
      <c r="C280" s="172">
        <f t="shared" ref="C280" si="47">C188-C$167</f>
        <v>74.864366908614414</v>
      </c>
      <c r="D280" s="172">
        <f>D188-D$167</f>
        <v>70.051079546979878</v>
      </c>
      <c r="E280" s="172">
        <f>E188-E$167</f>
        <v>59.063082157550703</v>
      </c>
      <c r="F280" s="172">
        <f>F188-F$167</f>
        <v>48.727116473118187</v>
      </c>
      <c r="G280" s="172">
        <f>G188-G$167</f>
        <v>48.513814309468231</v>
      </c>
      <c r="H280" s="160"/>
    </row>
    <row r="281" spans="1:9" x14ac:dyDescent="0.2">
      <c r="A281" s="9"/>
      <c r="B281" s="122" t="s">
        <v>78</v>
      </c>
      <c r="C281" s="160"/>
      <c r="D281" s="172">
        <f>D189-D$167</f>
        <v>116.23967015753767</v>
      </c>
      <c r="E281" s="160"/>
      <c r="F281" s="160"/>
      <c r="G281" s="160"/>
    </row>
    <row r="282" spans="1:9" x14ac:dyDescent="0.2">
      <c r="A282" s="9"/>
      <c r="B282" s="122" t="s">
        <v>79</v>
      </c>
      <c r="C282" s="160"/>
      <c r="D282" s="172">
        <f>D190-D$167</f>
        <v>45.420889948419429</v>
      </c>
      <c r="E282" s="160"/>
      <c r="F282" s="160"/>
      <c r="G282" s="160"/>
    </row>
    <row r="283" spans="1:9" x14ac:dyDescent="0.2">
      <c r="A283" s="9"/>
      <c r="C283" s="160"/>
      <c r="D283" s="160"/>
      <c r="E283" s="160"/>
      <c r="F283" s="160"/>
      <c r="G283" s="160"/>
    </row>
    <row r="284" spans="1:9" x14ac:dyDescent="0.2">
      <c r="A284" s="9"/>
      <c r="B284" s="6" t="s">
        <v>129</v>
      </c>
      <c r="C284" s="172">
        <f t="shared" ref="C284" si="48">C192-C$167</f>
        <v>69.46974112024823</v>
      </c>
      <c r="D284" s="172">
        <f>D192-D$167</f>
        <v>67.648022906439721</v>
      </c>
      <c r="E284" s="172">
        <f>E192-E$167</f>
        <v>58.340564580145418</v>
      </c>
      <c r="F284" s="172">
        <f>F192-F$167</f>
        <v>47.26866876434876</v>
      </c>
      <c r="G284" s="172">
        <f>G192-G$167</f>
        <v>47.022059078713717</v>
      </c>
      <c r="H284" s="160"/>
    </row>
    <row r="285" spans="1:9" x14ac:dyDescent="0.2">
      <c r="A285" s="9"/>
      <c r="C285" s="160"/>
      <c r="D285" s="160"/>
      <c r="E285" s="160"/>
      <c r="F285" s="160"/>
      <c r="G285" s="160"/>
      <c r="H285" s="160"/>
      <c r="I285" s="160"/>
    </row>
    <row r="286" spans="1:9" x14ac:dyDescent="0.2">
      <c r="A286" s="7" t="s">
        <v>171</v>
      </c>
      <c r="B286" s="104" t="s">
        <v>139</v>
      </c>
      <c r="C286" s="160"/>
      <c r="D286" s="160"/>
      <c r="E286" s="160"/>
      <c r="F286" s="160"/>
      <c r="G286" s="160"/>
      <c r="H286" s="160"/>
      <c r="I286" s="160"/>
    </row>
    <row r="287" spans="1:9" x14ac:dyDescent="0.2">
      <c r="A287" s="9"/>
      <c r="C287" s="160"/>
      <c r="D287" s="160"/>
      <c r="E287" s="160"/>
      <c r="F287" s="160"/>
      <c r="G287" s="160"/>
      <c r="H287" s="160"/>
      <c r="I287" s="160"/>
    </row>
    <row r="288" spans="1:9" x14ac:dyDescent="0.2">
      <c r="A288" s="9"/>
      <c r="B288" s="3" t="s">
        <v>167</v>
      </c>
    </row>
    <row r="289" spans="1:12" x14ac:dyDescent="0.2">
      <c r="A289" s="9"/>
      <c r="B289" s="78" t="s">
        <v>174</v>
      </c>
    </row>
    <row r="290" spans="1:12" x14ac:dyDescent="0.2">
      <c r="A290" s="9"/>
      <c r="B290" s="9" t="s">
        <v>175</v>
      </c>
    </row>
    <row r="291" spans="1:12" x14ac:dyDescent="0.2">
      <c r="A291" s="9"/>
      <c r="B291" s="9"/>
    </row>
    <row r="292" spans="1:12" x14ac:dyDescent="0.2">
      <c r="A292" s="9"/>
      <c r="C292" s="11" t="str">
        <f>+H6</f>
        <v>SC2 Dem</v>
      </c>
      <c r="D292" s="12"/>
      <c r="E292" s="12"/>
      <c r="G292" s="3" t="s">
        <v>131</v>
      </c>
    </row>
    <row r="293" spans="1:12" x14ac:dyDescent="0.2">
      <c r="A293" s="9"/>
      <c r="C293" s="12"/>
      <c r="D293" s="12"/>
      <c r="F293" s="3"/>
    </row>
    <row r="294" spans="1:12" x14ac:dyDescent="0.2">
      <c r="A294" s="9"/>
      <c r="B294" s="142" t="s">
        <v>63</v>
      </c>
      <c r="C294" s="160">
        <f>C198</f>
        <v>43.585944577864282</v>
      </c>
      <c r="D294" s="160"/>
      <c r="G294" s="31" t="s">
        <v>132</v>
      </c>
    </row>
    <row r="295" spans="1:12" x14ac:dyDescent="0.2">
      <c r="A295" s="9"/>
      <c r="B295" s="122"/>
      <c r="C295" s="160"/>
      <c r="D295" s="160"/>
    </row>
    <row r="296" spans="1:12" x14ac:dyDescent="0.2">
      <c r="A296" s="9"/>
      <c r="B296" s="122"/>
      <c r="C296" s="160"/>
      <c r="D296" s="160"/>
      <c r="H296" s="11"/>
      <c r="I296" s="11" t="str">
        <f t="shared" ref="I296:J296" si="49">I257</f>
        <v>&lt; 5 kW</v>
      </c>
      <c r="J296" s="11" t="str">
        <f t="shared" si="49"/>
        <v>&gt; 5 kW</v>
      </c>
    </row>
    <row r="297" spans="1:12" x14ac:dyDescent="0.2">
      <c r="A297" s="9"/>
      <c r="C297" s="160"/>
      <c r="D297" s="160"/>
    </row>
    <row r="298" spans="1:12" x14ac:dyDescent="0.2">
      <c r="A298" s="9"/>
      <c r="B298" s="142" t="s">
        <v>69</v>
      </c>
      <c r="C298" s="160">
        <f>C202</f>
        <v>48.418675828837138</v>
      </c>
      <c r="D298" s="160"/>
      <c r="G298" s="33" t="s">
        <v>97</v>
      </c>
      <c r="H298" s="173"/>
      <c r="I298" s="173">
        <f t="shared" ref="I298:J299" si="50">I259</f>
        <v>1.9039999999999999</v>
      </c>
      <c r="J298" s="173">
        <f t="shared" si="50"/>
        <v>4.6710000000000003</v>
      </c>
    </row>
    <row r="299" spans="1:12" x14ac:dyDescent="0.2">
      <c r="A299" s="9"/>
      <c r="B299" s="122"/>
      <c r="C299" s="160"/>
      <c r="D299" s="160"/>
      <c r="G299" s="33" t="s">
        <v>103</v>
      </c>
      <c r="H299" s="173"/>
      <c r="I299" s="173">
        <f t="shared" si="50"/>
        <v>2.577</v>
      </c>
      <c r="J299" s="173">
        <f t="shared" si="50"/>
        <v>5.0090000000000003</v>
      </c>
    </row>
    <row r="300" spans="1:12" x14ac:dyDescent="0.2">
      <c r="A300" s="9"/>
      <c r="B300" s="122"/>
      <c r="C300" s="160"/>
      <c r="D300" s="160"/>
    </row>
    <row r="301" spans="1:12" x14ac:dyDescent="0.2">
      <c r="A301" s="9"/>
      <c r="B301" s="122"/>
      <c r="C301" s="160"/>
      <c r="D301" s="160"/>
      <c r="G301" s="51"/>
      <c r="I301" s="98"/>
    </row>
    <row r="302" spans="1:12" ht="13.5" thickBot="1" x14ac:dyDescent="0.25">
      <c r="A302" s="9"/>
      <c r="B302" s="6" t="s">
        <v>136</v>
      </c>
      <c r="C302" s="160">
        <f>C206</f>
        <v>46.634299134620697</v>
      </c>
      <c r="D302" s="160"/>
      <c r="G302" s="33"/>
      <c r="H302" s="163"/>
      <c r="I302" s="98"/>
    </row>
    <row r="303" spans="1:12" x14ac:dyDescent="0.2">
      <c r="A303" s="9"/>
      <c r="C303" s="160"/>
      <c r="D303" s="160"/>
      <c r="K303" s="176" t="s">
        <v>153</v>
      </c>
      <c r="L303" s="177"/>
    </row>
    <row r="304" spans="1:12" x14ac:dyDescent="0.2">
      <c r="A304" s="9"/>
      <c r="B304" s="124" t="s">
        <v>176</v>
      </c>
      <c r="C304" s="160"/>
      <c r="D304" s="160"/>
      <c r="E304" s="162"/>
      <c r="K304" s="178"/>
      <c r="L304" s="179" t="s">
        <v>156</v>
      </c>
    </row>
    <row r="305" spans="1:14" x14ac:dyDescent="0.2">
      <c r="A305" s="9"/>
      <c r="B305" s="142" t="s">
        <v>63</v>
      </c>
      <c r="C305" s="172">
        <f>(C294*Q48+($I298*($L$305/4*H144))+($J298*($L$305/4*H144)))/Q48</f>
        <v>62.847739199198429</v>
      </c>
      <c r="D305" s="172"/>
      <c r="E305" s="103"/>
      <c r="K305" s="178" t="s">
        <v>68</v>
      </c>
      <c r="L305" s="180">
        <v>319914.10217975575</v>
      </c>
    </row>
    <row r="306" spans="1:14" ht="13.5" thickBot="1" x14ac:dyDescent="0.25">
      <c r="A306" s="9"/>
      <c r="B306" s="122"/>
      <c r="C306" s="160"/>
      <c r="D306" s="172"/>
      <c r="K306" s="181" t="s">
        <v>61</v>
      </c>
      <c r="L306" s="182">
        <v>500782.22707305016</v>
      </c>
      <c r="N306" s="172"/>
    </row>
    <row r="307" spans="1:14" x14ac:dyDescent="0.2">
      <c r="A307" s="9"/>
      <c r="B307" s="122"/>
      <c r="C307" s="160"/>
      <c r="D307" s="172"/>
      <c r="N307" s="160"/>
    </row>
    <row r="308" spans="1:14" x14ac:dyDescent="0.2">
      <c r="A308" s="9"/>
      <c r="C308" s="160"/>
      <c r="D308" s="160"/>
      <c r="N308" s="160"/>
    </row>
    <row r="309" spans="1:14" x14ac:dyDescent="0.2">
      <c r="A309" s="9"/>
      <c r="B309" s="142" t="s">
        <v>69</v>
      </c>
      <c r="C309" s="172">
        <f>(C298*Q44+($I299*($L$306/8*H145))+($J299*($L$306/8*H145)))/Q44</f>
        <v>68.782081590809625</v>
      </c>
      <c r="D309" s="172"/>
      <c r="N309" s="160"/>
    </row>
    <row r="310" spans="1:14" x14ac:dyDescent="0.2">
      <c r="A310" s="9"/>
      <c r="B310" s="122"/>
      <c r="C310" s="160"/>
      <c r="D310" s="172"/>
      <c r="N310" s="172"/>
    </row>
    <row r="311" spans="1:14" x14ac:dyDescent="0.2">
      <c r="A311" s="9"/>
      <c r="B311" s="122"/>
      <c r="C311" s="160"/>
      <c r="D311" s="172"/>
      <c r="N311" s="160"/>
    </row>
    <row r="312" spans="1:14" x14ac:dyDescent="0.2">
      <c r="A312" s="9"/>
      <c r="B312" s="122"/>
      <c r="C312" s="160"/>
      <c r="D312" s="160"/>
      <c r="N312" s="160"/>
    </row>
    <row r="313" spans="1:14" x14ac:dyDescent="0.2">
      <c r="A313" s="9"/>
      <c r="B313" s="6" t="s">
        <v>150</v>
      </c>
      <c r="C313" s="172">
        <f>(C302*H56+($I298*($L$305/4*H144)+($J298*($L$305/4*H144))+($I299*($L$306/8*H145))+($J299*($L$306/8*H145))))/H56</f>
        <v>66.590959902228235</v>
      </c>
      <c r="D313" s="172"/>
      <c r="N313" s="160"/>
    </row>
    <row r="314" spans="1:14" x14ac:dyDescent="0.2">
      <c r="A314" s="9"/>
      <c r="C314" s="164"/>
      <c r="D314" s="164"/>
      <c r="N314" s="172"/>
    </row>
    <row r="315" spans="1:14" x14ac:dyDescent="0.2">
      <c r="A315" s="9"/>
      <c r="B315" s="3" t="s">
        <v>151</v>
      </c>
      <c r="C315" s="160"/>
      <c r="D315" s="160"/>
    </row>
    <row r="316" spans="1:14" x14ac:dyDescent="0.2">
      <c r="A316" s="9"/>
      <c r="B316" s="33" t="s">
        <v>152</v>
      </c>
      <c r="C316" s="175">
        <f>(+SUMPRODUCT(C284:G284,C56:G56)+SUMPRODUCT(C313,H56))/1000</f>
        <v>66597.827297325188</v>
      </c>
    </row>
    <row r="317" spans="1:14" x14ac:dyDescent="0.2">
      <c r="A317" s="9"/>
      <c r="C317" s="33" t="s">
        <v>154</v>
      </c>
      <c r="D317" s="172">
        <f>+C316/SUM(C56:H56)*1000</f>
        <v>68.177440018124145</v>
      </c>
      <c r="E317" s="6" t="s">
        <v>155</v>
      </c>
    </row>
    <row r="318" spans="1:14" x14ac:dyDescent="0.2">
      <c r="A318" s="9"/>
      <c r="C318" s="33" t="s">
        <v>177</v>
      </c>
      <c r="D318" s="172">
        <f>+C316/SUMPRODUCT(C56:H56,C81:H81)*1000</f>
        <v>63.369252623217356</v>
      </c>
      <c r="E318" s="6" t="s">
        <v>178</v>
      </c>
    </row>
    <row r="319" spans="1:14" x14ac:dyDescent="0.2">
      <c r="A319" s="9"/>
    </row>
    <row r="320" spans="1:14" x14ac:dyDescent="0.2">
      <c r="A320" s="7" t="s">
        <v>179</v>
      </c>
      <c r="B320" s="5" t="s">
        <v>180</v>
      </c>
    </row>
    <row r="321" spans="1:10" x14ac:dyDescent="0.2">
      <c r="A321" s="9"/>
      <c r="B321" s="3"/>
    </row>
    <row r="322" spans="1:10" x14ac:dyDescent="0.2">
      <c r="A322" s="9"/>
      <c r="B322" s="3" t="s">
        <v>161</v>
      </c>
    </row>
    <row r="323" spans="1:10" x14ac:dyDescent="0.2">
      <c r="A323" s="9"/>
      <c r="B323" s="10" t="s">
        <v>163</v>
      </c>
    </row>
    <row r="324" spans="1:10" x14ac:dyDescent="0.2">
      <c r="A324" s="9"/>
      <c r="B324" s="3"/>
    </row>
    <row r="325" spans="1:10" x14ac:dyDescent="0.2">
      <c r="A325" s="9"/>
      <c r="C325" s="11" t="str">
        <f t="shared" ref="C325" si="51">+C6</f>
        <v>SC1/SC5</v>
      </c>
      <c r="D325" s="11" t="str">
        <f>+D6</f>
        <v>SC3</v>
      </c>
      <c r="E325" s="11" t="str">
        <f>+E6</f>
        <v>SC2 ND</v>
      </c>
      <c r="F325" s="11" t="str">
        <f>+F6</f>
        <v>SC4</v>
      </c>
      <c r="G325" s="11" t="str">
        <f>+G6</f>
        <v>SC6</v>
      </c>
    </row>
    <row r="326" spans="1:10" x14ac:dyDescent="0.2">
      <c r="A326" s="9"/>
      <c r="C326" s="12"/>
      <c r="D326" s="12"/>
      <c r="E326" s="12"/>
    </row>
    <row r="327" spans="1:10" x14ac:dyDescent="0.2">
      <c r="A327" s="9"/>
      <c r="B327" s="142" t="s">
        <v>63</v>
      </c>
      <c r="C327" s="13">
        <f>ROUND(+C273/$D$318,3)</f>
        <v>0.98699999999999999</v>
      </c>
      <c r="D327" s="184"/>
      <c r="E327" s="13">
        <f>ROUND(+E273/$D$318,3)</f>
        <v>0.89300000000000002</v>
      </c>
      <c r="F327" s="13">
        <f>ROUND(+F273/$D$318,3)</f>
        <v>0.68600000000000005</v>
      </c>
      <c r="G327" s="13">
        <f>ROUND(+G273/$D$318,3)</f>
        <v>0.68600000000000005</v>
      </c>
      <c r="H327" s="184"/>
      <c r="I327" s="184"/>
      <c r="J327" s="184"/>
    </row>
    <row r="328" spans="1:10" x14ac:dyDescent="0.2">
      <c r="A328" s="9"/>
      <c r="B328" s="122" t="s">
        <v>78</v>
      </c>
      <c r="C328" s="184"/>
      <c r="D328" s="13">
        <f>ROUND(+D274/$D$318,3)</f>
        <v>1.673</v>
      </c>
      <c r="E328" s="184"/>
      <c r="F328" s="184"/>
      <c r="G328" s="184"/>
      <c r="H328" s="184"/>
      <c r="I328" s="184"/>
      <c r="J328" s="184"/>
    </row>
    <row r="329" spans="1:10" x14ac:dyDescent="0.2">
      <c r="A329" s="9"/>
      <c r="B329" s="122" t="s">
        <v>79</v>
      </c>
      <c r="C329" s="184"/>
      <c r="D329" s="13">
        <f>ROUND(+D275/$D$318,3)</f>
        <v>0.625</v>
      </c>
      <c r="E329" s="184"/>
      <c r="F329" s="184"/>
      <c r="G329" s="184"/>
      <c r="H329" s="184"/>
      <c r="I329" s="184"/>
      <c r="J329" s="184"/>
    </row>
    <row r="330" spans="1:10" x14ac:dyDescent="0.2">
      <c r="A330" s="9"/>
      <c r="C330" s="184"/>
      <c r="D330" s="184"/>
      <c r="E330" s="184"/>
      <c r="F330" s="184"/>
      <c r="G330" s="184"/>
      <c r="H330" s="184"/>
      <c r="I330" s="184"/>
      <c r="J330" s="184"/>
    </row>
    <row r="331" spans="1:10" x14ac:dyDescent="0.2">
      <c r="A331" s="9"/>
      <c r="B331" s="14"/>
      <c r="D331" s="184"/>
      <c r="E331" s="184"/>
      <c r="F331" s="184"/>
      <c r="G331" s="184"/>
      <c r="H331" s="184"/>
      <c r="I331" s="184"/>
      <c r="J331" s="184"/>
    </row>
    <row r="332" spans="1:10" x14ac:dyDescent="0.2">
      <c r="A332" s="9"/>
      <c r="B332" s="15" t="s">
        <v>164</v>
      </c>
      <c r="C332" s="16">
        <f>C276-C273</f>
        <v>-22.380765000000011</v>
      </c>
      <c r="D332" s="184"/>
      <c r="E332" s="184"/>
      <c r="F332" s="184"/>
      <c r="G332" s="184"/>
      <c r="H332" s="184"/>
      <c r="I332" s="184"/>
      <c r="J332" s="184"/>
    </row>
    <row r="333" spans="1:10" x14ac:dyDescent="0.2">
      <c r="A333" s="9"/>
      <c r="B333" s="15" t="s">
        <v>165</v>
      </c>
      <c r="C333" s="16">
        <f>C277-C273</f>
        <v>17.549234999999996</v>
      </c>
      <c r="D333" s="184"/>
      <c r="E333" s="184"/>
      <c r="F333" s="184"/>
      <c r="G333" s="184"/>
      <c r="H333" s="184"/>
      <c r="I333" s="184"/>
      <c r="J333" s="184"/>
    </row>
    <row r="334" spans="1:10" x14ac:dyDescent="0.2">
      <c r="A334" s="9"/>
      <c r="B334" s="184"/>
      <c r="C334" s="184"/>
      <c r="D334" s="184"/>
      <c r="E334" s="184"/>
      <c r="F334" s="184"/>
      <c r="G334" s="184"/>
      <c r="H334" s="184"/>
      <c r="I334" s="184"/>
      <c r="J334" s="184"/>
    </row>
    <row r="335" spans="1:10" x14ac:dyDescent="0.2">
      <c r="A335" s="9"/>
      <c r="C335" s="184"/>
      <c r="D335" s="184"/>
      <c r="E335" s="184"/>
      <c r="F335" s="184"/>
      <c r="G335" s="184"/>
      <c r="H335" s="184"/>
      <c r="I335" s="184"/>
      <c r="J335" s="184"/>
    </row>
    <row r="336" spans="1:10" x14ac:dyDescent="0.2">
      <c r="A336" s="9"/>
      <c r="B336" s="142" t="s">
        <v>69</v>
      </c>
      <c r="C336" s="13">
        <f>ROUND(+C280/$D$318,3)</f>
        <v>1.181</v>
      </c>
      <c r="D336" s="185"/>
      <c r="E336" s="13">
        <f>ROUND(+E280/$D$318,3)</f>
        <v>0.93200000000000005</v>
      </c>
      <c r="F336" s="13">
        <f>ROUND(+F280/$D$318,3)</f>
        <v>0.76900000000000002</v>
      </c>
      <c r="G336" s="13">
        <f>ROUND(+G280/$D$318,3)</f>
        <v>0.76600000000000001</v>
      </c>
      <c r="H336" s="184"/>
      <c r="I336" s="184"/>
      <c r="J336" s="184"/>
    </row>
    <row r="337" spans="1:10" x14ac:dyDescent="0.2">
      <c r="A337" s="9"/>
      <c r="B337" s="122" t="s">
        <v>78</v>
      </c>
      <c r="C337" s="184"/>
      <c r="D337" s="13">
        <f>ROUND(+D281/$D$318,3)</f>
        <v>1.8340000000000001</v>
      </c>
      <c r="E337" s="184"/>
      <c r="F337" s="184"/>
      <c r="G337" s="184"/>
      <c r="H337" s="184"/>
      <c r="I337" s="184"/>
      <c r="J337" s="184"/>
    </row>
    <row r="338" spans="1:10" x14ac:dyDescent="0.2">
      <c r="A338" s="9"/>
      <c r="B338" s="122" t="s">
        <v>79</v>
      </c>
      <c r="C338" s="184"/>
      <c r="D338" s="13">
        <f>ROUND(+D282/$D$318,3)</f>
        <v>0.71699999999999997</v>
      </c>
      <c r="E338" s="184"/>
      <c r="F338" s="184"/>
      <c r="G338" s="184"/>
      <c r="H338" s="184"/>
      <c r="I338" s="184"/>
      <c r="J338" s="184"/>
    </row>
    <row r="339" spans="1:10" x14ac:dyDescent="0.2">
      <c r="A339" s="9"/>
      <c r="C339" s="184"/>
      <c r="D339" s="184"/>
      <c r="E339" s="184"/>
      <c r="F339" s="184"/>
      <c r="G339" s="184"/>
      <c r="H339" s="184"/>
      <c r="I339" s="184"/>
      <c r="J339" s="184"/>
    </row>
    <row r="340" spans="1:10" x14ac:dyDescent="0.2">
      <c r="A340" s="9"/>
      <c r="B340" s="6" t="s">
        <v>166</v>
      </c>
      <c r="C340" s="185">
        <f>ROUND(+C284/$D$318,3)</f>
        <v>1.0960000000000001</v>
      </c>
      <c r="D340" s="185">
        <f>ROUND(+D284/$D$318,3)</f>
        <v>1.0680000000000001</v>
      </c>
      <c r="E340" s="185">
        <f>ROUND(,3)+E284/$D$318</f>
        <v>0.92064466859074934</v>
      </c>
      <c r="F340" s="185">
        <f>ROUND(+F284/$D$318,3)</f>
        <v>0.746</v>
      </c>
      <c r="G340" s="185">
        <f>ROUND(+G284/$D$318,3)</f>
        <v>0.74199999999999999</v>
      </c>
      <c r="H340" s="184"/>
      <c r="I340" s="184"/>
      <c r="J340" s="184"/>
    </row>
    <row r="341" spans="1:10" x14ac:dyDescent="0.2">
      <c r="A341" s="9"/>
    </row>
    <row r="342" spans="1:10" x14ac:dyDescent="0.2">
      <c r="A342" s="9"/>
    </row>
    <row r="343" spans="1:10" x14ac:dyDescent="0.2">
      <c r="A343" s="9"/>
      <c r="B343" s="3" t="s">
        <v>167</v>
      </c>
    </row>
    <row r="344" spans="1:10" x14ac:dyDescent="0.2">
      <c r="A344" s="9"/>
      <c r="B344" s="10" t="s">
        <v>181</v>
      </c>
    </row>
    <row r="345" spans="1:10" x14ac:dyDescent="0.2">
      <c r="A345" s="9"/>
    </row>
    <row r="346" spans="1:10" x14ac:dyDescent="0.2">
      <c r="A346" s="9"/>
      <c r="C346" s="14" t="str">
        <f>+H6</f>
        <v>SC2 Dem</v>
      </c>
      <c r="D346" s="14" t="str">
        <f>+C346</f>
        <v>SC2 Dem</v>
      </c>
      <c r="E346" s="12"/>
      <c r="F346" s="12"/>
      <c r="G346" s="17" t="s">
        <v>131</v>
      </c>
    </row>
    <row r="347" spans="1:10" x14ac:dyDescent="0.2">
      <c r="A347" s="9"/>
      <c r="C347" s="11" t="s">
        <v>169</v>
      </c>
      <c r="D347" s="18" t="s">
        <v>170</v>
      </c>
      <c r="E347" s="12"/>
      <c r="F347" s="12"/>
      <c r="G347" s="155"/>
    </row>
    <row r="348" spans="1:10" x14ac:dyDescent="0.2">
      <c r="A348" s="9"/>
      <c r="B348" s="142" t="s">
        <v>63</v>
      </c>
      <c r="C348" s="13">
        <f>ROUND(+C305/$D$318,3)</f>
        <v>0.99199999999999999</v>
      </c>
      <c r="D348" s="20">
        <f>C294-C305</f>
        <v>-19.261794621334147</v>
      </c>
      <c r="F348" s="162"/>
      <c r="G348" s="19" t="s">
        <v>132</v>
      </c>
    </row>
    <row r="349" spans="1:10" x14ac:dyDescent="0.2">
      <c r="A349" s="9"/>
      <c r="B349" s="122"/>
      <c r="C349" s="185"/>
      <c r="D349" s="20"/>
      <c r="E349" s="21"/>
      <c r="F349" s="22"/>
      <c r="G349" s="155"/>
    </row>
    <row r="350" spans="1:10" x14ac:dyDescent="0.2">
      <c r="A350" s="9"/>
      <c r="B350" s="122"/>
      <c r="C350" s="185"/>
      <c r="D350" s="20"/>
      <c r="E350" s="21"/>
      <c r="F350" s="22"/>
      <c r="G350" s="155"/>
      <c r="H350" s="11"/>
      <c r="I350" s="11" t="str">
        <f t="shared" ref="I350:J350" si="52">I296</f>
        <v>&lt; 5 kW</v>
      </c>
      <c r="J350" s="11" t="str">
        <f t="shared" si="52"/>
        <v>&gt; 5 kW</v>
      </c>
    </row>
    <row r="351" spans="1:10" x14ac:dyDescent="0.2">
      <c r="A351" s="9"/>
      <c r="C351" s="185"/>
      <c r="D351" s="20"/>
      <c r="E351" s="184"/>
      <c r="F351" s="22"/>
      <c r="G351" s="155"/>
    </row>
    <row r="352" spans="1:10" x14ac:dyDescent="0.2">
      <c r="A352" s="9"/>
      <c r="B352" s="142" t="s">
        <v>69</v>
      </c>
      <c r="C352" s="13">
        <f>ROUND(+C309/$D$318,3)</f>
        <v>1.085</v>
      </c>
      <c r="D352" s="20">
        <f>C298-C309</f>
        <v>-20.363405761972487</v>
      </c>
      <c r="E352" s="21"/>
      <c r="F352" s="22"/>
      <c r="G352" s="187" t="s">
        <v>97</v>
      </c>
      <c r="H352" s="173"/>
      <c r="I352" s="173">
        <f t="shared" ref="I352:J353" si="53">I298</f>
        <v>1.9039999999999999</v>
      </c>
      <c r="J352" s="173">
        <f t="shared" si="53"/>
        <v>4.6710000000000003</v>
      </c>
    </row>
    <row r="353" spans="1:13" x14ac:dyDescent="0.2">
      <c r="A353" s="9"/>
      <c r="B353" s="122"/>
      <c r="C353" s="185"/>
      <c r="D353" s="188"/>
      <c r="E353" s="21"/>
      <c r="F353" s="22"/>
      <c r="G353" s="187" t="s">
        <v>103</v>
      </c>
      <c r="H353" s="173"/>
      <c r="I353" s="173">
        <f t="shared" si="53"/>
        <v>2.577</v>
      </c>
      <c r="J353" s="173">
        <f t="shared" si="53"/>
        <v>5.0090000000000003</v>
      </c>
    </row>
    <row r="354" spans="1:13" x14ac:dyDescent="0.2">
      <c r="A354" s="9"/>
      <c r="B354" s="122"/>
      <c r="C354" s="185"/>
      <c r="D354" s="188"/>
      <c r="E354" s="21"/>
      <c r="F354" s="22"/>
      <c r="G354" s="187"/>
      <c r="H354" s="160"/>
      <c r="I354" s="98"/>
    </row>
    <row r="355" spans="1:13" x14ac:dyDescent="0.2">
      <c r="A355" s="9"/>
      <c r="C355" s="185"/>
      <c r="D355" s="188"/>
      <c r="E355" s="184"/>
      <c r="G355" s="23"/>
    </row>
    <row r="356" spans="1:13" x14ac:dyDescent="0.2">
      <c r="A356" s="9"/>
      <c r="B356" s="6" t="s">
        <v>150</v>
      </c>
      <c r="C356" s="13">
        <f>ROUND(+C313/$D$318,3)</f>
        <v>1.0509999999999999</v>
      </c>
      <c r="D356" s="188"/>
      <c r="E356" s="184"/>
      <c r="G356" s="187"/>
      <c r="H356" s="160"/>
      <c r="I356" s="98"/>
    </row>
    <row r="357" spans="1:13" x14ac:dyDescent="0.2">
      <c r="A357" s="9"/>
    </row>
    <row r="358" spans="1:13" x14ac:dyDescent="0.2">
      <c r="A358" s="9"/>
      <c r="C358" s="184"/>
      <c r="E358" s="184"/>
    </row>
    <row r="359" spans="1:13" x14ac:dyDescent="0.2">
      <c r="A359" s="7" t="s">
        <v>182</v>
      </c>
      <c r="B359" s="3" t="s">
        <v>183</v>
      </c>
    </row>
    <row r="360" spans="1:13" x14ac:dyDescent="0.2">
      <c r="A360" s="9"/>
      <c r="B360" s="3"/>
    </row>
    <row r="361" spans="1:13" x14ac:dyDescent="0.2">
      <c r="A361" s="9"/>
      <c r="C361" s="11" t="str">
        <f t="shared" ref="C361:H361" si="54">C6</f>
        <v>SC1/SC5</v>
      </c>
      <c r="D361" s="11" t="str">
        <f t="shared" si="54"/>
        <v>SC3</v>
      </c>
      <c r="E361" s="11" t="str">
        <f t="shared" si="54"/>
        <v>SC2 ND</v>
      </c>
      <c r="F361" s="11" t="str">
        <f t="shared" si="54"/>
        <v>SC4</v>
      </c>
      <c r="G361" s="11" t="str">
        <f t="shared" si="54"/>
        <v>SC6</v>
      </c>
      <c r="H361" s="11" t="str">
        <f t="shared" si="54"/>
        <v>SC2 Dem</v>
      </c>
      <c r="I361" s="12"/>
      <c r="J361" s="12"/>
    </row>
    <row r="362" spans="1:13" x14ac:dyDescent="0.2">
      <c r="A362" s="9"/>
      <c r="B362" s="6" t="s">
        <v>184</v>
      </c>
      <c r="L362" s="162"/>
      <c r="M362" s="162"/>
    </row>
    <row r="363" spans="1:13" x14ac:dyDescent="0.2">
      <c r="A363" s="9"/>
      <c r="B363" s="159" t="s">
        <v>68</v>
      </c>
      <c r="C363" s="175">
        <f>(C184*SUM(C49:C52)*E156+C185*SUM(C49:C52)*E157)/1000</f>
        <v>22832.520676361197</v>
      </c>
      <c r="D363" s="161">
        <f>+D181*SUM(D49:D52)/1000</f>
        <v>7.9671708376372736</v>
      </c>
      <c r="E363" s="161">
        <f>+E181*SUM(E49:E52)/1000</f>
        <v>308.32387085603159</v>
      </c>
      <c r="F363" s="161">
        <f>+F181*SUM(F49:F52)/1000</f>
        <v>62.356686254786943</v>
      </c>
      <c r="G363" s="161">
        <f>+G181*SUM(G49:G52)/1000</f>
        <v>66.171181139857737</v>
      </c>
      <c r="H363" s="175">
        <v>7649.9121044228796</v>
      </c>
      <c r="I363" s="175"/>
      <c r="J363" s="161"/>
      <c r="L363" s="162"/>
      <c r="M363" s="162"/>
    </row>
    <row r="364" spans="1:13" x14ac:dyDescent="0.2">
      <c r="A364" s="9"/>
      <c r="B364" s="159" t="s">
        <v>61</v>
      </c>
      <c r="C364" s="175">
        <f t="shared" ref="C364" si="55">+C188*SUM(C44:C48,C53:C55)/1000</f>
        <v>33745.123036262026</v>
      </c>
      <c r="D364" s="161">
        <f>+D188*SUM(D44:D48,D53:D55)/1000</f>
        <v>13.768062980598414</v>
      </c>
      <c r="E364" s="161">
        <f>+E188*SUM(E44:E48,E53:E55)/1000</f>
        <v>787.39203808003458</v>
      </c>
      <c r="F364" s="161">
        <f>+F188*SUM(F44:F48,F53:F55)/1000</f>
        <v>182.09323426004266</v>
      </c>
      <c r="G364" s="161">
        <f>+G188*SUM(G44:G48,G53:G55)/1000</f>
        <v>177.02690841524958</v>
      </c>
      <c r="H364" s="175">
        <v>14393.015764369837</v>
      </c>
      <c r="I364" s="175"/>
      <c r="J364" s="161"/>
    </row>
    <row r="365" spans="1:13" x14ac:dyDescent="0.2">
      <c r="A365" s="9"/>
      <c r="B365" s="159" t="s">
        <v>35</v>
      </c>
      <c r="C365" s="189">
        <f>+C364+C363</f>
        <v>56577.643712623219</v>
      </c>
      <c r="D365" s="42">
        <f t="shared" ref="D365:H365" si="56">+D364+D363</f>
        <v>21.735233818235688</v>
      </c>
      <c r="E365" s="42">
        <f t="shared" si="56"/>
        <v>1095.7159089360662</v>
      </c>
      <c r="F365" s="42">
        <f t="shared" si="56"/>
        <v>244.44992051482961</v>
      </c>
      <c r="G365" s="161">
        <f t="shared" si="56"/>
        <v>243.19808955510732</v>
      </c>
      <c r="H365" s="161">
        <f t="shared" si="56"/>
        <v>22042.927868792714</v>
      </c>
      <c r="I365" s="161"/>
      <c r="J365" s="161"/>
    </row>
    <row r="366" spans="1:13" x14ac:dyDescent="0.2">
      <c r="A366" s="9"/>
      <c r="B366" s="159"/>
    </row>
    <row r="367" spans="1:13" x14ac:dyDescent="0.2">
      <c r="A367" s="9"/>
      <c r="B367" s="6" t="s">
        <v>185</v>
      </c>
    </row>
    <row r="368" spans="1:13" x14ac:dyDescent="0.2">
      <c r="A368" s="9"/>
      <c r="B368" s="159" t="s">
        <v>68</v>
      </c>
      <c r="C368" s="147">
        <f t="shared" ref="C368:H368" si="57">+C363/C365</f>
        <v>0.40356082682296224</v>
      </c>
      <c r="D368" s="147">
        <f t="shared" si="57"/>
        <v>0.36655556154877345</v>
      </c>
      <c r="E368" s="147">
        <f t="shared" si="57"/>
        <v>0.28139033881091707</v>
      </c>
      <c r="F368" s="147">
        <f t="shared" si="57"/>
        <v>0.25508982012945292</v>
      </c>
      <c r="G368" s="147">
        <f t="shared" si="57"/>
        <v>0.27208758613567857</v>
      </c>
      <c r="H368" s="147">
        <f t="shared" si="57"/>
        <v>0.34704609795748803</v>
      </c>
      <c r="I368" s="147"/>
      <c r="J368" s="147"/>
    </row>
    <row r="369" spans="1:14" x14ac:dyDescent="0.2">
      <c r="A369" s="9"/>
      <c r="B369" s="159" t="s">
        <v>61</v>
      </c>
      <c r="C369" s="147">
        <f t="shared" ref="C369:H369" si="58">+C364/C365</f>
        <v>0.59643917317703787</v>
      </c>
      <c r="D369" s="147">
        <f t="shared" si="58"/>
        <v>0.63344443845122655</v>
      </c>
      <c r="E369" s="147">
        <f t="shared" si="58"/>
        <v>0.71860966118908298</v>
      </c>
      <c r="F369" s="147">
        <f t="shared" si="58"/>
        <v>0.74491017987054708</v>
      </c>
      <c r="G369" s="147">
        <f t="shared" si="58"/>
        <v>0.72791241386432137</v>
      </c>
      <c r="H369" s="147">
        <f t="shared" si="58"/>
        <v>0.65295390204251202</v>
      </c>
      <c r="I369" s="147"/>
      <c r="J369" s="147"/>
    </row>
    <row r="370" spans="1:14" x14ac:dyDescent="0.2">
      <c r="A370" s="9"/>
    </row>
    <row r="371" spans="1:14" x14ac:dyDescent="0.2">
      <c r="A371" s="9"/>
      <c r="B371" s="6" t="s">
        <v>186</v>
      </c>
    </row>
    <row r="372" spans="1:14" x14ac:dyDescent="0.2">
      <c r="A372" s="9"/>
      <c r="B372" s="159" t="s">
        <v>68</v>
      </c>
      <c r="C372" s="190">
        <f>+SUM(C363:H363)</f>
        <v>30927.251689872392</v>
      </c>
    </row>
    <row r="373" spans="1:14" x14ac:dyDescent="0.2">
      <c r="A373" s="9"/>
      <c r="B373" s="159" t="s">
        <v>61</v>
      </c>
      <c r="C373" s="190">
        <f>+SUM(C364:H364)</f>
        <v>49298.41904436778</v>
      </c>
    </row>
    <row r="374" spans="1:14" x14ac:dyDescent="0.2">
      <c r="A374" s="9"/>
      <c r="B374" s="159" t="s">
        <v>35</v>
      </c>
      <c r="C374" s="42">
        <f>+C373+C372</f>
        <v>80225.670734240179</v>
      </c>
    </row>
    <row r="375" spans="1:14" x14ac:dyDescent="0.2">
      <c r="A375" s="9"/>
    </row>
    <row r="376" spans="1:14" x14ac:dyDescent="0.2">
      <c r="A376" s="9"/>
      <c r="B376" s="6" t="s">
        <v>187</v>
      </c>
      <c r="D376" s="6" t="s">
        <v>188</v>
      </c>
      <c r="I376" s="262" t="s">
        <v>189</v>
      </c>
      <c r="J376" s="262"/>
    </row>
    <row r="377" spans="1:14" x14ac:dyDescent="0.2">
      <c r="A377" s="9"/>
      <c r="B377" s="159" t="s">
        <v>68</v>
      </c>
      <c r="C377" s="147">
        <f>+C372/C374</f>
        <v>0.38550318628464508</v>
      </c>
      <c r="E377" s="172">
        <f>+C372/SUMPRODUCT(L48:Q48,C81:H81)*1000</f>
        <v>71.168301244917942</v>
      </c>
      <c r="F377" s="6" t="s">
        <v>190</v>
      </c>
      <c r="I377" s="159" t="s">
        <v>68</v>
      </c>
      <c r="J377" s="125">
        <f>ROUND(E377/$D$223,4)</f>
        <v>0.93230000000000002</v>
      </c>
      <c r="K377" s="125"/>
    </row>
    <row r="378" spans="1:14" x14ac:dyDescent="0.2">
      <c r="A378" s="9"/>
      <c r="B378" s="159" t="s">
        <v>61</v>
      </c>
      <c r="C378" s="147">
        <f>+C373/C374</f>
        <v>0.61449681371535481</v>
      </c>
      <c r="E378" s="172">
        <f>+C373/SUMPRODUCT(L44:Q44,C81:H81)*1000</f>
        <v>79.980093241438723</v>
      </c>
      <c r="F378" s="6" t="s">
        <v>190</v>
      </c>
      <c r="I378" s="159" t="s">
        <v>61</v>
      </c>
      <c r="J378" s="125">
        <f>ROUND(E378/$D$223,4)</f>
        <v>1.0477000000000001</v>
      </c>
      <c r="K378" s="125"/>
    </row>
    <row r="379" spans="1:14" x14ac:dyDescent="0.2">
      <c r="A379" s="9"/>
    </row>
    <row r="380" spans="1:14" x14ac:dyDescent="0.2">
      <c r="A380" s="9"/>
      <c r="C380" s="184"/>
      <c r="E380" s="184"/>
    </row>
    <row r="381" spans="1:14" ht="13.5" thickBot="1" x14ac:dyDescent="0.25">
      <c r="A381" s="7" t="s">
        <v>191</v>
      </c>
      <c r="B381" s="5" t="s">
        <v>192</v>
      </c>
    </row>
    <row r="382" spans="1:14" x14ac:dyDescent="0.2">
      <c r="A382" s="9"/>
      <c r="B382" s="3"/>
      <c r="K382" s="176" t="s">
        <v>153</v>
      </c>
      <c r="L382" s="177"/>
    </row>
    <row r="383" spans="1:14" x14ac:dyDescent="0.2">
      <c r="A383" s="9"/>
      <c r="C383" s="11" t="str">
        <f t="shared" ref="C383:H383" si="59">C6</f>
        <v>SC1/SC5</v>
      </c>
      <c r="D383" s="11" t="str">
        <f t="shared" si="59"/>
        <v>SC3</v>
      </c>
      <c r="E383" s="11" t="str">
        <f t="shared" si="59"/>
        <v>SC2 ND</v>
      </c>
      <c r="F383" s="11" t="str">
        <f t="shared" si="59"/>
        <v>SC4</v>
      </c>
      <c r="G383" s="11" t="str">
        <f t="shared" si="59"/>
        <v>SC6</v>
      </c>
      <c r="H383" s="11" t="str">
        <f t="shared" si="59"/>
        <v>SC2 Dem</v>
      </c>
      <c r="I383" s="11"/>
      <c r="J383" s="12"/>
      <c r="K383" s="178"/>
      <c r="L383" s="179" t="s">
        <v>162</v>
      </c>
    </row>
    <row r="384" spans="1:14" x14ac:dyDescent="0.2">
      <c r="A384" s="9"/>
      <c r="B384" s="6" t="s">
        <v>184</v>
      </c>
      <c r="K384" s="178" t="s">
        <v>68</v>
      </c>
      <c r="L384" s="180">
        <v>70489.097820244235</v>
      </c>
      <c r="N384" s="175">
        <v>8429.1397260492577</v>
      </c>
    </row>
    <row r="385" spans="1:14" ht="13.5" thickBot="1" x14ac:dyDescent="0.25">
      <c r="A385" s="9"/>
      <c r="B385" s="159" t="s">
        <v>68</v>
      </c>
      <c r="C385" s="175">
        <f>(C276*SUM(C49:C52)*E156+C277*SUM(C49:C52)*E157)/1000</f>
        <v>17955.068331092629</v>
      </c>
      <c r="D385" s="175">
        <f>+D273*SUM(D49:D52)/1000</f>
        <v>6.2196038691333362</v>
      </c>
      <c r="E385" s="175">
        <f>+E273*SUM(E49:E52)/1000</f>
        <v>263.69499042464452</v>
      </c>
      <c r="F385" s="175">
        <f>+F273*SUM(F49:F52)/1000</f>
        <v>62.356686254786943</v>
      </c>
      <c r="G385" s="175">
        <f>+G273*SUM(G49:G52)/1000</f>
        <v>66.171181139857737</v>
      </c>
      <c r="H385" s="175">
        <f>(C294*SUM(H49:H52)/1000)+($I298*($L$384/4*H144)/1000)+($J298*($L$389/4*H144)/1000)</f>
        <v>6388.2220777562125</v>
      </c>
      <c r="I385" s="175"/>
      <c r="J385" s="175"/>
      <c r="K385" s="181" t="s">
        <v>61</v>
      </c>
      <c r="L385" s="182">
        <v>127426.92292694986</v>
      </c>
      <c r="N385" s="175">
        <v>15486.148409442889</v>
      </c>
    </row>
    <row r="386" spans="1:14" ht="13.5" thickBot="1" x14ac:dyDescent="0.25">
      <c r="A386" s="9"/>
      <c r="B386" s="159" t="s">
        <v>61</v>
      </c>
      <c r="C386" s="175">
        <f t="shared" ref="C386" si="60">+C280*SUM(C44:C48,C53:C55)/1000</f>
        <v>27501.762073530594</v>
      </c>
      <c r="D386" s="175">
        <f>+D280*SUM(D44:D48,D53:D55)/1000</f>
        <v>10.962993949102351</v>
      </c>
      <c r="E386" s="175">
        <f>+E280*SUM(E44:E48,E53:E55)/1000</f>
        <v>677.57167851142162</v>
      </c>
      <c r="F386" s="175">
        <f>+F280*SUM(F44:F48,F53:F55)/1000</f>
        <v>182.09323426004266</v>
      </c>
      <c r="G386" s="175">
        <f>+G280*SUM(G44:G48,G53:G55)/1000</f>
        <v>177.02690841524958</v>
      </c>
      <c r="H386" s="175">
        <f>(C298*SUM(H44:H48,H53:H55)/1000)+($I299*($L$385/8*H145)/1000)+($J299*($L$390/8*H145)/1000)</f>
        <v>11869.635711036502</v>
      </c>
      <c r="I386" s="175"/>
      <c r="J386" s="175"/>
      <c r="N386" s="175">
        <v>23915.288135492148</v>
      </c>
    </row>
    <row r="387" spans="1:14" x14ac:dyDescent="0.2">
      <c r="A387" s="9"/>
      <c r="B387" s="159" t="s">
        <v>35</v>
      </c>
      <c r="C387" s="42">
        <f t="shared" ref="C387:H387" si="61">+C386+C385</f>
        <v>45456.830404623222</v>
      </c>
      <c r="D387" s="42">
        <f t="shared" si="61"/>
        <v>17.182597818235688</v>
      </c>
      <c r="E387" s="42">
        <f t="shared" si="61"/>
        <v>941.26666893606614</v>
      </c>
      <c r="F387" s="42">
        <f t="shared" si="61"/>
        <v>244.44992051482961</v>
      </c>
      <c r="G387" s="161">
        <f t="shared" si="61"/>
        <v>243.19808955510732</v>
      </c>
      <c r="H387" s="161">
        <f t="shared" si="61"/>
        <v>18257.857788792717</v>
      </c>
      <c r="I387" s="161"/>
      <c r="J387" s="161"/>
      <c r="K387" s="176" t="s">
        <v>153</v>
      </c>
      <c r="L387" s="177"/>
    </row>
    <row r="388" spans="1:14" x14ac:dyDescent="0.2">
      <c r="A388" s="9"/>
      <c r="B388" s="159"/>
      <c r="K388" s="178"/>
      <c r="L388" s="179" t="s">
        <v>156</v>
      </c>
    </row>
    <row r="389" spans="1:14" x14ac:dyDescent="0.2">
      <c r="A389" s="9"/>
      <c r="B389" s="6" t="s">
        <v>185</v>
      </c>
      <c r="K389" s="178" t="s">
        <v>68</v>
      </c>
      <c r="L389" s="180">
        <v>319914.10217975575</v>
      </c>
    </row>
    <row r="390" spans="1:14" ht="13.5" thickBot="1" x14ac:dyDescent="0.25">
      <c r="A390" s="9"/>
      <c r="B390" s="159" t="s">
        <v>68</v>
      </c>
      <c r="C390" s="147">
        <f t="shared" ref="C390:H390" si="62">+C385/C387</f>
        <v>0.39499164748773363</v>
      </c>
      <c r="D390" s="147">
        <f t="shared" si="62"/>
        <v>0.36197110209566474</v>
      </c>
      <c r="E390" s="147">
        <f t="shared" si="62"/>
        <v>0.28014907903060521</v>
      </c>
      <c r="F390" s="147">
        <f t="shared" si="62"/>
        <v>0.25508982012945292</v>
      </c>
      <c r="G390" s="147">
        <f t="shared" si="62"/>
        <v>0.27208758613567857</v>
      </c>
      <c r="H390" s="147">
        <f t="shared" si="62"/>
        <v>0.34988891641370529</v>
      </c>
      <c r="I390" s="147"/>
      <c r="J390" s="147"/>
      <c r="K390" s="181" t="s">
        <v>61</v>
      </c>
      <c r="L390" s="182">
        <v>500782.22707305016</v>
      </c>
    </row>
    <row r="391" spans="1:14" x14ac:dyDescent="0.2">
      <c r="A391" s="9"/>
      <c r="B391" s="159" t="s">
        <v>61</v>
      </c>
      <c r="C391" s="147">
        <f t="shared" ref="C391:H391" si="63">+C386/C387</f>
        <v>0.60500835251226637</v>
      </c>
      <c r="D391" s="147">
        <f t="shared" si="63"/>
        <v>0.63802889790433526</v>
      </c>
      <c r="E391" s="147">
        <f t="shared" si="63"/>
        <v>0.71985092096939474</v>
      </c>
      <c r="F391" s="147">
        <f t="shared" si="63"/>
        <v>0.74491017987054708</v>
      </c>
      <c r="G391" s="147">
        <f t="shared" si="63"/>
        <v>0.72791241386432137</v>
      </c>
      <c r="H391" s="147">
        <f t="shared" si="63"/>
        <v>0.65011108358629466</v>
      </c>
      <c r="I391" s="147"/>
      <c r="J391" s="147"/>
    </row>
    <row r="392" spans="1:14" x14ac:dyDescent="0.2">
      <c r="A392" s="9"/>
    </row>
    <row r="393" spans="1:14" x14ac:dyDescent="0.2">
      <c r="A393" s="9"/>
      <c r="B393" s="6" t="s">
        <v>186</v>
      </c>
    </row>
    <row r="394" spans="1:14" x14ac:dyDescent="0.2">
      <c r="A394" s="9"/>
      <c r="B394" s="159" t="s">
        <v>68</v>
      </c>
      <c r="C394" s="190">
        <f>+SUM(C385:H385)</f>
        <v>24741.732870537264</v>
      </c>
    </row>
    <row r="395" spans="1:14" x14ac:dyDescent="0.2">
      <c r="A395" s="9"/>
      <c r="B395" s="159" t="s">
        <v>61</v>
      </c>
      <c r="C395" s="190">
        <f>+SUM(C386:H386)</f>
        <v>40419.052599702911</v>
      </c>
    </row>
    <row r="396" spans="1:14" x14ac:dyDescent="0.2">
      <c r="A396" s="9"/>
      <c r="B396" s="159" t="s">
        <v>35</v>
      </c>
      <c r="C396" s="42">
        <f>+C395+C394</f>
        <v>65160.785470240175</v>
      </c>
    </row>
    <row r="397" spans="1:14" x14ac:dyDescent="0.2">
      <c r="A397" s="9"/>
    </row>
    <row r="398" spans="1:14" x14ac:dyDescent="0.2">
      <c r="A398" s="9"/>
      <c r="B398" s="6" t="s">
        <v>187</v>
      </c>
      <c r="D398" s="6" t="s">
        <v>188</v>
      </c>
      <c r="I398" s="262" t="s">
        <v>189</v>
      </c>
      <c r="J398" s="262"/>
    </row>
    <row r="399" spans="1:14" x14ac:dyDescent="0.2">
      <c r="A399" s="9"/>
      <c r="B399" s="159" t="s">
        <v>68</v>
      </c>
      <c r="C399" s="147">
        <f>+C394/C396</f>
        <v>0.37970280272077372</v>
      </c>
      <c r="E399" s="172">
        <f>+C394/SUMPRODUCT(L48:Q48,C81:H81)*1000</f>
        <v>56.934483409927246</v>
      </c>
      <c r="F399" s="6" t="s">
        <v>190</v>
      </c>
      <c r="I399" s="159" t="s">
        <v>68</v>
      </c>
      <c r="J399" s="125">
        <f>ROUND(E399/$D$318,4)</f>
        <v>0.89849999999999997</v>
      </c>
      <c r="K399" s="126"/>
    </row>
    <row r="400" spans="1:14" x14ac:dyDescent="0.2">
      <c r="A400" s="9"/>
      <c r="B400" s="159" t="s">
        <v>61</v>
      </c>
      <c r="C400" s="147">
        <f>+C395/C396</f>
        <v>0.62029719727922628</v>
      </c>
      <c r="E400" s="172">
        <f>+C395/SUMPRODUCT(L44:Q44,C81:H81)*1000</f>
        <v>65.574508439012206</v>
      </c>
      <c r="F400" s="6" t="s">
        <v>190</v>
      </c>
      <c r="I400" s="159" t="s">
        <v>61</v>
      </c>
      <c r="J400" s="125">
        <f>ROUND(E400/$D$318,4)</f>
        <v>1.0347999999999999</v>
      </c>
      <c r="K400" s="126"/>
    </row>
    <row r="401" spans="1:10" x14ac:dyDescent="0.2">
      <c r="A401" s="9"/>
    </row>
    <row r="402" spans="1:10" x14ac:dyDescent="0.2">
      <c r="C402" s="42"/>
      <c r="D402" s="42"/>
      <c r="E402" s="42"/>
      <c r="F402" s="42"/>
      <c r="G402" s="42"/>
      <c r="H402" s="42"/>
      <c r="I402" s="42"/>
      <c r="J402" s="42"/>
    </row>
    <row r="403" spans="1:10" x14ac:dyDescent="0.2">
      <c r="A403" s="7" t="s">
        <v>193</v>
      </c>
      <c r="B403" s="3" t="s">
        <v>194</v>
      </c>
    </row>
    <row r="404" spans="1:10" x14ac:dyDescent="0.2">
      <c r="A404" s="7"/>
    </row>
    <row r="405" spans="1:10" x14ac:dyDescent="0.2">
      <c r="A405" s="7"/>
      <c r="E405" s="130"/>
      <c r="F405" s="3" t="s">
        <v>195</v>
      </c>
      <c r="I405" s="5" t="s">
        <v>196</v>
      </c>
    </row>
    <row r="406" spans="1:10" x14ac:dyDescent="0.2">
      <c r="B406" s="5" t="s">
        <v>197</v>
      </c>
      <c r="E406" s="130"/>
      <c r="F406" s="3" t="s">
        <v>198</v>
      </c>
      <c r="I406" s="5" t="s">
        <v>199</v>
      </c>
    </row>
    <row r="407" spans="1:10" x14ac:dyDescent="0.2">
      <c r="A407" s="9"/>
      <c r="B407" s="10" t="s">
        <v>60</v>
      </c>
      <c r="C407" s="33"/>
      <c r="D407" s="14" t="s">
        <v>200</v>
      </c>
      <c r="E407" s="191"/>
      <c r="F407" s="10" t="s">
        <v>60</v>
      </c>
      <c r="I407" s="4" t="s">
        <v>201</v>
      </c>
    </row>
    <row r="408" spans="1:10" x14ac:dyDescent="0.2">
      <c r="A408" s="9"/>
      <c r="C408" s="11" t="s">
        <v>48</v>
      </c>
      <c r="D408" s="11" t="s">
        <v>202</v>
      </c>
      <c r="E408" s="127" t="s">
        <v>49</v>
      </c>
      <c r="F408" s="11" t="s">
        <v>48</v>
      </c>
      <c r="G408" s="11" t="s">
        <v>49</v>
      </c>
      <c r="I408" s="11" t="s">
        <v>48</v>
      </c>
      <c r="J408" s="11" t="s">
        <v>49</v>
      </c>
    </row>
    <row r="409" spans="1:10" x14ac:dyDescent="0.2">
      <c r="A409" s="9"/>
      <c r="B409" s="142" t="s">
        <v>13</v>
      </c>
      <c r="C409" s="94">
        <v>42.8</v>
      </c>
      <c r="D409" s="128">
        <v>0.7833</v>
      </c>
      <c r="E409" s="129">
        <f>ROUND(C409*D409,2)</f>
        <v>33.53</v>
      </c>
      <c r="F409" s="147">
        <v>0.97</v>
      </c>
      <c r="G409" s="147">
        <v>0.98</v>
      </c>
      <c r="I409" s="94">
        <f t="shared" ref="I409:I420" si="64">ROUND(C409*F409,2)</f>
        <v>41.52</v>
      </c>
      <c r="J409" s="94">
        <f t="shared" ref="J409:J420" si="65">ROUND(E409*G409,2)</f>
        <v>32.86</v>
      </c>
    </row>
    <row r="410" spans="1:10" x14ac:dyDescent="0.2">
      <c r="A410" s="9"/>
      <c r="B410" s="142" t="s">
        <v>14</v>
      </c>
      <c r="C410" s="94">
        <v>39.85</v>
      </c>
      <c r="D410" s="128">
        <f>D409</f>
        <v>0.7833</v>
      </c>
      <c r="E410" s="129">
        <f>ROUND(C410*D410,2)</f>
        <v>31.21</v>
      </c>
      <c r="F410" s="192">
        <f>F409</f>
        <v>0.97</v>
      </c>
      <c r="G410" s="192">
        <f>G409</f>
        <v>0.98</v>
      </c>
      <c r="I410" s="94">
        <f t="shared" si="64"/>
        <v>38.65</v>
      </c>
      <c r="J410" s="94">
        <f t="shared" si="65"/>
        <v>30.59</v>
      </c>
    </row>
    <row r="411" spans="1:10" x14ac:dyDescent="0.2">
      <c r="A411" s="9"/>
      <c r="B411" s="142" t="s">
        <v>15</v>
      </c>
      <c r="C411" s="94">
        <v>32.049999999999997</v>
      </c>
      <c r="D411" s="128">
        <f>D409</f>
        <v>0.7833</v>
      </c>
      <c r="E411" s="129">
        <f t="shared" ref="E411:E420" si="66">ROUND(C411*D411,2)</f>
        <v>25.1</v>
      </c>
      <c r="F411" s="192">
        <f>F409</f>
        <v>0.97</v>
      </c>
      <c r="G411" s="192">
        <f>G409</f>
        <v>0.98</v>
      </c>
      <c r="I411" s="94">
        <f t="shared" si="64"/>
        <v>31.09</v>
      </c>
      <c r="J411" s="94">
        <f t="shared" si="65"/>
        <v>24.6</v>
      </c>
    </row>
    <row r="412" spans="1:10" x14ac:dyDescent="0.2">
      <c r="A412" s="9"/>
      <c r="B412" s="142" t="s">
        <v>16</v>
      </c>
      <c r="C412" s="94">
        <v>27.35</v>
      </c>
      <c r="D412" s="128">
        <f>D409</f>
        <v>0.7833</v>
      </c>
      <c r="E412" s="129">
        <f t="shared" si="66"/>
        <v>21.42</v>
      </c>
      <c r="F412" s="192">
        <f>F409</f>
        <v>0.97</v>
      </c>
      <c r="G412" s="192">
        <f>G409</f>
        <v>0.98</v>
      </c>
      <c r="I412" s="94">
        <f t="shared" si="64"/>
        <v>26.53</v>
      </c>
      <c r="J412" s="94">
        <f t="shared" si="65"/>
        <v>20.99</v>
      </c>
    </row>
    <row r="413" spans="1:10" x14ac:dyDescent="0.2">
      <c r="A413" s="9"/>
      <c r="B413" s="142" t="s">
        <v>17</v>
      </c>
      <c r="C413" s="94">
        <v>27.15</v>
      </c>
      <c r="D413" s="128">
        <f>D409</f>
        <v>0.7833</v>
      </c>
      <c r="E413" s="129">
        <f t="shared" si="66"/>
        <v>21.27</v>
      </c>
      <c r="F413" s="192">
        <f>F409</f>
        <v>0.97</v>
      </c>
      <c r="G413" s="192">
        <f>G409</f>
        <v>0.98</v>
      </c>
      <c r="I413" s="94">
        <f t="shared" si="64"/>
        <v>26.34</v>
      </c>
      <c r="J413" s="94">
        <f t="shared" si="65"/>
        <v>20.84</v>
      </c>
    </row>
    <row r="414" spans="1:10" x14ac:dyDescent="0.2">
      <c r="A414" s="9"/>
      <c r="B414" s="142" t="s">
        <v>18</v>
      </c>
      <c r="C414" s="94">
        <v>28.1</v>
      </c>
      <c r="D414" s="128">
        <v>0.68389999999999995</v>
      </c>
      <c r="E414" s="129">
        <f t="shared" si="66"/>
        <v>19.22</v>
      </c>
      <c r="F414" s="147">
        <v>0.95</v>
      </c>
      <c r="G414" s="147">
        <v>0.92</v>
      </c>
      <c r="I414" s="94">
        <f t="shared" si="64"/>
        <v>26.7</v>
      </c>
      <c r="J414" s="94">
        <f t="shared" si="65"/>
        <v>17.68</v>
      </c>
    </row>
    <row r="415" spans="1:10" x14ac:dyDescent="0.2">
      <c r="A415" s="9"/>
      <c r="B415" s="142" t="s">
        <v>19</v>
      </c>
      <c r="C415" s="94">
        <v>32.1</v>
      </c>
      <c r="D415" s="128">
        <f>D414</f>
        <v>0.68389999999999995</v>
      </c>
      <c r="E415" s="129">
        <f t="shared" si="66"/>
        <v>21.95</v>
      </c>
      <c r="F415" s="192">
        <f>F414</f>
        <v>0.95</v>
      </c>
      <c r="G415" s="192">
        <f>G414</f>
        <v>0.92</v>
      </c>
      <c r="I415" s="94">
        <f t="shared" si="64"/>
        <v>30.5</v>
      </c>
      <c r="J415" s="94">
        <f t="shared" si="65"/>
        <v>20.190000000000001</v>
      </c>
    </row>
    <row r="416" spans="1:10" x14ac:dyDescent="0.2">
      <c r="A416" s="9"/>
      <c r="B416" s="142" t="s">
        <v>20</v>
      </c>
      <c r="C416" s="94">
        <v>30</v>
      </c>
      <c r="D416" s="128">
        <f>D414</f>
        <v>0.68389999999999995</v>
      </c>
      <c r="E416" s="129">
        <f t="shared" si="66"/>
        <v>20.52</v>
      </c>
      <c r="F416" s="192">
        <f>F414</f>
        <v>0.95</v>
      </c>
      <c r="G416" s="192">
        <f>G414</f>
        <v>0.92</v>
      </c>
      <c r="I416" s="94">
        <f t="shared" si="64"/>
        <v>28.5</v>
      </c>
      <c r="J416" s="94">
        <f t="shared" si="65"/>
        <v>18.88</v>
      </c>
    </row>
    <row r="417" spans="1:19" x14ac:dyDescent="0.2">
      <c r="A417" s="9"/>
      <c r="B417" s="142" t="s">
        <v>21</v>
      </c>
      <c r="C417" s="94">
        <v>29.85</v>
      </c>
      <c r="D417" s="128">
        <f>D414</f>
        <v>0.68389999999999995</v>
      </c>
      <c r="E417" s="129">
        <f t="shared" si="66"/>
        <v>20.41</v>
      </c>
      <c r="F417" s="192">
        <f>F414</f>
        <v>0.95</v>
      </c>
      <c r="G417" s="192">
        <f>G414</f>
        <v>0.92</v>
      </c>
      <c r="I417" s="94">
        <f t="shared" si="64"/>
        <v>28.36</v>
      </c>
      <c r="J417" s="94">
        <f t="shared" si="65"/>
        <v>18.78</v>
      </c>
    </row>
    <row r="418" spans="1:19" x14ac:dyDescent="0.2">
      <c r="A418" s="9"/>
      <c r="B418" s="142" t="s">
        <v>22</v>
      </c>
      <c r="C418" s="94">
        <v>28.65</v>
      </c>
      <c r="D418" s="128">
        <f>D409</f>
        <v>0.7833</v>
      </c>
      <c r="E418" s="129">
        <f t="shared" si="66"/>
        <v>22.44</v>
      </c>
      <c r="F418" s="192">
        <f>F409</f>
        <v>0.97</v>
      </c>
      <c r="G418" s="192">
        <f>G409</f>
        <v>0.98</v>
      </c>
      <c r="I418" s="94">
        <f t="shared" si="64"/>
        <v>27.79</v>
      </c>
      <c r="J418" s="94">
        <f t="shared" si="65"/>
        <v>21.99</v>
      </c>
    </row>
    <row r="419" spans="1:19" x14ac:dyDescent="0.2">
      <c r="A419" s="9"/>
      <c r="B419" s="142" t="s">
        <v>23</v>
      </c>
      <c r="C419" s="94">
        <v>29.15</v>
      </c>
      <c r="D419" s="128">
        <f>D409</f>
        <v>0.7833</v>
      </c>
      <c r="E419" s="129">
        <f t="shared" si="66"/>
        <v>22.83</v>
      </c>
      <c r="F419" s="192">
        <f>F409</f>
        <v>0.97</v>
      </c>
      <c r="G419" s="192">
        <f>G409</f>
        <v>0.98</v>
      </c>
      <c r="I419" s="94">
        <f t="shared" si="64"/>
        <v>28.28</v>
      </c>
      <c r="J419" s="94">
        <f t="shared" si="65"/>
        <v>22.37</v>
      </c>
    </row>
    <row r="420" spans="1:19" x14ac:dyDescent="0.2">
      <c r="A420" s="9"/>
      <c r="B420" s="142" t="s">
        <v>24</v>
      </c>
      <c r="C420" s="94">
        <v>31.8</v>
      </c>
      <c r="D420" s="128">
        <f>D409</f>
        <v>0.7833</v>
      </c>
      <c r="E420" s="129">
        <f t="shared" si="66"/>
        <v>24.91</v>
      </c>
      <c r="F420" s="192">
        <f>F409</f>
        <v>0.97</v>
      </c>
      <c r="G420" s="192">
        <f>G409</f>
        <v>0.98</v>
      </c>
      <c r="I420" s="94">
        <f t="shared" si="64"/>
        <v>30.85</v>
      </c>
      <c r="J420" s="94">
        <f t="shared" si="65"/>
        <v>24.41</v>
      </c>
    </row>
    <row r="421" spans="1:19" x14ac:dyDescent="0.2">
      <c r="A421" s="9"/>
      <c r="B421" s="142"/>
      <c r="C421" s="94"/>
      <c r="D421" s="94"/>
      <c r="E421" s="130"/>
      <c r="K421" s="147"/>
    </row>
    <row r="422" spans="1:19" x14ac:dyDescent="0.2">
      <c r="A422" s="9"/>
      <c r="B422" s="142"/>
      <c r="C422" s="94"/>
      <c r="D422" s="94"/>
      <c r="K422" s="147"/>
    </row>
    <row r="423" spans="1:19" x14ac:dyDescent="0.2">
      <c r="A423" s="9"/>
      <c r="B423" s="142"/>
      <c r="C423" s="94"/>
      <c r="D423" s="94"/>
      <c r="K423" s="147"/>
    </row>
    <row r="424" spans="1:19" x14ac:dyDescent="0.2">
      <c r="B424" s="3" t="s">
        <v>203</v>
      </c>
      <c r="F424" s="4" t="s">
        <v>204</v>
      </c>
    </row>
    <row r="425" spans="1:19" x14ac:dyDescent="0.2">
      <c r="B425" s="10" t="s">
        <v>60</v>
      </c>
      <c r="F425" s="5" t="str">
        <f>"system ("&amp;TEXT(D447*100,"0.0")&amp;"% PJM - "&amp;TEXT(E447*100,"0.0")&amp;"% NYISO)"</f>
        <v>system (88.8% PJM - 11.2% NYISO)</v>
      </c>
    </row>
    <row r="426" spans="1:19" x14ac:dyDescent="0.2">
      <c r="B426" s="10"/>
      <c r="F426" s="10" t="s">
        <v>60</v>
      </c>
    </row>
    <row r="427" spans="1:19" x14ac:dyDescent="0.2">
      <c r="C427" s="11" t="s">
        <v>48</v>
      </c>
      <c r="D427" s="11" t="s">
        <v>49</v>
      </c>
      <c r="G427" s="11" t="s">
        <v>48</v>
      </c>
      <c r="H427" s="11" t="s">
        <v>49</v>
      </c>
    </row>
    <row r="428" spans="1:19" x14ac:dyDescent="0.2">
      <c r="B428" s="142" t="s">
        <v>13</v>
      </c>
      <c r="C428" s="94">
        <v>51.25</v>
      </c>
      <c r="D428" s="94">
        <v>42.25</v>
      </c>
      <c r="F428" s="142" t="s">
        <v>13</v>
      </c>
      <c r="G428" s="94">
        <f t="shared" ref="G428:H439" si="67">ROUND($J$428*I409+$J$429*C428,2)</f>
        <v>42.61</v>
      </c>
      <c r="H428" s="94">
        <f t="shared" si="67"/>
        <v>33.909999999999997</v>
      </c>
      <c r="J428" s="193">
        <f>D447</f>
        <v>0.88790233074361824</v>
      </c>
      <c r="K428" s="6" t="s">
        <v>205</v>
      </c>
      <c r="Q428" s="94">
        <f>AVERAGE(G433:G436)</f>
        <v>28.5</v>
      </c>
      <c r="R428" s="94">
        <f>AVERAGE(H433:H436)</f>
        <v>19.105</v>
      </c>
    </row>
    <row r="429" spans="1:19" x14ac:dyDescent="0.2">
      <c r="B429" s="142" t="s">
        <v>14</v>
      </c>
      <c r="C429" s="94">
        <v>49.25</v>
      </c>
      <c r="D429" s="94">
        <v>40.25</v>
      </c>
      <c r="F429" s="142" t="s">
        <v>14</v>
      </c>
      <c r="G429" s="94">
        <f t="shared" si="67"/>
        <v>39.840000000000003</v>
      </c>
      <c r="H429" s="94">
        <f t="shared" si="67"/>
        <v>31.67</v>
      </c>
      <c r="J429" s="193">
        <f>E447</f>
        <v>0.1120976692563818</v>
      </c>
      <c r="K429" s="6" t="s">
        <v>206</v>
      </c>
      <c r="Q429" s="94">
        <f>AVERAGE(G428:G432,G437:G439)</f>
        <v>31.77</v>
      </c>
      <c r="R429" s="94">
        <f>AVERAGE(H428:H432,H437:H439)</f>
        <v>25.178749999999997</v>
      </c>
    </row>
    <row r="430" spans="1:19" x14ac:dyDescent="0.2">
      <c r="B430" s="142" t="s">
        <v>15</v>
      </c>
      <c r="C430" s="94">
        <v>35.5</v>
      </c>
      <c r="D430" s="94">
        <v>28</v>
      </c>
      <c r="F430" s="142" t="s">
        <v>15</v>
      </c>
      <c r="G430" s="94">
        <f t="shared" si="67"/>
        <v>31.58</v>
      </c>
      <c r="H430" s="94">
        <f t="shared" si="67"/>
        <v>24.98</v>
      </c>
      <c r="Q430" s="6">
        <f>Q428/Q429</f>
        <v>0.89707271010387157</v>
      </c>
      <c r="R430" s="6">
        <f>R428/R429</f>
        <v>0.75877476046269188</v>
      </c>
    </row>
    <row r="431" spans="1:19" x14ac:dyDescent="0.2">
      <c r="B431" s="142" t="s">
        <v>16</v>
      </c>
      <c r="C431" s="94">
        <v>26</v>
      </c>
      <c r="D431" s="94">
        <v>19.75</v>
      </c>
      <c r="F431" s="142" t="s">
        <v>16</v>
      </c>
      <c r="G431" s="94">
        <f t="shared" si="67"/>
        <v>26.47</v>
      </c>
      <c r="H431" s="94">
        <f t="shared" si="67"/>
        <v>20.85</v>
      </c>
    </row>
    <row r="432" spans="1:19" x14ac:dyDescent="0.2">
      <c r="B432" s="142" t="s">
        <v>17</v>
      </c>
      <c r="C432" s="94">
        <v>24.75</v>
      </c>
      <c r="D432" s="94">
        <v>19.5</v>
      </c>
      <c r="F432" s="142" t="s">
        <v>17</v>
      </c>
      <c r="G432" s="94">
        <f t="shared" si="67"/>
        <v>26.16</v>
      </c>
      <c r="H432" s="94">
        <f t="shared" si="67"/>
        <v>20.69</v>
      </c>
      <c r="Q432" s="94">
        <f>AVERAGE(G428:G439)</f>
        <v>30.679999999999996</v>
      </c>
      <c r="R432" s="94">
        <f>AVERAGE(H428:H439)</f>
        <v>23.154166666666665</v>
      </c>
      <c r="S432" s="6">
        <f>Q432/R432</f>
        <v>1.3250314918121289</v>
      </c>
    </row>
    <row r="433" spans="1:19" x14ac:dyDescent="0.2">
      <c r="B433" s="142" t="s">
        <v>18</v>
      </c>
      <c r="C433" s="94">
        <v>26.25</v>
      </c>
      <c r="D433" s="94">
        <v>19.25</v>
      </c>
      <c r="F433" s="142" t="s">
        <v>18</v>
      </c>
      <c r="G433" s="94">
        <f t="shared" si="67"/>
        <v>26.65</v>
      </c>
      <c r="H433" s="94">
        <f t="shared" si="67"/>
        <v>17.86</v>
      </c>
    </row>
    <row r="434" spans="1:19" x14ac:dyDescent="0.2">
      <c r="B434" s="142" t="s">
        <v>19</v>
      </c>
      <c r="C434" s="94">
        <v>31.75</v>
      </c>
      <c r="D434" s="94">
        <v>23</v>
      </c>
      <c r="F434" s="142" t="s">
        <v>19</v>
      </c>
      <c r="G434" s="94">
        <f t="shared" si="67"/>
        <v>30.64</v>
      </c>
      <c r="H434" s="94">
        <f t="shared" si="67"/>
        <v>20.5</v>
      </c>
    </row>
    <row r="435" spans="1:19" x14ac:dyDescent="0.2">
      <c r="B435" s="142" t="s">
        <v>20</v>
      </c>
      <c r="C435" s="94">
        <v>29.75</v>
      </c>
      <c r="D435" s="94">
        <v>22</v>
      </c>
      <c r="F435" s="142" t="s">
        <v>20</v>
      </c>
      <c r="G435" s="94">
        <f t="shared" si="67"/>
        <v>28.64</v>
      </c>
      <c r="H435" s="94">
        <f t="shared" si="67"/>
        <v>19.23</v>
      </c>
    </row>
    <row r="436" spans="1:19" x14ac:dyDescent="0.2">
      <c r="B436" s="142" t="s">
        <v>21</v>
      </c>
      <c r="C436" s="94">
        <v>25.75</v>
      </c>
      <c r="D436" s="94">
        <v>19.25</v>
      </c>
      <c r="F436" s="142" t="s">
        <v>21</v>
      </c>
      <c r="G436" s="94">
        <f t="shared" si="67"/>
        <v>28.07</v>
      </c>
      <c r="H436" s="94">
        <f t="shared" si="67"/>
        <v>18.829999999999998</v>
      </c>
    </row>
    <row r="437" spans="1:19" x14ac:dyDescent="0.2">
      <c r="B437" s="142" t="s">
        <v>22</v>
      </c>
      <c r="C437" s="94">
        <v>25.25</v>
      </c>
      <c r="D437" s="94">
        <v>21.25</v>
      </c>
      <c r="F437" s="142" t="s">
        <v>22</v>
      </c>
      <c r="G437" s="94">
        <f t="shared" si="67"/>
        <v>27.51</v>
      </c>
      <c r="H437" s="94">
        <f t="shared" si="67"/>
        <v>21.91</v>
      </c>
    </row>
    <row r="438" spans="1:19" x14ac:dyDescent="0.2">
      <c r="B438" s="142" t="s">
        <v>23</v>
      </c>
      <c r="C438" s="94">
        <v>29.25</v>
      </c>
      <c r="D438" s="94">
        <v>23</v>
      </c>
      <c r="F438" s="142" t="s">
        <v>23</v>
      </c>
      <c r="G438" s="94">
        <f t="shared" si="67"/>
        <v>28.39</v>
      </c>
      <c r="H438" s="94">
        <f t="shared" si="67"/>
        <v>22.44</v>
      </c>
    </row>
    <row r="439" spans="1:19" x14ac:dyDescent="0.2">
      <c r="B439" s="142" t="s">
        <v>24</v>
      </c>
      <c r="C439" s="94">
        <v>37.5</v>
      </c>
      <c r="D439" s="94">
        <v>29.5</v>
      </c>
      <c r="F439" s="142" t="s">
        <v>24</v>
      </c>
      <c r="G439" s="94">
        <f t="shared" si="67"/>
        <v>31.6</v>
      </c>
      <c r="H439" s="94">
        <f t="shared" si="67"/>
        <v>24.98</v>
      </c>
    </row>
    <row r="443" spans="1:19" x14ac:dyDescent="0.2">
      <c r="A443" s="7" t="s">
        <v>207</v>
      </c>
      <c r="B443" s="5" t="s">
        <v>208</v>
      </c>
    </row>
    <row r="446" spans="1:19" x14ac:dyDescent="0.2">
      <c r="C446" s="159" t="s">
        <v>209</v>
      </c>
      <c r="D446" s="33" t="s">
        <v>205</v>
      </c>
      <c r="E446" s="33" t="s">
        <v>206</v>
      </c>
      <c r="F446" s="33" t="s">
        <v>210</v>
      </c>
    </row>
    <row r="447" spans="1:19" x14ac:dyDescent="0.2">
      <c r="C447" s="131" t="s">
        <v>211</v>
      </c>
      <c r="D447" s="132">
        <f>4/(4+M466)</f>
        <v>0.88790233074361824</v>
      </c>
      <c r="E447" s="132">
        <f>M466/(4+M466)</f>
        <v>0.1120976692563818</v>
      </c>
      <c r="F447" s="44" t="s">
        <v>212</v>
      </c>
    </row>
    <row r="448" spans="1:19" x14ac:dyDescent="0.2">
      <c r="Q448" s="8" t="s">
        <v>213</v>
      </c>
      <c r="R448" s="6" t="s">
        <v>214</v>
      </c>
      <c r="S448" s="6" t="s">
        <v>215</v>
      </c>
    </row>
    <row r="449" spans="1:19" x14ac:dyDescent="0.2">
      <c r="B449" s="33" t="s">
        <v>68</v>
      </c>
      <c r="C449" s="194">
        <v>153.79</v>
      </c>
      <c r="D449" s="170">
        <f>C449</f>
        <v>153.79</v>
      </c>
      <c r="E449" s="170">
        <v>267.7379347826087</v>
      </c>
      <c r="F449" s="103">
        <f>ROUND(D449*D$447+E449*E$447,2)</f>
        <v>166.56</v>
      </c>
      <c r="H449" s="103"/>
      <c r="P449" s="6" t="s">
        <v>216</v>
      </c>
      <c r="Q449" s="6">
        <v>2.25</v>
      </c>
      <c r="R449" s="6">
        <f>Q449*1000</f>
        <v>2250</v>
      </c>
      <c r="S449" s="6">
        <v>31</v>
      </c>
    </row>
    <row r="450" spans="1:19" x14ac:dyDescent="0.2">
      <c r="B450" s="33"/>
      <c r="C450" s="33"/>
      <c r="D450" s="170"/>
      <c r="E450" s="170"/>
      <c r="F450" s="103"/>
      <c r="P450" s="6" t="s">
        <v>217</v>
      </c>
      <c r="Q450" s="6">
        <v>1.25</v>
      </c>
      <c r="R450" s="6">
        <f>Q450*1000</f>
        <v>1250</v>
      </c>
      <c r="S450" s="6">
        <v>30</v>
      </c>
    </row>
    <row r="451" spans="1:19" x14ac:dyDescent="0.2">
      <c r="B451" s="33" t="s">
        <v>61</v>
      </c>
      <c r="C451" s="170">
        <f>C449</f>
        <v>153.79</v>
      </c>
      <c r="D451" s="170">
        <f>C451</f>
        <v>153.79</v>
      </c>
      <c r="E451" s="195">
        <v>81.386519337016594</v>
      </c>
      <c r="F451" s="103">
        <f>ROUND(D451*D$447+E451*E$447,2)</f>
        <v>145.66999999999999</v>
      </c>
      <c r="I451" s="8"/>
      <c r="P451" s="6" t="s">
        <v>218</v>
      </c>
      <c r="Q451" s="6">
        <v>1.25</v>
      </c>
      <c r="R451" s="6">
        <f t="shared" ref="Q451:R456" si="68">Q451*1000</f>
        <v>1250</v>
      </c>
      <c r="S451" s="6">
        <v>31</v>
      </c>
    </row>
    <row r="452" spans="1:19" x14ac:dyDescent="0.2">
      <c r="O452" s="6" t="s">
        <v>219</v>
      </c>
      <c r="P452" s="6">
        <v>1.25</v>
      </c>
      <c r="Q452" s="6">
        <f t="shared" si="68"/>
        <v>1250</v>
      </c>
      <c r="R452" s="6">
        <v>30</v>
      </c>
    </row>
    <row r="453" spans="1:19" x14ac:dyDescent="0.2">
      <c r="O453" s="6" t="s">
        <v>220</v>
      </c>
      <c r="P453" s="6">
        <v>1.25</v>
      </c>
      <c r="Q453" s="6">
        <f t="shared" si="68"/>
        <v>1250</v>
      </c>
      <c r="R453" s="6">
        <v>28</v>
      </c>
    </row>
    <row r="454" spans="1:19" x14ac:dyDescent="0.2">
      <c r="O454" s="6" t="s">
        <v>221</v>
      </c>
      <c r="P454" s="6">
        <v>1.25</v>
      </c>
      <c r="Q454" s="6">
        <f t="shared" si="68"/>
        <v>1250</v>
      </c>
      <c r="R454" s="6">
        <v>31</v>
      </c>
    </row>
    <row r="455" spans="1:19" x14ac:dyDescent="0.2">
      <c r="A455" s="7" t="s">
        <v>222</v>
      </c>
      <c r="B455" s="5" t="s">
        <v>114</v>
      </c>
      <c r="O455" s="6" t="s">
        <v>223</v>
      </c>
      <c r="P455" s="6">
        <v>1.25</v>
      </c>
      <c r="Q455" s="6">
        <f t="shared" si="68"/>
        <v>1250</v>
      </c>
      <c r="R455" s="6">
        <v>30</v>
      </c>
    </row>
    <row r="456" spans="1:19" x14ac:dyDescent="0.2">
      <c r="O456" s="6" t="s">
        <v>17</v>
      </c>
      <c r="P456" s="6">
        <v>2</v>
      </c>
      <c r="Q456" s="6">
        <f t="shared" si="68"/>
        <v>2000</v>
      </c>
      <c r="R456" s="6">
        <v>31</v>
      </c>
    </row>
    <row r="457" spans="1:19" x14ac:dyDescent="0.2">
      <c r="P457" s="6">
        <f>SUM(P449:P456)</f>
        <v>7</v>
      </c>
      <c r="Q457" s="6">
        <f>SUM(Q449:Q456)</f>
        <v>7004.75</v>
      </c>
      <c r="R457" s="6">
        <f>SUM(R449:R456)</f>
        <v>4900</v>
      </c>
      <c r="S457" s="6">
        <f>Q457/R457</f>
        <v>1.4295408163265306</v>
      </c>
    </row>
    <row r="458" spans="1:19" x14ac:dyDescent="0.2">
      <c r="C458" s="33" t="s">
        <v>224</v>
      </c>
      <c r="D458" s="33" t="s">
        <v>225</v>
      </c>
      <c r="E458" s="33" t="s">
        <v>226</v>
      </c>
      <c r="F458" s="33" t="s">
        <v>205</v>
      </c>
      <c r="G458" s="33" t="s">
        <v>206</v>
      </c>
      <c r="H458" s="33" t="s">
        <v>210</v>
      </c>
    </row>
    <row r="459" spans="1:19" x14ac:dyDescent="0.2">
      <c r="C459" s="44" t="s">
        <v>227</v>
      </c>
      <c r="D459" s="44" t="s">
        <v>227</v>
      </c>
      <c r="E459" s="44" t="s">
        <v>228</v>
      </c>
      <c r="F459" s="132">
        <f>D447</f>
        <v>0.88790233074361824</v>
      </c>
      <c r="G459" s="132">
        <f>E447</f>
        <v>0.1120976692563818</v>
      </c>
      <c r="H459" s="44" t="s">
        <v>212</v>
      </c>
    </row>
    <row r="461" spans="1:19" x14ac:dyDescent="0.2">
      <c r="B461" s="33"/>
      <c r="C461" s="196">
        <v>2</v>
      </c>
      <c r="D461" s="196">
        <v>2.0099999999999998</v>
      </c>
      <c r="E461" s="196">
        <v>15.34</v>
      </c>
      <c r="F461" s="196">
        <f>C461+E461</f>
        <v>17.34</v>
      </c>
      <c r="G461" s="196">
        <f>E461+D461</f>
        <v>17.350000000000001</v>
      </c>
      <c r="H461" s="196">
        <f>ROUND(F461*F$459+G461*G$459,2)</f>
        <v>17.34</v>
      </c>
    </row>
    <row r="462" spans="1:19" x14ac:dyDescent="0.2">
      <c r="B462" s="33"/>
      <c r="C462" s="196"/>
      <c r="D462" s="196"/>
      <c r="E462" s="196"/>
    </row>
    <row r="463" spans="1:19" ht="13.5" thickBot="1" x14ac:dyDescent="0.25">
      <c r="A463" s="3" t="s">
        <v>229</v>
      </c>
      <c r="E463" s="163"/>
    </row>
    <row r="464" spans="1:19" x14ac:dyDescent="0.2">
      <c r="A464" s="9"/>
      <c r="B464" s="33" t="s">
        <v>230</v>
      </c>
      <c r="C464" s="103">
        <f>F449</f>
        <v>166.56</v>
      </c>
      <c r="D464" s="98" t="s">
        <v>231</v>
      </c>
      <c r="L464" s="133" t="s">
        <v>232</v>
      </c>
      <c r="M464" s="197">
        <v>45.4</v>
      </c>
      <c r="N464" s="177"/>
    </row>
    <row r="465" spans="1:19" x14ac:dyDescent="0.2">
      <c r="A465" s="9"/>
      <c r="B465" s="33"/>
      <c r="C465" s="103">
        <f>+F451</f>
        <v>145.66999999999999</v>
      </c>
      <c r="D465" s="98" t="s">
        <v>233</v>
      </c>
      <c r="L465" s="134" t="s">
        <v>234</v>
      </c>
      <c r="M465" s="28">
        <v>89.894999999999996</v>
      </c>
      <c r="N465" s="179"/>
      <c r="S465" s="28">
        <v>98.275000000000006</v>
      </c>
    </row>
    <row r="466" spans="1:19" x14ac:dyDescent="0.2">
      <c r="A466" s="9"/>
      <c r="B466" s="33" t="s">
        <v>235</v>
      </c>
      <c r="C466" s="42">
        <f>+C147</f>
        <v>42548</v>
      </c>
      <c r="D466" s="98" t="s">
        <v>95</v>
      </c>
      <c r="E466" s="161"/>
      <c r="L466" s="134" t="s">
        <v>236</v>
      </c>
      <c r="M466" s="6">
        <f>ROUND(M464/M465,3)</f>
        <v>0.505</v>
      </c>
      <c r="N466" s="179"/>
    </row>
    <row r="467" spans="1:19" x14ac:dyDescent="0.2">
      <c r="A467" s="9"/>
      <c r="B467" s="33" t="s">
        <v>237</v>
      </c>
      <c r="C467" s="198">
        <f>+H144</f>
        <v>4</v>
      </c>
      <c r="D467" s="6" t="s">
        <v>238</v>
      </c>
      <c r="E467" s="161"/>
      <c r="L467" s="178"/>
      <c r="N467" s="179"/>
    </row>
    <row r="468" spans="1:19" x14ac:dyDescent="0.2">
      <c r="A468" s="9"/>
      <c r="B468" s="33"/>
      <c r="C468" s="198">
        <f>+H145</f>
        <v>8</v>
      </c>
      <c r="D468" s="6" t="s">
        <v>239</v>
      </c>
      <c r="E468" s="161"/>
      <c r="L468" s="134" t="s">
        <v>240</v>
      </c>
      <c r="M468" s="162">
        <f>D223-D318</f>
        <v>12.967183593063019</v>
      </c>
      <c r="N468" s="179" t="s">
        <v>241</v>
      </c>
    </row>
    <row r="469" spans="1:19" x14ac:dyDescent="0.2">
      <c r="A469" s="9"/>
      <c r="B469" s="33" t="s">
        <v>242</v>
      </c>
      <c r="C469" s="162">
        <f>+D161</f>
        <v>17.34</v>
      </c>
      <c r="D469" s="8" t="s">
        <v>116</v>
      </c>
      <c r="L469" s="134" t="s">
        <v>243</v>
      </c>
      <c r="M469" s="199">
        <f>ROUND(M466/(4+M466)*M468,2)</f>
        <v>1.45</v>
      </c>
      <c r="N469" s="179" t="s">
        <v>241</v>
      </c>
    </row>
    <row r="470" spans="1:19" ht="13.5" thickBot="1" x14ac:dyDescent="0.25">
      <c r="A470" s="9"/>
      <c r="B470" s="33" t="s">
        <v>244</v>
      </c>
      <c r="C470" s="8" t="s">
        <v>406</v>
      </c>
      <c r="L470" s="135" t="s">
        <v>245</v>
      </c>
      <c r="M470" s="200">
        <f>M468-M469</f>
        <v>11.51718359306302</v>
      </c>
      <c r="N470" s="201" t="s">
        <v>241</v>
      </c>
    </row>
    <row r="471" spans="1:19" x14ac:dyDescent="0.2">
      <c r="A471" s="9"/>
      <c r="B471" s="33"/>
      <c r="C471" s="8" t="s">
        <v>407</v>
      </c>
      <c r="L471" s="27"/>
      <c r="M471" s="28"/>
    </row>
    <row r="472" spans="1:19" x14ac:dyDescent="0.2">
      <c r="A472" s="9"/>
      <c r="B472" s="33" t="s">
        <v>246</v>
      </c>
      <c r="C472" s="8" t="str">
        <f>"Forecasted " &amp;M1-1 &amp;" energy use by class, PJM on/off % from " &amp;M1-2 &amp;" class load profiles,"</f>
        <v>Forecasted 2020 energy use by class, PJM on/off % from 2019 class load profiles,</v>
      </c>
    </row>
    <row r="473" spans="1:19" x14ac:dyDescent="0.2">
      <c r="A473" s="9"/>
      <c r="B473" s="33"/>
      <c r="C473" s="8" t="str">
        <f>"RECO billing on/off % from " &amp;TEXT(DATE(M1-2,6,1),"m/yy") &amp;" to 5/" &amp;TEXT(DATE(M1-1,5,1),"yy") &amp;" actual data"</f>
        <v>RECO billing on/off % from 6/19 to 5/20 actual data</v>
      </c>
    </row>
    <row r="474" spans="1:19" x14ac:dyDescent="0.2">
      <c r="A474" s="9"/>
      <c r="B474" s="33" t="s">
        <v>247</v>
      </c>
      <c r="C474" s="8" t="str">
        <f>" Class totals for " &amp;M1-1</f>
        <v xml:space="preserve"> Class totals for 2020</v>
      </c>
    </row>
    <row r="475" spans="1:19" x14ac:dyDescent="0.2">
      <c r="A475" s="9"/>
      <c r="B475" s="33" t="s">
        <v>248</v>
      </c>
      <c r="C475" s="6" t="s">
        <v>249</v>
      </c>
    </row>
    <row r="476" spans="1:19" x14ac:dyDescent="0.2">
      <c r="A476" s="9"/>
      <c r="B476" s="33" t="s">
        <v>250</v>
      </c>
      <c r="C476" s="6" t="s">
        <v>251</v>
      </c>
      <c r="L476" s="147"/>
    </row>
    <row r="477" spans="1:19" x14ac:dyDescent="0.2">
      <c r="C477" s="6" t="s">
        <v>252</v>
      </c>
    </row>
    <row r="478" spans="1:19" x14ac:dyDescent="0.2">
      <c r="B478" s="36" t="s">
        <v>253</v>
      </c>
      <c r="C478" s="6" t="s">
        <v>254</v>
      </c>
    </row>
    <row r="479" spans="1:19" x14ac:dyDescent="0.2">
      <c r="A479" s="9"/>
      <c r="C479" s="184"/>
      <c r="E479" s="184"/>
    </row>
    <row r="481" spans="1:9" x14ac:dyDescent="0.2">
      <c r="A481" s="136" t="s">
        <v>255</v>
      </c>
      <c r="B481" s="202"/>
      <c r="C481" s="202"/>
      <c r="D481" s="202"/>
    </row>
    <row r="482" spans="1:9" x14ac:dyDescent="0.2">
      <c r="A482" s="7" t="s">
        <v>256</v>
      </c>
      <c r="B482" s="5" t="s">
        <v>257</v>
      </c>
    </row>
    <row r="483" spans="1:9" x14ac:dyDescent="0.2">
      <c r="D483" s="137"/>
    </row>
    <row r="484" spans="1:9" x14ac:dyDescent="0.2">
      <c r="B484" s="49" t="s">
        <v>258</v>
      </c>
      <c r="D484" s="137">
        <f>D223</f>
        <v>76.336436216280376</v>
      </c>
      <c r="E484" s="8" t="s">
        <v>116</v>
      </c>
      <c r="F484" s="8" t="s">
        <v>259</v>
      </c>
    </row>
    <row r="485" spans="1:9" x14ac:dyDescent="0.2">
      <c r="B485" s="49" t="s">
        <v>260</v>
      </c>
      <c r="D485" s="29">
        <f>-M470</f>
        <v>-11.51718359306302</v>
      </c>
      <c r="E485" s="8" t="s">
        <v>116</v>
      </c>
      <c r="F485" s="6" t="s">
        <v>261</v>
      </c>
    </row>
    <row r="486" spans="1:9" x14ac:dyDescent="0.2">
      <c r="B486" s="49" t="s">
        <v>262</v>
      </c>
      <c r="D486" s="162">
        <f>D484+D485</f>
        <v>64.819252623217352</v>
      </c>
      <c r="E486" s="8" t="s">
        <v>116</v>
      </c>
      <c r="F486" s="6" t="str">
        <f>"** RECO average transmission rate of "&amp;TEXT(D223-D318,"0.00")&amp;" minus"</f>
        <v>** RECO average transmission rate of 12.97 minus</v>
      </c>
    </row>
    <row r="487" spans="1:9" x14ac:dyDescent="0.2">
      <c r="F487" s="6" t="s">
        <v>263</v>
      </c>
    </row>
    <row r="488" spans="1:9" x14ac:dyDescent="0.2">
      <c r="D488" s="30"/>
      <c r="F488" s="6" t="str">
        <f>"average rate "&amp;TEXT(M466,"0.000")&amp;"/"&amp;TEXT(4+M466,"0.000")&amp;" *$"&amp;TEXT(M468,"0.00")&amp;" per MWh)."</f>
        <v>average rate 0.505/4.505 *$12.97 per MWh).</v>
      </c>
      <c r="I488" s="203"/>
    </row>
    <row r="489" spans="1:9" x14ac:dyDescent="0.2">
      <c r="B489" s="31" t="s">
        <v>264</v>
      </c>
    </row>
    <row r="491" spans="1:9" x14ac:dyDescent="0.2">
      <c r="C491" s="12" t="str">
        <f t="shared" ref="C491" si="69">C6</f>
        <v>SC1/SC5</v>
      </c>
      <c r="D491" s="12" t="str">
        <f>D6</f>
        <v>SC3</v>
      </c>
      <c r="E491" s="12" t="str">
        <f>E6</f>
        <v>SC2 ND</v>
      </c>
      <c r="F491" s="12" t="str">
        <f>F6</f>
        <v>SC4</v>
      </c>
      <c r="G491" s="12" t="str">
        <f>G6</f>
        <v>SC6</v>
      </c>
      <c r="H491" s="12" t="str">
        <f>H6</f>
        <v>SC2 Dem</v>
      </c>
      <c r="I491" s="12"/>
    </row>
    <row r="492" spans="1:9" x14ac:dyDescent="0.2">
      <c r="B492" s="32" t="s">
        <v>68</v>
      </c>
    </row>
    <row r="493" spans="1:9" x14ac:dyDescent="0.2">
      <c r="B493" s="36" t="s">
        <v>265</v>
      </c>
      <c r="C493" s="36">
        <f>ROUND(($D$486*C327)/10,3)</f>
        <v>6.3979999999999997</v>
      </c>
      <c r="E493" s="35">
        <f>ROUND(E327*$D$486/10,3)</f>
        <v>5.7880000000000003</v>
      </c>
      <c r="F493" s="35">
        <f>ROUND(F327*$D$486/10,3)</f>
        <v>4.4470000000000001</v>
      </c>
      <c r="G493" s="35">
        <f>ROUND(G327*$D$486/10,3)</f>
        <v>4.4470000000000001</v>
      </c>
      <c r="H493" s="35">
        <f>ROUND((C348*$D$486+D348)/10,3)</f>
        <v>4.5039999999999996</v>
      </c>
      <c r="I493" s="35"/>
    </row>
    <row r="494" spans="1:9" x14ac:dyDescent="0.2">
      <c r="B494" s="36" t="s">
        <v>266</v>
      </c>
      <c r="D494" s="35">
        <f>ROUND(D328*$D$486/10,3)</f>
        <v>10.843999999999999</v>
      </c>
      <c r="I494" s="35"/>
    </row>
    <row r="495" spans="1:9" x14ac:dyDescent="0.2">
      <c r="B495" s="36" t="s">
        <v>267</v>
      </c>
      <c r="D495" s="35">
        <f>ROUND(D329*$D$486/10,3)</f>
        <v>4.0510000000000002</v>
      </c>
      <c r="I495" s="35"/>
    </row>
    <row r="496" spans="1:9" x14ac:dyDescent="0.2">
      <c r="B496" s="33" t="s">
        <v>40</v>
      </c>
      <c r="C496" s="36">
        <f>ROUND(($D$486*C327+C332)/10,3)</f>
        <v>4.16</v>
      </c>
      <c r="D496" s="35"/>
      <c r="I496" s="35"/>
    </row>
    <row r="497" spans="2:10" x14ac:dyDescent="0.2">
      <c r="B497" s="36" t="s">
        <v>41</v>
      </c>
      <c r="C497" s="6">
        <f>ROUND(($D$486*C327+C333)/10,3)</f>
        <v>8.1530000000000005</v>
      </c>
      <c r="D497" s="35"/>
      <c r="I497" s="35"/>
    </row>
    <row r="498" spans="2:10" x14ac:dyDescent="0.2">
      <c r="D498" s="35"/>
      <c r="I498" s="35"/>
    </row>
    <row r="500" spans="2:10" x14ac:dyDescent="0.2">
      <c r="B500" s="33" t="s">
        <v>268</v>
      </c>
      <c r="H500" s="165">
        <f>I352</f>
        <v>1.9039999999999999</v>
      </c>
      <c r="I500" s="165"/>
    </row>
    <row r="501" spans="2:10" x14ac:dyDescent="0.2">
      <c r="B501" s="33" t="s">
        <v>269</v>
      </c>
      <c r="H501" s="165">
        <f>J352</f>
        <v>4.6710000000000003</v>
      </c>
      <c r="I501" s="165"/>
    </row>
    <row r="503" spans="2:10" x14ac:dyDescent="0.2">
      <c r="B503" s="32" t="s">
        <v>61</v>
      </c>
    </row>
    <row r="504" spans="2:10" x14ac:dyDescent="0.2">
      <c r="B504" s="36" t="s">
        <v>265</v>
      </c>
      <c r="C504" s="35">
        <f>ROUND(C336*$D$486/10,3)</f>
        <v>7.6550000000000002</v>
      </c>
      <c r="E504" s="35">
        <f>ROUND(E336*$D$486/10,3)</f>
        <v>6.0410000000000004</v>
      </c>
      <c r="F504" s="35">
        <f>ROUND(F336*$D$486/10,3)</f>
        <v>4.9850000000000003</v>
      </c>
      <c r="G504" s="35">
        <f>ROUND(G336*$D$486/10,3)</f>
        <v>4.9649999999999999</v>
      </c>
      <c r="H504" s="35">
        <f>ROUND((C352*$D$486+D352)/10,3)</f>
        <v>4.9969999999999999</v>
      </c>
    </row>
    <row r="505" spans="2:10" x14ac:dyDescent="0.2">
      <c r="B505" s="36" t="s">
        <v>266</v>
      </c>
      <c r="D505" s="35">
        <f>ROUND(D337*$D$486/10,3)</f>
        <v>11.888</v>
      </c>
      <c r="I505" s="35"/>
    </row>
    <row r="506" spans="2:10" x14ac:dyDescent="0.2">
      <c r="B506" s="36" t="s">
        <v>267</v>
      </c>
      <c r="D506" s="35">
        <f>ROUND(D338*$D$486/10,3)</f>
        <v>4.6479999999999997</v>
      </c>
      <c r="I506" s="35"/>
    </row>
    <row r="508" spans="2:10" x14ac:dyDescent="0.2">
      <c r="B508" s="33" t="s">
        <v>268</v>
      </c>
      <c r="H508" s="165">
        <f>I353</f>
        <v>2.577</v>
      </c>
      <c r="I508" s="165"/>
    </row>
    <row r="509" spans="2:10" x14ac:dyDescent="0.2">
      <c r="B509" s="33" t="s">
        <v>269</v>
      </c>
      <c r="H509" s="165">
        <f>J353</f>
        <v>5.0090000000000003</v>
      </c>
      <c r="I509" s="165"/>
    </row>
    <row r="510" spans="2:10" x14ac:dyDescent="0.2">
      <c r="B510" s="33"/>
      <c r="I510" s="165"/>
      <c r="J510" s="165"/>
    </row>
    <row r="511" spans="2:10" x14ac:dyDescent="0.2">
      <c r="B511" s="31" t="s">
        <v>270</v>
      </c>
      <c r="D511" s="6" t="s">
        <v>271</v>
      </c>
      <c r="E511" s="204">
        <v>6.6250000000000003E-2</v>
      </c>
      <c r="J511" s="165"/>
    </row>
    <row r="512" spans="2:10" x14ac:dyDescent="0.2">
      <c r="J512" s="165"/>
    </row>
    <row r="513" spans="2:9" x14ac:dyDescent="0.2">
      <c r="C513" s="12" t="s">
        <v>272</v>
      </c>
      <c r="D513" s="12" t="s">
        <v>8</v>
      </c>
      <c r="E513" s="12" t="s">
        <v>9</v>
      </c>
      <c r="F513" s="12" t="s">
        <v>10</v>
      </c>
      <c r="G513" s="12" t="s">
        <v>11</v>
      </c>
      <c r="H513" s="12" t="s">
        <v>12</v>
      </c>
      <c r="I513" s="165"/>
    </row>
    <row r="514" spans="2:9" x14ac:dyDescent="0.2">
      <c r="B514" s="32" t="s">
        <v>68</v>
      </c>
      <c r="I514" s="165"/>
    </row>
    <row r="515" spans="2:9" x14ac:dyDescent="0.2">
      <c r="B515" s="36" t="s">
        <v>265</v>
      </c>
      <c r="C515" s="36"/>
      <c r="E515" s="36">
        <f>ROUND(E493*(1+$E$511),3)</f>
        <v>6.1710000000000003</v>
      </c>
      <c r="F515" s="36">
        <f>ROUND(F493*(1+$E$511),3)</f>
        <v>4.742</v>
      </c>
      <c r="G515" s="36">
        <f>ROUND(G493*(1+$E$511),3)</f>
        <v>4.742</v>
      </c>
      <c r="H515" s="36">
        <f>ROUND(H493*(1+$E$511),3)</f>
        <v>4.8019999999999996</v>
      </c>
      <c r="I515" s="165"/>
    </row>
    <row r="516" spans="2:9" x14ac:dyDescent="0.2">
      <c r="B516" s="36" t="s">
        <v>266</v>
      </c>
      <c r="D516" s="36">
        <f>ROUND(D494*(1+$E$511),3)</f>
        <v>11.561999999999999</v>
      </c>
      <c r="I516" s="165"/>
    </row>
    <row r="517" spans="2:9" x14ac:dyDescent="0.2">
      <c r="B517" s="36" t="s">
        <v>267</v>
      </c>
      <c r="D517" s="36">
        <f>ROUND(D495*(1+$E$511),3)</f>
        <v>4.319</v>
      </c>
      <c r="I517" s="165"/>
    </row>
    <row r="518" spans="2:9" x14ac:dyDescent="0.2">
      <c r="B518" s="33" t="s">
        <v>40</v>
      </c>
      <c r="C518" s="34">
        <f>ROUND(C496*(1+$E$511),3)</f>
        <v>4.4359999999999999</v>
      </c>
      <c r="D518" s="35"/>
      <c r="I518" s="165"/>
    </row>
    <row r="519" spans="2:9" x14ac:dyDescent="0.2">
      <c r="B519" s="36" t="s">
        <v>41</v>
      </c>
      <c r="C519" s="34">
        <f>ROUND(C497*(1+$E$511),3)</f>
        <v>8.6929999999999996</v>
      </c>
      <c r="D519" s="35"/>
      <c r="I519" s="165"/>
    </row>
    <row r="520" spans="2:9" x14ac:dyDescent="0.2">
      <c r="D520" s="35"/>
      <c r="I520" s="165"/>
    </row>
    <row r="521" spans="2:9" x14ac:dyDescent="0.2">
      <c r="I521" s="165"/>
    </row>
    <row r="522" spans="2:9" x14ac:dyDescent="0.2">
      <c r="B522" s="33" t="s">
        <v>268</v>
      </c>
      <c r="H522" s="205">
        <f>ROUND(H500*(1+$E$511),3)</f>
        <v>2.0299999999999998</v>
      </c>
      <c r="I522" s="165"/>
    </row>
    <row r="523" spans="2:9" x14ac:dyDescent="0.2">
      <c r="B523" s="33" t="s">
        <v>269</v>
      </c>
      <c r="H523" s="205">
        <f>ROUND(H501*(1+$E$511),3)</f>
        <v>4.9800000000000004</v>
      </c>
      <c r="I523" s="165"/>
    </row>
    <row r="524" spans="2:9" x14ac:dyDescent="0.2">
      <c r="B524" s="33"/>
      <c r="H524" s="205"/>
      <c r="I524" s="165"/>
    </row>
    <row r="525" spans="2:9" x14ac:dyDescent="0.2">
      <c r="B525" s="32" t="s">
        <v>61</v>
      </c>
      <c r="I525" s="165"/>
    </row>
    <row r="526" spans="2:9" x14ac:dyDescent="0.2">
      <c r="B526" s="36" t="s">
        <v>265</v>
      </c>
      <c r="C526" s="36">
        <f>ROUND(C504*(1+$E$511),3)</f>
        <v>8.1620000000000008</v>
      </c>
      <c r="E526" s="36">
        <f>ROUND(E504*(1+$E$511),3)</f>
        <v>6.4409999999999998</v>
      </c>
      <c r="F526" s="36">
        <f>ROUND(F504*(1+$E$511),3)</f>
        <v>5.3150000000000004</v>
      </c>
      <c r="G526" s="36">
        <f>ROUND(G504*(1+$E$511),3)</f>
        <v>5.2939999999999996</v>
      </c>
      <c r="H526" s="36">
        <f>ROUND(H504*(1+$E$511),3)</f>
        <v>5.3280000000000003</v>
      </c>
      <c r="I526" s="165"/>
    </row>
    <row r="527" spans="2:9" x14ac:dyDescent="0.2">
      <c r="B527" s="36" t="s">
        <v>266</v>
      </c>
      <c r="D527" s="36">
        <f>ROUND(D505*(1+$E$511),3)</f>
        <v>12.676</v>
      </c>
      <c r="I527" s="165"/>
    </row>
    <row r="528" spans="2:9" x14ac:dyDescent="0.2">
      <c r="B528" s="36" t="s">
        <v>267</v>
      </c>
      <c r="D528" s="36">
        <f>ROUND(D506*(1+$E$511),3)</f>
        <v>4.9560000000000004</v>
      </c>
      <c r="I528" s="165"/>
    </row>
    <row r="529" spans="1:10" x14ac:dyDescent="0.2">
      <c r="I529" s="165"/>
    </row>
    <row r="530" spans="1:10" x14ac:dyDescent="0.2">
      <c r="B530" s="33" t="s">
        <v>268</v>
      </c>
      <c r="H530" s="205">
        <f>ROUND(H508*(1+$E$511),3)</f>
        <v>2.7480000000000002</v>
      </c>
      <c r="I530" s="165"/>
    </row>
    <row r="531" spans="1:10" x14ac:dyDescent="0.2">
      <c r="B531" s="33" t="s">
        <v>269</v>
      </c>
      <c r="H531" s="205">
        <f>ROUND(H509*(1+$E$511),3)</f>
        <v>5.3410000000000002</v>
      </c>
      <c r="I531" s="165"/>
    </row>
    <row r="532" spans="1:10" x14ac:dyDescent="0.2">
      <c r="B532" s="33"/>
      <c r="I532" s="165"/>
      <c r="J532" s="165"/>
    </row>
    <row r="533" spans="1:10" x14ac:dyDescent="0.2">
      <c r="B533" s="33"/>
      <c r="I533" s="165"/>
      <c r="J533" s="165"/>
    </row>
    <row r="534" spans="1:10" x14ac:dyDescent="0.2">
      <c r="A534" s="7" t="s">
        <v>273</v>
      </c>
      <c r="B534" s="5" t="s">
        <v>274</v>
      </c>
      <c r="J534" s="165"/>
    </row>
    <row r="535" spans="1:10" x14ac:dyDescent="0.2">
      <c r="A535" s="7"/>
      <c r="B535" s="5"/>
      <c r="J535" s="165"/>
    </row>
    <row r="536" spans="1:10" x14ac:dyDescent="0.2">
      <c r="A536" s="7"/>
      <c r="B536" s="31" t="s">
        <v>275</v>
      </c>
      <c r="J536" s="165"/>
    </row>
    <row r="537" spans="1:10" x14ac:dyDescent="0.2">
      <c r="A537" s="7"/>
      <c r="B537" s="49"/>
      <c r="C537" s="12" t="str">
        <f t="shared" ref="C537" si="70">C491</f>
        <v>SC1/SC5</v>
      </c>
      <c r="D537" s="12" t="str">
        <f>D491</f>
        <v>SC3</v>
      </c>
      <c r="E537" s="12" t="str">
        <f>E491</f>
        <v>SC2 ND</v>
      </c>
      <c r="F537" s="12" t="str">
        <f>F491</f>
        <v>SC4</v>
      </c>
      <c r="G537" s="12" t="str">
        <f>G491</f>
        <v>SC6</v>
      </c>
      <c r="H537" s="12" t="str">
        <f>H491</f>
        <v>SC2 Dem</v>
      </c>
      <c r="I537" s="165"/>
    </row>
    <row r="538" spans="1:10" x14ac:dyDescent="0.2">
      <c r="A538" s="7"/>
      <c r="B538" s="49" t="s">
        <v>276</v>
      </c>
      <c r="C538" s="95">
        <v>1.421</v>
      </c>
      <c r="D538" s="95">
        <v>1.421</v>
      </c>
      <c r="E538" s="95">
        <v>0.52300000000000002</v>
      </c>
      <c r="F538" s="95">
        <v>1.147</v>
      </c>
      <c r="G538" s="95">
        <v>1.147</v>
      </c>
      <c r="H538" s="95">
        <v>0.52300000000000002</v>
      </c>
      <c r="I538" s="165"/>
    </row>
    <row r="539" spans="1:10" x14ac:dyDescent="0.2">
      <c r="A539" s="7"/>
      <c r="B539" s="49" t="s">
        <v>277</v>
      </c>
      <c r="H539" s="199">
        <v>1.32</v>
      </c>
      <c r="I539" s="165"/>
    </row>
    <row r="540" spans="1:10" x14ac:dyDescent="0.2">
      <c r="B540" s="49" t="s">
        <v>278</v>
      </c>
      <c r="H540" s="199">
        <v>1.1100000000000001</v>
      </c>
      <c r="I540" s="165"/>
    </row>
    <row r="541" spans="1:10" x14ac:dyDescent="0.2">
      <c r="I541" s="165"/>
    </row>
    <row r="542" spans="1:10" x14ac:dyDescent="0.2">
      <c r="I542" s="165"/>
    </row>
    <row r="543" spans="1:10" x14ac:dyDescent="0.2">
      <c r="B543" s="31" t="s">
        <v>279</v>
      </c>
      <c r="I543" s="165"/>
    </row>
    <row r="544" spans="1:10" x14ac:dyDescent="0.2">
      <c r="I544" s="165"/>
    </row>
    <row r="545" spans="2:9" x14ac:dyDescent="0.2">
      <c r="I545" s="165"/>
    </row>
    <row r="546" spans="2:9" x14ac:dyDescent="0.2">
      <c r="B546" s="32" t="s">
        <v>68</v>
      </c>
      <c r="I546" s="165"/>
    </row>
    <row r="547" spans="2:9" x14ac:dyDescent="0.2">
      <c r="B547" s="36" t="s">
        <v>265</v>
      </c>
      <c r="C547" s="35">
        <f t="shared" ref="C547:H554" si="71">IF(C493&gt;0,C493+C$538,"")</f>
        <v>7.819</v>
      </c>
      <c r="D547" s="35" t="str">
        <f t="shared" si="71"/>
        <v/>
      </c>
      <c r="E547" s="35">
        <f t="shared" si="71"/>
        <v>6.3109999999999999</v>
      </c>
      <c r="F547" s="35">
        <f t="shared" si="71"/>
        <v>5.5940000000000003</v>
      </c>
      <c r="G547" s="35">
        <f t="shared" si="71"/>
        <v>5.5940000000000003</v>
      </c>
      <c r="H547" s="35">
        <f t="shared" si="71"/>
        <v>5.0269999999999992</v>
      </c>
      <c r="I547" s="165"/>
    </row>
    <row r="548" spans="2:9" x14ac:dyDescent="0.2">
      <c r="B548" s="36" t="s">
        <v>266</v>
      </c>
      <c r="C548" s="35" t="str">
        <f t="shared" si="71"/>
        <v/>
      </c>
      <c r="D548" s="35">
        <f t="shared" si="71"/>
        <v>12.264999999999999</v>
      </c>
      <c r="E548" s="35" t="str">
        <f t="shared" si="71"/>
        <v/>
      </c>
      <c r="F548" s="35" t="str">
        <f t="shared" si="71"/>
        <v/>
      </c>
      <c r="G548" s="35" t="str">
        <f t="shared" si="71"/>
        <v/>
      </c>
      <c r="H548" s="35" t="str">
        <f t="shared" si="71"/>
        <v/>
      </c>
      <c r="I548" s="165"/>
    </row>
    <row r="549" spans="2:9" x14ac:dyDescent="0.2">
      <c r="B549" s="36" t="s">
        <v>267</v>
      </c>
      <c r="C549" s="35" t="str">
        <f t="shared" si="71"/>
        <v/>
      </c>
      <c r="D549" s="35">
        <f t="shared" si="71"/>
        <v>5.4720000000000004</v>
      </c>
      <c r="E549" s="35" t="str">
        <f t="shared" si="71"/>
        <v/>
      </c>
      <c r="F549" s="35" t="str">
        <f t="shared" si="71"/>
        <v/>
      </c>
      <c r="G549" s="35" t="str">
        <f t="shared" si="71"/>
        <v/>
      </c>
      <c r="H549" s="35" t="str">
        <f t="shared" si="71"/>
        <v/>
      </c>
      <c r="I549" s="165"/>
    </row>
    <row r="550" spans="2:9" x14ac:dyDescent="0.2">
      <c r="B550" s="33" t="s">
        <v>40</v>
      </c>
      <c r="C550" s="35">
        <f t="shared" si="71"/>
        <v>5.5810000000000004</v>
      </c>
      <c r="D550" s="35" t="str">
        <f t="shared" si="71"/>
        <v/>
      </c>
      <c r="E550" s="35" t="str">
        <f t="shared" si="71"/>
        <v/>
      </c>
      <c r="F550" s="35" t="str">
        <f t="shared" si="71"/>
        <v/>
      </c>
      <c r="G550" s="35" t="str">
        <f t="shared" si="71"/>
        <v/>
      </c>
      <c r="H550" s="35" t="str">
        <f t="shared" si="71"/>
        <v/>
      </c>
      <c r="I550" s="165"/>
    </row>
    <row r="551" spans="2:9" x14ac:dyDescent="0.2">
      <c r="B551" s="36" t="s">
        <v>41</v>
      </c>
      <c r="C551" s="35">
        <f t="shared" si="71"/>
        <v>9.5739999999999998</v>
      </c>
      <c r="D551" s="35" t="str">
        <f t="shared" si="71"/>
        <v/>
      </c>
      <c r="E551" s="35" t="str">
        <f t="shared" si="71"/>
        <v/>
      </c>
      <c r="F551" s="35" t="str">
        <f t="shared" si="71"/>
        <v/>
      </c>
      <c r="G551" s="35" t="str">
        <f t="shared" si="71"/>
        <v/>
      </c>
      <c r="H551" s="35" t="str">
        <f t="shared" si="71"/>
        <v/>
      </c>
      <c r="I551" s="165"/>
    </row>
    <row r="552" spans="2:9" x14ac:dyDescent="0.2">
      <c r="B552" s="35"/>
      <c r="C552" s="35"/>
      <c r="D552" s="35" t="str">
        <f t="shared" si="71"/>
        <v/>
      </c>
      <c r="E552" s="35" t="str">
        <f t="shared" si="71"/>
        <v/>
      </c>
      <c r="F552" s="35" t="str">
        <f t="shared" si="71"/>
        <v/>
      </c>
      <c r="G552" s="35" t="str">
        <f t="shared" si="71"/>
        <v/>
      </c>
      <c r="H552" s="35" t="str">
        <f t="shared" si="71"/>
        <v/>
      </c>
      <c r="I552" s="165"/>
    </row>
    <row r="553" spans="2:9" x14ac:dyDescent="0.2">
      <c r="C553" s="35" t="str">
        <f t="shared" si="71"/>
        <v/>
      </c>
      <c r="D553" s="35" t="str">
        <f t="shared" si="71"/>
        <v/>
      </c>
      <c r="E553" s="35" t="str">
        <f t="shared" si="71"/>
        <v/>
      </c>
      <c r="F553" s="35" t="str">
        <f t="shared" si="71"/>
        <v/>
      </c>
      <c r="G553" s="35" t="str">
        <f t="shared" si="71"/>
        <v/>
      </c>
      <c r="H553" s="35" t="str">
        <f t="shared" si="71"/>
        <v/>
      </c>
      <c r="I553" s="165"/>
    </row>
    <row r="554" spans="2:9" x14ac:dyDescent="0.2">
      <c r="B554" s="33" t="s">
        <v>280</v>
      </c>
      <c r="C554" s="35" t="str">
        <f t="shared" si="71"/>
        <v/>
      </c>
      <c r="D554" s="35" t="str">
        <f>IF(D500&gt;0,D500+D$538,"")</f>
        <v/>
      </c>
      <c r="E554" s="35" t="str">
        <f>IF(E500&gt;0,E500+E$538,"")</f>
        <v/>
      </c>
      <c r="F554" s="35" t="str">
        <f>IF(F500&gt;0,F500+F$538,"")</f>
        <v/>
      </c>
      <c r="G554" s="35" t="str">
        <f>IF(G500&gt;0,G500+G$538,"")</f>
        <v/>
      </c>
      <c r="H554" s="35">
        <f>IF(H500&gt;0,H500+H$539,"")</f>
        <v>3.2240000000000002</v>
      </c>
      <c r="I554" s="165"/>
    </row>
    <row r="555" spans="2:9" x14ac:dyDescent="0.2">
      <c r="I555" s="165"/>
    </row>
    <row r="556" spans="2:9" x14ac:dyDescent="0.2">
      <c r="B556" s="32" t="s">
        <v>61</v>
      </c>
      <c r="I556" s="165"/>
    </row>
    <row r="557" spans="2:9" x14ac:dyDescent="0.2">
      <c r="B557" s="36" t="s">
        <v>265</v>
      </c>
      <c r="C557" s="35">
        <f t="shared" ref="C557:H561" si="72">IF(C504&gt;0,C504+C$538,"")</f>
        <v>9.0760000000000005</v>
      </c>
      <c r="D557" s="35" t="str">
        <f t="shared" si="72"/>
        <v/>
      </c>
      <c r="E557" s="35">
        <f t="shared" si="72"/>
        <v>6.5640000000000001</v>
      </c>
      <c r="F557" s="35">
        <f t="shared" si="72"/>
        <v>6.1320000000000006</v>
      </c>
      <c r="G557" s="35">
        <f t="shared" si="72"/>
        <v>6.1120000000000001</v>
      </c>
      <c r="H557" s="35">
        <f t="shared" si="72"/>
        <v>5.52</v>
      </c>
      <c r="I557" s="165"/>
    </row>
    <row r="558" spans="2:9" x14ac:dyDescent="0.2">
      <c r="B558" s="36" t="s">
        <v>266</v>
      </c>
      <c r="C558" s="35" t="str">
        <f t="shared" si="72"/>
        <v/>
      </c>
      <c r="D558" s="35">
        <f t="shared" si="72"/>
        <v>13.308999999999999</v>
      </c>
      <c r="E558" s="35" t="str">
        <f t="shared" si="72"/>
        <v/>
      </c>
      <c r="F558" s="35" t="str">
        <f t="shared" si="72"/>
        <v/>
      </c>
      <c r="G558" s="35" t="str">
        <f t="shared" si="72"/>
        <v/>
      </c>
      <c r="H558" s="35" t="str">
        <f t="shared" si="72"/>
        <v/>
      </c>
      <c r="I558" s="165"/>
    </row>
    <row r="559" spans="2:9" x14ac:dyDescent="0.2">
      <c r="B559" s="36" t="s">
        <v>267</v>
      </c>
      <c r="C559" s="35" t="str">
        <f t="shared" si="72"/>
        <v/>
      </c>
      <c r="D559" s="35">
        <f t="shared" si="72"/>
        <v>6.069</v>
      </c>
      <c r="E559" s="35" t="str">
        <f t="shared" si="72"/>
        <v/>
      </c>
      <c r="F559" s="35" t="str">
        <f t="shared" si="72"/>
        <v/>
      </c>
      <c r="G559" s="35" t="str">
        <f t="shared" si="72"/>
        <v/>
      </c>
      <c r="H559" s="35" t="str">
        <f t="shared" si="72"/>
        <v/>
      </c>
      <c r="I559" s="165"/>
    </row>
    <row r="560" spans="2:9" x14ac:dyDescent="0.2">
      <c r="C560" s="35" t="str">
        <f t="shared" si="72"/>
        <v/>
      </c>
      <c r="D560" s="35" t="str">
        <f>IF(E507&gt;0,E507+D$538,"")</f>
        <v/>
      </c>
      <c r="E560" s="35" t="str">
        <f>IF(F507&gt;0,F507+E$538,"")</f>
        <v/>
      </c>
      <c r="F560" s="35" t="str">
        <f>IF(G507&gt;0,G507+F$538,"")</f>
        <v/>
      </c>
      <c r="G560" s="35" t="str">
        <f>IF(H507&gt;0,H507+G$538,"")</f>
        <v/>
      </c>
      <c r="H560" s="35" t="str">
        <f>IF(I507&gt;0,I507+H$538,"")</f>
        <v/>
      </c>
      <c r="I560" s="165"/>
    </row>
    <row r="561" spans="1:10" x14ac:dyDescent="0.2">
      <c r="B561" s="33" t="s">
        <v>280</v>
      </c>
      <c r="C561" s="35" t="str">
        <f t="shared" si="72"/>
        <v/>
      </c>
      <c r="D561" s="35" t="str">
        <f>IF(D508&gt;0,D508+D$538,"")</f>
        <v/>
      </c>
      <c r="E561" s="35" t="str">
        <f>IF(E508&gt;0,E508+E$538,"")</f>
        <v/>
      </c>
      <c r="F561" s="35" t="str">
        <f>IF(F508&gt;0,F508+F$538,"")</f>
        <v/>
      </c>
      <c r="G561" s="35" t="str">
        <f>IF(G508&gt;0,G508+G$538,"")</f>
        <v/>
      </c>
      <c r="H561" s="35">
        <f>IF(H508&gt;0,H508+H$540,"")</f>
        <v>3.6870000000000003</v>
      </c>
      <c r="I561" s="165"/>
    </row>
    <row r="562" spans="1:10" x14ac:dyDescent="0.2">
      <c r="B562" s="33"/>
      <c r="I562" s="165"/>
      <c r="J562" s="165"/>
    </row>
    <row r="563" spans="1:10" x14ac:dyDescent="0.2">
      <c r="B563" s="33"/>
      <c r="I563" s="165"/>
      <c r="J563" s="165"/>
    </row>
    <row r="565" spans="1:10" x14ac:dyDescent="0.2">
      <c r="A565" s="9"/>
      <c r="C565" s="184"/>
      <c r="E565" s="184"/>
    </row>
    <row r="566" spans="1:10" x14ac:dyDescent="0.2">
      <c r="A566" s="7" t="s">
        <v>281</v>
      </c>
      <c r="B566" s="3" t="s">
        <v>282</v>
      </c>
      <c r="C566" s="184"/>
      <c r="E566" s="184"/>
    </row>
    <row r="567" spans="1:10" x14ac:dyDescent="0.2">
      <c r="A567" s="9"/>
      <c r="C567" s="184"/>
      <c r="E567" s="184"/>
    </row>
    <row r="568" spans="1:10" x14ac:dyDescent="0.2">
      <c r="A568" s="9"/>
      <c r="B568" s="33" t="s">
        <v>283</v>
      </c>
      <c r="C568" s="160">
        <f>+D223</f>
        <v>76.336436216280376</v>
      </c>
      <c r="E568" s="184"/>
    </row>
    <row r="569" spans="1:10" x14ac:dyDescent="0.2">
      <c r="A569" s="9"/>
      <c r="B569" s="33" t="s">
        <v>284</v>
      </c>
      <c r="C569" s="206">
        <f>+J377</f>
        <v>0.93230000000000002</v>
      </c>
      <c r="E569" s="184"/>
    </row>
    <row r="570" spans="1:10" x14ac:dyDescent="0.2">
      <c r="A570" s="9"/>
      <c r="B570" s="33" t="s">
        <v>285</v>
      </c>
      <c r="C570" s="206">
        <f>+J378</f>
        <v>1.0477000000000001</v>
      </c>
      <c r="E570" s="184"/>
    </row>
    <row r="571" spans="1:10" x14ac:dyDescent="0.2">
      <c r="A571" s="9"/>
      <c r="B571" s="36" t="s">
        <v>286</v>
      </c>
      <c r="C571" s="207">
        <f>ROUND(C568*C569,4)</f>
        <v>71.168499999999995</v>
      </c>
      <c r="E571" s="184"/>
    </row>
    <row r="572" spans="1:10" x14ac:dyDescent="0.2">
      <c r="A572" s="9"/>
      <c r="B572" s="36" t="s">
        <v>287</v>
      </c>
      <c r="C572" s="207">
        <f>ROUND(C568*C570,4)</f>
        <v>79.977699999999999</v>
      </c>
      <c r="E572" s="184"/>
    </row>
    <row r="573" spans="1:10" x14ac:dyDescent="0.2">
      <c r="A573" s="9"/>
      <c r="B573" s="33"/>
      <c r="C573" s="184"/>
      <c r="E573" s="184"/>
    </row>
    <row r="574" spans="1:10" x14ac:dyDescent="0.2">
      <c r="A574" s="9"/>
      <c r="C574" s="184"/>
      <c r="E574" s="184"/>
    </row>
    <row r="575" spans="1:10" x14ac:dyDescent="0.2">
      <c r="A575" s="9"/>
      <c r="C575" s="12" t="str">
        <f t="shared" ref="C575" si="73">C6</f>
        <v>SC1/SC5</v>
      </c>
      <c r="D575" s="12" t="str">
        <f>D6</f>
        <v>SC3</v>
      </c>
      <c r="E575" s="12" t="str">
        <f>E6</f>
        <v>SC2 ND</v>
      </c>
      <c r="F575" s="12" t="str">
        <f>F6</f>
        <v>SC4</v>
      </c>
      <c r="G575" s="12" t="str">
        <f>G6</f>
        <v>SC6</v>
      </c>
      <c r="H575" s="12" t="str">
        <f>H6</f>
        <v>SC2 Dem</v>
      </c>
      <c r="I575" s="12"/>
    </row>
    <row r="576" spans="1:10" x14ac:dyDescent="0.2">
      <c r="A576" s="9"/>
      <c r="B576" s="8" t="s">
        <v>288</v>
      </c>
    </row>
    <row r="577" spans="1:11" x14ac:dyDescent="0.2">
      <c r="A577" s="9"/>
      <c r="B577" s="159" t="s">
        <v>68</v>
      </c>
      <c r="C577" s="161">
        <f>ROUND((C493*L48)/100,0)</f>
        <v>18361</v>
      </c>
      <c r="D577" s="164">
        <f>ROUND((D494*M49+D495*M50)/100,0)</f>
        <v>6</v>
      </c>
      <c r="E577" s="161">
        <f>ROUND(E493*N48/100,0)</f>
        <v>270</v>
      </c>
      <c r="F577" s="161">
        <f>ROUND(F493*O48/100,0)</f>
        <v>64</v>
      </c>
      <c r="G577" s="161">
        <f>ROUND(G493*P48/100,0)</f>
        <v>68</v>
      </c>
      <c r="H577" s="164">
        <v>5528</v>
      </c>
      <c r="I577" s="164"/>
    </row>
    <row r="578" spans="1:11" x14ac:dyDescent="0.2">
      <c r="A578" s="9"/>
      <c r="B578" s="159" t="s">
        <v>61</v>
      </c>
      <c r="C578" s="37">
        <f>ROUND(C504*L44/100,0)</f>
        <v>28121</v>
      </c>
      <c r="D578" s="38">
        <f>ROUND((D505*M45+D506*M46)/100,0)</f>
        <v>11</v>
      </c>
      <c r="E578" s="37">
        <f>ROUND(E504*N44/100,0)</f>
        <v>693</v>
      </c>
      <c r="F578" s="37">
        <f>ROUND(F504*O44/100,0)</f>
        <v>186</v>
      </c>
      <c r="G578" s="37">
        <f>ROUND(G504*P44/100,0)</f>
        <v>181</v>
      </c>
      <c r="H578" s="38">
        <v>10613</v>
      </c>
      <c r="I578" s="164"/>
    </row>
    <row r="579" spans="1:11" x14ac:dyDescent="0.2">
      <c r="A579" s="9"/>
      <c r="B579" s="159" t="s">
        <v>35</v>
      </c>
      <c r="C579" s="42">
        <f>+C578+C577</f>
        <v>46482</v>
      </c>
      <c r="D579" s="42">
        <f t="shared" ref="D579:H579" si="74">+D578+D577</f>
        <v>17</v>
      </c>
      <c r="E579" s="42">
        <f t="shared" si="74"/>
        <v>963</v>
      </c>
      <c r="F579" s="42">
        <f t="shared" si="74"/>
        <v>250</v>
      </c>
      <c r="G579" s="42">
        <f t="shared" si="74"/>
        <v>249</v>
      </c>
      <c r="H579" s="42">
        <f t="shared" si="74"/>
        <v>16141</v>
      </c>
      <c r="I579" s="42"/>
    </row>
    <row r="580" spans="1:11" x14ac:dyDescent="0.2">
      <c r="A580" s="9"/>
      <c r="B580" s="159"/>
      <c r="C580" s="42"/>
      <c r="D580" s="42"/>
      <c r="E580" s="42"/>
      <c r="F580" s="42"/>
      <c r="G580" s="42"/>
      <c r="H580" s="42"/>
      <c r="I580" s="42"/>
    </row>
    <row r="581" spans="1:11" x14ac:dyDescent="0.2">
      <c r="A581" s="9"/>
      <c r="B581" s="159" t="s">
        <v>35</v>
      </c>
      <c r="C581" s="42"/>
      <c r="D581" s="42"/>
      <c r="E581" s="42"/>
      <c r="F581" s="42"/>
      <c r="G581" s="42"/>
      <c r="H581" s="42"/>
      <c r="I581" s="42"/>
    </row>
    <row r="582" spans="1:11" x14ac:dyDescent="0.2">
      <c r="A582" s="9"/>
      <c r="B582" s="159" t="s">
        <v>68</v>
      </c>
      <c r="C582" s="42">
        <f>SUM(C577:H577)</f>
        <v>24297</v>
      </c>
      <c r="D582" s="42"/>
      <c r="E582" s="42"/>
      <c r="F582" s="42"/>
      <c r="G582" s="42"/>
      <c r="H582" s="42"/>
      <c r="I582" s="42"/>
      <c r="K582" s="97"/>
    </row>
    <row r="583" spans="1:11" x14ac:dyDescent="0.2">
      <c r="A583" s="9"/>
      <c r="B583" s="159" t="s">
        <v>61</v>
      </c>
      <c r="C583" s="39">
        <f>SUM(C578:H578)</f>
        <v>39805</v>
      </c>
      <c r="D583" s="184"/>
      <c r="E583" s="42"/>
      <c r="F583" s="42"/>
    </row>
    <row r="584" spans="1:11" x14ac:dyDescent="0.2">
      <c r="A584" s="9"/>
      <c r="B584" s="159" t="s">
        <v>35</v>
      </c>
      <c r="C584" s="138">
        <f>+C583+C582</f>
        <v>64102</v>
      </c>
      <c r="D584" s="184"/>
      <c r="E584" s="138"/>
      <c r="F584" s="138"/>
    </row>
    <row r="585" spans="1:11" x14ac:dyDescent="0.2">
      <c r="A585" s="9"/>
      <c r="B585" s="159"/>
      <c r="C585" s="42"/>
      <c r="D585" s="184"/>
    </row>
    <row r="586" spans="1:11" x14ac:dyDescent="0.2">
      <c r="A586" s="9"/>
      <c r="C586" s="12" t="str">
        <f t="shared" ref="C586" si="75">C6</f>
        <v>SC1/SC5</v>
      </c>
      <c r="D586" s="12" t="str">
        <f>D6</f>
        <v>SC3</v>
      </c>
      <c r="E586" s="12" t="str">
        <f>E6</f>
        <v>SC2 ND</v>
      </c>
      <c r="F586" s="12" t="str">
        <f>F6</f>
        <v>SC4</v>
      </c>
      <c r="G586" s="12" t="str">
        <f>G6</f>
        <v>SC6</v>
      </c>
      <c r="H586" s="12" t="str">
        <f>H6</f>
        <v>SC2 Dem</v>
      </c>
      <c r="I586" s="12"/>
    </row>
    <row r="587" spans="1:11" x14ac:dyDescent="0.2">
      <c r="A587" s="9"/>
      <c r="B587" s="6" t="s">
        <v>289</v>
      </c>
    </row>
    <row r="588" spans="1:11" x14ac:dyDescent="0.2">
      <c r="A588" s="9"/>
      <c r="B588" s="159" t="s">
        <v>68</v>
      </c>
      <c r="C588" s="161">
        <f t="shared" ref="C588:H588" si="76">+$C571*L48*C78/1000</f>
        <v>22183.395261381942</v>
      </c>
      <c r="D588" s="161">
        <f t="shared" si="76"/>
        <v>7.5365516306041211</v>
      </c>
      <c r="E588" s="161">
        <f t="shared" si="76"/>
        <v>360.36311489104014</v>
      </c>
      <c r="F588" s="161">
        <f t="shared" si="76"/>
        <v>110.49784459941291</v>
      </c>
      <c r="G588" s="161">
        <f t="shared" si="76"/>
        <v>117.31489531188977</v>
      </c>
      <c r="H588" s="161">
        <f t="shared" si="76"/>
        <v>8441.1274381858439</v>
      </c>
      <c r="I588" s="161"/>
    </row>
    <row r="589" spans="1:11" x14ac:dyDescent="0.2">
      <c r="A589" s="9"/>
      <c r="B589" s="159" t="s">
        <v>61</v>
      </c>
      <c r="C589" s="37">
        <f t="shared" ref="C589:H589" si="77">+$C572*L44*C78/1000</f>
        <v>31910.567320280163</v>
      </c>
      <c r="D589" s="37">
        <f t="shared" si="77"/>
        <v>13.594508262792058</v>
      </c>
      <c r="E589" s="37">
        <f t="shared" si="77"/>
        <v>996.52523188977966</v>
      </c>
      <c r="F589" s="37">
        <f t="shared" si="77"/>
        <v>323.4874600974635</v>
      </c>
      <c r="G589" s="37">
        <f t="shared" si="77"/>
        <v>315.86988008981655</v>
      </c>
      <c r="H589" s="37">
        <f t="shared" si="77"/>
        <v>16205.427476664039</v>
      </c>
      <c r="I589" s="161"/>
    </row>
    <row r="590" spans="1:11" x14ac:dyDescent="0.2">
      <c r="A590" s="9"/>
      <c r="B590" s="159" t="s">
        <v>35</v>
      </c>
      <c r="C590" s="42">
        <f t="shared" ref="C590:H590" si="78">+C589+C588</f>
        <v>54093.962581662105</v>
      </c>
      <c r="D590" s="42">
        <f t="shared" si="78"/>
        <v>21.131059893396177</v>
      </c>
      <c r="E590" s="42">
        <f t="shared" si="78"/>
        <v>1356.8883467808198</v>
      </c>
      <c r="F590" s="42">
        <f t="shared" si="78"/>
        <v>433.98530469687643</v>
      </c>
      <c r="G590" s="161">
        <f t="shared" si="78"/>
        <v>433.1847754017063</v>
      </c>
      <c r="H590" s="161">
        <f t="shared" si="78"/>
        <v>24646.554914849883</v>
      </c>
      <c r="I590" s="161"/>
    </row>
    <row r="591" spans="1:11" x14ac:dyDescent="0.2">
      <c r="A591" s="9"/>
      <c r="C591" s="184"/>
      <c r="D591" s="184"/>
      <c r="E591" s="184"/>
      <c r="F591" s="184"/>
      <c r="G591" s="184"/>
      <c r="H591" s="184"/>
      <c r="I591" s="184"/>
      <c r="J591" s="184"/>
    </row>
    <row r="592" spans="1:11" x14ac:dyDescent="0.2">
      <c r="A592" s="9"/>
      <c r="B592" s="159" t="s">
        <v>35</v>
      </c>
      <c r="C592" s="169"/>
      <c r="D592" s="184"/>
      <c r="E592" s="184"/>
      <c r="F592" s="184"/>
      <c r="G592" s="184"/>
      <c r="H592" s="184"/>
      <c r="I592" s="184"/>
      <c r="J592" s="184"/>
    </row>
    <row r="593" spans="1:7" x14ac:dyDescent="0.2">
      <c r="A593" s="9"/>
      <c r="B593" s="159" t="s">
        <v>68</v>
      </c>
      <c r="C593" s="42">
        <f>SUM(C588:H588)</f>
        <v>31220.235106000735</v>
      </c>
      <c r="G593" s="42"/>
    </row>
    <row r="594" spans="1:7" x14ac:dyDescent="0.2">
      <c r="A594" s="9"/>
      <c r="B594" s="159" t="s">
        <v>61</v>
      </c>
      <c r="C594" s="39">
        <f>SUM(C589:H589)</f>
        <v>49765.471877284057</v>
      </c>
      <c r="G594" s="42"/>
    </row>
    <row r="595" spans="1:7" x14ac:dyDescent="0.2">
      <c r="A595" s="9"/>
      <c r="B595" s="159" t="s">
        <v>35</v>
      </c>
      <c r="C595" s="42">
        <f>+C594+C593</f>
        <v>80985.706983284792</v>
      </c>
      <c r="G595" s="42"/>
    </row>
    <row r="596" spans="1:7" x14ac:dyDescent="0.2">
      <c r="A596" s="9"/>
      <c r="C596" s="184"/>
      <c r="D596" s="43"/>
      <c r="E596" s="184"/>
      <c r="F596" s="30"/>
    </row>
    <row r="597" spans="1:7" x14ac:dyDescent="0.2">
      <c r="B597" s="159" t="s">
        <v>290</v>
      </c>
      <c r="C597" s="42"/>
    </row>
    <row r="598" spans="1:7" x14ac:dyDescent="0.2">
      <c r="B598" s="159" t="s">
        <v>68</v>
      </c>
      <c r="C598" s="189">
        <f>ROUND($C$147*SUM($C$141:$H$141)/12*H$144/1000*D447,0)</f>
        <v>4459</v>
      </c>
    </row>
    <row r="599" spans="1:7" x14ac:dyDescent="0.2">
      <c r="B599" s="159" t="s">
        <v>61</v>
      </c>
      <c r="C599" s="139">
        <f>ROUND($C$147*SUM($C$141:$H$141)/12*H$145/1000*D447,0)</f>
        <v>8917</v>
      </c>
    </row>
    <row r="600" spans="1:7" x14ac:dyDescent="0.2">
      <c r="B600" s="159" t="s">
        <v>35</v>
      </c>
      <c r="C600" s="42">
        <f>SUM(C598:C599)</f>
        <v>13376</v>
      </c>
    </row>
    <row r="602" spans="1:7" x14ac:dyDescent="0.2">
      <c r="B602" s="6" t="s">
        <v>291</v>
      </c>
    </row>
    <row r="603" spans="1:7" x14ac:dyDescent="0.2">
      <c r="B603" s="159" t="s">
        <v>68</v>
      </c>
      <c r="C603" s="42">
        <f>C593-C598</f>
        <v>26761.235106000735</v>
      </c>
    </row>
    <row r="604" spans="1:7" x14ac:dyDescent="0.2">
      <c r="B604" s="159" t="s">
        <v>61</v>
      </c>
      <c r="C604" s="39">
        <f>C594-C599</f>
        <v>40848.471877284057</v>
      </c>
    </row>
    <row r="605" spans="1:7" x14ac:dyDescent="0.2">
      <c r="B605" s="159" t="s">
        <v>35</v>
      </c>
      <c r="C605" s="138">
        <f>SUM(C603:C604)</f>
        <v>67609.706983284792</v>
      </c>
    </row>
    <row r="607" spans="1:7" x14ac:dyDescent="0.2">
      <c r="B607" s="6" t="s">
        <v>292</v>
      </c>
    </row>
    <row r="608" spans="1:7" x14ac:dyDescent="0.2">
      <c r="B608" s="159" t="s">
        <v>68</v>
      </c>
      <c r="C608" s="42">
        <f>C603-C582</f>
        <v>2464.235106000735</v>
      </c>
    </row>
    <row r="609" spans="2:3" x14ac:dyDescent="0.2">
      <c r="B609" s="159" t="s">
        <v>61</v>
      </c>
      <c r="C609" s="39">
        <f>C604-C583</f>
        <v>1043.471877284057</v>
      </c>
    </row>
    <row r="610" spans="2:3" x14ac:dyDescent="0.2">
      <c r="B610" s="159" t="s">
        <v>35</v>
      </c>
      <c r="C610" s="42">
        <f>SUM(C608:C609)</f>
        <v>3507.7069832847919</v>
      </c>
    </row>
  </sheetData>
  <mergeCells count="3">
    <mergeCell ref="T210:U210"/>
    <mergeCell ref="I376:J376"/>
    <mergeCell ref="I398:J398"/>
  </mergeCells>
  <pageMargins left="0.5" right="0.5" top="1" bottom="0.75" header="0.5" footer="0.5"/>
  <pageSetup scale="86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DA1E4-462B-405A-BF71-888112534891}">
  <sheetPr codeName="Sheet5">
    <pageSetUpPr fitToPage="1"/>
  </sheetPr>
  <dimension ref="A1:N51"/>
  <sheetViews>
    <sheetView zoomScaleNormal="100" workbookViewId="0">
      <selection activeCell="O23" sqref="O23"/>
    </sheetView>
  </sheetViews>
  <sheetFormatPr defaultColWidth="9.140625" defaultRowHeight="12.75" x14ac:dyDescent="0.2"/>
  <cols>
    <col min="1" max="1" width="9.140625" style="6"/>
    <col min="2" max="2" width="4.7109375" style="6" customWidth="1"/>
    <col min="3" max="3" width="30.85546875" style="6" customWidth="1"/>
    <col min="4" max="6" width="9.5703125" style="6" customWidth="1"/>
    <col min="7" max="7" width="9.85546875" style="6" customWidth="1"/>
    <col min="8" max="8" width="2.42578125" style="6" customWidth="1"/>
    <col min="9" max="13" width="9.140625" style="6"/>
    <col min="14" max="14" width="12.85546875" style="6" customWidth="1"/>
    <col min="15" max="17" width="9.140625" style="6"/>
    <col min="18" max="18" width="13.140625" style="6" customWidth="1"/>
    <col min="19" max="16384" width="9.140625" style="6"/>
  </cols>
  <sheetData>
    <row r="1" spans="1:9" x14ac:dyDescent="0.2">
      <c r="A1" s="1" t="s">
        <v>293</v>
      </c>
    </row>
    <row r="2" spans="1:9" x14ac:dyDescent="0.2">
      <c r="A2" s="3" t="str">
        <f>'BGS Cost &amp; Bid Factors'!M1&amp;" BGS Auction"</f>
        <v>2021 BGS Auction</v>
      </c>
    </row>
    <row r="4" spans="1:9" s="27" customFormat="1" x14ac:dyDescent="0.2">
      <c r="A4" s="3" t="s">
        <v>294</v>
      </c>
      <c r="B4" s="3" t="s">
        <v>295</v>
      </c>
    </row>
    <row r="5" spans="1:9" s="27" customFormat="1" ht="11.25" x14ac:dyDescent="0.2"/>
    <row r="6" spans="1:9" s="27" customFormat="1" ht="11.25" x14ac:dyDescent="0.2">
      <c r="D6" s="208">
        <f>F6-2</f>
        <v>2019</v>
      </c>
      <c r="E6" s="208">
        <f>F6-1</f>
        <v>2020</v>
      </c>
      <c r="F6" s="208">
        <v>2021</v>
      </c>
    </row>
    <row r="7" spans="1:9" s="27" customFormat="1" ht="11.25" x14ac:dyDescent="0.2">
      <c r="D7" s="208" t="s">
        <v>296</v>
      </c>
      <c r="E7" s="208" t="s">
        <v>296</v>
      </c>
      <c r="F7" s="208" t="s">
        <v>296</v>
      </c>
    </row>
    <row r="8" spans="1:9" s="27" customFormat="1" ht="11.25" x14ac:dyDescent="0.2">
      <c r="B8" s="209" t="s">
        <v>297</v>
      </c>
      <c r="C8" s="209" t="s">
        <v>298</v>
      </c>
      <c r="D8" s="210" t="s">
        <v>299</v>
      </c>
      <c r="E8" s="210" t="s">
        <v>299</v>
      </c>
      <c r="F8" s="210" t="s">
        <v>299</v>
      </c>
      <c r="G8" s="211" t="s">
        <v>35</v>
      </c>
      <c r="I8" s="209" t="s">
        <v>300</v>
      </c>
    </row>
    <row r="9" spans="1:9" s="27" customFormat="1" ht="11.25" x14ac:dyDescent="0.2">
      <c r="B9" s="208">
        <v>1</v>
      </c>
      <c r="C9" s="27" t="s">
        <v>301</v>
      </c>
      <c r="D9" s="27">
        <v>1</v>
      </c>
      <c r="E9" s="27">
        <v>2</v>
      </c>
      <c r="F9" s="27">
        <v>1</v>
      </c>
      <c r="G9" s="27">
        <f>SUM(D9:F9)</f>
        <v>4</v>
      </c>
      <c r="I9" s="27" t="s">
        <v>302</v>
      </c>
    </row>
    <row r="10" spans="1:9" s="27" customFormat="1" ht="11.25" x14ac:dyDescent="0.2">
      <c r="B10" s="208" t="s">
        <v>303</v>
      </c>
      <c r="C10" s="212" t="s">
        <v>304</v>
      </c>
      <c r="D10" s="213">
        <v>8.8030000000000008</v>
      </c>
      <c r="E10" s="213">
        <v>8.2420000000000009</v>
      </c>
      <c r="F10" s="213">
        <f>8.242-'BGS Cost &amp; Bid Factors'!M468/10</f>
        <v>6.9452816406936986</v>
      </c>
      <c r="I10" s="27" t="str">
        <f>"(Note: "&amp;F6&amp;" Auction Price Shown for Illustrative Purposes Only)"</f>
        <v>(Note: 2021 Auction Price Shown for Illustrative Purposes Only)</v>
      </c>
    </row>
    <row r="11" spans="1:9" s="27" customFormat="1" ht="11.25" x14ac:dyDescent="0.2">
      <c r="B11" s="208" t="s">
        <v>305</v>
      </c>
      <c r="C11" s="212" t="s">
        <v>306</v>
      </c>
      <c r="D11" s="213"/>
      <c r="E11" s="213"/>
      <c r="F11" s="213">
        <v>0</v>
      </c>
      <c r="I11" s="27" t="s">
        <v>307</v>
      </c>
    </row>
    <row r="12" spans="1:9" s="27" customFormat="1" ht="11.25" x14ac:dyDescent="0.2">
      <c r="B12" s="208" t="s">
        <v>308</v>
      </c>
      <c r="C12" s="212" t="s">
        <v>304</v>
      </c>
      <c r="D12" s="213">
        <f>D11+D10</f>
        <v>8.8030000000000008</v>
      </c>
      <c r="E12" s="213">
        <f t="shared" ref="E12:F12" si="0">E11+E10</f>
        <v>8.2420000000000009</v>
      </c>
      <c r="F12" s="213">
        <f t="shared" si="0"/>
        <v>6.9452816406936986</v>
      </c>
      <c r="I12" s="27" t="s">
        <v>309</v>
      </c>
    </row>
    <row r="13" spans="1:9" s="27" customFormat="1" ht="11.25" x14ac:dyDescent="0.2">
      <c r="B13" s="208">
        <v>3</v>
      </c>
      <c r="C13" s="212" t="s">
        <v>310</v>
      </c>
      <c r="D13" s="213">
        <v>1.2949999999999999</v>
      </c>
      <c r="E13" s="213">
        <v>1.327</v>
      </c>
      <c r="F13" s="213">
        <v>0</v>
      </c>
      <c r="I13" s="27" t="s">
        <v>311</v>
      </c>
    </row>
    <row r="14" spans="1:9" s="27" customFormat="1" ht="11.25" x14ac:dyDescent="0.2">
      <c r="B14" s="208">
        <v>4</v>
      </c>
      <c r="C14" s="212" t="s">
        <v>312</v>
      </c>
      <c r="D14" s="213">
        <f>D12-D13</f>
        <v>7.5080000000000009</v>
      </c>
      <c r="E14" s="213">
        <f t="shared" ref="E14:F14" si="1">E12-E13</f>
        <v>6.9150000000000009</v>
      </c>
      <c r="F14" s="213">
        <f t="shared" si="1"/>
        <v>6.9452816406936986</v>
      </c>
      <c r="G14" s="213"/>
      <c r="I14" s="212" t="s">
        <v>313</v>
      </c>
    </row>
    <row r="15" spans="1:9" s="27" customFormat="1" ht="11.25" x14ac:dyDescent="0.2">
      <c r="B15" s="208">
        <v>5</v>
      </c>
      <c r="C15" s="212" t="s">
        <v>314</v>
      </c>
      <c r="D15" s="213">
        <f>D9/$G$9*D14</f>
        <v>1.8770000000000002</v>
      </c>
      <c r="E15" s="213">
        <f>E9/$G$9*E14</f>
        <v>3.4575000000000005</v>
      </c>
      <c r="F15" s="213">
        <f>F9/$G$9*F14</f>
        <v>1.7363204101734246</v>
      </c>
      <c r="G15" s="213">
        <f>SUM(D15:F15)</f>
        <v>7.0708204101734253</v>
      </c>
      <c r="I15" s="212" t="s">
        <v>315</v>
      </c>
    </row>
    <row r="16" spans="1:9" s="27" customFormat="1" ht="11.25" x14ac:dyDescent="0.2">
      <c r="B16" s="208">
        <v>6</v>
      </c>
      <c r="C16" s="212" t="s">
        <v>316</v>
      </c>
      <c r="D16" s="213">
        <f>D9/$G$9*D13</f>
        <v>0.32374999999999998</v>
      </c>
      <c r="E16" s="213">
        <f>E9/$G$9*E13</f>
        <v>0.66349999999999998</v>
      </c>
      <c r="F16" s="213">
        <f>F9/$G$9*F13</f>
        <v>0</v>
      </c>
      <c r="G16" s="213">
        <f>SUM(D16:F16)</f>
        <v>0.98724999999999996</v>
      </c>
      <c r="I16" s="212" t="s">
        <v>317</v>
      </c>
    </row>
    <row r="17" spans="2:14" s="27" customFormat="1" ht="11.25" x14ac:dyDescent="0.2">
      <c r="B17" s="208">
        <v>7</v>
      </c>
      <c r="C17" s="212" t="s">
        <v>318</v>
      </c>
      <c r="G17" s="214">
        <f>G15+G16</f>
        <v>8.0580704101734248</v>
      </c>
    </row>
    <row r="18" spans="2:14" s="27" customFormat="1" ht="11.25" x14ac:dyDescent="0.2">
      <c r="B18" s="208"/>
    </row>
    <row r="19" spans="2:14" s="27" customFormat="1" ht="11.25" x14ac:dyDescent="0.2">
      <c r="B19" s="208"/>
      <c r="C19" s="209" t="s">
        <v>319</v>
      </c>
    </row>
    <row r="20" spans="2:14" s="27" customFormat="1" ht="11.25" x14ac:dyDescent="0.2">
      <c r="B20" s="208">
        <v>8</v>
      </c>
      <c r="C20" s="215" t="s">
        <v>320</v>
      </c>
      <c r="D20" s="216">
        <v>1</v>
      </c>
      <c r="E20" s="216">
        <v>1</v>
      </c>
      <c r="F20" s="216">
        <f>IF('BGS Cost &amp; Bid Factors'!J377&lt;1,1,'BGS Cost &amp; Bid Factors'!J377)</f>
        <v>1</v>
      </c>
      <c r="G20" s="27" t="s">
        <v>321</v>
      </c>
      <c r="I20" s="212" t="s">
        <v>322</v>
      </c>
    </row>
    <row r="21" spans="2:14" s="27" customFormat="1" ht="11.25" x14ac:dyDescent="0.2">
      <c r="B21" s="208">
        <v>9</v>
      </c>
      <c r="C21" s="215" t="s">
        <v>323</v>
      </c>
      <c r="D21" s="216">
        <v>1</v>
      </c>
      <c r="E21" s="216">
        <v>1</v>
      </c>
      <c r="F21" s="216">
        <f>IF('BGS Cost &amp; Bid Factors'!J378&gt;1,1,'BGS Cost &amp; Bid Factors'!J378)</f>
        <v>1</v>
      </c>
      <c r="G21" s="27" t="s">
        <v>321</v>
      </c>
      <c r="I21" s="212" t="s">
        <v>322</v>
      </c>
    </row>
    <row r="22" spans="2:14" s="27" customFormat="1" ht="11.25" x14ac:dyDescent="0.2">
      <c r="B22" s="208"/>
      <c r="D22" s="216"/>
      <c r="E22" s="216"/>
      <c r="F22" s="216"/>
    </row>
    <row r="23" spans="2:14" s="27" customFormat="1" ht="11.25" x14ac:dyDescent="0.2">
      <c r="B23" s="208"/>
      <c r="C23" s="209" t="s">
        <v>324</v>
      </c>
      <c r="F23" s="208" t="s">
        <v>325</v>
      </c>
    </row>
    <row r="24" spans="2:14" s="27" customFormat="1" ht="11.25" x14ac:dyDescent="0.2">
      <c r="B24" s="208">
        <v>10</v>
      </c>
      <c r="C24" s="217" t="s">
        <v>326</v>
      </c>
      <c r="D24" s="218">
        <f>'Rate Calculations'!$D$251</f>
        <v>385851.10416099493</v>
      </c>
      <c r="I24" s="212" t="s">
        <v>322</v>
      </c>
      <c r="N24" s="218"/>
    </row>
    <row r="25" spans="2:14" s="27" customFormat="1" ht="11.25" x14ac:dyDescent="0.2">
      <c r="B25" s="208">
        <v>11</v>
      </c>
      <c r="C25" s="217" t="s">
        <v>327</v>
      </c>
      <c r="D25" s="219">
        <f>'Rate Calculations'!$D$252</f>
        <v>547288.18274595949</v>
      </c>
      <c r="I25" s="212" t="s">
        <v>322</v>
      </c>
      <c r="N25" s="218"/>
    </row>
    <row r="26" spans="2:14" s="27" customFormat="1" ht="11.25" x14ac:dyDescent="0.2">
      <c r="B26" s="208">
        <v>12</v>
      </c>
      <c r="D26" s="218">
        <f>SUM(D24:D25)</f>
        <v>933139.28690695437</v>
      </c>
      <c r="N26" s="218"/>
    </row>
    <row r="27" spans="2:14" s="27" customFormat="1" ht="11.25" x14ac:dyDescent="0.2">
      <c r="B27" s="208"/>
    </row>
    <row r="28" spans="2:14" s="27" customFormat="1" ht="11.25" x14ac:dyDescent="0.2">
      <c r="B28" s="208"/>
      <c r="C28" s="209" t="s">
        <v>328</v>
      </c>
    </row>
    <row r="29" spans="2:14" s="27" customFormat="1" ht="11.25" x14ac:dyDescent="0.2">
      <c r="B29" s="208">
        <v>13</v>
      </c>
      <c r="C29" s="217" t="s">
        <v>68</v>
      </c>
      <c r="D29" s="218">
        <f>ROUND(D$9/$G$9*(D$10-D$13)/100*D$20*$D$24*1000,0)</f>
        <v>7242425</v>
      </c>
      <c r="E29" s="218">
        <f>ROUND(E$9/$G$9*(E$10-E$13)/100*E$20*$D$24*1000,0)</f>
        <v>13340802</v>
      </c>
      <c r="F29" s="218">
        <f>ROUND(F$9/$G$9*(F$10-F$13)/100*F$20*$D$24*1000,0)</f>
        <v>6699611</v>
      </c>
      <c r="G29" s="218">
        <f>SUM(D29:F29)</f>
        <v>27282838</v>
      </c>
      <c r="I29" s="212" t="s">
        <v>329</v>
      </c>
    </row>
    <row r="30" spans="2:14" s="27" customFormat="1" ht="11.25" x14ac:dyDescent="0.2">
      <c r="B30" s="208">
        <v>14</v>
      </c>
      <c r="C30" s="217" t="s">
        <v>61</v>
      </c>
      <c r="D30" s="219">
        <f>ROUND(D$9/$G$9*(D$10-D$13)/100*D$21*$D$25*1000,0)</f>
        <v>10272599</v>
      </c>
      <c r="E30" s="219">
        <f>ROUND(E$9/$G$9*(E$10-E$13)/100*E$21*$D$25*1000,0)</f>
        <v>18922489</v>
      </c>
      <c r="F30" s="219">
        <f>ROUND(F$9/$G$9*(F$10-F$13)/100*F$21*$D$25*1000,0)</f>
        <v>9502676</v>
      </c>
      <c r="G30" s="219">
        <f>SUM(D30:F30)</f>
        <v>38697764</v>
      </c>
      <c r="I30" s="212" t="s">
        <v>330</v>
      </c>
    </row>
    <row r="31" spans="2:14" s="27" customFormat="1" ht="11.25" x14ac:dyDescent="0.2">
      <c r="B31" s="208">
        <v>15</v>
      </c>
      <c r="C31" s="217" t="s">
        <v>35</v>
      </c>
      <c r="D31" s="218">
        <f>SUM(D29:D30)</f>
        <v>17515024</v>
      </c>
      <c r="E31" s="218">
        <f>SUM(E29:E30)</f>
        <v>32263291</v>
      </c>
      <c r="F31" s="218">
        <f>SUM(F29:F30)</f>
        <v>16202287</v>
      </c>
      <c r="G31" s="218">
        <f>SUM(G29:G30)</f>
        <v>65980602</v>
      </c>
      <c r="I31" s="212" t="s">
        <v>331</v>
      </c>
    </row>
    <row r="32" spans="2:14" s="27" customFormat="1" ht="11.25" x14ac:dyDescent="0.2">
      <c r="B32" s="208"/>
    </row>
    <row r="33" spans="2:11" s="27" customFormat="1" ht="11.25" x14ac:dyDescent="0.2">
      <c r="B33" s="208"/>
      <c r="C33" s="220" t="s">
        <v>332</v>
      </c>
    </row>
    <row r="34" spans="2:11" s="27" customFormat="1" ht="11.25" x14ac:dyDescent="0.2">
      <c r="B34" s="208">
        <v>16</v>
      </c>
      <c r="C34" s="217" t="s">
        <v>68</v>
      </c>
      <c r="D34" s="213">
        <f>ROUND(G29/D24/1000*100,3)</f>
        <v>7.0709999999999997</v>
      </c>
      <c r="E34" s="27" t="s">
        <v>110</v>
      </c>
      <c r="I34" s="212" t="s">
        <v>333</v>
      </c>
    </row>
    <row r="35" spans="2:11" s="27" customFormat="1" ht="11.25" x14ac:dyDescent="0.2">
      <c r="B35" s="208">
        <v>17</v>
      </c>
      <c r="C35" s="217" t="s">
        <v>61</v>
      </c>
      <c r="D35" s="213">
        <f>ROUND(G30/D25/1000*100,3)</f>
        <v>7.0709999999999997</v>
      </c>
      <c r="E35" s="27" t="s">
        <v>110</v>
      </c>
      <c r="I35" s="212" t="s">
        <v>334</v>
      </c>
    </row>
    <row r="36" spans="2:11" s="27" customFormat="1" ht="11.25" x14ac:dyDescent="0.2">
      <c r="B36" s="208">
        <v>18</v>
      </c>
      <c r="C36" s="217" t="s">
        <v>35</v>
      </c>
      <c r="D36" s="214">
        <f>ROUND(G31/D26/1000*100,3)</f>
        <v>7.0709999999999997</v>
      </c>
      <c r="E36" s="27" t="s">
        <v>110</v>
      </c>
      <c r="I36" s="212" t="s">
        <v>335</v>
      </c>
    </row>
    <row r="37" spans="2:11" s="27" customFormat="1" ht="11.25" x14ac:dyDescent="0.2">
      <c r="B37" s="208"/>
      <c r="C37" s="218"/>
    </row>
    <row r="38" spans="2:11" s="27" customFormat="1" ht="11.25" x14ac:dyDescent="0.2">
      <c r="B38" s="208"/>
      <c r="C38" s="209" t="s">
        <v>336</v>
      </c>
    </row>
    <row r="39" spans="2:11" s="27" customFormat="1" ht="11.25" x14ac:dyDescent="0.2">
      <c r="B39" s="208"/>
      <c r="D39" s="217" t="s">
        <v>337</v>
      </c>
      <c r="E39" s="217" t="s">
        <v>338</v>
      </c>
    </row>
    <row r="40" spans="2:11" s="27" customFormat="1" ht="11.25" x14ac:dyDescent="0.2">
      <c r="B40" s="208"/>
      <c r="D40" s="211" t="s">
        <v>296</v>
      </c>
      <c r="E40" s="211" t="s">
        <v>339</v>
      </c>
      <c r="F40" s="221"/>
      <c r="G40" s="211" t="s">
        <v>35</v>
      </c>
    </row>
    <row r="41" spans="2:11" s="27" customFormat="1" ht="11.25" x14ac:dyDescent="0.2">
      <c r="B41" s="208">
        <v>19</v>
      </c>
      <c r="C41" s="27" t="s">
        <v>301</v>
      </c>
      <c r="D41" s="27">
        <f>SUM(D9:F9)</f>
        <v>4</v>
      </c>
      <c r="E41" s="27">
        <f>'BGS Cost &amp; Bid Factors'!M466</f>
        <v>0.505</v>
      </c>
      <c r="G41" s="27">
        <f>SUM(D41:E41)</f>
        <v>4.5049999999999999</v>
      </c>
      <c r="I41" s="27" t="s">
        <v>340</v>
      </c>
    </row>
    <row r="42" spans="2:11" s="27" customFormat="1" ht="11.25" x14ac:dyDescent="0.2">
      <c r="B42" s="208">
        <v>20</v>
      </c>
      <c r="C42" s="27" t="s">
        <v>341</v>
      </c>
      <c r="D42" s="213">
        <f>D36</f>
        <v>7.0709999999999997</v>
      </c>
      <c r="E42" s="213">
        <f>'Rate Calculations'!$D$286*(100/1000)</f>
        <v>6.8879999999999999</v>
      </c>
      <c r="F42" s="213"/>
      <c r="I42" s="27" t="str">
        <f>"BGS Auction from (18)"</f>
        <v>BGS Auction from (18)</v>
      </c>
      <c r="K42" s="27" t="str">
        <f>"Note "&amp;$E$42&amp;"¢ for RFP is illustrative"</f>
        <v>Note 6.888¢ for RFP is illustrative</v>
      </c>
    </row>
    <row r="43" spans="2:11" s="27" customFormat="1" ht="11.25" x14ac:dyDescent="0.2">
      <c r="B43" s="208"/>
      <c r="D43" s="213"/>
      <c r="E43" s="214"/>
      <c r="F43" s="213"/>
      <c r="I43" s="27" t="s">
        <v>342</v>
      </c>
    </row>
    <row r="44" spans="2:11" s="27" customFormat="1" ht="11.25" x14ac:dyDescent="0.2">
      <c r="B44" s="208">
        <v>21</v>
      </c>
      <c r="C44" s="27" t="s">
        <v>343</v>
      </c>
      <c r="D44" s="213">
        <f>F13</f>
        <v>0</v>
      </c>
      <c r="E44" s="213">
        <v>0</v>
      </c>
    </row>
    <row r="45" spans="2:11" s="27" customFormat="1" ht="11.25" x14ac:dyDescent="0.2">
      <c r="B45" s="208">
        <v>22</v>
      </c>
      <c r="C45" s="27" t="s">
        <v>337</v>
      </c>
      <c r="D45" s="213">
        <f>D42-D44</f>
        <v>7.0709999999999997</v>
      </c>
      <c r="E45" s="27">
        <f>E42-E44</f>
        <v>6.8879999999999999</v>
      </c>
      <c r="I45" s="212" t="s">
        <v>344</v>
      </c>
    </row>
    <row r="46" spans="2:11" s="27" customFormat="1" ht="11.25" x14ac:dyDescent="0.2">
      <c r="B46" s="208">
        <v>23</v>
      </c>
      <c r="C46" s="212" t="s">
        <v>314</v>
      </c>
      <c r="D46" s="213">
        <f>D41/$G$41*D45</f>
        <v>6.2783573806881243</v>
      </c>
      <c r="E46" s="213">
        <f>E41/$G$41*E45</f>
        <v>0.77212874583795787</v>
      </c>
      <c r="F46" s="213"/>
      <c r="G46" s="213">
        <f>SUM(D46:E46)</f>
        <v>7.0504861265260823</v>
      </c>
      <c r="I46" s="212" t="s">
        <v>345</v>
      </c>
    </row>
    <row r="47" spans="2:11" s="27" customFormat="1" ht="12" thickBot="1" x14ac:dyDescent="0.25">
      <c r="B47" s="208">
        <v>24</v>
      </c>
      <c r="C47" s="212" t="s">
        <v>316</v>
      </c>
      <c r="D47" s="213">
        <f>D41/$G$41*D44</f>
        <v>0</v>
      </c>
      <c r="E47" s="213">
        <f>E41/$G$41*E44</f>
        <v>0</v>
      </c>
      <c r="F47" s="213"/>
      <c r="G47" s="213">
        <f>SUM(D47:E47)</f>
        <v>0</v>
      </c>
      <c r="I47" s="212" t="s">
        <v>346</v>
      </c>
    </row>
    <row r="48" spans="2:11" s="27" customFormat="1" ht="12" thickBot="1" x14ac:dyDescent="0.25">
      <c r="B48" s="208">
        <v>25</v>
      </c>
      <c r="C48" s="222" t="s">
        <v>347</v>
      </c>
      <c r="G48" s="223">
        <f>ROUND(G46+G47,3)</f>
        <v>7.05</v>
      </c>
      <c r="I48" s="212" t="s">
        <v>348</v>
      </c>
    </row>
    <row r="50" spans="3:3" x14ac:dyDescent="0.2">
      <c r="C50" s="224" t="s">
        <v>349</v>
      </c>
    </row>
    <row r="51" spans="3:3" x14ac:dyDescent="0.2">
      <c r="C51" s="224" t="s">
        <v>350</v>
      </c>
    </row>
  </sheetData>
  <printOptions horizontalCentered="1"/>
  <pageMargins left="0.5" right="0.5" top="0.5" bottom="0.5" header="0.5" footer="0.5"/>
  <pageSetup scale="90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265C-BC6A-4042-9CF6-A9802976DFCD}">
  <sheetPr codeName="Sheet6"/>
  <dimension ref="A1:AJ308"/>
  <sheetViews>
    <sheetView zoomScaleNormal="100" workbookViewId="0">
      <pane ySplit="3" topLeftCell="A133" activePane="bottomLeft" state="frozen"/>
      <selection activeCell="D29" sqref="D29"/>
      <selection pane="bottomLeft" activeCell="N149" sqref="N149"/>
    </sheetView>
  </sheetViews>
  <sheetFormatPr defaultColWidth="9.28515625" defaultRowHeight="12.75" x14ac:dyDescent="0.2"/>
  <cols>
    <col min="1" max="1" width="9.5703125" style="24" customWidth="1"/>
    <col min="2" max="2" width="27.85546875" style="2" customWidth="1"/>
    <col min="3" max="3" width="14.140625" style="2" customWidth="1"/>
    <col min="4" max="4" width="14.85546875" style="2" customWidth="1"/>
    <col min="5" max="5" width="12.7109375" style="2" customWidth="1"/>
    <col min="6" max="7" width="13.42578125" style="2" customWidth="1"/>
    <col min="8" max="8" width="12.7109375" style="2" customWidth="1"/>
    <col min="9" max="9" width="11.85546875" style="2" customWidth="1"/>
    <col min="10" max="10" width="12.5703125" style="2" customWidth="1"/>
    <col min="11" max="11" width="10.7109375" style="2" customWidth="1"/>
    <col min="12" max="12" width="11.7109375" style="2" customWidth="1"/>
    <col min="13" max="14" width="9.42578125" style="2" customWidth="1"/>
    <col min="15" max="15" width="11.7109375" style="2" customWidth="1"/>
    <col min="16" max="17" width="9.42578125" style="2" customWidth="1"/>
    <col min="18" max="18" width="11.5703125" style="2" customWidth="1"/>
    <col min="19" max="19" width="8.7109375" style="2" customWidth="1"/>
    <col min="20" max="20" width="12.7109375" style="2" customWidth="1"/>
    <col min="21" max="21" width="10.140625" style="2" customWidth="1"/>
    <col min="22" max="26" width="8.7109375" style="2" customWidth="1"/>
    <col min="27" max="27" width="18.42578125" style="2" customWidth="1"/>
    <col min="28" max="28" width="19.28515625" style="2" customWidth="1"/>
    <col min="29" max="29" width="21" style="2" customWidth="1"/>
    <col min="30" max="37" width="9.42578125" style="2" customWidth="1"/>
    <col min="38" max="16384" width="9.28515625" style="2"/>
  </cols>
  <sheetData>
    <row r="1" spans="1:23" x14ac:dyDescent="0.2">
      <c r="A1" s="1" t="s">
        <v>293</v>
      </c>
    </row>
    <row r="2" spans="1:23" x14ac:dyDescent="0.2">
      <c r="A2" s="3" t="str">
        <f>'BGS Cost &amp; Bid Factors'!M1 &amp;" BGS Auction"</f>
        <v>2021 BGS Auction</v>
      </c>
    </row>
    <row r="3" spans="1:23" x14ac:dyDescent="0.2">
      <c r="A3" s="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4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">
      <c r="A6" s="4" t="s">
        <v>351</v>
      </c>
      <c r="B6" s="5" t="s">
        <v>180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7"/>
      <c r="B7" s="8" t="s">
        <v>352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">
      <c r="A9" s="9"/>
      <c r="B9" s="3" t="s">
        <v>161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">
      <c r="A10" s="9"/>
      <c r="B10" s="10" t="s">
        <v>353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s="9"/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">
      <c r="A12" s="9"/>
      <c r="B12" s="6"/>
      <c r="C12" s="11" t="str">
        <f>'BGS Cost &amp; Bid Factors'!C$6</f>
        <v>SC1/SC5</v>
      </c>
      <c r="D12" s="11" t="str">
        <f>'BGS Cost &amp; Bid Factors'!D$6</f>
        <v>SC3</v>
      </c>
      <c r="E12" s="11" t="str">
        <f>'BGS Cost &amp; Bid Factors'!E$6</f>
        <v>SC2 ND</v>
      </c>
      <c r="F12" s="11" t="str">
        <f>'BGS Cost &amp; Bid Factors'!F$6</f>
        <v>SC4</v>
      </c>
      <c r="G12" s="11" t="str">
        <f>'BGS Cost &amp; Bid Factors'!G$6</f>
        <v>SC6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">
      <c r="A13" s="9"/>
      <c r="B13" s="6"/>
      <c r="C13" s="12"/>
      <c r="D13" s="12"/>
      <c r="E13" s="12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">
      <c r="A14" s="9"/>
      <c r="B14" s="142" t="s">
        <v>63</v>
      </c>
      <c r="C14" s="13">
        <f>'BGS Cost &amp; Bid Factors'!C327</f>
        <v>0.98699999999999999</v>
      </c>
      <c r="D14" s="184"/>
      <c r="E14" s="13">
        <f>'BGS Cost &amp; Bid Factors'!E327</f>
        <v>0.89300000000000002</v>
      </c>
      <c r="F14" s="13">
        <f>'BGS Cost &amp; Bid Factors'!F327</f>
        <v>0.68600000000000005</v>
      </c>
      <c r="G14" s="13">
        <f>'BGS Cost &amp; Bid Factors'!G327</f>
        <v>0.68600000000000005</v>
      </c>
      <c r="H14" s="184"/>
      <c r="I14" s="184"/>
      <c r="J14" s="18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">
      <c r="A15" s="9"/>
      <c r="B15" s="122" t="s">
        <v>78</v>
      </c>
      <c r="C15" s="184"/>
      <c r="D15" s="13">
        <f>'BGS Cost &amp; Bid Factors'!D328</f>
        <v>1.673</v>
      </c>
      <c r="E15" s="184"/>
      <c r="F15" s="184"/>
      <c r="G15" s="184"/>
      <c r="H15" s="184"/>
      <c r="I15" s="184"/>
      <c r="J15" s="18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">
      <c r="A16" s="9"/>
      <c r="B16" s="122" t="s">
        <v>79</v>
      </c>
      <c r="C16" s="184"/>
      <c r="D16" s="13">
        <f>'BGS Cost &amp; Bid Factors'!D329</f>
        <v>0.625</v>
      </c>
      <c r="E16" s="184"/>
      <c r="F16" s="184"/>
      <c r="G16" s="184"/>
      <c r="H16" s="184"/>
      <c r="I16" s="184"/>
      <c r="J16" s="184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x14ac:dyDescent="0.2">
      <c r="A17" s="9"/>
      <c r="B17" s="6"/>
      <c r="C17" s="184"/>
      <c r="D17" s="184"/>
      <c r="E17" s="184"/>
      <c r="F17" s="184"/>
      <c r="G17" s="184"/>
      <c r="H17" s="184"/>
      <c r="I17" s="184"/>
      <c r="J17" s="184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x14ac:dyDescent="0.2">
      <c r="A18" s="9"/>
      <c r="B18" s="14"/>
      <c r="C18" s="6"/>
      <c r="D18" s="184"/>
      <c r="E18" s="184"/>
      <c r="F18" s="184"/>
      <c r="G18" s="184"/>
      <c r="H18" s="184"/>
      <c r="I18" s="184"/>
      <c r="J18" s="184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">
      <c r="A19" s="9"/>
      <c r="B19" s="15" t="s">
        <v>164</v>
      </c>
      <c r="C19" s="16">
        <f>'BGS Cost &amp; Bid Factors'!C332</f>
        <v>-22.380765000000011</v>
      </c>
      <c r="D19" s="184"/>
      <c r="E19" s="184"/>
      <c r="F19" s="184"/>
      <c r="G19" s="184"/>
      <c r="H19" s="184"/>
      <c r="I19" s="184"/>
      <c r="J19" s="184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">
      <c r="A20" s="9"/>
      <c r="B20" s="15" t="s">
        <v>165</v>
      </c>
      <c r="C20" s="16">
        <f>'BGS Cost &amp; Bid Factors'!C333</f>
        <v>17.549234999999996</v>
      </c>
      <c r="D20" s="184"/>
      <c r="E20" s="184"/>
      <c r="F20" s="184"/>
      <c r="G20" s="184"/>
      <c r="H20" s="184"/>
      <c r="I20" s="184"/>
      <c r="J20" s="184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x14ac:dyDescent="0.2">
      <c r="A21" s="9"/>
      <c r="B21" s="184"/>
      <c r="C21" s="184"/>
      <c r="D21" s="184"/>
      <c r="E21" s="184"/>
      <c r="F21" s="184"/>
      <c r="G21" s="184"/>
      <c r="H21" s="184"/>
      <c r="I21" s="184"/>
      <c r="J21" s="184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">
      <c r="A22" s="9"/>
      <c r="B22" s="6"/>
      <c r="C22" s="184"/>
      <c r="D22" s="184"/>
      <c r="E22" s="184"/>
      <c r="F22" s="184"/>
      <c r="G22" s="184"/>
      <c r="H22" s="184"/>
      <c r="I22" s="184"/>
      <c r="J22" s="184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">
      <c r="A23" s="9"/>
      <c r="B23" s="142" t="s">
        <v>69</v>
      </c>
      <c r="C23" s="13">
        <f>'BGS Cost &amp; Bid Factors'!C336</f>
        <v>1.181</v>
      </c>
      <c r="D23" s="184"/>
      <c r="E23" s="13">
        <f>'BGS Cost &amp; Bid Factors'!E336</f>
        <v>0.93200000000000005</v>
      </c>
      <c r="F23" s="13">
        <f>'BGS Cost &amp; Bid Factors'!F336</f>
        <v>0.76900000000000002</v>
      </c>
      <c r="G23" s="13">
        <f>'BGS Cost &amp; Bid Factors'!G336</f>
        <v>0.76600000000000001</v>
      </c>
      <c r="H23" s="184"/>
      <c r="I23" s="184"/>
      <c r="J23" s="184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">
      <c r="A24" s="9"/>
      <c r="B24" s="122" t="s">
        <v>78</v>
      </c>
      <c r="C24" s="184"/>
      <c r="D24" s="13">
        <f>'BGS Cost &amp; Bid Factors'!D337</f>
        <v>1.8340000000000001</v>
      </c>
      <c r="E24" s="184"/>
      <c r="F24" s="184"/>
      <c r="G24" s="184"/>
      <c r="H24" s="184"/>
      <c r="I24" s="184"/>
      <c r="J24" s="184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2">
      <c r="A25" s="9"/>
      <c r="B25" s="122" t="s">
        <v>79</v>
      </c>
      <c r="C25" s="184"/>
      <c r="D25" s="13">
        <f>'BGS Cost &amp; Bid Factors'!D338</f>
        <v>0.71699999999999997</v>
      </c>
      <c r="E25" s="184"/>
      <c r="F25" s="184"/>
      <c r="G25" s="184"/>
      <c r="H25" s="184"/>
      <c r="I25" s="184"/>
      <c r="J25" s="184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x14ac:dyDescent="0.2">
      <c r="A26" s="9"/>
      <c r="B26" s="6"/>
      <c r="C26" s="184"/>
      <c r="D26" s="184"/>
      <c r="E26" s="184"/>
      <c r="F26" s="184"/>
      <c r="G26" s="184"/>
      <c r="H26" s="184"/>
      <c r="I26" s="184"/>
      <c r="J26" s="184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x14ac:dyDescent="0.2">
      <c r="A27" s="9"/>
      <c r="B27" s="6" t="s">
        <v>166</v>
      </c>
      <c r="C27" s="185">
        <f>'BGS Cost &amp; Bid Factors'!C340</f>
        <v>1.0960000000000001</v>
      </c>
      <c r="D27" s="185">
        <f>'BGS Cost &amp; Bid Factors'!D340</f>
        <v>1.0680000000000001</v>
      </c>
      <c r="E27" s="185">
        <f>'BGS Cost &amp; Bid Factors'!E340</f>
        <v>0.92064466859074934</v>
      </c>
      <c r="F27" s="185">
        <f>'BGS Cost &amp; Bid Factors'!F340</f>
        <v>0.746</v>
      </c>
      <c r="G27" s="185">
        <f>'BGS Cost &amp; Bid Factors'!G340</f>
        <v>0.74199999999999999</v>
      </c>
      <c r="H27" s="184"/>
      <c r="I27" s="184"/>
      <c r="J27" s="184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x14ac:dyDescent="0.2">
      <c r="A28" s="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x14ac:dyDescent="0.2">
      <c r="A29" s="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x14ac:dyDescent="0.2">
      <c r="A30" s="9"/>
      <c r="B30" s="3" t="s">
        <v>167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2">
      <c r="A31" s="9"/>
      <c r="B31" s="10" t="s">
        <v>181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x14ac:dyDescent="0.2">
      <c r="A32" s="9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x14ac:dyDescent="0.2">
      <c r="A33" s="9"/>
      <c r="B33" s="6"/>
      <c r="C33" s="14" t="str">
        <f>'BGS Cost &amp; Bid Factors'!H6</f>
        <v>SC2 Dem</v>
      </c>
      <c r="D33" s="14" t="str">
        <f>+C33</f>
        <v>SC2 Dem</v>
      </c>
      <c r="E33" s="12"/>
      <c r="F33" s="12"/>
      <c r="G33" s="17" t="s">
        <v>131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x14ac:dyDescent="0.2">
      <c r="A34" s="9"/>
      <c r="B34" s="6"/>
      <c r="C34" s="11" t="s">
        <v>169</v>
      </c>
      <c r="D34" s="18" t="s">
        <v>170</v>
      </c>
      <c r="E34" s="12"/>
      <c r="F34" s="12"/>
      <c r="G34" s="15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x14ac:dyDescent="0.2">
      <c r="A35" s="9"/>
      <c r="B35" s="142" t="s">
        <v>63</v>
      </c>
      <c r="C35" s="13">
        <f>'BGS Cost &amp; Bid Factors'!C348</f>
        <v>0.99199999999999999</v>
      </c>
      <c r="D35" s="13">
        <f>'BGS Cost &amp; Bid Factors'!D348</f>
        <v>-19.261794621334147</v>
      </c>
      <c r="E35" s="6"/>
      <c r="F35" s="162"/>
      <c r="G35" s="19" t="s">
        <v>132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x14ac:dyDescent="0.2">
      <c r="A36" s="9"/>
      <c r="B36" s="122"/>
      <c r="C36" s="185"/>
      <c r="D36" s="20"/>
      <c r="E36" s="21"/>
      <c r="F36" s="22"/>
      <c r="G36" s="15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x14ac:dyDescent="0.2">
      <c r="A37" s="9"/>
      <c r="B37" s="122"/>
      <c r="C37" s="185"/>
      <c r="D37" s="20"/>
      <c r="E37" s="21"/>
      <c r="F37" s="22"/>
      <c r="G37" s="155"/>
      <c r="H37" s="11">
        <f>'BGS Cost &amp; Bid Factors'!G212</f>
        <v>0</v>
      </c>
      <c r="I37" s="11" t="str">
        <f>'BGS Cost &amp; Bid Factors'!H212</f>
        <v>&lt; 5 kW</v>
      </c>
      <c r="J37" s="11" t="str">
        <f>'BGS Cost &amp; Bid Factors'!I212</f>
        <v>&gt; 5 kW</v>
      </c>
      <c r="K37" s="11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x14ac:dyDescent="0.2">
      <c r="A38" s="9"/>
      <c r="B38" s="6"/>
      <c r="C38" s="185"/>
      <c r="D38" s="20"/>
      <c r="E38" s="184"/>
      <c r="F38" s="22"/>
      <c r="G38" s="15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x14ac:dyDescent="0.2">
      <c r="A39" s="9"/>
      <c r="B39" s="142" t="s">
        <v>69</v>
      </c>
      <c r="C39" s="13">
        <f>'BGS Cost &amp; Bid Factors'!C352</f>
        <v>1.085</v>
      </c>
      <c r="D39" s="13">
        <f>'BGS Cost &amp; Bid Factors'!D352</f>
        <v>-20.363405761972487</v>
      </c>
      <c r="E39" s="21"/>
      <c r="F39" s="22"/>
      <c r="G39" s="187" t="s">
        <v>97</v>
      </c>
      <c r="H39" s="173">
        <f>'BGS Cost &amp; Bid Factors'!H352</f>
        <v>0</v>
      </c>
      <c r="I39" s="173">
        <f>'BGS Cost &amp; Bid Factors'!I352</f>
        <v>1.9039999999999999</v>
      </c>
      <c r="J39" s="173">
        <f>'BGS Cost &amp; Bid Factors'!J352</f>
        <v>4.6710000000000003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x14ac:dyDescent="0.2">
      <c r="A40" s="9"/>
      <c r="B40" s="122"/>
      <c r="C40" s="185"/>
      <c r="D40" s="188"/>
      <c r="E40" s="21"/>
      <c r="F40" s="22"/>
      <c r="G40" s="187" t="s">
        <v>103</v>
      </c>
      <c r="H40" s="173">
        <f>'BGS Cost &amp; Bid Factors'!H353</f>
        <v>0</v>
      </c>
      <c r="I40" s="173">
        <f>'BGS Cost &amp; Bid Factors'!I353</f>
        <v>2.577</v>
      </c>
      <c r="J40" s="173">
        <f>'BGS Cost &amp; Bid Factors'!J353</f>
        <v>5.0090000000000003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x14ac:dyDescent="0.2">
      <c r="A41" s="9"/>
      <c r="B41" s="122"/>
      <c r="C41" s="185"/>
      <c r="D41" s="188"/>
      <c r="E41" s="21"/>
      <c r="F41" s="22"/>
      <c r="G41" s="187"/>
      <c r="H41" s="160"/>
      <c r="I41" s="9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x14ac:dyDescent="0.2">
      <c r="A42" s="9"/>
      <c r="B42" s="6"/>
      <c r="C42" s="185"/>
      <c r="D42" s="188"/>
      <c r="E42" s="184"/>
      <c r="F42" s="6"/>
      <c r="G42" s="23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2">
      <c r="A43" s="9"/>
      <c r="B43" s="6" t="s">
        <v>150</v>
      </c>
      <c r="C43" s="13">
        <f>'BGS Cost &amp; Bid Factors'!C356</f>
        <v>1.0509999999999999</v>
      </c>
      <c r="D43" s="188"/>
      <c r="E43" s="184"/>
      <c r="F43" s="6"/>
      <c r="G43" s="187"/>
      <c r="H43" s="160"/>
      <c r="I43" s="9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x14ac:dyDescent="0.2">
      <c r="A44" s="9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x14ac:dyDescent="0.2">
      <c r="A45" s="49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x14ac:dyDescent="0.2">
      <c r="A46" s="4" t="s">
        <v>354</v>
      </c>
      <c r="B46" s="5" t="s">
        <v>355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x14ac:dyDescent="0.2">
      <c r="A47" s="49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x14ac:dyDescent="0.2">
      <c r="A48" s="49"/>
      <c r="B48" s="49" t="s">
        <v>356</v>
      </c>
      <c r="C48" s="6"/>
      <c r="D48" s="25">
        <f>'Weighted Avg Price Calc'!G48*10</f>
        <v>70.5</v>
      </c>
      <c r="E48" s="8" t="s">
        <v>357</v>
      </c>
      <c r="F48" s="8" t="s">
        <v>259</v>
      </c>
      <c r="G48" s="6"/>
      <c r="H48" s="6"/>
      <c r="I48" s="6"/>
      <c r="J48" s="6"/>
      <c r="K48" s="27" t="s">
        <v>232</v>
      </c>
      <c r="L48" s="28">
        <f>'BGS Cost &amp; Bid Factors'!M464</f>
        <v>45.4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x14ac:dyDescent="0.2">
      <c r="A49" s="49"/>
      <c r="B49" s="49" t="s">
        <v>260</v>
      </c>
      <c r="C49" s="6"/>
      <c r="D49" s="29">
        <v>0</v>
      </c>
      <c r="E49" s="8" t="s">
        <v>358</v>
      </c>
      <c r="F49" s="6" t="s">
        <v>261</v>
      </c>
      <c r="G49" s="6"/>
      <c r="H49" s="6"/>
      <c r="I49" s="6"/>
      <c r="J49" s="6"/>
      <c r="K49" s="27" t="s">
        <v>234</v>
      </c>
      <c r="L49" s="28">
        <f>'BGS Cost &amp; Bid Factors'!M465</f>
        <v>89.894999999999996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x14ac:dyDescent="0.2">
      <c r="A50" s="49"/>
      <c r="B50" s="49" t="s">
        <v>262</v>
      </c>
      <c r="C50" s="6"/>
      <c r="D50" s="162">
        <f>D48+D49</f>
        <v>70.5</v>
      </c>
      <c r="E50" s="8" t="s">
        <v>116</v>
      </c>
      <c r="F50" s="6" t="str">
        <f>"** RECO average transmission rate of "&amp;TEXT(L52,"0.00")&amp;" minus"</f>
        <v>** RECO average transmission rate of 12.97 minus</v>
      </c>
      <c r="G50" s="6"/>
      <c r="H50" s="6"/>
      <c r="I50" s="6"/>
      <c r="J50" s="6"/>
      <c r="K50" s="27" t="s">
        <v>236</v>
      </c>
      <c r="L50" s="6">
        <f>ROUND(L48/L49,3)</f>
        <v>0.505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2">
      <c r="A51" s="49"/>
      <c r="B51" s="6"/>
      <c r="C51" s="6"/>
      <c r="D51" s="6"/>
      <c r="E51" s="6"/>
      <c r="F51" s="6" t="s">
        <v>263</v>
      </c>
      <c r="G51" s="6"/>
      <c r="H51" s="6"/>
      <c r="I51" s="6"/>
      <c r="J51" s="6"/>
      <c r="K51" s="6"/>
      <c r="L51" s="199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x14ac:dyDescent="0.2">
      <c r="A52" s="49"/>
      <c r="B52" s="6"/>
      <c r="C52" s="6"/>
      <c r="D52" s="30"/>
      <c r="E52" s="6"/>
      <c r="F52" s="6" t="str">
        <f>"average rate "&amp;TEXT(L50,"0.000")&amp;"/"&amp;TEXT(4+L50,"0.000")&amp;" *$"&amp;TEXT(L52,"0.00")&amp;" per MWh)."</f>
        <v>average rate 0.505/4.505 *$12.97 per MWh).</v>
      </c>
      <c r="G52" s="6"/>
      <c r="H52" s="6"/>
      <c r="I52" s="203">
        <f>ROUND(L50/(4+L50)*L52,2)</f>
        <v>1.45</v>
      </c>
      <c r="J52" s="6"/>
      <c r="K52" s="27" t="s">
        <v>240</v>
      </c>
      <c r="L52" s="199">
        <f>'BGS Cost &amp; Bid Factors'!D223-'BGS Cost &amp; Bid Factors'!D318</f>
        <v>12.967183593063019</v>
      </c>
      <c r="M52" s="6" t="s">
        <v>241</v>
      </c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x14ac:dyDescent="0.2">
      <c r="A53" s="49"/>
      <c r="B53" s="31" t="s">
        <v>264</v>
      </c>
      <c r="C53" s="6"/>
      <c r="D53" s="6"/>
      <c r="E53" s="6"/>
      <c r="F53" s="6"/>
      <c r="G53" s="6"/>
      <c r="H53" s="6"/>
      <c r="I53" s="6"/>
      <c r="J53" s="6"/>
      <c r="K53" s="27" t="s">
        <v>243</v>
      </c>
      <c r="L53" s="199">
        <f>I52</f>
        <v>1.45</v>
      </c>
      <c r="M53" s="6" t="s">
        <v>241</v>
      </c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x14ac:dyDescent="0.2">
      <c r="A54" s="49"/>
      <c r="B54" s="6"/>
      <c r="C54" s="6"/>
      <c r="D54" s="6"/>
      <c r="E54" s="6"/>
      <c r="F54" s="6"/>
      <c r="G54" s="6"/>
      <c r="H54" s="6"/>
      <c r="I54" s="6"/>
      <c r="J54" s="6"/>
      <c r="K54" s="27" t="s">
        <v>245</v>
      </c>
      <c r="L54" s="28">
        <f>L52-L53</f>
        <v>11.51718359306302</v>
      </c>
      <c r="M54" s="6" t="s">
        <v>241</v>
      </c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x14ac:dyDescent="0.2">
      <c r="A55" s="49"/>
      <c r="B55" s="6"/>
      <c r="C55" s="11" t="str">
        <f>'BGS Cost &amp; Bid Factors'!C$6</f>
        <v>SC1/SC5</v>
      </c>
      <c r="D55" s="11" t="str">
        <f>'BGS Cost &amp; Bid Factors'!D$6</f>
        <v>SC3</v>
      </c>
      <c r="E55" s="11" t="str">
        <f>'BGS Cost &amp; Bid Factors'!E$6</f>
        <v>SC2 ND</v>
      </c>
      <c r="F55" s="11" t="str">
        <f>'BGS Cost &amp; Bid Factors'!F$6</f>
        <v>SC4</v>
      </c>
      <c r="G55" s="11" t="str">
        <f>'BGS Cost &amp; Bid Factors'!G$6</f>
        <v>SC6</v>
      </c>
      <c r="H55" s="11" t="str">
        <f>'BGS Cost &amp; Bid Factors'!H$6</f>
        <v>SC2 Dem</v>
      </c>
      <c r="I55" s="12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x14ac:dyDescent="0.2">
      <c r="A56" s="49"/>
      <c r="B56" s="32" t="s">
        <v>68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x14ac:dyDescent="0.2">
      <c r="A57" s="49"/>
      <c r="B57" s="36" t="s">
        <v>265</v>
      </c>
      <c r="C57" s="34">
        <f>ROUND(($D$50*C14)/10,3)</f>
        <v>6.9580000000000002</v>
      </c>
      <c r="D57" s="35"/>
      <c r="E57" s="35">
        <f>ROUND(E14*$D$50/10,3)</f>
        <v>6.2960000000000003</v>
      </c>
      <c r="F57" s="35">
        <f>ROUND(F14*$D$50/10,3)</f>
        <v>4.8360000000000003</v>
      </c>
      <c r="G57" s="35">
        <f>ROUND(G14*$D$50/10,3)</f>
        <v>4.8360000000000003</v>
      </c>
      <c r="H57" s="35">
        <f>ROUND((C35*$D$50+D35)/10,3)</f>
        <v>5.0670000000000002</v>
      </c>
      <c r="I57" s="35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x14ac:dyDescent="0.2">
      <c r="A58" s="49"/>
      <c r="B58" s="36" t="s">
        <v>266</v>
      </c>
      <c r="C58" s="35"/>
      <c r="D58" s="35">
        <f>ROUND(D15*$D$50/10,3)</f>
        <v>11.795</v>
      </c>
      <c r="E58" s="35"/>
      <c r="F58" s="35"/>
      <c r="G58" s="35"/>
      <c r="H58" s="35"/>
      <c r="I58" s="35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x14ac:dyDescent="0.2">
      <c r="A59" s="49"/>
      <c r="B59" s="36" t="s">
        <v>267</v>
      </c>
      <c r="C59" s="35"/>
      <c r="D59" s="35">
        <f>ROUND(D16*$D$50/10,3)</f>
        <v>4.4059999999999997</v>
      </c>
      <c r="E59" s="35"/>
      <c r="F59" s="35"/>
      <c r="G59" s="35"/>
      <c r="H59" s="35"/>
      <c r="I59" s="35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x14ac:dyDescent="0.2">
      <c r="A60" s="49"/>
      <c r="B60" s="33" t="s">
        <v>40</v>
      </c>
      <c r="C60" s="34">
        <f>ROUND(($D$50*C14+C19)/10,3)</f>
        <v>4.72</v>
      </c>
      <c r="D60" s="35"/>
      <c r="E60" s="35"/>
      <c r="F60" s="35"/>
      <c r="G60" s="35"/>
      <c r="H60" s="35"/>
      <c r="I60" s="35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x14ac:dyDescent="0.2">
      <c r="A61" s="49"/>
      <c r="B61" s="36" t="s">
        <v>41</v>
      </c>
      <c r="C61" s="35">
        <f>ROUND(($D$50*C14+C20)/10,3)</f>
        <v>8.7129999999999992</v>
      </c>
      <c r="D61" s="35"/>
      <c r="E61" s="35"/>
      <c r="F61" s="35"/>
      <c r="G61" s="35"/>
      <c r="H61" s="35"/>
      <c r="I61" s="35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x14ac:dyDescent="0.2">
      <c r="A62" s="49"/>
      <c r="B62" s="35"/>
      <c r="C62" s="35"/>
      <c r="D62" s="35"/>
      <c r="E62" s="35"/>
      <c r="F62" s="35"/>
      <c r="G62" s="35"/>
      <c r="H62" s="35"/>
      <c r="I62" s="35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">
      <c r="A63" s="49"/>
      <c r="B63" s="6"/>
      <c r="C63" s="35"/>
      <c r="D63" s="35"/>
      <c r="E63" s="35"/>
      <c r="F63" s="35"/>
      <c r="G63" s="35"/>
      <c r="H63" s="3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x14ac:dyDescent="0.2">
      <c r="A64" s="49"/>
      <c r="B64" s="33" t="s">
        <v>268</v>
      </c>
      <c r="C64" s="35"/>
      <c r="D64" s="35"/>
      <c r="E64" s="35"/>
      <c r="F64" s="35"/>
      <c r="G64" s="35"/>
      <c r="H64" s="35">
        <f>'BGS Cost &amp; Bid Factors'!H213</f>
        <v>1.9039999999999999</v>
      </c>
      <c r="I64" s="165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x14ac:dyDescent="0.2">
      <c r="A65" s="49"/>
      <c r="B65" s="33" t="s">
        <v>359</v>
      </c>
      <c r="C65" s="35"/>
      <c r="D65" s="35"/>
      <c r="E65" s="35"/>
      <c r="F65" s="35"/>
      <c r="G65" s="35"/>
      <c r="H65" s="35">
        <f>'BGS Cost &amp; Bid Factors'!I213</f>
        <v>4.6710000000000003</v>
      </c>
      <c r="I65" s="165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x14ac:dyDescent="0.2">
      <c r="A66" s="49"/>
      <c r="B66" s="6"/>
      <c r="C66" s="35"/>
      <c r="D66" s="35"/>
      <c r="E66" s="35"/>
      <c r="F66" s="35"/>
      <c r="G66" s="35"/>
      <c r="H66" s="3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x14ac:dyDescent="0.2">
      <c r="A67" s="49"/>
      <c r="B67" s="32" t="s">
        <v>61</v>
      </c>
      <c r="C67" s="35"/>
      <c r="D67" s="35"/>
      <c r="E67" s="35"/>
      <c r="F67" s="35"/>
      <c r="G67" s="35"/>
      <c r="H67" s="3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x14ac:dyDescent="0.2">
      <c r="A68" s="49"/>
      <c r="B68" s="36" t="s">
        <v>265</v>
      </c>
      <c r="C68" s="35">
        <f>ROUND(C23*$D$50/10,3)</f>
        <v>8.3260000000000005</v>
      </c>
      <c r="D68" s="35"/>
      <c r="E68" s="35">
        <f>ROUND(E23*$D$50/10,3)</f>
        <v>6.5709999999999997</v>
      </c>
      <c r="F68" s="35">
        <f>ROUND(F23*$D$50/10,3)</f>
        <v>5.4210000000000003</v>
      </c>
      <c r="G68" s="35">
        <f>ROUND(G23*$D$50/10,3)</f>
        <v>5.4</v>
      </c>
      <c r="H68" s="35">
        <f>ROUND((C39*$D$50+D39)/10,3)</f>
        <v>5.6130000000000004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x14ac:dyDescent="0.2">
      <c r="A69" s="49"/>
      <c r="B69" s="36" t="s">
        <v>266</v>
      </c>
      <c r="C69" s="35"/>
      <c r="D69" s="35">
        <f>ROUND(D24*$D$50/10,3)</f>
        <v>12.93</v>
      </c>
      <c r="E69" s="35"/>
      <c r="F69" s="35"/>
      <c r="G69" s="35"/>
      <c r="H69" s="35"/>
      <c r="I69" s="35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x14ac:dyDescent="0.2">
      <c r="A70" s="49"/>
      <c r="B70" s="36" t="s">
        <v>267</v>
      </c>
      <c r="C70" s="35"/>
      <c r="D70" s="35">
        <f>ROUND(D25*$D$50/10,3)</f>
        <v>5.0549999999999997</v>
      </c>
      <c r="E70" s="35"/>
      <c r="F70" s="35"/>
      <c r="G70" s="35"/>
      <c r="H70" s="35"/>
      <c r="I70" s="35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x14ac:dyDescent="0.2">
      <c r="A71" s="49"/>
      <c r="B71" s="6"/>
      <c r="C71" s="35"/>
      <c r="D71" s="35"/>
      <c r="E71" s="35"/>
      <c r="F71" s="35"/>
      <c r="G71" s="35"/>
      <c r="H71" s="3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x14ac:dyDescent="0.2">
      <c r="A72" s="49"/>
      <c r="B72" s="33" t="s">
        <v>268</v>
      </c>
      <c r="C72" s="35"/>
      <c r="D72" s="35"/>
      <c r="E72" s="35"/>
      <c r="F72" s="35"/>
      <c r="G72" s="35"/>
      <c r="H72" s="35">
        <f>'BGS Cost &amp; Bid Factors'!H214</f>
        <v>2.577</v>
      </c>
      <c r="I72" s="165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x14ac:dyDescent="0.2">
      <c r="A73" s="49"/>
      <c r="B73" s="33" t="s">
        <v>269</v>
      </c>
      <c r="C73" s="35"/>
      <c r="D73" s="35"/>
      <c r="E73" s="35"/>
      <c r="F73" s="35"/>
      <c r="G73" s="35"/>
      <c r="H73" s="35">
        <f>'BGS Cost &amp; Bid Factors'!I214</f>
        <v>5.0090000000000003</v>
      </c>
      <c r="I73" s="165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x14ac:dyDescent="0.2">
      <c r="A74" s="49"/>
      <c r="B74" s="33"/>
      <c r="C74" s="35"/>
      <c r="D74" s="35"/>
      <c r="E74" s="35"/>
      <c r="F74" s="35"/>
      <c r="G74" s="35"/>
      <c r="H74" s="35"/>
      <c r="I74" s="165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x14ac:dyDescent="0.2">
      <c r="A75" s="49"/>
      <c r="B75" s="33"/>
      <c r="C75" s="6"/>
      <c r="D75" s="6"/>
      <c r="E75" s="6"/>
      <c r="F75" s="6"/>
      <c r="G75" s="6"/>
      <c r="H75" s="165"/>
      <c r="I75" s="165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">
      <c r="A76" s="4" t="s">
        <v>360</v>
      </c>
      <c r="B76" s="5" t="s">
        <v>361</v>
      </c>
      <c r="C76" s="6"/>
      <c r="D76" s="6"/>
      <c r="E76" s="6"/>
      <c r="F76" s="6"/>
      <c r="G76" s="6"/>
      <c r="H76" s="165"/>
      <c r="I76" s="165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3.5" thickBot="1" x14ac:dyDescent="0.25">
      <c r="A77" s="49"/>
      <c r="B77" s="33"/>
      <c r="C77" s="6"/>
      <c r="D77" s="6"/>
      <c r="E77" s="6"/>
      <c r="F77" s="6"/>
      <c r="G77" s="6"/>
      <c r="H77" s="165"/>
      <c r="I77" s="16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x14ac:dyDescent="0.2">
      <c r="A78" s="49"/>
      <c r="B78" s="6"/>
      <c r="C78" s="11" t="str">
        <f>'BGS Cost &amp; Bid Factors'!C$6</f>
        <v>SC1/SC5</v>
      </c>
      <c r="D78" s="11" t="str">
        <f>'BGS Cost &amp; Bid Factors'!D$6</f>
        <v>SC3</v>
      </c>
      <c r="E78" s="11" t="str">
        <f>'BGS Cost &amp; Bid Factors'!E$6</f>
        <v>SC2 ND</v>
      </c>
      <c r="F78" s="11" t="str">
        <f>'BGS Cost &amp; Bid Factors'!F$6</f>
        <v>SC4</v>
      </c>
      <c r="G78" s="11" t="str">
        <f>'BGS Cost &amp; Bid Factors'!G$6</f>
        <v>SC6</v>
      </c>
      <c r="H78" s="11" t="str">
        <f>'BGS Cost &amp; Bid Factors'!H$6</f>
        <v>SC2 Dem</v>
      </c>
      <c r="I78" s="11"/>
      <c r="J78" s="165"/>
      <c r="K78" s="176" t="s">
        <v>153</v>
      </c>
      <c r="L78" s="177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x14ac:dyDescent="0.2">
      <c r="A79" s="49"/>
      <c r="B79" s="8" t="s">
        <v>288</v>
      </c>
      <c r="C79" s="6"/>
      <c r="D79" s="6"/>
      <c r="E79" s="6"/>
      <c r="F79" s="6"/>
      <c r="G79" s="6"/>
      <c r="H79" s="6"/>
      <c r="I79" s="6"/>
      <c r="J79" s="165"/>
      <c r="K79" s="178"/>
      <c r="L79" s="179" t="s">
        <v>156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x14ac:dyDescent="0.2">
      <c r="A80" s="49"/>
      <c r="B80" s="159" t="s">
        <v>68</v>
      </c>
      <c r="C80" s="161">
        <f>ROUND((C57*'BGS Cost &amp; Bid Factors'!L$48)/100,0)</f>
        <v>19968</v>
      </c>
      <c r="D80" s="164">
        <f>ROUND((D58*'BGS Cost &amp; Bid Factors'!M$49+D59*'BGS Cost &amp; Bid Factors'!M$50)/100,0)</f>
        <v>7</v>
      </c>
      <c r="E80" s="161">
        <f>ROUND((E57*'BGS Cost &amp; Bid Factors'!N$48)/100,0)</f>
        <v>294</v>
      </c>
      <c r="F80" s="161">
        <f>ROUND((F57*'BGS Cost &amp; Bid Factors'!O$48)/100,0)</f>
        <v>69</v>
      </c>
      <c r="G80" s="161">
        <f>ROUND((G57*'BGS Cost &amp; Bid Factors'!P$48)/100,0)</f>
        <v>74</v>
      </c>
      <c r="H80" s="164">
        <f>ROUND(H57*'BGS Cost &amp; Bid Factors'!Q$48/100+(H64*($L$80/4*'BGS Cost &amp; Bid Factors'!H$144)+H65*($L$80/4*'BGS Cost &amp; Bid Factors'!H$144))/1000,0)</f>
        <v>7637</v>
      </c>
      <c r="I80" s="164"/>
      <c r="J80" s="165"/>
      <c r="K80" s="178" t="s">
        <v>68</v>
      </c>
      <c r="L80" s="180">
        <v>319914.10217975575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3.5" thickBot="1" x14ac:dyDescent="0.25">
      <c r="A81" s="49"/>
      <c r="B81" s="159" t="s">
        <v>61</v>
      </c>
      <c r="C81" s="37">
        <f>ROUND(C68*'BGS Cost &amp; Bid Factors'!L$44/100,0)</f>
        <v>30586</v>
      </c>
      <c r="D81" s="38">
        <f>ROUND((D69*'BGS Cost &amp; Bid Factors'!M$45+D70*'BGS Cost &amp; Bid Factors'!M$46)/100,0)</f>
        <v>12</v>
      </c>
      <c r="E81" s="37">
        <f>ROUND(E68*'BGS Cost &amp; Bid Factors'!N$44/100,0)</f>
        <v>754</v>
      </c>
      <c r="F81" s="37">
        <f>ROUND(F68*'BGS Cost &amp; Bid Factors'!O$44/100,0)</f>
        <v>203</v>
      </c>
      <c r="G81" s="37">
        <f>ROUND(G68*'BGS Cost &amp; Bid Factors'!P$44/100,0)</f>
        <v>197</v>
      </c>
      <c r="H81" s="38">
        <f>ROUND(H68*'BGS Cost &amp; Bid Factors'!Q$44/100+(H72*($L$81/8*'BGS Cost &amp; Bid Factors'!H$145)++H73*($L$81/8*'BGS Cost &amp; Bid Factors'!H$145))/1000,0)</f>
        <v>14270</v>
      </c>
      <c r="I81" s="38"/>
      <c r="J81" s="165"/>
      <c r="K81" s="181" t="s">
        <v>61</v>
      </c>
      <c r="L81" s="182">
        <v>500782.22707305016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x14ac:dyDescent="0.2">
      <c r="A82" s="49"/>
      <c r="B82" s="159" t="s">
        <v>35</v>
      </c>
      <c r="C82" s="42">
        <f t="shared" ref="C82:H82" si="0">+C81+C80</f>
        <v>50554</v>
      </c>
      <c r="D82" s="42">
        <f t="shared" si="0"/>
        <v>19</v>
      </c>
      <c r="E82" s="42">
        <f t="shared" si="0"/>
        <v>1048</v>
      </c>
      <c r="F82" s="42">
        <f t="shared" si="0"/>
        <v>272</v>
      </c>
      <c r="G82" s="42">
        <f t="shared" si="0"/>
        <v>271</v>
      </c>
      <c r="H82" s="42">
        <f t="shared" si="0"/>
        <v>21907</v>
      </c>
      <c r="I82" s="42"/>
      <c r="J82" s="165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x14ac:dyDescent="0.2">
      <c r="A83" s="49"/>
      <c r="B83" s="159"/>
      <c r="C83" s="42"/>
      <c r="D83" s="42"/>
      <c r="E83" s="42"/>
      <c r="F83" s="42"/>
      <c r="G83" s="42"/>
      <c r="H83" s="42"/>
      <c r="I83" s="165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x14ac:dyDescent="0.2">
      <c r="A84" s="49"/>
      <c r="B84" s="159" t="s">
        <v>35</v>
      </c>
      <c r="C84" s="42"/>
      <c r="D84" s="42"/>
      <c r="E84" s="42"/>
      <c r="F84" s="42"/>
      <c r="G84" s="42"/>
      <c r="H84" s="42"/>
      <c r="I84" s="165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x14ac:dyDescent="0.2">
      <c r="A85" s="49"/>
      <c r="B85" s="159" t="s">
        <v>68</v>
      </c>
      <c r="C85" s="42">
        <f>SUM(C80:H80)</f>
        <v>28049</v>
      </c>
      <c r="D85" s="42"/>
      <c r="E85" s="42"/>
      <c r="F85" s="6"/>
      <c r="G85" s="42"/>
      <c r="H85" s="42"/>
      <c r="I85" s="165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x14ac:dyDescent="0.2">
      <c r="A86" s="49"/>
      <c r="B86" s="159" t="s">
        <v>61</v>
      </c>
      <c r="C86" s="39">
        <f>SUM(C81:H81)</f>
        <v>46022</v>
      </c>
      <c r="D86" s="184"/>
      <c r="E86" s="6"/>
      <c r="F86" s="6"/>
      <c r="G86" s="6"/>
      <c r="H86" s="6"/>
      <c r="I86" s="165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x14ac:dyDescent="0.2">
      <c r="A87" s="49"/>
      <c r="B87" s="159" t="s">
        <v>35</v>
      </c>
      <c r="C87" s="42">
        <f>+C86+C85</f>
        <v>74071</v>
      </c>
      <c r="D87" s="184"/>
      <c r="E87" s="6"/>
      <c r="F87" s="6"/>
      <c r="G87" s="6"/>
      <c r="H87" s="6"/>
      <c r="I87" s="165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x14ac:dyDescent="0.2">
      <c r="A88" s="49"/>
      <c r="B88" s="159"/>
      <c r="C88" s="42"/>
      <c r="D88" s="6"/>
      <c r="E88" s="184"/>
      <c r="F88" s="6"/>
      <c r="G88" s="6"/>
      <c r="H88" s="6"/>
      <c r="I88" s="6"/>
      <c r="J88" s="165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x14ac:dyDescent="0.2">
      <c r="A89" s="49"/>
      <c r="B89" s="6"/>
      <c r="C89" s="184"/>
      <c r="D89" s="184"/>
      <c r="E89" s="184"/>
      <c r="F89" s="184"/>
      <c r="G89" s="184"/>
      <c r="H89" s="184"/>
      <c r="I89" s="184"/>
      <c r="J89" s="165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x14ac:dyDescent="0.2">
      <c r="A90" s="49"/>
      <c r="B90" s="32" t="s">
        <v>362</v>
      </c>
      <c r="C90" s="184"/>
      <c r="D90" s="184"/>
      <c r="E90" s="184"/>
      <c r="F90" s="184"/>
      <c r="G90" s="184"/>
      <c r="H90" s="184"/>
      <c r="I90" s="184"/>
      <c r="J90" s="165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x14ac:dyDescent="0.2">
      <c r="A91" s="49"/>
      <c r="B91" s="6"/>
      <c r="C91" s="184"/>
      <c r="D91" s="184"/>
      <c r="E91" s="184"/>
      <c r="F91" s="184"/>
      <c r="G91" s="184"/>
      <c r="H91" s="184"/>
      <c r="I91" s="184"/>
      <c r="J91" s="165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5" x14ac:dyDescent="0.35">
      <c r="A92" s="49"/>
      <c r="B92" s="6" t="s">
        <v>363</v>
      </c>
      <c r="C92" s="40" t="s">
        <v>35</v>
      </c>
      <c r="D92" s="40" t="s">
        <v>343</v>
      </c>
      <c r="E92" s="40" t="s">
        <v>364</v>
      </c>
      <c r="F92" s="184"/>
      <c r="G92" s="184"/>
      <c r="H92" s="184"/>
      <c r="I92" s="184"/>
      <c r="J92" s="165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x14ac:dyDescent="0.2">
      <c r="A93" s="49"/>
      <c r="B93" s="159" t="s">
        <v>68</v>
      </c>
      <c r="C93" s="42">
        <f>'Weighted Avg Price Calc'!G$29/1000</f>
        <v>27282.838</v>
      </c>
      <c r="D93" s="189"/>
      <c r="E93" s="42">
        <f>C93-D93</f>
        <v>27282.838</v>
      </c>
      <c r="F93" s="184"/>
      <c r="G93" s="184"/>
      <c r="H93" s="184"/>
      <c r="I93" s="184"/>
      <c r="J93" s="165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5" x14ac:dyDescent="0.35">
      <c r="A94" s="49"/>
      <c r="B94" s="159" t="s">
        <v>61</v>
      </c>
      <c r="C94" s="41">
        <f>'Weighted Avg Price Calc'!G$30/1000</f>
        <v>38697.764000000003</v>
      </c>
      <c r="D94" s="41"/>
      <c r="E94" s="41">
        <f>C94-D94</f>
        <v>38697.764000000003</v>
      </c>
      <c r="F94" s="184"/>
      <c r="G94" s="184"/>
      <c r="H94" s="184"/>
      <c r="I94" s="184"/>
      <c r="J94" s="165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x14ac:dyDescent="0.2">
      <c r="A95" s="49"/>
      <c r="B95" s="159" t="s">
        <v>35</v>
      </c>
      <c r="C95" s="42">
        <f>+C94+C93</f>
        <v>65980.601999999999</v>
      </c>
      <c r="D95" s="42">
        <f>D93+D94</f>
        <v>0</v>
      </c>
      <c r="E95" s="42">
        <f>E93+E94</f>
        <v>65980.601999999999</v>
      </c>
      <c r="F95" s="184"/>
      <c r="G95" s="184"/>
      <c r="H95" s="184"/>
      <c r="I95" s="184"/>
      <c r="J95" s="165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x14ac:dyDescent="0.2">
      <c r="A96" s="49"/>
      <c r="B96" s="6"/>
      <c r="C96" s="184"/>
      <c r="D96" s="184"/>
      <c r="E96" s="184"/>
      <c r="F96" s="184"/>
      <c r="G96" s="184"/>
      <c r="H96" s="184"/>
      <c r="I96" s="184"/>
      <c r="J96" s="165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5" x14ac:dyDescent="0.35">
      <c r="A97" s="49"/>
      <c r="B97" s="6" t="s">
        <v>365</v>
      </c>
      <c r="C97" s="40" t="s">
        <v>35</v>
      </c>
      <c r="D97" s="40" t="s">
        <v>343</v>
      </c>
      <c r="E97" s="40" t="s">
        <v>364</v>
      </c>
      <c r="F97" s="184"/>
      <c r="G97" s="184"/>
      <c r="H97" s="184"/>
      <c r="I97" s="184"/>
      <c r="J97" s="165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x14ac:dyDescent="0.2">
      <c r="A98" s="49"/>
      <c r="B98" s="159" t="s">
        <v>68</v>
      </c>
      <c r="C98" s="42">
        <f>ROUND($E$251*1000*'Weighted Avg Price Calc'!E42/100/1000,0)</f>
        <v>3387</v>
      </c>
      <c r="D98" s="42">
        <v>0</v>
      </c>
      <c r="E98" s="42">
        <f>C98-D98</f>
        <v>3387</v>
      </c>
      <c r="F98" s="184"/>
      <c r="G98" s="184"/>
      <c r="H98" s="184"/>
      <c r="I98" s="184"/>
      <c r="J98" s="165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5" x14ac:dyDescent="0.35">
      <c r="A99" s="49"/>
      <c r="B99" s="159" t="s">
        <v>61</v>
      </c>
      <c r="C99" s="41">
        <f>ROUND($E$252*1000*'Weighted Avg Price Calc'!E42/100/1000,0)</f>
        <v>4759</v>
      </c>
      <c r="D99" s="41">
        <v>0</v>
      </c>
      <c r="E99" s="41">
        <f>C99-D99</f>
        <v>4759</v>
      </c>
      <c r="F99" s="184"/>
      <c r="G99" s="184"/>
      <c r="H99" s="184"/>
      <c r="I99" s="184"/>
      <c r="J99" s="165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x14ac:dyDescent="0.2">
      <c r="A100" s="49"/>
      <c r="B100" s="159" t="s">
        <v>35</v>
      </c>
      <c r="C100" s="42">
        <f>+C99+C98</f>
        <v>8146</v>
      </c>
      <c r="D100" s="42">
        <f>D98+D99</f>
        <v>0</v>
      </c>
      <c r="E100" s="42">
        <f>E98+E99</f>
        <v>8146</v>
      </c>
      <c r="F100" s="184"/>
      <c r="G100" s="184"/>
      <c r="H100" s="184"/>
      <c r="I100" s="184"/>
      <c r="J100" s="165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x14ac:dyDescent="0.2">
      <c r="A101" s="49"/>
      <c r="B101" s="6"/>
      <c r="C101" s="184"/>
      <c r="D101" s="184"/>
      <c r="E101" s="184"/>
      <c r="F101" s="184"/>
      <c r="G101" s="184"/>
      <c r="H101" s="184"/>
      <c r="I101" s="184"/>
      <c r="J101" s="165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5" x14ac:dyDescent="0.35">
      <c r="A102" s="49"/>
      <c r="B102" s="6" t="s">
        <v>366</v>
      </c>
      <c r="C102" s="40" t="s">
        <v>35</v>
      </c>
      <c r="D102" s="40" t="s">
        <v>343</v>
      </c>
      <c r="E102" s="40" t="s">
        <v>364</v>
      </c>
      <c r="F102" s="184"/>
      <c r="G102" s="184"/>
      <c r="H102" s="184"/>
      <c r="I102" s="184"/>
      <c r="J102" s="165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x14ac:dyDescent="0.2">
      <c r="A103" s="49"/>
      <c r="B103" s="159" t="s">
        <v>68</v>
      </c>
      <c r="C103" s="42">
        <f>C93+C98</f>
        <v>30669.838</v>
      </c>
      <c r="D103" s="42">
        <f>D93+D98</f>
        <v>0</v>
      </c>
      <c r="E103" s="42">
        <f>C103-D103</f>
        <v>30669.838</v>
      </c>
      <c r="F103" s="6"/>
      <c r="G103" s="6"/>
      <c r="H103" s="6"/>
      <c r="I103" s="6"/>
      <c r="J103" s="165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" x14ac:dyDescent="0.35">
      <c r="A104" s="49"/>
      <c r="B104" s="159" t="s">
        <v>61</v>
      </c>
      <c r="C104" s="41">
        <f>C94+C99</f>
        <v>43456.764000000003</v>
      </c>
      <c r="D104" s="41">
        <f>D94+D99</f>
        <v>0</v>
      </c>
      <c r="E104" s="41">
        <f>C104-D104</f>
        <v>43456.764000000003</v>
      </c>
      <c r="F104" s="6"/>
      <c r="G104" s="6"/>
      <c r="H104" s="6"/>
      <c r="I104" s="6"/>
      <c r="J104" s="165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x14ac:dyDescent="0.2">
      <c r="A105" s="49"/>
      <c r="B105" s="159" t="s">
        <v>35</v>
      </c>
      <c r="C105" s="42">
        <f>+C104+C103</f>
        <v>74126.601999999999</v>
      </c>
      <c r="D105" s="42">
        <f>+D104+D103</f>
        <v>0</v>
      </c>
      <c r="E105" s="42">
        <f>E103+E104</f>
        <v>74126.601999999999</v>
      </c>
      <c r="F105" s="6"/>
      <c r="G105" s="6"/>
      <c r="H105" s="6"/>
      <c r="I105" s="6"/>
      <c r="J105" s="165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x14ac:dyDescent="0.2">
      <c r="A106" s="49"/>
      <c r="B106" s="6"/>
      <c r="C106" s="184"/>
      <c r="D106" s="43"/>
      <c r="E106" s="184"/>
      <c r="F106" s="30"/>
      <c r="G106" s="33" t="s">
        <v>367</v>
      </c>
      <c r="H106" s="6"/>
      <c r="I106" s="6"/>
      <c r="J106" s="165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x14ac:dyDescent="0.2">
      <c r="A107" s="49"/>
      <c r="B107" s="6" t="s">
        <v>292</v>
      </c>
      <c r="C107" s="33" t="s">
        <v>337</v>
      </c>
      <c r="D107" s="33" t="s">
        <v>337</v>
      </c>
      <c r="E107" s="33"/>
      <c r="F107" s="6"/>
      <c r="G107" s="33" t="s">
        <v>368</v>
      </c>
      <c r="H107" s="6"/>
      <c r="I107" s="6"/>
      <c r="J107" s="165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x14ac:dyDescent="0.2">
      <c r="A108" s="49"/>
      <c r="B108" s="33"/>
      <c r="C108" s="44" t="s">
        <v>369</v>
      </c>
      <c r="D108" s="44" t="s">
        <v>370</v>
      </c>
      <c r="E108" s="44" t="s">
        <v>371</v>
      </c>
      <c r="F108" s="6"/>
      <c r="G108" s="44" t="s">
        <v>372</v>
      </c>
      <c r="H108" s="6"/>
      <c r="I108" s="165"/>
      <c r="J108" s="165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x14ac:dyDescent="0.2">
      <c r="A109" s="49"/>
      <c r="B109" s="159" t="s">
        <v>68</v>
      </c>
      <c r="C109" s="42">
        <f>C85</f>
        <v>28049</v>
      </c>
      <c r="D109" s="42">
        <f>E103</f>
        <v>30669.838</v>
      </c>
      <c r="E109" s="42">
        <f>D109-C109</f>
        <v>2620.8379999999997</v>
      </c>
      <c r="F109" s="6"/>
      <c r="G109" s="3">
        <f>ROUND(1+E109/C85,5)</f>
        <v>1.09344</v>
      </c>
      <c r="H109" s="6"/>
      <c r="I109" s="165"/>
      <c r="J109" s="165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x14ac:dyDescent="0.2">
      <c r="A110" s="49"/>
      <c r="B110" s="159" t="s">
        <v>61</v>
      </c>
      <c r="C110" s="39">
        <f>C86</f>
        <v>46022</v>
      </c>
      <c r="D110" s="39">
        <f>E104</f>
        <v>43456.764000000003</v>
      </c>
      <c r="E110" s="39">
        <f>D110-C110</f>
        <v>-2565.2359999999971</v>
      </c>
      <c r="F110" s="6"/>
      <c r="G110" s="3">
        <f>ROUND(1+E110/C86,5)</f>
        <v>0.94425999999999999</v>
      </c>
      <c r="H110" s="6"/>
      <c r="I110" s="165"/>
      <c r="J110" s="165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x14ac:dyDescent="0.2">
      <c r="A111" s="49"/>
      <c r="B111" s="159" t="s">
        <v>35</v>
      </c>
      <c r="C111" s="42">
        <f>+C110+C109</f>
        <v>74071</v>
      </c>
      <c r="D111" s="42">
        <f>+D110+D109</f>
        <v>74126.601999999999</v>
      </c>
      <c r="E111" s="42">
        <f>+E110+E109</f>
        <v>55.60200000000259</v>
      </c>
      <c r="F111" s="6"/>
      <c r="G111" s="6"/>
      <c r="H111" s="6"/>
      <c r="I111" s="165"/>
      <c r="J111" s="165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x14ac:dyDescent="0.2">
      <c r="A112" s="49"/>
      <c r="B112" s="33"/>
      <c r="C112" s="6"/>
      <c r="D112" s="6"/>
      <c r="E112" s="6"/>
      <c r="F112" s="6"/>
      <c r="G112" s="6"/>
      <c r="H112" s="6"/>
      <c r="I112" s="165"/>
      <c r="J112" s="165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36" x14ac:dyDescent="0.2">
      <c r="A113" s="4" t="s">
        <v>373</v>
      </c>
      <c r="B113" s="5" t="s">
        <v>374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36" x14ac:dyDescent="0.2">
      <c r="A114" s="4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36" x14ac:dyDescent="0.2">
      <c r="A115" s="4"/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36" x14ac:dyDescent="0.2">
      <c r="A116" s="49"/>
      <c r="B116" s="1" t="s">
        <v>375</v>
      </c>
      <c r="C116" s="6"/>
      <c r="D116" s="6"/>
      <c r="E116" s="6"/>
      <c r="F116" s="6"/>
      <c r="G116" s="6"/>
      <c r="H116" s="6"/>
      <c r="I116" s="6"/>
      <c r="J116" s="6"/>
      <c r="K116" s="1" t="s">
        <v>376</v>
      </c>
      <c r="L116" s="6"/>
      <c r="M116" s="6"/>
      <c r="N116" s="6"/>
      <c r="O116" s="6"/>
      <c r="P116" s="6"/>
      <c r="Q116" s="6"/>
      <c r="R116" s="6"/>
      <c r="S116" s="6"/>
      <c r="T116" s="1" t="s">
        <v>371</v>
      </c>
      <c r="U116" s="6"/>
      <c r="V116" s="6"/>
      <c r="W116" s="6"/>
      <c r="AC116" s="1" t="s">
        <v>371</v>
      </c>
    </row>
    <row r="117" spans="1:36" x14ac:dyDescent="0.2">
      <c r="A117" s="49"/>
      <c r="B117" s="3"/>
      <c r="C117" s="6"/>
      <c r="D117" s="6"/>
      <c r="E117" s="6"/>
      <c r="F117" s="6"/>
      <c r="G117" s="6"/>
      <c r="H117" s="6"/>
      <c r="I117" s="6"/>
      <c r="J117" s="6"/>
      <c r="K117" s="3"/>
      <c r="L117" s="6"/>
      <c r="M117" s="6"/>
      <c r="N117" s="6"/>
      <c r="O117" s="6"/>
      <c r="P117" s="6"/>
      <c r="Q117" s="6"/>
      <c r="R117" s="6"/>
      <c r="S117" s="6"/>
      <c r="T117" s="3"/>
      <c r="U117" s="6"/>
      <c r="V117" s="6"/>
      <c r="W117" s="6"/>
      <c r="AC117" s="3"/>
    </row>
    <row r="118" spans="1:36" x14ac:dyDescent="0.2">
      <c r="A118" s="49"/>
      <c r="B118" s="6"/>
      <c r="C118" s="11" t="str">
        <f>'BGS Cost &amp; Bid Factors'!C$6</f>
        <v>SC1/SC5</v>
      </c>
      <c r="D118" s="11" t="str">
        <f>'BGS Cost &amp; Bid Factors'!D$6</f>
        <v>SC3</v>
      </c>
      <c r="E118" s="11" t="str">
        <f>'BGS Cost &amp; Bid Factors'!E$6</f>
        <v>SC2 ND</v>
      </c>
      <c r="F118" s="11" t="str">
        <f>'BGS Cost &amp; Bid Factors'!F$6</f>
        <v>SC4</v>
      </c>
      <c r="G118" s="11" t="str">
        <f>'BGS Cost &amp; Bid Factors'!G$6</f>
        <v>SC6</v>
      </c>
      <c r="H118" s="11" t="str">
        <f>'BGS Cost &amp; Bid Factors'!H$6</f>
        <v>SC2 Dem</v>
      </c>
      <c r="I118" s="11"/>
      <c r="J118" s="12"/>
      <c r="K118" s="6"/>
      <c r="L118" s="11" t="s">
        <v>272</v>
      </c>
      <c r="M118" s="11" t="s">
        <v>8</v>
      </c>
      <c r="N118" s="11" t="s">
        <v>9</v>
      </c>
      <c r="O118" s="11" t="s">
        <v>10</v>
      </c>
      <c r="P118" s="11" t="s">
        <v>11</v>
      </c>
      <c r="Q118" s="11" t="s">
        <v>12</v>
      </c>
      <c r="R118" s="6"/>
      <c r="S118" s="6"/>
      <c r="T118" s="11" t="s">
        <v>272</v>
      </c>
      <c r="U118" s="11" t="s">
        <v>8</v>
      </c>
      <c r="V118" s="11" t="s">
        <v>9</v>
      </c>
      <c r="W118" s="11" t="s">
        <v>10</v>
      </c>
      <c r="X118" s="11" t="s">
        <v>11</v>
      </c>
      <c r="Y118" s="11" t="s">
        <v>12</v>
      </c>
      <c r="AB118" s="11" t="s">
        <v>272</v>
      </c>
      <c r="AC118" s="11"/>
      <c r="AD118" s="11" t="s">
        <v>8</v>
      </c>
      <c r="AE118" s="11" t="s">
        <v>9</v>
      </c>
      <c r="AF118" s="11" t="s">
        <v>10</v>
      </c>
      <c r="AG118" s="11" t="s">
        <v>11</v>
      </c>
      <c r="AH118" s="11" t="s">
        <v>12</v>
      </c>
      <c r="AI118" s="11"/>
      <c r="AJ118" s="11"/>
    </row>
    <row r="119" spans="1:36" x14ac:dyDescent="0.2">
      <c r="A119" s="49"/>
      <c r="B119" s="6"/>
      <c r="C119" s="12"/>
      <c r="D119" s="12"/>
      <c r="E119" s="12"/>
      <c r="F119" s="12"/>
      <c r="G119" s="12"/>
      <c r="H119" s="12"/>
      <c r="I119" s="12"/>
      <c r="J119" s="12"/>
      <c r="K119" s="6"/>
      <c r="L119" s="12"/>
      <c r="M119" s="12"/>
      <c r="N119" s="12"/>
      <c r="O119" s="12"/>
      <c r="P119" s="12"/>
      <c r="Q119" s="12"/>
      <c r="R119" s="6"/>
      <c r="S119" s="6"/>
      <c r="T119" s="12"/>
      <c r="U119" s="12"/>
      <c r="V119" s="12"/>
      <c r="W119" s="12"/>
      <c r="X119" s="12"/>
      <c r="Y119" s="12"/>
      <c r="AB119" s="12"/>
      <c r="AC119" s="12"/>
      <c r="AD119" s="12"/>
      <c r="AE119" s="12"/>
      <c r="AF119" s="12"/>
      <c r="AG119" s="12"/>
      <c r="AH119" s="12"/>
      <c r="AI119" s="12"/>
      <c r="AJ119" s="12"/>
    </row>
    <row r="120" spans="1:36" x14ac:dyDescent="0.2">
      <c r="A120" s="49"/>
      <c r="B120" s="32" t="s">
        <v>68</v>
      </c>
      <c r="C120" s="6"/>
      <c r="D120" s="6"/>
      <c r="E120" s="6"/>
      <c r="F120" s="6"/>
      <c r="G120" s="6"/>
      <c r="H120" s="6"/>
      <c r="I120" s="6"/>
      <c r="J120" s="6"/>
      <c r="K120" s="32" t="s">
        <v>68</v>
      </c>
      <c r="L120" s="6"/>
      <c r="M120" s="6"/>
      <c r="N120" s="6"/>
      <c r="O120" s="6"/>
      <c r="P120" s="6"/>
      <c r="Q120" s="6"/>
      <c r="R120" s="6"/>
      <c r="S120" s="32" t="s">
        <v>68</v>
      </c>
      <c r="T120" s="6"/>
      <c r="U120" s="6"/>
      <c r="V120" s="6"/>
      <c r="W120" s="6"/>
      <c r="AA120" s="32" t="s">
        <v>68</v>
      </c>
    </row>
    <row r="121" spans="1:36" x14ac:dyDescent="0.2">
      <c r="A121" s="49"/>
      <c r="B121" s="36" t="s">
        <v>265</v>
      </c>
      <c r="C121" s="225">
        <f>ROUND(C57*$G$109,3)</f>
        <v>7.6079999999999997</v>
      </c>
      <c r="D121" s="48"/>
      <c r="E121" s="225">
        <f>ROUND(E57*$G$109,3)</f>
        <v>6.8840000000000003</v>
      </c>
      <c r="F121" s="225">
        <f>ROUND(F57*$G$109,3)</f>
        <v>5.2880000000000003</v>
      </c>
      <c r="G121" s="225">
        <f>ROUND(G57*$G$109,3)</f>
        <v>5.2880000000000003</v>
      </c>
      <c r="H121" s="225">
        <f>ROUND(H57*$G$109,3)</f>
        <v>5.54</v>
      </c>
      <c r="I121" s="225"/>
      <c r="J121" s="35"/>
      <c r="K121" s="8" t="s">
        <v>265</v>
      </c>
      <c r="L121" s="225">
        <v>9.5500000000000007</v>
      </c>
      <c r="M121" s="48"/>
      <c r="N121" s="225">
        <v>9.7089999999999996</v>
      </c>
      <c r="O121" s="225">
        <v>5.8860000000000001</v>
      </c>
      <c r="P121" s="225">
        <v>5.8860000000000001</v>
      </c>
      <c r="Q121" s="225">
        <v>7.4980000000000002</v>
      </c>
      <c r="R121" s="6"/>
      <c r="S121" s="8" t="s">
        <v>265</v>
      </c>
      <c r="T121" s="225">
        <f>C121-L121</f>
        <v>-1.9420000000000011</v>
      </c>
      <c r="U121" s="48"/>
      <c r="V121" s="225">
        <f>E121-N121</f>
        <v>-2.8249999999999993</v>
      </c>
      <c r="W121" s="225">
        <f>F121-O121</f>
        <v>-0.59799999999999986</v>
      </c>
      <c r="X121" s="45">
        <f>G121-P121</f>
        <v>-0.59799999999999986</v>
      </c>
      <c r="Y121" s="45">
        <f>H121-Q121</f>
        <v>-1.9580000000000002</v>
      </c>
      <c r="AA121" s="26" t="s">
        <v>265</v>
      </c>
      <c r="AB121" s="47">
        <f>T121/L121</f>
        <v>-0.20335078534031423</v>
      </c>
      <c r="AC121" s="46"/>
      <c r="AD121" s="47">
        <f>V121/N121</f>
        <v>-0.29096714388711498</v>
      </c>
      <c r="AE121" s="47">
        <f>W121/O121</f>
        <v>-0.10159700985389056</v>
      </c>
      <c r="AF121" s="47">
        <f>X121/P121</f>
        <v>-0.10159700985389056</v>
      </c>
      <c r="AG121" s="47">
        <f>Y121/Q121</f>
        <v>-0.26113630301413709</v>
      </c>
      <c r="AH121" s="47"/>
      <c r="AI121" s="47"/>
      <c r="AJ121" s="47"/>
    </row>
    <row r="122" spans="1:36" x14ac:dyDescent="0.2">
      <c r="A122" s="49"/>
      <c r="B122" s="36" t="s">
        <v>266</v>
      </c>
      <c r="C122" s="48"/>
      <c r="D122" s="225">
        <f>ROUND(D58*$G$109,3)</f>
        <v>12.897</v>
      </c>
      <c r="E122" s="48"/>
      <c r="F122" s="48"/>
      <c r="G122" s="48"/>
      <c r="H122" s="48"/>
      <c r="I122" s="48"/>
      <c r="J122" s="35"/>
      <c r="K122" s="8" t="s">
        <v>266</v>
      </c>
      <c r="L122" s="48"/>
      <c r="M122" s="225">
        <v>14.58</v>
      </c>
      <c r="N122" s="48"/>
      <c r="O122" s="48"/>
      <c r="P122" s="48"/>
      <c r="Q122" s="48"/>
      <c r="R122" s="6"/>
      <c r="S122" s="8" t="s">
        <v>266</v>
      </c>
      <c r="T122" s="48"/>
      <c r="U122" s="225">
        <f>D122-M122</f>
        <v>-1.6829999999999998</v>
      </c>
      <c r="V122" s="48"/>
      <c r="W122" s="48"/>
      <c r="X122" s="46"/>
      <c r="Y122" s="46"/>
      <c r="AA122" s="26" t="s">
        <v>266</v>
      </c>
      <c r="AB122" s="46"/>
      <c r="AC122" s="47">
        <f>U122/M122</f>
        <v>-0.11543209876543209</v>
      </c>
      <c r="AD122" s="46"/>
      <c r="AE122" s="46"/>
      <c r="AF122" s="46"/>
      <c r="AG122" s="46"/>
      <c r="AH122" s="46"/>
      <c r="AI122" s="46"/>
      <c r="AJ122" s="46"/>
    </row>
    <row r="123" spans="1:36" x14ac:dyDescent="0.2">
      <c r="A123" s="49"/>
      <c r="B123" s="36" t="s">
        <v>267</v>
      </c>
      <c r="C123" s="48"/>
      <c r="D123" s="225">
        <f>ROUND(D59*$G$109,3)</f>
        <v>4.8179999999999996</v>
      </c>
      <c r="E123" s="48"/>
      <c r="F123" s="48"/>
      <c r="G123" s="48"/>
      <c r="H123" s="48"/>
      <c r="I123" s="48"/>
      <c r="J123" s="35"/>
      <c r="K123" s="8" t="s">
        <v>267</v>
      </c>
      <c r="L123" s="48"/>
      <c r="M123" s="225">
        <v>5.7709999999999999</v>
      </c>
      <c r="N123" s="48"/>
      <c r="O123" s="48"/>
      <c r="P123" s="48"/>
      <c r="Q123" s="48"/>
      <c r="R123" s="6"/>
      <c r="S123" s="8" t="s">
        <v>267</v>
      </c>
      <c r="T123" s="48"/>
      <c r="U123" s="225">
        <f>D123-M123</f>
        <v>-0.95300000000000029</v>
      </c>
      <c r="V123" s="48"/>
      <c r="W123" s="48"/>
      <c r="X123" s="46"/>
      <c r="Y123" s="46"/>
      <c r="AA123" s="26" t="s">
        <v>267</v>
      </c>
      <c r="AB123" s="46"/>
      <c r="AC123" s="47">
        <f>U123/M123</f>
        <v>-0.165136024952348</v>
      </c>
      <c r="AD123" s="46"/>
      <c r="AE123" s="46"/>
      <c r="AF123" s="46"/>
      <c r="AG123" s="46"/>
      <c r="AH123" s="46"/>
      <c r="AI123" s="46"/>
      <c r="AJ123" s="46"/>
    </row>
    <row r="124" spans="1:36" x14ac:dyDescent="0.2">
      <c r="A124" s="49"/>
      <c r="B124" s="33" t="s">
        <v>40</v>
      </c>
      <c r="C124" s="225">
        <f>ROUND(C60*$G$109,3)</f>
        <v>5.1609999999999996</v>
      </c>
      <c r="D124" s="48"/>
      <c r="E124" s="48"/>
      <c r="F124" s="48"/>
      <c r="G124" s="48"/>
      <c r="H124" s="48"/>
      <c r="I124" s="48"/>
      <c r="J124" s="35"/>
      <c r="K124" s="49" t="s">
        <v>40</v>
      </c>
      <c r="L124" s="225">
        <v>8.4120000000000008</v>
      </c>
      <c r="M124" s="48"/>
      <c r="N124" s="48"/>
      <c r="O124" s="48"/>
      <c r="P124" s="48"/>
      <c r="Q124" s="48"/>
      <c r="R124" s="6"/>
      <c r="S124" s="49" t="s">
        <v>40</v>
      </c>
      <c r="T124" s="225">
        <f>C124-L124</f>
        <v>-3.2510000000000012</v>
      </c>
      <c r="U124" s="48"/>
      <c r="V124" s="48"/>
      <c r="W124" s="48"/>
      <c r="X124" s="46"/>
      <c r="Y124" s="46"/>
      <c r="AA124" s="49" t="s">
        <v>40</v>
      </c>
      <c r="AB124" s="47">
        <f>T124/L124</f>
        <v>-0.38647170708511663</v>
      </c>
      <c r="AC124" s="48"/>
      <c r="AD124" s="46"/>
      <c r="AE124" s="46"/>
      <c r="AF124" s="46"/>
      <c r="AG124" s="46"/>
      <c r="AH124" s="46"/>
      <c r="AI124" s="46"/>
      <c r="AJ124" s="46"/>
    </row>
    <row r="125" spans="1:36" x14ac:dyDescent="0.2">
      <c r="A125" s="49"/>
      <c r="B125" s="36" t="s">
        <v>41</v>
      </c>
      <c r="C125" s="225">
        <f>ROUND(C61*$G$109,3)</f>
        <v>9.5269999999999992</v>
      </c>
      <c r="D125" s="48"/>
      <c r="E125" s="48"/>
      <c r="F125" s="48"/>
      <c r="G125" s="48"/>
      <c r="H125" s="48"/>
      <c r="I125" s="48"/>
      <c r="J125" s="35"/>
      <c r="K125" s="8" t="s">
        <v>41</v>
      </c>
      <c r="L125" s="225">
        <v>9.8390000000000004</v>
      </c>
      <c r="M125" s="48"/>
      <c r="N125" s="48"/>
      <c r="O125" s="48"/>
      <c r="P125" s="48"/>
      <c r="Q125" s="48"/>
      <c r="R125" s="6"/>
      <c r="S125" s="8" t="s">
        <v>41</v>
      </c>
      <c r="T125" s="225">
        <f>C125-L125</f>
        <v>-0.31200000000000117</v>
      </c>
      <c r="U125" s="48"/>
      <c r="V125" s="48"/>
      <c r="W125" s="48"/>
      <c r="X125" s="46"/>
      <c r="Y125" s="46"/>
      <c r="AA125" s="8" t="s">
        <v>41</v>
      </c>
      <c r="AB125" s="47">
        <f>T125/L125</f>
        <v>-3.17105396889929E-2</v>
      </c>
      <c r="AC125" s="48"/>
      <c r="AD125" s="46"/>
      <c r="AE125" s="46"/>
      <c r="AF125" s="46"/>
      <c r="AG125" s="46"/>
      <c r="AH125" s="46"/>
      <c r="AI125" s="46"/>
      <c r="AJ125" s="46"/>
    </row>
    <row r="126" spans="1:36" x14ac:dyDescent="0.2">
      <c r="A126" s="49"/>
      <c r="B126" s="48"/>
      <c r="C126" s="48"/>
      <c r="D126" s="48"/>
      <c r="E126" s="48"/>
      <c r="F126" s="48"/>
      <c r="G126" s="48"/>
      <c r="H126" s="48"/>
      <c r="I126" s="48"/>
      <c r="J126" s="35"/>
      <c r="K126" s="8" t="s">
        <v>42</v>
      </c>
      <c r="L126" s="50" t="s">
        <v>377</v>
      </c>
      <c r="M126" s="48"/>
      <c r="N126" s="48"/>
      <c r="O126" s="48"/>
      <c r="P126" s="48"/>
      <c r="Q126" s="48"/>
      <c r="R126" s="6"/>
      <c r="S126" s="8" t="s">
        <v>42</v>
      </c>
      <c r="T126" s="50" t="s">
        <v>377</v>
      </c>
      <c r="U126" s="48"/>
      <c r="V126" s="48"/>
      <c r="W126" s="48"/>
      <c r="X126" s="46"/>
      <c r="Y126" s="46"/>
      <c r="AA126" s="8" t="s">
        <v>42</v>
      </c>
      <c r="AB126" s="50" t="s">
        <v>377</v>
      </c>
      <c r="AC126" s="48"/>
      <c r="AD126" s="46"/>
      <c r="AE126" s="46"/>
      <c r="AF126" s="46"/>
      <c r="AG126" s="46"/>
      <c r="AH126" s="46"/>
      <c r="AI126" s="46"/>
      <c r="AJ126" s="46"/>
    </row>
    <row r="127" spans="1:36" x14ac:dyDescent="0.2">
      <c r="A127" s="49"/>
      <c r="B127" s="6"/>
      <c r="C127" s="48"/>
      <c r="D127" s="48"/>
      <c r="E127" s="48"/>
      <c r="F127" s="48"/>
      <c r="G127" s="48"/>
      <c r="H127" s="48"/>
      <c r="I127" s="48"/>
      <c r="J127" s="6"/>
      <c r="K127" s="6"/>
      <c r="L127" s="48"/>
      <c r="M127" s="48"/>
      <c r="N127" s="48"/>
      <c r="O127" s="48"/>
      <c r="P127" s="48"/>
      <c r="Q127" s="48"/>
      <c r="R127" s="6"/>
      <c r="S127" s="6"/>
      <c r="T127" s="48"/>
      <c r="U127" s="48"/>
      <c r="V127" s="48"/>
      <c r="W127" s="48"/>
      <c r="X127" s="46"/>
      <c r="Y127" s="46"/>
      <c r="AA127" s="24"/>
      <c r="AB127" s="46"/>
      <c r="AC127" s="46"/>
      <c r="AD127" s="46"/>
      <c r="AE127" s="46"/>
      <c r="AF127" s="46"/>
      <c r="AG127" s="46"/>
      <c r="AH127" s="46"/>
      <c r="AI127" s="46"/>
      <c r="AJ127" s="46"/>
    </row>
    <row r="128" spans="1:36" x14ac:dyDescent="0.2">
      <c r="A128" s="49"/>
      <c r="B128" s="33" t="s">
        <v>268</v>
      </c>
      <c r="C128" s="48"/>
      <c r="D128" s="48"/>
      <c r="E128" s="48"/>
      <c r="F128" s="48"/>
      <c r="G128" s="48"/>
      <c r="H128" s="225">
        <f>ROUND(H64*$G$109,3)</f>
        <v>2.0819999999999999</v>
      </c>
      <c r="I128" s="225"/>
      <c r="J128" s="165"/>
      <c r="K128" s="49" t="s">
        <v>280</v>
      </c>
      <c r="L128" s="48"/>
      <c r="M128" s="48"/>
      <c r="N128" s="48"/>
      <c r="O128" s="48"/>
      <c r="P128" s="48"/>
      <c r="Q128" s="225">
        <v>5.4420000000000002</v>
      </c>
      <c r="R128" s="6"/>
      <c r="S128" s="49" t="s">
        <v>280</v>
      </c>
      <c r="T128" s="48"/>
      <c r="U128" s="48"/>
      <c r="V128" s="48"/>
      <c r="W128" s="48"/>
      <c r="X128" s="46"/>
      <c r="Y128" s="45">
        <f>H128-Q128</f>
        <v>-3.3600000000000003</v>
      </c>
      <c r="AA128" s="24" t="s">
        <v>280</v>
      </c>
      <c r="AB128" s="46"/>
      <c r="AC128" s="46"/>
      <c r="AD128" s="46"/>
      <c r="AE128" s="46"/>
      <c r="AF128" s="46"/>
      <c r="AG128" s="47">
        <f>Y128/Q128</f>
        <v>-0.61742006615214995</v>
      </c>
      <c r="AH128" s="47"/>
      <c r="AI128" s="47"/>
      <c r="AJ128" s="47"/>
    </row>
    <row r="129" spans="1:36" x14ac:dyDescent="0.2">
      <c r="A129" s="49"/>
      <c r="B129" s="33" t="s">
        <v>269</v>
      </c>
      <c r="C129" s="48"/>
      <c r="D129" s="48"/>
      <c r="E129" s="48"/>
      <c r="F129" s="48"/>
      <c r="G129" s="48"/>
      <c r="H129" s="225">
        <f>ROUND(H65*$G$109,3)</f>
        <v>5.1070000000000002</v>
      </c>
      <c r="I129" s="225"/>
      <c r="J129" s="165"/>
      <c r="K129" s="6"/>
      <c r="L129" s="48"/>
      <c r="M129" s="48"/>
      <c r="N129" s="48"/>
      <c r="O129" s="48"/>
      <c r="P129" s="48"/>
      <c r="Q129" s="48"/>
      <c r="R129" s="6"/>
      <c r="S129" s="6"/>
      <c r="T129" s="48"/>
      <c r="U129" s="48"/>
      <c r="V129" s="48"/>
      <c r="W129" s="48"/>
      <c r="X129" s="46"/>
      <c r="Y129" s="46"/>
      <c r="AA129" s="24"/>
      <c r="AB129" s="46"/>
      <c r="AC129" s="46"/>
      <c r="AD129" s="46"/>
      <c r="AE129" s="46"/>
      <c r="AF129" s="46"/>
      <c r="AG129" s="46"/>
      <c r="AH129" s="46"/>
      <c r="AI129" s="46"/>
      <c r="AJ129" s="46"/>
    </row>
    <row r="130" spans="1:36" x14ac:dyDescent="0.2">
      <c r="A130" s="49"/>
      <c r="B130" s="6"/>
      <c r="C130" s="48"/>
      <c r="D130" s="48"/>
      <c r="E130" s="48"/>
      <c r="F130" s="48"/>
      <c r="G130" s="48"/>
      <c r="H130" s="48"/>
      <c r="I130" s="48"/>
      <c r="J130" s="6"/>
      <c r="K130" s="32" t="s">
        <v>61</v>
      </c>
      <c r="L130" s="48"/>
      <c r="M130" s="48"/>
      <c r="N130" s="48"/>
      <c r="O130" s="48"/>
      <c r="P130" s="48"/>
      <c r="Q130" s="48"/>
      <c r="R130" s="6"/>
      <c r="S130" s="32" t="s">
        <v>61</v>
      </c>
      <c r="T130" s="48"/>
      <c r="U130" s="48"/>
      <c r="V130" s="48"/>
      <c r="W130" s="48"/>
      <c r="X130" s="46"/>
      <c r="Y130" s="46"/>
      <c r="AA130" s="51" t="s">
        <v>61</v>
      </c>
      <c r="AB130" s="46"/>
      <c r="AC130" s="46"/>
      <c r="AD130" s="46"/>
      <c r="AE130" s="46"/>
      <c r="AF130" s="46"/>
      <c r="AG130" s="46"/>
      <c r="AH130" s="46"/>
      <c r="AI130" s="46"/>
      <c r="AJ130" s="46"/>
    </row>
    <row r="131" spans="1:36" x14ac:dyDescent="0.2">
      <c r="A131" s="49"/>
      <c r="B131" s="32" t="s">
        <v>61</v>
      </c>
      <c r="C131" s="48"/>
      <c r="D131" s="48"/>
      <c r="E131" s="48"/>
      <c r="F131" s="48"/>
      <c r="G131" s="48"/>
      <c r="H131" s="48"/>
      <c r="I131" s="48"/>
      <c r="J131" s="6"/>
      <c r="K131" s="8" t="s">
        <v>265</v>
      </c>
      <c r="L131" s="225">
        <v>9.7379999999999995</v>
      </c>
      <c r="M131" s="48"/>
      <c r="N131" s="225">
        <v>8.1769999999999996</v>
      </c>
      <c r="O131" s="225">
        <v>5.8460000000000001</v>
      </c>
      <c r="P131" s="225">
        <v>5.8209999999999997</v>
      </c>
      <c r="Q131" s="225">
        <v>6.7539999999999996</v>
      </c>
      <c r="R131" s="6"/>
      <c r="S131" s="8" t="s">
        <v>265</v>
      </c>
      <c r="T131" s="225">
        <f>C132-L131</f>
        <v>-1.8759999999999994</v>
      </c>
      <c r="U131" s="48"/>
      <c r="V131" s="225">
        <f>E132-N131</f>
        <v>-1.9719999999999995</v>
      </c>
      <c r="W131" s="225">
        <f>F132-O131</f>
        <v>-0.72700000000000031</v>
      </c>
      <c r="X131" s="45">
        <f>G132-P131</f>
        <v>-0.72199999999999953</v>
      </c>
      <c r="Y131" s="45">
        <f>H132-Q131</f>
        <v>-1.4539999999999997</v>
      </c>
      <c r="AA131" s="26" t="s">
        <v>265</v>
      </c>
      <c r="AB131" s="47">
        <f>T131/L131</f>
        <v>-0.19264736085438483</v>
      </c>
      <c r="AC131" s="46"/>
      <c r="AD131" s="47">
        <f>V131/N131</f>
        <v>-0.24116424116424112</v>
      </c>
      <c r="AE131" s="47">
        <f>W131/O131</f>
        <v>-0.12435853575094087</v>
      </c>
      <c r="AF131" s="47">
        <f>X131/P131</f>
        <v>-0.12403367119051702</v>
      </c>
      <c r="AG131" s="47">
        <f>Y131/Q131</f>
        <v>-0.21527983417234228</v>
      </c>
      <c r="AH131" s="47"/>
      <c r="AI131" s="47"/>
      <c r="AJ131" s="47"/>
    </row>
    <row r="132" spans="1:36" x14ac:dyDescent="0.2">
      <c r="A132" s="49"/>
      <c r="B132" s="36" t="s">
        <v>265</v>
      </c>
      <c r="C132" s="225">
        <f>ROUND(C68*$G$110,3)</f>
        <v>7.8620000000000001</v>
      </c>
      <c r="D132" s="48"/>
      <c r="E132" s="225">
        <f>ROUND(E68*$G$110,3)</f>
        <v>6.2050000000000001</v>
      </c>
      <c r="F132" s="225">
        <f>ROUND(F68*$G$110,3)</f>
        <v>5.1189999999999998</v>
      </c>
      <c r="G132" s="225">
        <f>ROUND(G68*$G$110,3)</f>
        <v>5.0990000000000002</v>
      </c>
      <c r="H132" s="225">
        <f>ROUND(H68*$G$110,3)</f>
        <v>5.3</v>
      </c>
      <c r="I132" s="225"/>
      <c r="J132" s="6"/>
      <c r="K132" s="8" t="s">
        <v>266</v>
      </c>
      <c r="L132" s="48"/>
      <c r="M132" s="225">
        <v>12.37</v>
      </c>
      <c r="N132" s="48"/>
      <c r="O132" s="48"/>
      <c r="P132" s="48"/>
      <c r="Q132" s="48"/>
      <c r="R132" s="6"/>
      <c r="S132" s="8" t="s">
        <v>266</v>
      </c>
      <c r="T132" s="48"/>
      <c r="U132" s="225">
        <f>D133-M132</f>
        <v>-0.16099999999999959</v>
      </c>
      <c r="V132" s="48"/>
      <c r="W132" s="48"/>
      <c r="X132" s="46"/>
      <c r="Y132" s="46"/>
      <c r="AA132" s="26" t="s">
        <v>266</v>
      </c>
      <c r="AB132" s="46"/>
      <c r="AC132" s="47">
        <f>U132/M132</f>
        <v>-1.3015359741309587E-2</v>
      </c>
      <c r="AD132" s="46"/>
      <c r="AE132" s="46"/>
      <c r="AF132" s="46"/>
      <c r="AG132" s="46"/>
      <c r="AH132" s="46"/>
      <c r="AI132" s="46"/>
      <c r="AJ132" s="46"/>
    </row>
    <row r="133" spans="1:36" x14ac:dyDescent="0.2">
      <c r="A133" s="49"/>
      <c r="B133" s="36" t="s">
        <v>266</v>
      </c>
      <c r="C133" s="48"/>
      <c r="D133" s="225">
        <f>ROUND(D69*$G$110,3)</f>
        <v>12.209</v>
      </c>
      <c r="E133" s="48"/>
      <c r="F133" s="48"/>
      <c r="G133" s="48"/>
      <c r="H133" s="48"/>
      <c r="I133" s="48"/>
      <c r="J133" s="35"/>
      <c r="K133" s="8" t="s">
        <v>267</v>
      </c>
      <c r="L133" s="48"/>
      <c r="M133" s="225">
        <v>5.6959999999999997</v>
      </c>
      <c r="N133" s="48"/>
      <c r="O133" s="48"/>
      <c r="P133" s="48"/>
      <c r="Q133" s="48"/>
      <c r="R133" s="6"/>
      <c r="S133" s="8" t="s">
        <v>267</v>
      </c>
      <c r="T133" s="48"/>
      <c r="U133" s="225">
        <f>D134-M133</f>
        <v>-0.92300000000000004</v>
      </c>
      <c r="V133" s="48"/>
      <c r="W133" s="48"/>
      <c r="X133" s="46"/>
      <c r="Y133" s="46"/>
      <c r="AA133" s="26" t="s">
        <v>267</v>
      </c>
      <c r="AB133" s="46"/>
      <c r="AC133" s="47">
        <f>U133/M133</f>
        <v>-0.1620435393258427</v>
      </c>
      <c r="AD133" s="46"/>
      <c r="AE133" s="46"/>
      <c r="AF133" s="46"/>
      <c r="AG133" s="46"/>
      <c r="AH133" s="46"/>
      <c r="AI133" s="46"/>
      <c r="AJ133" s="46"/>
    </row>
    <row r="134" spans="1:36" x14ac:dyDescent="0.2">
      <c r="A134" s="49"/>
      <c r="B134" s="36" t="s">
        <v>267</v>
      </c>
      <c r="C134" s="48"/>
      <c r="D134" s="225">
        <f>ROUND(D70*$G$110,3)</f>
        <v>4.7729999999999997</v>
      </c>
      <c r="E134" s="48"/>
      <c r="F134" s="48"/>
      <c r="G134" s="48"/>
      <c r="H134" s="48"/>
      <c r="I134" s="48"/>
      <c r="J134" s="35"/>
      <c r="K134" s="49"/>
      <c r="L134" s="48"/>
      <c r="M134" s="48"/>
      <c r="N134" s="48"/>
      <c r="O134" s="48"/>
      <c r="P134" s="48"/>
      <c r="Q134" s="48"/>
      <c r="R134" s="6"/>
      <c r="S134" s="49"/>
      <c r="T134" s="48"/>
      <c r="U134" s="48"/>
      <c r="V134" s="48"/>
      <c r="W134" s="48"/>
      <c r="X134" s="46"/>
      <c r="Y134" s="46"/>
      <c r="AA134" s="24"/>
      <c r="AB134" s="46"/>
      <c r="AC134" s="46"/>
      <c r="AD134" s="46"/>
      <c r="AE134" s="46"/>
      <c r="AF134" s="46"/>
      <c r="AG134" s="46"/>
      <c r="AH134" s="46"/>
      <c r="AI134" s="46"/>
      <c r="AJ134" s="46"/>
    </row>
    <row r="135" spans="1:36" x14ac:dyDescent="0.2">
      <c r="A135" s="49"/>
      <c r="B135" s="6"/>
      <c r="C135" s="48"/>
      <c r="D135" s="48"/>
      <c r="E135" s="48"/>
      <c r="F135" s="48"/>
      <c r="G135" s="48"/>
      <c r="H135" s="48"/>
      <c r="I135" s="48"/>
      <c r="J135" s="6"/>
      <c r="K135" s="49" t="s">
        <v>280</v>
      </c>
      <c r="L135" s="48"/>
      <c r="M135" s="48"/>
      <c r="N135" s="48"/>
      <c r="O135" s="48"/>
      <c r="P135" s="48"/>
      <c r="Q135" s="225">
        <v>5.4</v>
      </c>
      <c r="R135" s="6"/>
      <c r="S135" s="49" t="s">
        <v>280</v>
      </c>
      <c r="T135" s="48"/>
      <c r="U135" s="48"/>
      <c r="V135" s="48"/>
      <c r="W135" s="48"/>
      <c r="X135" s="46"/>
      <c r="Y135" s="45">
        <f>H136-Q135</f>
        <v>-2.9670000000000005</v>
      </c>
      <c r="AA135" s="24" t="s">
        <v>280</v>
      </c>
      <c r="AB135" s="46"/>
      <c r="AC135" s="46"/>
      <c r="AD135" s="46"/>
      <c r="AE135" s="46"/>
      <c r="AF135" s="46"/>
      <c r="AG135" s="47">
        <f>Y135/Q135</f>
        <v>-0.54944444444444451</v>
      </c>
      <c r="AH135" s="47"/>
      <c r="AI135" s="47"/>
      <c r="AJ135" s="47"/>
    </row>
    <row r="136" spans="1:36" x14ac:dyDescent="0.2">
      <c r="A136" s="49"/>
      <c r="B136" s="33" t="s">
        <v>268</v>
      </c>
      <c r="C136" s="48"/>
      <c r="D136" s="48"/>
      <c r="E136" s="48"/>
      <c r="F136" s="48"/>
      <c r="G136" s="48"/>
      <c r="H136" s="225">
        <f>ROUND(H72*$G$110,3)</f>
        <v>2.4329999999999998</v>
      </c>
      <c r="I136" s="225"/>
      <c r="J136" s="165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36" x14ac:dyDescent="0.2">
      <c r="A137" s="49"/>
      <c r="B137" s="33" t="s">
        <v>269</v>
      </c>
      <c r="C137" s="48"/>
      <c r="D137" s="48"/>
      <c r="E137" s="48"/>
      <c r="F137" s="48"/>
      <c r="G137" s="48"/>
      <c r="H137" s="225">
        <f>ROUND(H73*$G$110,3)</f>
        <v>4.7300000000000004</v>
      </c>
      <c r="I137" s="225"/>
      <c r="J137" s="165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36" x14ac:dyDescent="0.2">
      <c r="A138" s="49"/>
      <c r="B138" s="33"/>
      <c r="C138" s="6"/>
      <c r="D138" s="6"/>
      <c r="E138" s="6"/>
      <c r="F138" s="6"/>
      <c r="G138" s="6"/>
      <c r="H138" s="6"/>
      <c r="I138" s="34"/>
      <c r="J138" s="165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36" x14ac:dyDescent="0.2">
      <c r="A139" s="49"/>
      <c r="B139" s="1" t="s">
        <v>378</v>
      </c>
      <c r="C139" s="6"/>
      <c r="D139" s="6" t="s">
        <v>271</v>
      </c>
      <c r="E139" s="204">
        <v>6.6250000000000003E-2</v>
      </c>
      <c r="F139" s="6"/>
      <c r="G139" s="6"/>
      <c r="H139" s="6"/>
      <c r="I139" s="6"/>
      <c r="J139" s="165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36" x14ac:dyDescent="0.2">
      <c r="A140" s="49"/>
      <c r="B140" s="6"/>
      <c r="C140" s="6"/>
      <c r="D140" s="6"/>
      <c r="E140" s="6"/>
      <c r="F140" s="6"/>
      <c r="G140" s="6"/>
      <c r="H140" s="6"/>
      <c r="I140" s="6"/>
      <c r="J140" s="165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36" x14ac:dyDescent="0.2">
      <c r="A141" s="49"/>
      <c r="B141" s="6"/>
      <c r="C141" s="11" t="s">
        <v>272</v>
      </c>
      <c r="D141" s="11" t="s">
        <v>8</v>
      </c>
      <c r="E141" s="11" t="s">
        <v>9</v>
      </c>
      <c r="F141" s="11" t="s">
        <v>10</v>
      </c>
      <c r="G141" s="11" t="s">
        <v>11</v>
      </c>
      <c r="H141" s="11" t="s">
        <v>12</v>
      </c>
      <c r="I141" s="165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36" x14ac:dyDescent="0.2">
      <c r="A142" s="49"/>
      <c r="B142" s="32" t="s">
        <v>68</v>
      </c>
      <c r="C142" s="6"/>
      <c r="D142" s="6"/>
      <c r="E142" s="6"/>
      <c r="F142" s="6"/>
      <c r="G142" s="6"/>
      <c r="H142" s="6"/>
      <c r="I142" s="165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36" x14ac:dyDescent="0.2">
      <c r="A143" s="49"/>
      <c r="B143" s="36" t="s">
        <v>265</v>
      </c>
      <c r="C143" s="36"/>
      <c r="D143" s="6"/>
      <c r="E143" s="34">
        <f>ROUND(E121*(1+$E$139),3)</f>
        <v>7.34</v>
      </c>
      <c r="F143" s="34">
        <f>ROUND(F121*(1+$E$139),3)</f>
        <v>5.6379999999999999</v>
      </c>
      <c r="G143" s="34">
        <f>ROUND(G121*(1+$E$139),3)</f>
        <v>5.6379999999999999</v>
      </c>
      <c r="H143" s="34">
        <f>ROUND(H121*(1+$E$139),3)</f>
        <v>5.907</v>
      </c>
      <c r="I143" s="165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36" x14ac:dyDescent="0.2">
      <c r="A144" s="49"/>
      <c r="B144" s="36" t="s">
        <v>266</v>
      </c>
      <c r="C144" s="6"/>
      <c r="D144" s="34">
        <f>ROUND(D122*(1+$E$139),3)</f>
        <v>13.750999999999999</v>
      </c>
      <c r="E144" s="6"/>
      <c r="F144" s="6"/>
      <c r="G144" s="6"/>
      <c r="H144" s="6"/>
      <c r="I144" s="165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x14ac:dyDescent="0.2">
      <c r="A145" s="49"/>
      <c r="B145" s="36" t="s">
        <v>267</v>
      </c>
      <c r="C145" s="6"/>
      <c r="D145" s="34">
        <f>ROUND(D123*(1+$E$139),3)</f>
        <v>5.1369999999999996</v>
      </c>
      <c r="E145" s="6"/>
      <c r="F145" s="6"/>
      <c r="G145" s="6"/>
      <c r="H145" s="6"/>
      <c r="I145" s="165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x14ac:dyDescent="0.2">
      <c r="A146" s="49"/>
      <c r="B146" s="33" t="s">
        <v>40</v>
      </c>
      <c r="C146" s="34">
        <f>ROUND(C124*(1+$E$139),3)</f>
        <v>5.5030000000000001</v>
      </c>
      <c r="D146" s="35"/>
      <c r="E146" s="6"/>
      <c r="F146" s="6"/>
      <c r="G146" s="6"/>
      <c r="H146" s="6"/>
      <c r="I146" s="165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x14ac:dyDescent="0.2">
      <c r="A147" s="49"/>
      <c r="B147" s="36" t="s">
        <v>41</v>
      </c>
      <c r="C147" s="34">
        <f>ROUND(C125*(1+$E$139),3)</f>
        <v>10.157999999999999</v>
      </c>
      <c r="D147" s="35"/>
      <c r="E147" s="6"/>
      <c r="F147" s="6"/>
      <c r="G147" s="6"/>
      <c r="H147" s="6"/>
      <c r="I147" s="165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x14ac:dyDescent="0.2">
      <c r="A148" s="49"/>
      <c r="B148" s="35"/>
      <c r="C148" s="35"/>
      <c r="D148" s="35"/>
      <c r="E148" s="6"/>
      <c r="F148" s="6"/>
      <c r="G148" s="6"/>
      <c r="H148" s="6"/>
      <c r="I148" s="165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x14ac:dyDescent="0.2">
      <c r="A149" s="49"/>
      <c r="B149" s="6"/>
      <c r="C149" s="6"/>
      <c r="D149" s="6"/>
      <c r="E149" s="6"/>
      <c r="F149" s="6"/>
      <c r="G149" s="6"/>
      <c r="H149" s="6"/>
      <c r="I149" s="165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x14ac:dyDescent="0.2">
      <c r="A150" s="49"/>
      <c r="B150" s="33" t="s">
        <v>268</v>
      </c>
      <c r="C150" s="6"/>
      <c r="D150" s="6"/>
      <c r="E150" s="6"/>
      <c r="F150" s="6"/>
      <c r="G150" s="6"/>
      <c r="H150" s="226">
        <f>ROUND(H128*(1+$E$139),2)</f>
        <v>2.2200000000000002</v>
      </c>
      <c r="I150" s="165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x14ac:dyDescent="0.2">
      <c r="A151" s="49"/>
      <c r="B151" s="33" t="s">
        <v>359</v>
      </c>
      <c r="C151" s="6"/>
      <c r="D151" s="6"/>
      <c r="E151" s="6"/>
      <c r="F151" s="6"/>
      <c r="G151" s="6"/>
      <c r="H151" s="226">
        <f>ROUND(H129*(1+$E$139),2)</f>
        <v>5.45</v>
      </c>
      <c r="I151" s="165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x14ac:dyDescent="0.2">
      <c r="A152" s="49"/>
      <c r="B152" s="6"/>
      <c r="C152" s="6"/>
      <c r="D152" s="6"/>
      <c r="E152" s="6"/>
      <c r="F152" s="6"/>
      <c r="G152" s="6"/>
      <c r="H152" s="6"/>
      <c r="I152" s="165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x14ac:dyDescent="0.2">
      <c r="A153" s="49"/>
      <c r="B153" s="32" t="s">
        <v>61</v>
      </c>
      <c r="C153" s="6"/>
      <c r="D153" s="6"/>
      <c r="E153" s="6"/>
      <c r="F153" s="6"/>
      <c r="G153" s="6"/>
      <c r="H153" s="6"/>
      <c r="I153" s="165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x14ac:dyDescent="0.2">
      <c r="A154" s="49"/>
      <c r="B154" s="36" t="s">
        <v>265</v>
      </c>
      <c r="C154" s="34">
        <f>ROUND(C132*(1+$E$139),3)</f>
        <v>8.3829999999999991</v>
      </c>
      <c r="D154" s="6"/>
      <c r="E154" s="34">
        <f>ROUND(E132*(1+$E$139),3)</f>
        <v>6.6159999999999997</v>
      </c>
      <c r="F154" s="34">
        <f>ROUND(F132*(1+$E$139),3)</f>
        <v>5.4580000000000002</v>
      </c>
      <c r="G154" s="34">
        <f>ROUND(G132*(1+$E$139),3)</f>
        <v>5.4370000000000003</v>
      </c>
      <c r="H154" s="34">
        <f>ROUND(H132*(1+$E$139),3)</f>
        <v>5.6509999999999998</v>
      </c>
      <c r="I154" s="165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x14ac:dyDescent="0.2">
      <c r="A155" s="49"/>
      <c r="B155" s="36" t="s">
        <v>266</v>
      </c>
      <c r="C155" s="6"/>
      <c r="D155" s="34">
        <f>ROUND(D133*(1+$E$139),3)</f>
        <v>13.018000000000001</v>
      </c>
      <c r="E155" s="6"/>
      <c r="F155" s="6"/>
      <c r="G155" s="6"/>
      <c r="H155" s="6"/>
      <c r="I155" s="165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x14ac:dyDescent="0.2">
      <c r="A156" s="49"/>
      <c r="B156" s="36" t="s">
        <v>267</v>
      </c>
      <c r="C156" s="6"/>
      <c r="D156" s="34">
        <f>ROUND(D134*(1+$E$139),3)</f>
        <v>5.0890000000000004</v>
      </c>
      <c r="E156" s="6"/>
      <c r="F156" s="6"/>
      <c r="G156" s="6"/>
      <c r="H156" s="6"/>
      <c r="I156" s="165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x14ac:dyDescent="0.2">
      <c r="A157" s="49"/>
      <c r="B157" s="6"/>
      <c r="C157" s="6"/>
      <c r="D157" s="6"/>
      <c r="E157" s="6"/>
      <c r="F157" s="6"/>
      <c r="G157" s="6"/>
      <c r="H157" s="6"/>
      <c r="I157" s="165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x14ac:dyDescent="0.2">
      <c r="A158" s="49"/>
      <c r="B158" s="33" t="s">
        <v>268</v>
      </c>
      <c r="C158" s="6"/>
      <c r="D158" s="6"/>
      <c r="E158" s="6"/>
      <c r="F158" s="6"/>
      <c r="G158" s="6"/>
      <c r="H158" s="226">
        <f>ROUND(H136*(1+$E$139),2)</f>
        <v>2.59</v>
      </c>
      <c r="I158" s="165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x14ac:dyDescent="0.2">
      <c r="A159" s="49"/>
      <c r="B159" s="33" t="s">
        <v>269</v>
      </c>
      <c r="C159" s="6"/>
      <c r="D159" s="6"/>
      <c r="E159" s="6"/>
      <c r="F159" s="6"/>
      <c r="G159" s="6"/>
      <c r="H159" s="226">
        <f>ROUND(H137*(1+$E$139),2)</f>
        <v>5.04</v>
      </c>
      <c r="I159" s="165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x14ac:dyDescent="0.2">
      <c r="A160" s="49"/>
      <c r="B160" s="33"/>
      <c r="C160" s="6"/>
      <c r="D160" s="6"/>
      <c r="E160" s="6"/>
      <c r="F160" s="6"/>
      <c r="G160" s="6"/>
      <c r="H160" s="34"/>
      <c r="I160" s="165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x14ac:dyDescent="0.2">
      <c r="A161" s="49"/>
      <c r="B161" s="33"/>
      <c r="C161" s="6"/>
      <c r="D161" s="6"/>
      <c r="E161" s="6"/>
      <c r="F161" s="6"/>
      <c r="G161" s="6"/>
      <c r="H161" s="165"/>
      <c r="I161" s="165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x14ac:dyDescent="0.2">
      <c r="A162" s="4" t="s">
        <v>379</v>
      </c>
      <c r="B162" s="4" t="s">
        <v>380</v>
      </c>
      <c r="C162" s="6"/>
      <c r="D162" s="6"/>
      <c r="E162" s="6"/>
      <c r="F162" s="6"/>
      <c r="G162" s="6"/>
      <c r="H162" s="165"/>
      <c r="I162" s="165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x14ac:dyDescent="0.2">
      <c r="A163" s="49"/>
      <c r="B163" s="4"/>
      <c r="C163" s="6"/>
      <c r="D163" s="6"/>
      <c r="E163" s="6"/>
      <c r="F163" s="6"/>
      <c r="G163" s="6"/>
      <c r="H163" s="165"/>
      <c r="I163" s="165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x14ac:dyDescent="0.2">
      <c r="A164" s="49"/>
      <c r="B164" s="4"/>
      <c r="C164" s="6"/>
      <c r="D164" s="6"/>
      <c r="E164" s="6"/>
      <c r="F164" s="6"/>
      <c r="G164" s="6"/>
      <c r="H164" s="165"/>
      <c r="I164" s="165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x14ac:dyDescent="0.2">
      <c r="A165" s="49"/>
      <c r="B165" s="31" t="s">
        <v>288</v>
      </c>
      <c r="C165" s="6"/>
      <c r="D165" s="6"/>
      <c r="E165" s="6"/>
      <c r="F165" s="6"/>
      <c r="G165" s="6"/>
      <c r="H165" s="165"/>
      <c r="I165" s="165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3.5" thickBot="1" x14ac:dyDescent="0.25">
      <c r="A166" s="49"/>
      <c r="B166" s="31"/>
      <c r="C166" s="6"/>
      <c r="D166" s="6"/>
      <c r="E166" s="6"/>
      <c r="F166" s="6"/>
      <c r="G166" s="6"/>
      <c r="H166" s="165"/>
      <c r="I166" s="165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x14ac:dyDescent="0.2">
      <c r="A167" s="49"/>
      <c r="B167" s="6"/>
      <c r="C167" s="11" t="str">
        <f>'BGS Cost &amp; Bid Factors'!C$6</f>
        <v>SC1/SC5</v>
      </c>
      <c r="D167" s="11" t="str">
        <f>'BGS Cost &amp; Bid Factors'!D$6</f>
        <v>SC3</v>
      </c>
      <c r="E167" s="11" t="str">
        <f>'BGS Cost &amp; Bid Factors'!E$6</f>
        <v>SC2 ND</v>
      </c>
      <c r="F167" s="11" t="str">
        <f>'BGS Cost &amp; Bid Factors'!F$6</f>
        <v>SC4</v>
      </c>
      <c r="G167" s="11" t="str">
        <f>'BGS Cost &amp; Bid Factors'!G$6</f>
        <v>SC6</v>
      </c>
      <c r="H167" s="11" t="str">
        <f>'BGS Cost &amp; Bid Factors'!H$6</f>
        <v>SC2 Dem</v>
      </c>
      <c r="I167" s="11"/>
      <c r="J167" s="165"/>
      <c r="K167" s="176" t="s">
        <v>153</v>
      </c>
      <c r="L167" s="177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x14ac:dyDescent="0.2">
      <c r="A168" s="49"/>
      <c r="B168" s="31"/>
      <c r="C168" s="6"/>
      <c r="D168" s="6"/>
      <c r="E168" s="6"/>
      <c r="F168" s="6"/>
      <c r="G168" s="6"/>
      <c r="H168" s="6"/>
      <c r="I168" s="6"/>
      <c r="J168" s="165"/>
      <c r="K168" s="178"/>
      <c r="L168" s="179" t="s">
        <v>156</v>
      </c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x14ac:dyDescent="0.2">
      <c r="A169" s="49"/>
      <c r="B169" s="159" t="s">
        <v>68</v>
      </c>
      <c r="C169" s="161">
        <f>ROUND((C121*'BGS Cost &amp; Bid Factors'!L$48)/100,0)</f>
        <v>21834</v>
      </c>
      <c r="D169" s="164">
        <f>ROUND((D122*'BGS Cost &amp; Bid Factors'!M$49+D123*'BGS Cost &amp; Bid Factors'!M$50)/100,0)</f>
        <v>8</v>
      </c>
      <c r="E169" s="161">
        <f>ROUND((E121*'BGS Cost &amp; Bid Factors'!N$48)/100,0)</f>
        <v>321</v>
      </c>
      <c r="F169" s="161">
        <f>ROUND((F121*'BGS Cost &amp; Bid Factors'!O$48)/100,0)</f>
        <v>76</v>
      </c>
      <c r="G169" s="161">
        <f>ROUND((G121*'BGS Cost &amp; Bid Factors'!P$48)/100,0)</f>
        <v>81</v>
      </c>
      <c r="H169" s="164">
        <f>ROUND(H121*'BGS Cost &amp; Bid Factors'!Q$48/100+(H128*($L$169/4*'BGS Cost &amp; Bid Factors'!H$144)+H129*($L$169/4*'BGS Cost &amp; Bid Factors'!H$144))/1000,0)</f>
        <v>8350</v>
      </c>
      <c r="I169" s="164"/>
      <c r="J169" s="165"/>
      <c r="K169" s="178" t="s">
        <v>68</v>
      </c>
      <c r="L169" s="180">
        <v>319914.10217975575</v>
      </c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3.5" thickBot="1" x14ac:dyDescent="0.25">
      <c r="A170" s="49"/>
      <c r="B170" s="159" t="s">
        <v>61</v>
      </c>
      <c r="C170" s="37">
        <f>ROUND(C132*'BGS Cost &amp; Bid Factors'!L$44/100,0)</f>
        <v>28881</v>
      </c>
      <c r="D170" s="38">
        <f>ROUND((D133*'BGS Cost &amp; Bid Factors'!M$45+D134*'BGS Cost &amp; Bid Factors'!M$46)/100,0)</f>
        <v>12</v>
      </c>
      <c r="E170" s="37">
        <f>ROUND(E132*'BGS Cost &amp; Bid Factors'!N$44/100,0)</f>
        <v>712</v>
      </c>
      <c r="F170" s="37">
        <f>ROUND(F132*'BGS Cost &amp; Bid Factors'!O$44/100,0)</f>
        <v>191</v>
      </c>
      <c r="G170" s="37">
        <f>ROUND(G132*'BGS Cost &amp; Bid Factors'!P$44/100,0)</f>
        <v>186</v>
      </c>
      <c r="H170" s="38">
        <f>ROUND(H132*'BGS Cost &amp; Bid Factors'!Q$44/100+(H136*($L$170/8*'BGS Cost &amp; Bid Factors'!H$145)+H137*($L$170/8*'BGS Cost &amp; Bid Factors'!H$145))/1000,0)</f>
        <v>13475</v>
      </c>
      <c r="I170" s="38"/>
      <c r="J170" s="165"/>
      <c r="K170" s="181" t="s">
        <v>61</v>
      </c>
      <c r="L170" s="182">
        <v>500782.22707305016</v>
      </c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x14ac:dyDescent="0.2">
      <c r="A171" s="49"/>
      <c r="B171" s="159" t="s">
        <v>35</v>
      </c>
      <c r="C171" s="42">
        <f t="shared" ref="C171:H171" si="1">+C170+C169</f>
        <v>50715</v>
      </c>
      <c r="D171" s="42">
        <f t="shared" si="1"/>
        <v>20</v>
      </c>
      <c r="E171" s="42">
        <f t="shared" si="1"/>
        <v>1033</v>
      </c>
      <c r="F171" s="42">
        <f t="shared" si="1"/>
        <v>267</v>
      </c>
      <c r="G171" s="42">
        <f t="shared" si="1"/>
        <v>267</v>
      </c>
      <c r="H171" s="42">
        <f t="shared" si="1"/>
        <v>21825</v>
      </c>
      <c r="I171" s="165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x14ac:dyDescent="0.2">
      <c r="A172" s="49"/>
      <c r="B172" s="159"/>
      <c r="C172" s="42"/>
      <c r="D172" s="42"/>
      <c r="E172" s="42"/>
      <c r="F172" s="42"/>
      <c r="G172" s="42"/>
      <c r="H172" s="42"/>
      <c r="I172" s="165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x14ac:dyDescent="0.2">
      <c r="A173" s="49"/>
      <c r="B173" s="159" t="s">
        <v>35</v>
      </c>
      <c r="C173" s="42"/>
      <c r="D173" s="42"/>
      <c r="E173" s="42"/>
      <c r="F173" s="42"/>
      <c r="G173" s="42"/>
      <c r="H173" s="42"/>
      <c r="I173" s="165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x14ac:dyDescent="0.2">
      <c r="A174" s="49"/>
      <c r="B174" s="159" t="s">
        <v>68</v>
      </c>
      <c r="C174" s="42">
        <f>SUM(C169:H169)</f>
        <v>30670</v>
      </c>
      <c r="D174" s="42"/>
      <c r="E174" s="42"/>
      <c r="F174" s="42"/>
      <c r="G174" s="42"/>
      <c r="H174" s="42"/>
      <c r="I174" s="165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x14ac:dyDescent="0.2">
      <c r="A175" s="49"/>
      <c r="B175" s="159" t="s">
        <v>61</v>
      </c>
      <c r="C175" s="39">
        <f>SUM(C170:H170)</f>
        <v>43457</v>
      </c>
      <c r="D175" s="184"/>
      <c r="E175" s="6"/>
      <c r="F175" s="6"/>
      <c r="G175" s="6"/>
      <c r="H175" s="6"/>
      <c r="I175" s="165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x14ac:dyDescent="0.2">
      <c r="A176" s="49"/>
      <c r="B176" s="159" t="s">
        <v>35</v>
      </c>
      <c r="C176" s="42">
        <f>+C175+C174</f>
        <v>74127</v>
      </c>
      <c r="D176" s="184"/>
      <c r="E176" s="6"/>
      <c r="F176" s="6"/>
      <c r="G176" s="6"/>
      <c r="H176" s="164"/>
      <c r="I176" s="165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x14ac:dyDescent="0.2">
      <c r="A177" s="49"/>
      <c r="B177" s="159"/>
      <c r="C177" s="42"/>
      <c r="D177" s="6"/>
      <c r="E177" s="184"/>
      <c r="F177" s="6"/>
      <c r="G177" s="6"/>
      <c r="H177" s="6"/>
      <c r="I177" s="38"/>
      <c r="J177" s="165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x14ac:dyDescent="0.2">
      <c r="A178" s="49"/>
      <c r="B178" s="32" t="s">
        <v>381</v>
      </c>
      <c r="C178" s="12"/>
      <c r="D178" s="12"/>
      <c r="E178" s="12"/>
      <c r="F178" s="12"/>
      <c r="G178" s="12"/>
      <c r="H178" s="12"/>
      <c r="I178" s="42"/>
      <c r="J178" s="165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x14ac:dyDescent="0.2">
      <c r="A179" s="49"/>
      <c r="B179" s="6"/>
      <c r="C179" s="12"/>
      <c r="D179" s="12"/>
      <c r="E179" s="12"/>
      <c r="F179" s="12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x14ac:dyDescent="0.2">
      <c r="A180" s="49"/>
      <c r="B180" s="6" t="s">
        <v>363</v>
      </c>
      <c r="C180" s="184"/>
      <c r="D180" s="184"/>
      <c r="E180" s="184"/>
      <c r="F180" s="12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5" x14ac:dyDescent="0.35">
      <c r="A181" s="49"/>
      <c r="B181" s="6"/>
      <c r="C181" s="40" t="s">
        <v>35</v>
      </c>
      <c r="D181" s="40" t="s">
        <v>343</v>
      </c>
      <c r="E181" s="40" t="s">
        <v>364</v>
      </c>
      <c r="F181" s="12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x14ac:dyDescent="0.2">
      <c r="A182" s="49"/>
      <c r="B182" s="159" t="s">
        <v>68</v>
      </c>
      <c r="C182" s="42">
        <f>'Weighted Avg Price Calc'!G$29/1000</f>
        <v>27282.838</v>
      </c>
      <c r="D182" s="189">
        <v>0</v>
      </c>
      <c r="E182" s="42">
        <f>C182-D182</f>
        <v>27282.838</v>
      </c>
      <c r="F182" s="12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5" x14ac:dyDescent="0.35">
      <c r="A183" s="49"/>
      <c r="B183" s="159" t="s">
        <v>61</v>
      </c>
      <c r="C183" s="41">
        <f>'Weighted Avg Price Calc'!G$30/1000</f>
        <v>38697.764000000003</v>
      </c>
      <c r="D183" s="41">
        <v>0</v>
      </c>
      <c r="E183" s="41">
        <f>C183-D183</f>
        <v>38697.764000000003</v>
      </c>
      <c r="F183" s="12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x14ac:dyDescent="0.2">
      <c r="A184" s="49"/>
      <c r="B184" s="159" t="s">
        <v>35</v>
      </c>
      <c r="C184" s="42">
        <f>+C183+C182</f>
        <v>65980.601999999999</v>
      </c>
      <c r="D184" s="42">
        <f>D182+D183</f>
        <v>0</v>
      </c>
      <c r="E184" s="42">
        <f>E182+E183</f>
        <v>65980.601999999999</v>
      </c>
      <c r="F184" s="12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x14ac:dyDescent="0.2">
      <c r="A185" s="49"/>
      <c r="B185" s="6"/>
      <c r="C185" s="184"/>
      <c r="D185" s="184"/>
      <c r="E185" s="184"/>
      <c r="F185" s="12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x14ac:dyDescent="0.2">
      <c r="A186" s="49"/>
      <c r="B186" s="6" t="s">
        <v>365</v>
      </c>
      <c r="C186" s="184"/>
      <c r="D186" s="184"/>
      <c r="E186" s="184"/>
      <c r="F186" s="12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5" x14ac:dyDescent="0.35">
      <c r="A187" s="49"/>
      <c r="B187" s="6"/>
      <c r="C187" s="40" t="s">
        <v>35</v>
      </c>
      <c r="D187" s="40" t="s">
        <v>343</v>
      </c>
      <c r="E187" s="40" t="s">
        <v>364</v>
      </c>
      <c r="F187" s="12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x14ac:dyDescent="0.2">
      <c r="A188" s="49"/>
      <c r="B188" s="159" t="s">
        <v>68</v>
      </c>
      <c r="C188" s="42">
        <f>ROUND($E$251*1000*'Weighted Avg Price Calc'!E42/100/1000,0)</f>
        <v>3387</v>
      </c>
      <c r="D188" s="42">
        <v>0</v>
      </c>
      <c r="E188" s="42">
        <f>C188-D188</f>
        <v>3387</v>
      </c>
      <c r="F188" s="12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5" x14ac:dyDescent="0.35">
      <c r="A189" s="49"/>
      <c r="B189" s="159" t="s">
        <v>61</v>
      </c>
      <c r="C189" s="41">
        <f>ROUND($E$252*1000*'Weighted Avg Price Calc'!E42/100/1000,0)</f>
        <v>4759</v>
      </c>
      <c r="D189" s="41">
        <v>0</v>
      </c>
      <c r="E189" s="41">
        <f>C189-D189</f>
        <v>4759</v>
      </c>
      <c r="F189" s="12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x14ac:dyDescent="0.2">
      <c r="A190" s="49"/>
      <c r="B190" s="159" t="s">
        <v>35</v>
      </c>
      <c r="C190" s="42">
        <f>+C189+C188</f>
        <v>8146</v>
      </c>
      <c r="D190" s="42">
        <f>D188+D189</f>
        <v>0</v>
      </c>
      <c r="E190" s="42">
        <f>E188+E189</f>
        <v>8146</v>
      </c>
      <c r="F190" s="12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x14ac:dyDescent="0.2">
      <c r="A191" s="49"/>
      <c r="B191" s="6"/>
      <c r="C191" s="184"/>
      <c r="D191" s="184"/>
      <c r="E191" s="184"/>
      <c r="F191" s="12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x14ac:dyDescent="0.2">
      <c r="A192" s="49"/>
      <c r="B192" s="6" t="s">
        <v>366</v>
      </c>
      <c r="C192" s="12"/>
      <c r="D192" s="12"/>
      <c r="E192" s="12"/>
      <c r="F192" s="12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5" x14ac:dyDescent="0.35">
      <c r="A193" s="49"/>
      <c r="B193" s="6"/>
      <c r="C193" s="40" t="s">
        <v>35</v>
      </c>
      <c r="D193" s="40" t="s">
        <v>343</v>
      </c>
      <c r="E193" s="40" t="s">
        <v>364</v>
      </c>
      <c r="F193" s="184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x14ac:dyDescent="0.2">
      <c r="A194" s="49"/>
      <c r="B194" s="159" t="s">
        <v>68</v>
      </c>
      <c r="C194" s="42">
        <f>C182+C188</f>
        <v>30669.838</v>
      </c>
      <c r="D194" s="42">
        <f>D182+D188</f>
        <v>0</v>
      </c>
      <c r="E194" s="42">
        <f>C194-D194</f>
        <v>30669.838</v>
      </c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5" x14ac:dyDescent="0.35">
      <c r="A195" s="49"/>
      <c r="B195" s="159" t="s">
        <v>61</v>
      </c>
      <c r="C195" s="41">
        <f>C183+C189</f>
        <v>43456.764000000003</v>
      </c>
      <c r="D195" s="41">
        <f>D183+D189</f>
        <v>0</v>
      </c>
      <c r="E195" s="41">
        <f>C195-D195</f>
        <v>43456.764000000003</v>
      </c>
      <c r="F195" s="6"/>
      <c r="G195" s="6"/>
      <c r="H195" s="6"/>
      <c r="I195" s="6"/>
      <c r="J195" s="165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x14ac:dyDescent="0.2">
      <c r="A196" s="49"/>
      <c r="B196" s="159" t="s">
        <v>35</v>
      </c>
      <c r="C196" s="42">
        <f>+C195+C194</f>
        <v>74126.601999999999</v>
      </c>
      <c r="D196" s="42">
        <f>D194+D195</f>
        <v>0</v>
      </c>
      <c r="E196" s="42">
        <f>E194+E195</f>
        <v>74126.601999999999</v>
      </c>
      <c r="F196" s="6"/>
      <c r="G196" s="6"/>
      <c r="H196" s="6"/>
      <c r="I196" s="6"/>
      <c r="J196" s="165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x14ac:dyDescent="0.2">
      <c r="A197" s="49"/>
      <c r="B197" s="6"/>
      <c r="C197" s="184"/>
      <c r="D197" s="43"/>
      <c r="E197" s="184"/>
      <c r="F197" s="30"/>
      <c r="G197" s="6"/>
      <c r="H197" s="6"/>
      <c r="I197" s="6"/>
      <c r="J197" s="165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x14ac:dyDescent="0.2">
      <c r="A198" s="49"/>
      <c r="B198" s="6" t="s">
        <v>292</v>
      </c>
      <c r="C198" s="6"/>
      <c r="D198" s="6"/>
      <c r="E198" s="6"/>
      <c r="F198" s="6"/>
      <c r="G198" s="33"/>
      <c r="H198" s="6"/>
      <c r="I198" s="6"/>
      <c r="J198" s="165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x14ac:dyDescent="0.2">
      <c r="A199" s="49"/>
      <c r="B199" s="6"/>
      <c r="C199" s="33" t="s">
        <v>337</v>
      </c>
      <c r="D199" s="33" t="s">
        <v>337</v>
      </c>
      <c r="E199" s="33"/>
      <c r="F199" s="6"/>
      <c r="G199" s="33"/>
      <c r="H199" s="6"/>
      <c r="I199" s="6"/>
      <c r="J199" s="165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x14ac:dyDescent="0.2">
      <c r="A200" s="49"/>
      <c r="B200" s="33"/>
      <c r="C200" s="44" t="s">
        <v>369</v>
      </c>
      <c r="D200" s="44" t="s">
        <v>370</v>
      </c>
      <c r="E200" s="44" t="s">
        <v>371</v>
      </c>
      <c r="F200" s="6"/>
      <c r="G200" s="44"/>
      <c r="H200" s="6"/>
      <c r="I200" s="165"/>
      <c r="J200" s="165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x14ac:dyDescent="0.2">
      <c r="A201" s="49"/>
      <c r="B201" s="159" t="s">
        <v>68</v>
      </c>
      <c r="C201" s="42">
        <f>C174</f>
        <v>30670</v>
      </c>
      <c r="D201" s="42">
        <f>E194</f>
        <v>30669.838</v>
      </c>
      <c r="E201" s="42">
        <f>D201-C201</f>
        <v>-0.16200000000026193</v>
      </c>
      <c r="F201" s="6"/>
      <c r="G201" s="6"/>
      <c r="H201" s="6"/>
      <c r="I201" s="165"/>
      <c r="J201" s="165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x14ac:dyDescent="0.2">
      <c r="A202" s="49"/>
      <c r="B202" s="159" t="s">
        <v>61</v>
      </c>
      <c r="C202" s="39">
        <f>C175</f>
        <v>43457</v>
      </c>
      <c r="D202" s="39">
        <f>E195</f>
        <v>43456.764000000003</v>
      </c>
      <c r="E202" s="39">
        <f>D202-C202</f>
        <v>-0.23599999999714782</v>
      </c>
      <c r="F202" s="6"/>
      <c r="G202" s="6"/>
      <c r="H202" s="6"/>
      <c r="I202" s="165"/>
      <c r="J202" s="165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x14ac:dyDescent="0.2">
      <c r="A203" s="49"/>
      <c r="B203" s="159" t="s">
        <v>35</v>
      </c>
      <c r="C203" s="42">
        <f>+C202+C201</f>
        <v>74127</v>
      </c>
      <c r="D203" s="42">
        <f>+D202+D201</f>
        <v>74126.601999999999</v>
      </c>
      <c r="E203" s="42">
        <f>+E202+E201</f>
        <v>-0.39799999999740976</v>
      </c>
      <c r="F203" s="6"/>
      <c r="G203" s="6"/>
      <c r="H203" s="6"/>
      <c r="I203" s="165"/>
      <c r="J203" s="165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x14ac:dyDescent="0.2">
      <c r="A204" s="49"/>
      <c r="B204" s="33"/>
      <c r="C204" s="6"/>
      <c r="D204" s="6"/>
      <c r="E204" s="6"/>
      <c r="F204" s="6"/>
      <c r="G204" s="6"/>
      <c r="H204" s="6"/>
      <c r="I204" s="165"/>
      <c r="J204" s="165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x14ac:dyDescent="0.2">
      <c r="A205" s="7"/>
      <c r="B205" s="5" t="s">
        <v>274</v>
      </c>
      <c r="C205" s="6"/>
      <c r="D205" s="6"/>
      <c r="E205" s="6"/>
      <c r="F205" s="6"/>
      <c r="G205" s="6"/>
      <c r="H205" s="6"/>
      <c r="I205" s="6"/>
      <c r="J205" s="165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x14ac:dyDescent="0.2">
      <c r="A206" s="7"/>
      <c r="B206" s="5"/>
      <c r="C206" s="6"/>
      <c r="D206" s="6"/>
      <c r="E206" s="6"/>
      <c r="F206" s="6"/>
      <c r="G206" s="6"/>
      <c r="H206" s="6"/>
      <c r="I206" s="6"/>
      <c r="J206" s="165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x14ac:dyDescent="0.2">
      <c r="A207" s="7"/>
      <c r="B207" s="31" t="s">
        <v>275</v>
      </c>
      <c r="C207" s="6"/>
      <c r="D207" s="6"/>
      <c r="E207" s="6"/>
      <c r="F207" s="6"/>
      <c r="G207" s="6"/>
      <c r="H207" s="6"/>
      <c r="I207" s="6"/>
      <c r="J207" s="165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x14ac:dyDescent="0.2">
      <c r="A208" s="7"/>
      <c r="B208" s="49"/>
      <c r="C208" s="12" t="str">
        <f t="shared" ref="C208" si="2">C55</f>
        <v>SC1/SC5</v>
      </c>
      <c r="D208" s="12" t="str">
        <f>D55</f>
        <v>SC3</v>
      </c>
      <c r="E208" s="12" t="str">
        <f>E55</f>
        <v>SC2 ND</v>
      </c>
      <c r="F208" s="12" t="str">
        <f>F55</f>
        <v>SC4</v>
      </c>
      <c r="G208" s="12" t="str">
        <f>G55</f>
        <v>SC6</v>
      </c>
      <c r="H208" s="12" t="str">
        <f>H55</f>
        <v>SC2 Dem</v>
      </c>
      <c r="I208" s="165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x14ac:dyDescent="0.2">
      <c r="A209" s="7"/>
      <c r="B209" s="49" t="s">
        <v>276</v>
      </c>
      <c r="C209" s="95">
        <f>'BGS Cost &amp; Bid Factors'!C538</f>
        <v>1.421</v>
      </c>
      <c r="D209" s="95">
        <f>'BGS Cost &amp; Bid Factors'!D538</f>
        <v>1.421</v>
      </c>
      <c r="E209" s="95">
        <f>'BGS Cost &amp; Bid Factors'!E538</f>
        <v>0.52300000000000002</v>
      </c>
      <c r="F209" s="95">
        <f>'BGS Cost &amp; Bid Factors'!F538</f>
        <v>1.147</v>
      </c>
      <c r="G209" s="95">
        <f>'BGS Cost &amp; Bid Factors'!G538</f>
        <v>1.147</v>
      </c>
      <c r="H209" s="95">
        <f>'BGS Cost &amp; Bid Factors'!H538</f>
        <v>0.52300000000000002</v>
      </c>
      <c r="I209" s="165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x14ac:dyDescent="0.2">
      <c r="A210" s="7"/>
      <c r="B210" s="49" t="s">
        <v>382</v>
      </c>
      <c r="C210" s="6"/>
      <c r="D210" s="6"/>
      <c r="E210" s="6"/>
      <c r="F210" s="6"/>
      <c r="G210" s="6"/>
      <c r="H210" s="199">
        <f>'BGS Cost &amp; Bid Factors'!H539</f>
        <v>1.32</v>
      </c>
      <c r="I210" s="165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x14ac:dyDescent="0.2">
      <c r="A211" s="49"/>
      <c r="B211" s="6"/>
      <c r="C211" s="6"/>
      <c r="D211" s="6"/>
      <c r="E211" s="6"/>
      <c r="F211" s="6"/>
      <c r="G211" s="6"/>
      <c r="H211" s="199">
        <f>'BGS Cost &amp; Bid Factors'!H540</f>
        <v>1.1100000000000001</v>
      </c>
      <c r="I211" s="165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x14ac:dyDescent="0.2">
      <c r="A212" s="49"/>
      <c r="B212" s="6"/>
      <c r="C212" s="6"/>
      <c r="D212" s="6"/>
      <c r="E212" s="6"/>
      <c r="F212" s="6"/>
      <c r="G212" s="6"/>
      <c r="H212" s="6"/>
      <c r="I212" s="165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x14ac:dyDescent="0.2">
      <c r="A213" s="49"/>
      <c r="B213" s="6"/>
      <c r="C213" s="6"/>
      <c r="D213" s="6"/>
      <c r="E213" s="6"/>
      <c r="F213" s="6"/>
      <c r="G213" s="6"/>
      <c r="H213" s="6"/>
      <c r="I213" s="165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x14ac:dyDescent="0.2">
      <c r="A214" s="49"/>
      <c r="B214" s="31" t="s">
        <v>279</v>
      </c>
      <c r="C214" s="6"/>
      <c r="D214" s="6"/>
      <c r="E214" s="6"/>
      <c r="F214" s="6"/>
      <c r="G214" s="6"/>
      <c r="H214" s="6"/>
      <c r="I214" s="165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x14ac:dyDescent="0.2">
      <c r="A215" s="49"/>
      <c r="B215" s="6"/>
      <c r="C215" s="6"/>
      <c r="D215" s="6"/>
      <c r="E215" s="6"/>
      <c r="F215" s="6"/>
      <c r="G215" s="6"/>
      <c r="H215" s="6"/>
      <c r="I215" s="165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x14ac:dyDescent="0.2">
      <c r="A216" s="49"/>
      <c r="B216" s="6"/>
      <c r="C216" s="6"/>
      <c r="D216" s="6"/>
      <c r="E216" s="6"/>
      <c r="F216" s="6"/>
      <c r="G216" s="6"/>
      <c r="H216" s="6"/>
      <c r="I216" s="165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x14ac:dyDescent="0.2">
      <c r="A217" s="49"/>
      <c r="B217" s="32" t="s">
        <v>68</v>
      </c>
      <c r="C217" s="6"/>
      <c r="D217" s="6"/>
      <c r="E217" s="6"/>
      <c r="F217" s="6"/>
      <c r="G217" s="6"/>
      <c r="H217" s="6"/>
      <c r="I217" s="165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x14ac:dyDescent="0.2">
      <c r="A218" s="49"/>
      <c r="B218" s="36" t="s">
        <v>265</v>
      </c>
      <c r="C218" s="35">
        <f t="shared" ref="C218:H225" si="3">IF(C121&gt;0,C121+C$209,"")</f>
        <v>9.0289999999999999</v>
      </c>
      <c r="D218" s="35" t="str">
        <f t="shared" si="3"/>
        <v/>
      </c>
      <c r="E218" s="35">
        <f t="shared" si="3"/>
        <v>7.407</v>
      </c>
      <c r="F218" s="35">
        <f t="shared" si="3"/>
        <v>6.4350000000000005</v>
      </c>
      <c r="G218" s="35">
        <f t="shared" si="3"/>
        <v>6.4350000000000005</v>
      </c>
      <c r="H218" s="35">
        <f t="shared" si="3"/>
        <v>6.0629999999999997</v>
      </c>
      <c r="I218" s="165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x14ac:dyDescent="0.2">
      <c r="A219" s="49"/>
      <c r="B219" s="36" t="s">
        <v>266</v>
      </c>
      <c r="C219" s="35" t="str">
        <f t="shared" si="3"/>
        <v/>
      </c>
      <c r="D219" s="35">
        <f t="shared" si="3"/>
        <v>14.318</v>
      </c>
      <c r="E219" s="35" t="str">
        <f t="shared" si="3"/>
        <v/>
      </c>
      <c r="F219" s="35" t="str">
        <f t="shared" si="3"/>
        <v/>
      </c>
      <c r="G219" s="35" t="str">
        <f t="shared" si="3"/>
        <v/>
      </c>
      <c r="H219" s="35" t="str">
        <f t="shared" si="3"/>
        <v/>
      </c>
      <c r="I219" s="165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x14ac:dyDescent="0.2">
      <c r="A220" s="49"/>
      <c r="B220" s="36" t="s">
        <v>267</v>
      </c>
      <c r="C220" s="35" t="str">
        <f t="shared" si="3"/>
        <v/>
      </c>
      <c r="D220" s="35">
        <f t="shared" si="3"/>
        <v>6.2389999999999999</v>
      </c>
      <c r="E220" s="35" t="str">
        <f t="shared" si="3"/>
        <v/>
      </c>
      <c r="F220" s="35" t="str">
        <f t="shared" si="3"/>
        <v/>
      </c>
      <c r="G220" s="35" t="str">
        <f t="shared" si="3"/>
        <v/>
      </c>
      <c r="H220" s="35" t="str">
        <f t="shared" si="3"/>
        <v/>
      </c>
      <c r="I220" s="165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x14ac:dyDescent="0.2">
      <c r="A221" s="49"/>
      <c r="B221" s="33" t="s">
        <v>40</v>
      </c>
      <c r="C221" s="35">
        <f t="shared" si="3"/>
        <v>6.5819999999999999</v>
      </c>
      <c r="D221" s="35" t="str">
        <f t="shared" si="3"/>
        <v/>
      </c>
      <c r="E221" s="35" t="str">
        <f t="shared" si="3"/>
        <v/>
      </c>
      <c r="F221" s="35" t="str">
        <f t="shared" si="3"/>
        <v/>
      </c>
      <c r="G221" s="35" t="str">
        <f t="shared" si="3"/>
        <v/>
      </c>
      <c r="H221" s="35" t="str">
        <f t="shared" si="3"/>
        <v/>
      </c>
      <c r="I221" s="165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x14ac:dyDescent="0.2">
      <c r="A222" s="49"/>
      <c r="B222" s="36" t="s">
        <v>41</v>
      </c>
      <c r="C222" s="35">
        <f t="shared" si="3"/>
        <v>10.947999999999999</v>
      </c>
      <c r="D222" s="35" t="str">
        <f t="shared" si="3"/>
        <v/>
      </c>
      <c r="E222" s="35" t="str">
        <f t="shared" si="3"/>
        <v/>
      </c>
      <c r="F222" s="35" t="str">
        <f t="shared" si="3"/>
        <v/>
      </c>
      <c r="G222" s="35" t="str">
        <f t="shared" si="3"/>
        <v/>
      </c>
      <c r="H222" s="35" t="str">
        <f t="shared" si="3"/>
        <v/>
      </c>
      <c r="I222" s="165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x14ac:dyDescent="0.2">
      <c r="A223" s="49"/>
      <c r="B223" s="35"/>
      <c r="C223" s="35"/>
      <c r="D223" s="35" t="str">
        <f t="shared" si="3"/>
        <v/>
      </c>
      <c r="E223" s="35" t="str">
        <f t="shared" si="3"/>
        <v/>
      </c>
      <c r="F223" s="35" t="str">
        <f t="shared" si="3"/>
        <v/>
      </c>
      <c r="G223" s="35" t="str">
        <f t="shared" si="3"/>
        <v/>
      </c>
      <c r="H223" s="35" t="str">
        <f t="shared" si="3"/>
        <v/>
      </c>
      <c r="I223" s="165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x14ac:dyDescent="0.2">
      <c r="A224" s="49"/>
      <c r="B224" s="6"/>
      <c r="C224" s="35" t="str">
        <f t="shared" si="3"/>
        <v/>
      </c>
      <c r="D224" s="35" t="str">
        <f t="shared" si="3"/>
        <v/>
      </c>
      <c r="E224" s="35" t="str">
        <f t="shared" si="3"/>
        <v/>
      </c>
      <c r="F224" s="35" t="str">
        <f t="shared" si="3"/>
        <v/>
      </c>
      <c r="G224" s="35" t="str">
        <f t="shared" si="3"/>
        <v/>
      </c>
      <c r="H224" s="35" t="str">
        <f t="shared" si="3"/>
        <v/>
      </c>
      <c r="I224" s="165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x14ac:dyDescent="0.2">
      <c r="A225" s="49"/>
      <c r="B225" s="33" t="s">
        <v>268</v>
      </c>
      <c r="C225" s="35" t="str">
        <f t="shared" si="3"/>
        <v/>
      </c>
      <c r="D225" s="35" t="str">
        <f>IF(D128&gt;0,D128+D$209,"")</f>
        <v/>
      </c>
      <c r="E225" s="35" t="str">
        <f>IF(E128&gt;0,E128+E$209,"")</f>
        <v/>
      </c>
      <c r="F225" s="35" t="str">
        <f>IF(F128&gt;0,F128+F$209,"")</f>
        <v/>
      </c>
      <c r="G225" s="35" t="str">
        <f>IF(G128&gt;0,G128+G$209,"")</f>
        <v/>
      </c>
      <c r="H225" s="35">
        <f>IF(H128&gt;0,H128+H$210,"")</f>
        <v>3.4020000000000001</v>
      </c>
      <c r="I225" s="165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x14ac:dyDescent="0.2">
      <c r="A226" s="49"/>
      <c r="B226" s="33" t="s">
        <v>269</v>
      </c>
      <c r="C226" s="6"/>
      <c r="D226" s="6"/>
      <c r="E226" s="6"/>
      <c r="F226" s="6"/>
      <c r="G226" s="6"/>
      <c r="H226" s="35">
        <f>IF(H129&gt;0,H129+H$210,"")</f>
        <v>6.4270000000000005</v>
      </c>
      <c r="I226" s="165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x14ac:dyDescent="0.2">
      <c r="A227" s="49"/>
      <c r="B227" s="33"/>
      <c r="C227" s="6"/>
      <c r="D227" s="6"/>
      <c r="E227" s="6"/>
      <c r="F227" s="6"/>
      <c r="G227" s="6"/>
      <c r="H227" s="6"/>
      <c r="I227" s="165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x14ac:dyDescent="0.2">
      <c r="A228" s="49"/>
      <c r="B228" s="32" t="s">
        <v>61</v>
      </c>
      <c r="C228" s="6"/>
      <c r="D228" s="6"/>
      <c r="E228" s="6"/>
      <c r="F228" s="6"/>
      <c r="G228" s="6"/>
      <c r="H228" s="6"/>
      <c r="I228" s="165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x14ac:dyDescent="0.2">
      <c r="A229" s="49"/>
      <c r="B229" s="36" t="s">
        <v>265</v>
      </c>
      <c r="C229" s="35">
        <f t="shared" ref="C229:H233" si="4">IF(C132&gt;0,C132+C$209,"")</f>
        <v>9.2829999999999995</v>
      </c>
      <c r="D229" s="35" t="str">
        <f t="shared" si="4"/>
        <v/>
      </c>
      <c r="E229" s="35">
        <f t="shared" si="4"/>
        <v>6.7279999999999998</v>
      </c>
      <c r="F229" s="35">
        <f t="shared" si="4"/>
        <v>6.266</v>
      </c>
      <c r="G229" s="35">
        <f t="shared" si="4"/>
        <v>6.2460000000000004</v>
      </c>
      <c r="H229" s="35">
        <f t="shared" si="4"/>
        <v>5.8229999999999995</v>
      </c>
      <c r="I229" s="165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x14ac:dyDescent="0.2">
      <c r="A230" s="49"/>
      <c r="B230" s="36" t="s">
        <v>266</v>
      </c>
      <c r="C230" s="35" t="str">
        <f t="shared" si="4"/>
        <v/>
      </c>
      <c r="D230" s="35">
        <f t="shared" si="4"/>
        <v>13.629999999999999</v>
      </c>
      <c r="E230" s="35" t="str">
        <f t="shared" si="4"/>
        <v/>
      </c>
      <c r="F230" s="35" t="str">
        <f t="shared" si="4"/>
        <v/>
      </c>
      <c r="G230" s="35" t="str">
        <f t="shared" si="4"/>
        <v/>
      </c>
      <c r="H230" s="35" t="str">
        <f t="shared" si="4"/>
        <v/>
      </c>
      <c r="I230" s="165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x14ac:dyDescent="0.2">
      <c r="A231" s="49"/>
      <c r="B231" s="36" t="s">
        <v>267</v>
      </c>
      <c r="C231" s="35" t="str">
        <f t="shared" si="4"/>
        <v/>
      </c>
      <c r="D231" s="35">
        <f t="shared" si="4"/>
        <v>6.194</v>
      </c>
      <c r="E231" s="35" t="str">
        <f t="shared" si="4"/>
        <v/>
      </c>
      <c r="F231" s="35" t="str">
        <f t="shared" si="4"/>
        <v/>
      </c>
      <c r="G231" s="35" t="str">
        <f t="shared" si="4"/>
        <v/>
      </c>
      <c r="H231" s="35" t="str">
        <f t="shared" si="4"/>
        <v/>
      </c>
      <c r="I231" s="165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x14ac:dyDescent="0.2">
      <c r="A232" s="49"/>
      <c r="B232" s="6"/>
      <c r="C232" s="35" t="str">
        <f t="shared" si="4"/>
        <v/>
      </c>
      <c r="D232" s="35" t="str">
        <f t="shared" si="4"/>
        <v/>
      </c>
      <c r="E232" s="35" t="str">
        <f t="shared" si="4"/>
        <v/>
      </c>
      <c r="F232" s="35" t="str">
        <f t="shared" si="4"/>
        <v/>
      </c>
      <c r="G232" s="35" t="str">
        <f t="shared" si="4"/>
        <v/>
      </c>
      <c r="H232" s="35" t="str">
        <f t="shared" si="4"/>
        <v/>
      </c>
      <c r="I232" s="165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x14ac:dyDescent="0.2">
      <c r="A233" s="49"/>
      <c r="B233" s="33" t="s">
        <v>268</v>
      </c>
      <c r="C233" s="35" t="str">
        <f t="shared" si="4"/>
        <v/>
      </c>
      <c r="D233" s="35" t="str">
        <f>IF(D136&gt;0,D136+D$209,"")</f>
        <v/>
      </c>
      <c r="E233" s="35" t="str">
        <f>IF(E136&gt;0,E136+E$209,"")</f>
        <v/>
      </c>
      <c r="F233" s="35" t="str">
        <f>IF(F136&gt;0,F136+F$209,"")</f>
        <v/>
      </c>
      <c r="G233" s="35" t="str">
        <f>IF(G136&gt;0,G136+G$209,"")</f>
        <v/>
      </c>
      <c r="H233" s="35">
        <f>IF(H136&gt;0,H136+H$211,"")</f>
        <v>3.5430000000000001</v>
      </c>
      <c r="I233" s="165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x14ac:dyDescent="0.2">
      <c r="A234" s="49"/>
      <c r="B234" s="33" t="s">
        <v>269</v>
      </c>
      <c r="C234" s="6"/>
      <c r="D234" s="6"/>
      <c r="E234" s="6"/>
      <c r="F234" s="6"/>
      <c r="G234" s="6"/>
      <c r="H234" s="35">
        <f>IF(H137&gt;0,H137+H$211,"")</f>
        <v>5.8400000000000007</v>
      </c>
      <c r="I234" s="165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x14ac:dyDescent="0.2">
      <c r="A235" s="49"/>
      <c r="B235" s="33"/>
      <c r="C235" s="6"/>
      <c r="D235" s="6"/>
      <c r="E235" s="6"/>
      <c r="F235" s="6"/>
      <c r="G235" s="6"/>
      <c r="H235" s="6"/>
      <c r="I235" s="165"/>
      <c r="J235" s="165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3.5" thickBot="1" x14ac:dyDescent="0.25">
      <c r="A236" s="49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3.5" thickBot="1" x14ac:dyDescent="0.25">
      <c r="A237" s="52" t="s">
        <v>383</v>
      </c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4"/>
      <c r="W237" s="6"/>
    </row>
    <row r="238" spans="1:23" ht="13.5" thickBot="1" x14ac:dyDescent="0.25">
      <c r="A238" s="49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x14ac:dyDescent="0.2">
      <c r="A239" s="49"/>
      <c r="B239" s="55" t="s">
        <v>384</v>
      </c>
      <c r="C239" s="56"/>
      <c r="D239" s="56"/>
      <c r="E239" s="227"/>
      <c r="F239" s="177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x14ac:dyDescent="0.2">
      <c r="A240" s="49"/>
      <c r="B240" s="57"/>
      <c r="C240" s="12"/>
      <c r="D240" s="12"/>
      <c r="E240" s="165"/>
      <c r="F240" s="179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x14ac:dyDescent="0.2">
      <c r="A241" s="49"/>
      <c r="B241" s="58" t="s">
        <v>385</v>
      </c>
      <c r="C241" s="12"/>
      <c r="D241" s="12"/>
      <c r="E241" s="165"/>
      <c r="F241" s="179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x14ac:dyDescent="0.2">
      <c r="A242" s="49"/>
      <c r="B242" s="57"/>
      <c r="C242" s="12"/>
      <c r="D242" s="59" t="s">
        <v>386</v>
      </c>
      <c r="E242" s="60" t="s">
        <v>387</v>
      </c>
      <c r="F242" s="61" t="s">
        <v>35</v>
      </c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x14ac:dyDescent="0.2">
      <c r="A243" s="49"/>
      <c r="B243" s="57"/>
      <c r="C243" s="12"/>
      <c r="D243" s="12"/>
      <c r="E243" s="165"/>
      <c r="F243" s="179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x14ac:dyDescent="0.2">
      <c r="A244" s="49"/>
      <c r="B244" s="57"/>
      <c r="C244" s="12" t="s">
        <v>68</v>
      </c>
      <c r="D244" s="228">
        <v>358628</v>
      </c>
      <c r="E244" s="228">
        <v>45277</v>
      </c>
      <c r="F244" s="229">
        <f>SUM(D244:E244)</f>
        <v>403905</v>
      </c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x14ac:dyDescent="0.2">
      <c r="A245" s="49"/>
      <c r="B245" s="57"/>
      <c r="C245" s="12" t="s">
        <v>61</v>
      </c>
      <c r="D245" s="228">
        <v>508702</v>
      </c>
      <c r="E245" s="228">
        <v>64225</v>
      </c>
      <c r="F245" s="229">
        <f>SUM(D245:E245)</f>
        <v>572927</v>
      </c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x14ac:dyDescent="0.2">
      <c r="A246" s="49"/>
      <c r="B246" s="57"/>
      <c r="C246" s="62" t="s">
        <v>35</v>
      </c>
      <c r="D246" s="63">
        <f>SUM(D244:D245)</f>
        <v>867330</v>
      </c>
      <c r="E246" s="63">
        <f t="shared" ref="E246:F246" si="5">SUM(E244:E245)</f>
        <v>109502</v>
      </c>
      <c r="F246" s="63">
        <f t="shared" si="5"/>
        <v>976832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x14ac:dyDescent="0.2">
      <c r="A247" s="49"/>
      <c r="B247" s="57"/>
      <c r="C247" s="12"/>
      <c r="D247" s="12"/>
      <c r="E247" s="165"/>
      <c r="F247" s="179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x14ac:dyDescent="0.2">
      <c r="A248" s="49"/>
      <c r="B248" s="58" t="s">
        <v>388</v>
      </c>
      <c r="C248" s="12"/>
      <c r="D248" s="12"/>
      <c r="E248" s="165"/>
      <c r="F248" s="179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x14ac:dyDescent="0.2">
      <c r="A249" s="49"/>
      <c r="B249" s="57"/>
      <c r="C249" s="12"/>
      <c r="D249" s="59" t="s">
        <v>386</v>
      </c>
      <c r="E249" s="60" t="s">
        <v>387</v>
      </c>
      <c r="F249" s="61" t="s">
        <v>35</v>
      </c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x14ac:dyDescent="0.2">
      <c r="A250" s="49"/>
      <c r="B250" s="57"/>
      <c r="C250" s="12"/>
      <c r="D250" s="12"/>
      <c r="E250" s="165"/>
      <c r="F250" s="179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x14ac:dyDescent="0.2">
      <c r="A251" s="49"/>
      <c r="B251" s="57"/>
      <c r="C251" s="12" t="s">
        <v>68</v>
      </c>
      <c r="D251" s="228">
        <v>385851.10416099493</v>
      </c>
      <c r="E251" s="228">
        <v>49175.275937660401</v>
      </c>
      <c r="F251" s="229">
        <f>SUM(D251:E251)</f>
        <v>435026.38009865535</v>
      </c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x14ac:dyDescent="0.2">
      <c r="A252" s="49"/>
      <c r="B252" s="57"/>
      <c r="C252" s="12" t="s">
        <v>61</v>
      </c>
      <c r="D252" s="228">
        <v>547288.18274595949</v>
      </c>
      <c r="E252" s="228">
        <v>69096.609935898727</v>
      </c>
      <c r="F252" s="229">
        <f>SUM(D252:E252)</f>
        <v>616384.79268185818</v>
      </c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x14ac:dyDescent="0.2">
      <c r="A253" s="49"/>
      <c r="B253" s="230"/>
      <c r="C253" s="62" t="s">
        <v>35</v>
      </c>
      <c r="D253" s="63">
        <f>SUM(D251:D252)</f>
        <v>933139.28690695437</v>
      </c>
      <c r="E253" s="63">
        <f t="shared" ref="E253:F253" si="6">SUM(E251:E252)</f>
        <v>118271.88587355913</v>
      </c>
      <c r="F253" s="63">
        <f t="shared" si="6"/>
        <v>1051411.1727805135</v>
      </c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3.5" thickBot="1" x14ac:dyDescent="0.25">
      <c r="A254" s="49"/>
      <c r="B254" s="181"/>
      <c r="C254" s="231"/>
      <c r="D254" s="231"/>
      <c r="E254" s="232"/>
      <c r="F254" s="201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x14ac:dyDescent="0.2">
      <c r="A255" s="49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3.5" thickBot="1" x14ac:dyDescent="0.25">
      <c r="A256" s="49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6.5" thickBot="1" x14ac:dyDescent="0.3">
      <c r="A257" s="49"/>
      <c r="B257" s="64"/>
      <c r="C257" s="65"/>
      <c r="D257" s="66" t="s">
        <v>389</v>
      </c>
      <c r="E257" s="264" t="s">
        <v>390</v>
      </c>
      <c r="F257" s="264"/>
      <c r="G257" s="265"/>
      <c r="H257" s="264" t="s">
        <v>391</v>
      </c>
      <c r="I257" s="264"/>
      <c r="J257" s="264"/>
      <c r="K257" s="263" t="s">
        <v>392</v>
      </c>
      <c r="L257" s="264"/>
      <c r="M257" s="265"/>
      <c r="N257" s="264" t="s">
        <v>114</v>
      </c>
      <c r="O257" s="264"/>
      <c r="P257" s="263" t="s">
        <v>393</v>
      </c>
      <c r="Q257" s="264"/>
      <c r="R257" s="265"/>
      <c r="S257" s="263" t="s">
        <v>394</v>
      </c>
      <c r="T257" s="264"/>
      <c r="U257" s="265"/>
      <c r="V257" s="6"/>
      <c r="W257" s="6"/>
    </row>
    <row r="258" spans="1:23" ht="43.5" customHeight="1" thickBot="1" x14ac:dyDescent="0.25">
      <c r="A258" s="49"/>
      <c r="B258" s="233"/>
      <c r="C258" s="67"/>
      <c r="D258" s="234" t="s">
        <v>395</v>
      </c>
      <c r="E258" s="235" t="s">
        <v>396</v>
      </c>
      <c r="F258" s="235" t="s">
        <v>397</v>
      </c>
      <c r="G258" s="236" t="s">
        <v>398</v>
      </c>
      <c r="H258" s="235" t="s">
        <v>395</v>
      </c>
      <c r="I258" s="235" t="s">
        <v>397</v>
      </c>
      <c r="J258" s="235" t="s">
        <v>398</v>
      </c>
      <c r="K258" s="237" t="s">
        <v>395</v>
      </c>
      <c r="L258" s="235" t="s">
        <v>399</v>
      </c>
      <c r="M258" s="236" t="s">
        <v>398</v>
      </c>
      <c r="N258" s="235" t="s">
        <v>400</v>
      </c>
      <c r="O258" s="235" t="s">
        <v>398</v>
      </c>
      <c r="P258" s="237" t="s">
        <v>401</v>
      </c>
      <c r="Q258" s="235" t="s">
        <v>402</v>
      </c>
      <c r="R258" s="236" t="s">
        <v>398</v>
      </c>
      <c r="S258" s="237" t="s">
        <v>401</v>
      </c>
      <c r="T258" s="235" t="s">
        <v>402</v>
      </c>
      <c r="U258" s="236" t="s">
        <v>398</v>
      </c>
      <c r="V258" s="6"/>
      <c r="W258" s="6"/>
    </row>
    <row r="259" spans="1:23" x14ac:dyDescent="0.2">
      <c r="A259" s="49"/>
      <c r="B259" s="3"/>
      <c r="C259" s="68"/>
      <c r="D259" s="238"/>
      <c r="E259" s="239"/>
      <c r="F259" s="239"/>
      <c r="G259" s="239"/>
      <c r="H259" s="238"/>
      <c r="I259" s="238"/>
      <c r="J259" s="159"/>
      <c r="K259" s="240"/>
      <c r="L259" s="159"/>
      <c r="M259" s="241"/>
      <c r="N259" s="238"/>
      <c r="O259" s="159"/>
      <c r="P259" s="240"/>
      <c r="Q259" s="159"/>
      <c r="R259" s="179"/>
      <c r="S259" s="240"/>
      <c r="T259" s="159"/>
      <c r="U259" s="179"/>
      <c r="V259" s="6"/>
      <c r="W259" s="6"/>
    </row>
    <row r="260" spans="1:23" x14ac:dyDescent="0.2">
      <c r="A260" s="49"/>
      <c r="B260" s="69">
        <v>44348</v>
      </c>
      <c r="C260" s="68"/>
      <c r="D260" s="242">
        <v>7941</v>
      </c>
      <c r="E260" s="243"/>
      <c r="F260" s="243"/>
      <c r="G260" s="243"/>
      <c r="H260" s="244"/>
      <c r="I260" s="244"/>
      <c r="J260" s="245">
        <f t="shared" ref="J260:J271" si="7">H260*I260</f>
        <v>0</v>
      </c>
      <c r="K260" s="246">
        <v>7941</v>
      </c>
      <c r="L260" s="244">
        <v>22.672222222222221</v>
      </c>
      <c r="M260" s="247">
        <f t="shared" ref="M260:M271" si="8">K260*L260</f>
        <v>180040.11666666667</v>
      </c>
      <c r="N260" s="244">
        <v>1.9942461966839311</v>
      </c>
      <c r="O260" s="245">
        <f t="shared" ref="O260:O271" si="9">N260*(K260+H260)</f>
        <v>15836.309047867097</v>
      </c>
      <c r="P260" s="244">
        <v>0</v>
      </c>
      <c r="Q260" s="244">
        <v>0</v>
      </c>
      <c r="R260" s="247">
        <f>P260*Q260*1000</f>
        <v>0</v>
      </c>
      <c r="S260" s="244">
        <v>51.591318768000001</v>
      </c>
      <c r="T260" s="244">
        <v>7.8638106427235224</v>
      </c>
      <c r="U260" s="247">
        <f>S260*T260*1000</f>
        <v>405704.36159994022</v>
      </c>
      <c r="V260" s="6"/>
      <c r="W260" s="6"/>
    </row>
    <row r="261" spans="1:23" x14ac:dyDescent="0.2">
      <c r="A261" s="49"/>
      <c r="B261" s="69">
        <f>B260+31-DAY(B260+31)+1</f>
        <v>44378</v>
      </c>
      <c r="C261" s="68"/>
      <c r="D261" s="242">
        <v>11170</v>
      </c>
      <c r="E261" s="243"/>
      <c r="F261" s="243"/>
      <c r="G261" s="243"/>
      <c r="H261" s="244"/>
      <c r="I261" s="244"/>
      <c r="J261" s="245">
        <f t="shared" si="7"/>
        <v>0</v>
      </c>
      <c r="K261" s="246">
        <v>11170</v>
      </c>
      <c r="L261" s="244">
        <v>26.951612903225808</v>
      </c>
      <c r="M261" s="247">
        <f t="shared" si="8"/>
        <v>301049.5161290323</v>
      </c>
      <c r="N261" s="244">
        <v>1.7564359809937471</v>
      </c>
      <c r="O261" s="245">
        <f t="shared" si="9"/>
        <v>19619.389907700155</v>
      </c>
      <c r="P261" s="244">
        <v>0</v>
      </c>
      <c r="Q261" s="244">
        <v>0</v>
      </c>
      <c r="R261" s="247">
        <f t="shared" ref="R261:R271" si="10">P261*Q261*1000</f>
        <v>0</v>
      </c>
      <c r="S261" s="244">
        <v>51.591318768000001</v>
      </c>
      <c r="T261" s="244">
        <v>7.8638106427235224</v>
      </c>
      <c r="U261" s="247">
        <f t="shared" ref="U261:U271" si="11">S261*T261*1000</f>
        <v>405704.36159994022</v>
      </c>
      <c r="V261" s="6"/>
      <c r="W261" s="6"/>
    </row>
    <row r="262" spans="1:23" x14ac:dyDescent="0.2">
      <c r="A262" s="49"/>
      <c r="B262" s="69">
        <f t="shared" ref="B262:B271" si="12">B261+31-DAY(B261+31)+1</f>
        <v>44409</v>
      </c>
      <c r="C262" s="68"/>
      <c r="D262" s="242">
        <v>10355</v>
      </c>
      <c r="E262" s="243"/>
      <c r="F262" s="243"/>
      <c r="G262" s="243"/>
      <c r="H262" s="244"/>
      <c r="I262" s="244"/>
      <c r="J262" s="245">
        <f t="shared" si="7"/>
        <v>0</v>
      </c>
      <c r="K262" s="246">
        <v>10355</v>
      </c>
      <c r="L262" s="244">
        <v>25.666666666666668</v>
      </c>
      <c r="M262" s="247">
        <f t="shared" si="8"/>
        <v>265778.33333333337</v>
      </c>
      <c r="N262" s="244">
        <v>1.8294255495049319</v>
      </c>
      <c r="O262" s="245">
        <f t="shared" si="9"/>
        <v>18943.701565123571</v>
      </c>
      <c r="P262" s="244">
        <v>0</v>
      </c>
      <c r="Q262" s="244">
        <v>0</v>
      </c>
      <c r="R262" s="247">
        <f t="shared" si="10"/>
        <v>0</v>
      </c>
      <c r="S262" s="244">
        <v>51.591318768000001</v>
      </c>
      <c r="T262" s="244">
        <v>7.8638106427235224</v>
      </c>
      <c r="U262" s="247">
        <f t="shared" si="11"/>
        <v>405704.36159994022</v>
      </c>
      <c r="V262" s="6"/>
      <c r="W262" s="6"/>
    </row>
    <row r="263" spans="1:23" x14ac:dyDescent="0.2">
      <c r="A263" s="49"/>
      <c r="B263" s="69">
        <f t="shared" si="12"/>
        <v>44440</v>
      </c>
      <c r="C263" s="68"/>
      <c r="D263" s="242">
        <v>7804</v>
      </c>
      <c r="E263" s="243"/>
      <c r="F263" s="243"/>
      <c r="G263" s="243"/>
      <c r="H263" s="244"/>
      <c r="I263" s="244"/>
      <c r="J263" s="245">
        <f t="shared" si="7"/>
        <v>0</v>
      </c>
      <c r="K263" s="246">
        <v>7804</v>
      </c>
      <c r="L263" s="244">
        <v>22.283333333333335</v>
      </c>
      <c r="M263" s="247">
        <f t="shared" si="8"/>
        <v>173899.13333333336</v>
      </c>
      <c r="N263" s="244">
        <v>1.8963867811597164</v>
      </c>
      <c r="O263" s="245">
        <f t="shared" si="9"/>
        <v>14799.402440170426</v>
      </c>
      <c r="P263" s="244">
        <v>0</v>
      </c>
      <c r="Q263" s="244">
        <v>0</v>
      </c>
      <c r="R263" s="247">
        <f t="shared" si="10"/>
        <v>0</v>
      </c>
      <c r="S263" s="244">
        <v>51.591318768000001</v>
      </c>
      <c r="T263" s="244">
        <v>7.8638106427235224</v>
      </c>
      <c r="U263" s="247">
        <f t="shared" si="11"/>
        <v>405704.36159994022</v>
      </c>
      <c r="V263" s="6"/>
      <c r="W263" s="6"/>
    </row>
    <row r="264" spans="1:23" x14ac:dyDescent="0.2">
      <c r="A264" s="49"/>
      <c r="B264" s="69">
        <f t="shared" si="12"/>
        <v>44470</v>
      </c>
      <c r="C264" s="68"/>
      <c r="D264" s="242">
        <v>6813</v>
      </c>
      <c r="E264" s="243"/>
      <c r="F264" s="243"/>
      <c r="G264" s="243"/>
      <c r="H264" s="244"/>
      <c r="I264" s="244"/>
      <c r="J264" s="245">
        <f t="shared" si="7"/>
        <v>0</v>
      </c>
      <c r="K264" s="246">
        <v>6813</v>
      </c>
      <c r="L264" s="244">
        <v>23.056451612903224</v>
      </c>
      <c r="M264" s="247">
        <f t="shared" si="8"/>
        <v>157083.60483870967</v>
      </c>
      <c r="N264" s="244">
        <v>2.1164956648867661</v>
      </c>
      <c r="O264" s="245">
        <f t="shared" si="9"/>
        <v>14419.684964873537</v>
      </c>
      <c r="P264" s="244">
        <v>0</v>
      </c>
      <c r="Q264" s="244">
        <v>0</v>
      </c>
      <c r="R264" s="247">
        <f t="shared" si="10"/>
        <v>0</v>
      </c>
      <c r="S264" s="244">
        <v>51.591318768000001</v>
      </c>
      <c r="T264" s="244">
        <v>7.8638106427235224</v>
      </c>
      <c r="U264" s="247">
        <f t="shared" si="11"/>
        <v>405704.36159994022</v>
      </c>
      <c r="V264" s="6"/>
      <c r="W264" s="6"/>
    </row>
    <row r="265" spans="1:23" x14ac:dyDescent="0.2">
      <c r="A265" s="49"/>
      <c r="B265" s="69">
        <f t="shared" si="12"/>
        <v>44501</v>
      </c>
      <c r="C265" s="68"/>
      <c r="D265" s="242">
        <v>6923</v>
      </c>
      <c r="E265" s="243"/>
      <c r="F265" s="243"/>
      <c r="G265" s="243"/>
      <c r="H265" s="244"/>
      <c r="I265" s="244"/>
      <c r="J265" s="245">
        <f t="shared" si="7"/>
        <v>0</v>
      </c>
      <c r="K265" s="246">
        <v>6923</v>
      </c>
      <c r="L265" s="244">
        <v>25.912621359223301</v>
      </c>
      <c r="M265" s="247">
        <f t="shared" si="8"/>
        <v>179393.07766990291</v>
      </c>
      <c r="N265" s="244">
        <v>2.1078484750328719</v>
      </c>
      <c r="O265" s="245">
        <f t="shared" si="9"/>
        <v>14592.634992652573</v>
      </c>
      <c r="P265" s="244">
        <v>0</v>
      </c>
      <c r="Q265" s="244">
        <v>0</v>
      </c>
      <c r="R265" s="247">
        <f t="shared" si="10"/>
        <v>0</v>
      </c>
      <c r="S265" s="244">
        <v>51.591318768000001</v>
      </c>
      <c r="T265" s="244">
        <v>3.9939334558073072</v>
      </c>
      <c r="U265" s="247">
        <f t="shared" si="11"/>
        <v>206052.29405673465</v>
      </c>
      <c r="V265" s="6"/>
      <c r="W265" s="6"/>
    </row>
    <row r="266" spans="1:23" x14ac:dyDescent="0.2">
      <c r="A266" s="49"/>
      <c r="B266" s="69">
        <f t="shared" si="12"/>
        <v>44531</v>
      </c>
      <c r="C266" s="68"/>
      <c r="D266" s="242">
        <v>8959</v>
      </c>
      <c r="E266" s="243"/>
      <c r="F266" s="243"/>
      <c r="G266" s="243"/>
      <c r="H266" s="244"/>
      <c r="I266" s="244"/>
      <c r="J266" s="245">
        <f t="shared" si="7"/>
        <v>0</v>
      </c>
      <c r="K266" s="246">
        <v>8959</v>
      </c>
      <c r="L266" s="244">
        <v>33.456989247311824</v>
      </c>
      <c r="M266" s="247">
        <f t="shared" si="8"/>
        <v>299741.16666666663</v>
      </c>
      <c r="N266" s="244">
        <v>2.0331208139314638</v>
      </c>
      <c r="O266" s="245">
        <f t="shared" si="9"/>
        <v>18214.729372011985</v>
      </c>
      <c r="P266" s="244">
        <v>0</v>
      </c>
      <c r="Q266" s="244">
        <v>0</v>
      </c>
      <c r="R266" s="247">
        <f t="shared" si="10"/>
        <v>0</v>
      </c>
      <c r="S266" s="244">
        <v>51.591318768000001</v>
      </c>
      <c r="T266" s="244">
        <v>3.9919348931841303</v>
      </c>
      <c r="U266" s="247">
        <f t="shared" si="11"/>
        <v>205949.18557536451</v>
      </c>
      <c r="V266" s="6"/>
      <c r="W266" s="6"/>
    </row>
    <row r="267" spans="1:23" x14ac:dyDescent="0.2">
      <c r="A267" s="49"/>
      <c r="B267" s="69">
        <f t="shared" si="12"/>
        <v>44562</v>
      </c>
      <c r="C267" s="68"/>
      <c r="D267" s="242">
        <v>9733</v>
      </c>
      <c r="E267" s="243"/>
      <c r="F267" s="243"/>
      <c r="G267" s="243"/>
      <c r="H267" s="244"/>
      <c r="I267" s="244"/>
      <c r="J267" s="245">
        <f t="shared" si="7"/>
        <v>0</v>
      </c>
      <c r="K267" s="246">
        <v>9733</v>
      </c>
      <c r="L267" s="244">
        <v>46.588709677419352</v>
      </c>
      <c r="M267" s="247">
        <f t="shared" si="8"/>
        <v>453447.91129032255</v>
      </c>
      <c r="N267" s="244">
        <v>1.9410115606286131</v>
      </c>
      <c r="O267" s="245">
        <f t="shared" si="9"/>
        <v>18891.86551959829</v>
      </c>
      <c r="P267" s="244">
        <v>0</v>
      </c>
      <c r="Q267" s="244">
        <v>0</v>
      </c>
      <c r="R267" s="247">
        <f t="shared" si="10"/>
        <v>0</v>
      </c>
      <c r="S267" s="244">
        <v>51.591318768000001</v>
      </c>
      <c r="T267" s="244">
        <v>3.9876108195397659</v>
      </c>
      <c r="U267" s="247">
        <f t="shared" si="11"/>
        <v>205726.10091360178</v>
      </c>
      <c r="V267" s="6"/>
      <c r="W267" s="6"/>
    </row>
    <row r="268" spans="1:23" x14ac:dyDescent="0.2">
      <c r="A268" s="49"/>
      <c r="B268" s="69">
        <f t="shared" si="12"/>
        <v>44593</v>
      </c>
      <c r="C268" s="68"/>
      <c r="D268" s="242">
        <v>8024</v>
      </c>
      <c r="E268" s="243"/>
      <c r="F268" s="243"/>
      <c r="G268" s="243"/>
      <c r="H268" s="244"/>
      <c r="I268" s="244"/>
      <c r="J268" s="245">
        <f t="shared" si="7"/>
        <v>0</v>
      </c>
      <c r="K268" s="246">
        <v>8024</v>
      </c>
      <c r="L268" s="244">
        <v>44.797619047619051</v>
      </c>
      <c r="M268" s="247">
        <f t="shared" si="8"/>
        <v>359456.09523809527</v>
      </c>
      <c r="N268" s="244">
        <v>1.7563317789809205</v>
      </c>
      <c r="O268" s="245">
        <f t="shared" si="9"/>
        <v>14092.806194542905</v>
      </c>
      <c r="P268" s="244">
        <v>0</v>
      </c>
      <c r="Q268" s="244">
        <v>0</v>
      </c>
      <c r="R268" s="247">
        <f t="shared" si="10"/>
        <v>0</v>
      </c>
      <c r="S268" s="244">
        <v>51.591318768000001</v>
      </c>
      <c r="T268" s="244">
        <v>3.9909404834450544</v>
      </c>
      <c r="U268" s="247">
        <f t="shared" si="11"/>
        <v>205897.88266552985</v>
      </c>
      <c r="V268" s="6"/>
      <c r="W268" s="6"/>
    </row>
    <row r="269" spans="1:23" x14ac:dyDescent="0.2">
      <c r="A269" s="49"/>
      <c r="B269" s="69">
        <f t="shared" si="12"/>
        <v>44621</v>
      </c>
      <c r="C269" s="68"/>
      <c r="D269" s="242">
        <v>7883</v>
      </c>
      <c r="E269" s="243"/>
      <c r="F269" s="243"/>
      <c r="G269" s="243"/>
      <c r="H269" s="244"/>
      <c r="I269" s="244"/>
      <c r="J269" s="245">
        <f t="shared" si="7"/>
        <v>0</v>
      </c>
      <c r="K269" s="246">
        <v>7883</v>
      </c>
      <c r="L269" s="244">
        <v>31.967025572005383</v>
      </c>
      <c r="M269" s="247">
        <f t="shared" si="8"/>
        <v>251996.06258411842</v>
      </c>
      <c r="N269" s="244">
        <v>1.4491530641193928</v>
      </c>
      <c r="O269" s="245">
        <f t="shared" si="9"/>
        <v>11423.673604453174</v>
      </c>
      <c r="P269" s="244">
        <v>0</v>
      </c>
      <c r="Q269" s="244">
        <v>0</v>
      </c>
      <c r="R269" s="247">
        <f t="shared" si="10"/>
        <v>0</v>
      </c>
      <c r="S269" s="244">
        <v>51.591318768000001</v>
      </c>
      <c r="T269" s="244">
        <v>3.9895901174564603</v>
      </c>
      <c r="U269" s="247">
        <f t="shared" si="11"/>
        <v>205828.21550335881</v>
      </c>
      <c r="V269" s="6"/>
      <c r="W269" s="6"/>
    </row>
    <row r="270" spans="1:23" x14ac:dyDescent="0.2">
      <c r="A270" s="49"/>
      <c r="B270" s="69">
        <f t="shared" si="12"/>
        <v>44652</v>
      </c>
      <c r="C270" s="68"/>
      <c r="D270" s="242">
        <v>6427</v>
      </c>
      <c r="E270" s="243"/>
      <c r="F270" s="243"/>
      <c r="G270" s="243"/>
      <c r="H270" s="244"/>
      <c r="I270" s="244"/>
      <c r="J270" s="245">
        <f t="shared" si="7"/>
        <v>0</v>
      </c>
      <c r="K270" s="246">
        <v>6427</v>
      </c>
      <c r="L270" s="244">
        <v>22.8</v>
      </c>
      <c r="M270" s="247">
        <f t="shared" si="8"/>
        <v>146535.6</v>
      </c>
      <c r="N270" s="244">
        <v>1.4524275329969585</v>
      </c>
      <c r="O270" s="245">
        <f t="shared" si="9"/>
        <v>9334.7517545714527</v>
      </c>
      <c r="P270" s="244">
        <v>0</v>
      </c>
      <c r="Q270" s="244">
        <v>0</v>
      </c>
      <c r="R270" s="247">
        <f t="shared" si="10"/>
        <v>0</v>
      </c>
      <c r="S270" s="244">
        <v>51.591318768000001</v>
      </c>
      <c r="T270" s="244">
        <v>3.9914267127464931</v>
      </c>
      <c r="U270" s="247">
        <f t="shared" si="11"/>
        <v>205922.96787641471</v>
      </c>
      <c r="V270" s="6"/>
      <c r="W270" s="6"/>
    </row>
    <row r="271" spans="1:23" x14ac:dyDescent="0.2">
      <c r="A271" s="49"/>
      <c r="B271" s="69">
        <f t="shared" si="12"/>
        <v>44682</v>
      </c>
      <c r="C271" s="68"/>
      <c r="D271" s="242">
        <v>6133</v>
      </c>
      <c r="E271" s="243"/>
      <c r="F271" s="243"/>
      <c r="G271" s="243"/>
      <c r="H271" s="244"/>
      <c r="I271" s="244"/>
      <c r="J271" s="245">
        <f t="shared" si="7"/>
        <v>0</v>
      </c>
      <c r="K271" s="246">
        <v>6133</v>
      </c>
      <c r="L271" s="244">
        <v>21.870967741935484</v>
      </c>
      <c r="M271" s="247">
        <f t="shared" si="8"/>
        <v>134134.64516129033</v>
      </c>
      <c r="N271" s="244">
        <v>1.7359957209271353</v>
      </c>
      <c r="O271" s="245">
        <f t="shared" si="9"/>
        <v>10646.86175644612</v>
      </c>
      <c r="P271" s="244">
        <v>0</v>
      </c>
      <c r="Q271" s="244">
        <v>0</v>
      </c>
      <c r="R271" s="247">
        <f t="shared" si="10"/>
        <v>0</v>
      </c>
      <c r="S271" s="244">
        <v>51.591318768000001</v>
      </c>
      <c r="T271" s="244">
        <v>8.0363375609722585</v>
      </c>
      <c r="U271" s="247">
        <f t="shared" si="11"/>
        <v>414605.25283537142</v>
      </c>
      <c r="V271" s="6"/>
      <c r="W271" s="6"/>
    </row>
    <row r="272" spans="1:23" ht="13.5" thickBot="1" x14ac:dyDescent="0.25">
      <c r="A272" s="49"/>
      <c r="B272" s="70"/>
      <c r="C272" s="201"/>
      <c r="D272" s="238"/>
      <c r="E272" s="248"/>
      <c r="F272" s="248"/>
      <c r="G272" s="249"/>
      <c r="H272" s="238"/>
      <c r="I272" s="238"/>
      <c r="J272" s="248"/>
      <c r="K272" s="250"/>
      <c r="L272" s="248"/>
      <c r="M272" s="249"/>
      <c r="N272" s="238"/>
      <c r="O272" s="248"/>
      <c r="P272" s="250"/>
      <c r="Q272" s="248"/>
      <c r="R272" s="201"/>
      <c r="S272" s="250"/>
      <c r="T272" s="248"/>
      <c r="U272" s="201"/>
      <c r="V272" s="6"/>
      <c r="W272" s="6"/>
    </row>
    <row r="273" spans="1:23" ht="13.5" thickBot="1" x14ac:dyDescent="0.25">
      <c r="A273" s="49"/>
      <c r="B273" s="71" t="s">
        <v>35</v>
      </c>
      <c r="C273" s="251"/>
      <c r="D273" s="252">
        <f>SUM(D260:D272)</f>
        <v>98165</v>
      </c>
      <c r="E273" s="253">
        <v>0</v>
      </c>
      <c r="F273" s="254">
        <v>0</v>
      </c>
      <c r="G273" s="255">
        <v>0</v>
      </c>
      <c r="H273" s="253">
        <f>SUM(H260:H272)</f>
        <v>0</v>
      </c>
      <c r="I273" s="254"/>
      <c r="J273" s="253">
        <f>SUM(J260:J272)</f>
        <v>0</v>
      </c>
      <c r="K273" s="256">
        <f>SUM(K260:K272)</f>
        <v>98165</v>
      </c>
      <c r="L273" s="254"/>
      <c r="M273" s="255">
        <f>SUM(M260:M272)</f>
        <v>2902555.2629114711</v>
      </c>
      <c r="N273" s="257">
        <f>O273/D273</f>
        <v>1.8419580412571825</v>
      </c>
      <c r="O273" s="253">
        <f>SUM(O260:O271)</f>
        <v>180815.81112001132</v>
      </c>
      <c r="P273" s="258"/>
      <c r="Q273" s="254"/>
      <c r="R273" s="255">
        <f>SUM(R260:R272)</f>
        <v>0</v>
      </c>
      <c r="S273" s="258"/>
      <c r="T273" s="254"/>
      <c r="U273" s="255">
        <f>SUM(U260:U272)</f>
        <v>3678503.7074260772</v>
      </c>
      <c r="V273" s="6"/>
      <c r="W273" s="6"/>
    </row>
    <row r="274" spans="1:23" x14ac:dyDescent="0.2">
      <c r="A274" s="49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x14ac:dyDescent="0.2">
      <c r="A275" s="49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x14ac:dyDescent="0.2">
      <c r="A276" s="49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x14ac:dyDescent="0.2">
      <c r="A277" s="49"/>
      <c r="B277" s="72" t="s">
        <v>403</v>
      </c>
      <c r="C277" s="159"/>
      <c r="D277" s="159"/>
      <c r="E277" s="159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x14ac:dyDescent="0.2">
      <c r="A278" s="49"/>
      <c r="B278" s="159"/>
      <c r="C278" s="159"/>
      <c r="D278" s="159"/>
      <c r="E278" s="159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x14ac:dyDescent="0.2">
      <c r="A279" s="49"/>
      <c r="B279" s="49" t="s">
        <v>404</v>
      </c>
      <c r="C279" s="159"/>
      <c r="D279" s="259">
        <f>$G$273</f>
        <v>0</v>
      </c>
      <c r="E279" s="260">
        <f>ROUND(D279/$D$273,2)</f>
        <v>0</v>
      </c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x14ac:dyDescent="0.2">
      <c r="A280" s="49"/>
      <c r="B280" s="49" t="s">
        <v>391</v>
      </c>
      <c r="C280" s="159"/>
      <c r="D280" s="259">
        <f>$J$273</f>
        <v>0</v>
      </c>
      <c r="E280" s="260">
        <f>ROUND(D280/$D$273,2)</f>
        <v>0</v>
      </c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x14ac:dyDescent="0.2">
      <c r="A281" s="49"/>
      <c r="B281" s="49" t="s">
        <v>392</v>
      </c>
      <c r="C281" s="159"/>
      <c r="D281" s="259">
        <f>$M$273</f>
        <v>2902555.2629114711</v>
      </c>
      <c r="E281" s="260">
        <f>ROUND(D281/$K$273,2)</f>
        <v>29.57</v>
      </c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x14ac:dyDescent="0.2">
      <c r="A282" s="49"/>
      <c r="B282" s="49" t="s">
        <v>114</v>
      </c>
      <c r="C282" s="159"/>
      <c r="D282" s="259">
        <f>O273</f>
        <v>180815.81112001132</v>
      </c>
      <c r="E282" s="260">
        <f>ROUND(D282/$D$273,2)</f>
        <v>1.84</v>
      </c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x14ac:dyDescent="0.2">
      <c r="A283" s="49"/>
      <c r="B283" s="49" t="s">
        <v>393</v>
      </c>
      <c r="C283" s="159"/>
      <c r="D283" s="73">
        <f>U273</f>
        <v>3678503.7074260772</v>
      </c>
      <c r="E283" s="74">
        <f>ROUND(D283/$D$273,2)</f>
        <v>37.47</v>
      </c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x14ac:dyDescent="0.2">
      <c r="A284" s="49"/>
      <c r="B284" s="159"/>
      <c r="C284" s="159"/>
      <c r="D284" s="259">
        <f>SUM(D279:D283)</f>
        <v>6761874.7814575601</v>
      </c>
      <c r="E284" s="260">
        <f>SUM(E279:E283)</f>
        <v>68.88</v>
      </c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x14ac:dyDescent="0.2">
      <c r="A285" s="49"/>
      <c r="B285" s="159" t="s">
        <v>405</v>
      </c>
      <c r="C285" s="159"/>
      <c r="D285" s="259">
        <f>$D$273</f>
        <v>98165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x14ac:dyDescent="0.2">
      <c r="A286" s="49"/>
      <c r="B286" s="159" t="s">
        <v>241</v>
      </c>
      <c r="C286" s="159"/>
      <c r="D286" s="28">
        <f>ROUND(D284/D285,2)</f>
        <v>68.88</v>
      </c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x14ac:dyDescent="0.2">
      <c r="A287" s="49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x14ac:dyDescent="0.2">
      <c r="A288" s="49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x14ac:dyDescent="0.2">
      <c r="A289" s="49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x14ac:dyDescent="0.2">
      <c r="A290" s="49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x14ac:dyDescent="0.2">
      <c r="A291" s="49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x14ac:dyDescent="0.2">
      <c r="A292" s="49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x14ac:dyDescent="0.2">
      <c r="A293" s="49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x14ac:dyDescent="0.2">
      <c r="A294" s="49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x14ac:dyDescent="0.2">
      <c r="A295" s="49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x14ac:dyDescent="0.2">
      <c r="A296" s="49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x14ac:dyDescent="0.2">
      <c r="A297" s="49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x14ac:dyDescent="0.2">
      <c r="A298" s="49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x14ac:dyDescent="0.2">
      <c r="A299" s="49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x14ac:dyDescent="0.2">
      <c r="A300" s="49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x14ac:dyDescent="0.2">
      <c r="A301" s="49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x14ac:dyDescent="0.2">
      <c r="A302" s="49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x14ac:dyDescent="0.2">
      <c r="A303" s="49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x14ac:dyDescent="0.2">
      <c r="A304" s="49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x14ac:dyDescent="0.2">
      <c r="A305" s="49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x14ac:dyDescent="0.2">
      <c r="A306" s="49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x14ac:dyDescent="0.2">
      <c r="A307" s="49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x14ac:dyDescent="0.2">
      <c r="A308" s="49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BGS Cost &amp; Bid Factors</vt:lpstr>
      <vt:lpstr>Weighted Avg Price Calc</vt:lpstr>
      <vt:lpstr>Rate Calculations</vt:lpstr>
      <vt:lpstr>'BGS Cost &amp; Bid Factors'!Print_Area</vt:lpstr>
      <vt:lpstr>'Rate Calculations'!Print_Area</vt:lpstr>
      <vt:lpstr>'Weighted Avg Price Calc'!Print_Area</vt:lpstr>
      <vt:lpstr>'Rate Calculations'!Print_Titles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Jacob, Shajan</dc:creator>
  <cp:lastModifiedBy>Rachel Northcutt</cp:lastModifiedBy>
  <dcterms:created xsi:type="dcterms:W3CDTF">2020-06-18T13:54:19Z</dcterms:created>
  <dcterms:modified xsi:type="dcterms:W3CDTF">2020-07-01T13:08:44Z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852671b7-e2b4-4463-8e40-36184ae99f08</vt:lpwstr>
  </property>
</Properties>
</file>