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nera-nycfs\Work\Projects\Energy\20-21 BGS (114324)\2021 Auction\3 Rates\3 January 2021\2 Rcvd from EDCs\0 Posted\"/>
    </mc:Choice>
  </mc:AlternateContent>
  <xr:revisionPtr revIDLastSave="0" documentId="13_ncr:1_{E1AFCF4E-35C1-4E30-BC32-4CF888739E0C}" xr6:coauthVersionLast="45" xr6:coauthVersionMax="45" xr10:uidLastSave="{00000000-0000-0000-0000-000000000000}"/>
  <bookViews>
    <workbookView xWindow="-93" yWindow="-93" windowWidth="25786" windowHeight="13986" tabRatio="811" xr2:uid="{00000000-000D-0000-FFFF-FFFF00000000}"/>
  </bookViews>
  <sheets>
    <sheet name="Input" sheetId="5" r:id="rId1"/>
    <sheet name="bid_factors" sheetId="6" r:id="rId2"/>
    <sheet name="auction_results_and_rates" sheetId="7" r:id="rId3"/>
    <sheet name="Att 4-1" sheetId="34" r:id="rId4"/>
    <sheet name="Att 4-2" sheetId="35" r:id="rId5"/>
    <sheet name="Att 4-3" sheetId="36" r:id="rId6"/>
    <sheet name="Att 4-4" sheetId="37" r:id="rId7"/>
    <sheet name="Att 4-5" sheetId="38" r:id="rId8"/>
    <sheet name="Att 5" sheetId="33" r:id="rId9"/>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Input!$N$12:$W$140</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4">#REF!</definedName>
    <definedName name="Co_Listc" localSheetId="5">#REF!</definedName>
    <definedName name="Co_Listc">#REF!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4">#REF!</definedName>
    <definedName name="Get_moc" localSheetId="5">#REF!</definedName>
    <definedName name="Get_moc">#REF!</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3">'Att 4-1'!$A$1:$I$21</definedName>
    <definedName name="_xlnm.Print_Area" localSheetId="4">'Att 4-2'!$A$1:$J$21</definedName>
    <definedName name="_xlnm.Print_Area" localSheetId="5">'Att 4-3'!$A$1:$J$21</definedName>
    <definedName name="_xlnm.Print_Area" localSheetId="6">'Att 4-4'!$A$1:$J$34</definedName>
    <definedName name="_xlnm.Print_Area" localSheetId="7">'Att 4-5'!$A$1:$J$33</definedName>
    <definedName name="_xlnm.Print_Area" localSheetId="2">auction_results_and_rates!$A$1:$L$213</definedName>
    <definedName name="_xlnm.Print_Area" localSheetId="1">bid_factors!$A$2:$L$354</definedName>
    <definedName name="_xlnm.Print_Area" localSheetId="0">Input!$A$6:$L$140</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6">'Att 4-4'!$2:$4</definedName>
    <definedName name="_xlnm.Print_Titles" localSheetId="7">'Att 4-5'!$2:$4</definedName>
    <definedName name="_xlnm.Print_Titles" localSheetId="2">auction_results_and_rates!$1:$4</definedName>
    <definedName name="_xlnm.Print_Titles">#N/A</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782F5CFE_DE26_4D5A_B82E_30A424B0A39B_.wvu.PrintArea" localSheetId="2" hidden="1">auction_results_and_rates!$A$1:$L$213</definedName>
    <definedName name="Z_782F5CFE_DE26_4D5A_B82E_30A424B0A39B_.wvu.PrintArea" localSheetId="1" hidden="1">bid_factors!$A$1:$L$354</definedName>
    <definedName name="Z_782F5CFE_DE26_4D5A_B82E_30A424B0A39B_.wvu.PrintTitles" localSheetId="2" hidden="1">auction_results_and_rates!$1:$4</definedName>
    <definedName name="Z_782F5CFE_DE26_4D5A_B82E_30A424B0A39B_.wvu.Rows" localSheetId="2" hidden="1">auction_results_and_rates!$214:$275</definedName>
    <definedName name="Z_782F5CFE_DE26_4D5A_B82E_30A424B0A39B_.wvu.Rows" localSheetId="0" hidden="1">Input!$308:$384</definedName>
    <definedName name="Z_88B031DE_0423_45A5_B384_E560A52FDD07_.wvu.PrintArea" localSheetId="2" hidden="1">auction_results_and_rates!$A$1:$L$213</definedName>
    <definedName name="Z_88B031DE_0423_45A5_B384_E560A52FDD07_.wvu.PrintArea" localSheetId="1" hidden="1">bid_factors!$A$1:$L$354</definedName>
    <definedName name="Z_88B031DE_0423_45A5_B384_E560A52FDD07_.wvu.PrintTitles" localSheetId="2" hidden="1">auction_results_and_rates!$1:$4</definedName>
    <definedName name="Z_88B031DE_0423_45A5_B384_E560A52FDD07_.wvu.Rows" localSheetId="2" hidden="1">auction_results_and_rates!$214:$275</definedName>
    <definedName name="Z_88B031DE_0423_45A5_B384_E560A52FDD07_.wvu.Rows" localSheetId="0" hidden="1">Input!$308:$384</definedName>
    <definedName name="Z_9BF7FAF1_D686_4A6B_A2BE_0DAD43841920_.wvu.PrintArea" localSheetId="2" hidden="1">auction_results_and_rates!$A$1:$L$213</definedName>
    <definedName name="Z_9BF7FAF1_D686_4A6B_A2BE_0DAD43841920_.wvu.PrintArea" localSheetId="1" hidden="1">bid_factors!$A$1:$L$354</definedName>
    <definedName name="Z_9BF7FAF1_D686_4A6B_A2BE_0DAD43841920_.wvu.PrintTitles" localSheetId="2" hidden="1">auction_results_and_rates!$1:$4</definedName>
    <definedName name="Z_9BF7FAF1_D686_4A6B_A2BE_0DAD43841920_.wvu.Rows" localSheetId="2" hidden="1">auction_results_and_rates!$214:$275</definedName>
    <definedName name="Z_9BF7FAF1_D686_4A6B_A2BE_0DAD43841920_.wvu.Rows" localSheetId="0" hidden="1">Input!$308:$384</definedName>
    <definedName name="Z_D5524E47_947F_4D9F_AE8B_3F0380261994_.wvu.PrintArea" localSheetId="2" hidden="1">auction_results_and_rates!$A$1:$L$213</definedName>
    <definedName name="Z_D5524E47_947F_4D9F_AE8B_3F0380261994_.wvu.PrintArea" localSheetId="1" hidden="1">bid_factors!$A$1:$L$354</definedName>
    <definedName name="Z_D5524E47_947F_4D9F_AE8B_3F0380261994_.wvu.PrintTitles" localSheetId="2" hidden="1">auction_results_and_rates!$1:$4</definedName>
    <definedName name="Z_D5524E47_947F_4D9F_AE8B_3F0380261994_.wvu.Rows" localSheetId="2" hidden="1">auction_results_and_rates!$214:$275</definedName>
    <definedName name="Z_D5524E47_947F_4D9F_AE8B_3F0380261994_.wvu.Rows" localSheetId="0" hidden="1">Input!$308:$384</definedName>
  </definedNames>
  <calcPr calcId="191029"/>
  <customWorkbookViews>
    <customWorkbookView name="Mike Merizio - Personal View" guid="{9BF7FAF1-D686-4A6B-A2BE-0DAD43841920}" mergeInterval="0" personalView="1" maximized="1" windowWidth="1904" windowHeight="783" tabRatio="942" activeSheetId="22"/>
    <customWorkbookView name="JC - Personal View" guid="{D5524E47-947F-4D9F-AE8B-3F0380261994}" mergeInterval="0" personalView="1" maximized="1" windowWidth="1920" windowHeight="753" tabRatio="907" activeSheetId="21"/>
    <customWorkbookView name="PSEG - Personal View" guid="{88B031DE-0423-45A5-B384-E560A52FDD07}" mergeInterval="0" personalView="1" maximized="1" windowWidth="1659" windowHeight="732" tabRatio="907" activeSheetId="21"/>
    <customWorkbookView name="Dave Zarra - Personal View" guid="{782F5CFE-DE26-4D5A-B82E-30A424B0A39B}" mergeInterval="0" personalView="1" maximized="1" windowWidth="1920" windowHeight="854" tabRatio="942"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7" l="1"/>
  <c r="E18" i="7"/>
  <c r="E23" i="6" l="1"/>
  <c r="C4" i="34" l="1"/>
  <c r="C7" i="35" l="1"/>
  <c r="C7" i="36" l="1"/>
  <c r="C13" i="34"/>
  <c r="C13" i="35" s="1"/>
  <c r="C13" i="36" s="1"/>
  <c r="D8" i="7" l="1"/>
  <c r="C8" i="37" s="1"/>
  <c r="C8" i="7"/>
  <c r="D7" i="33"/>
  <c r="C7" i="33"/>
  <c r="B2" i="6" l="1"/>
  <c r="E6" i="7" l="1"/>
  <c r="C6" i="7"/>
  <c r="D6" i="7"/>
  <c r="C4" i="33" l="1"/>
  <c r="D4" i="33"/>
  <c r="B42" i="6"/>
  <c r="E26" i="5" l="1"/>
  <c r="B143" i="6" l="1"/>
  <c r="E22" i="6" l="1"/>
  <c r="E4" i="6"/>
  <c r="D170" i="6" l="1"/>
  <c r="D169" i="6"/>
  <c r="D171" i="6" l="1"/>
  <c r="Q80"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7" i="7" l="1"/>
  <c r="D18" i="7"/>
  <c r="C18" i="7"/>
  <c r="C17" i="7"/>
  <c r="D14" i="7" l="1"/>
  <c r="E14" i="7"/>
  <c r="C14" i="7"/>
  <c r="T147" i="6"/>
  <c r="D13" i="37" l="1"/>
  <c r="C12" i="38"/>
  <c r="C12" i="34"/>
  <c r="C6" i="33"/>
  <c r="C8" i="33" s="1"/>
  <c r="C14" i="33" s="1"/>
  <c r="D12" i="38"/>
  <c r="D6" i="33"/>
  <c r="D8" i="33" s="1"/>
  <c r="D14" i="33" s="1"/>
  <c r="E12" i="38"/>
  <c r="C13" i="37"/>
  <c r="E13" i="37" s="1"/>
  <c r="C12" i="36"/>
  <c r="C14" i="36" s="1"/>
  <c r="C10" i="33" l="1"/>
  <c r="C12" i="33" s="1"/>
  <c r="C12" i="35"/>
  <c r="C14" i="35" s="1"/>
  <c r="C14" i="34"/>
  <c r="D10" i="33"/>
  <c r="D12" i="33" s="1"/>
  <c r="D15" i="33" s="1"/>
  <c r="D10" i="7" s="1"/>
  <c r="C10" i="37" s="1"/>
  <c r="C15" i="33"/>
  <c r="C10" i="7" s="1"/>
  <c r="C11" i="7" s="1"/>
  <c r="D11" i="7" l="1"/>
  <c r="E8" i="7" s="1"/>
  <c r="AD149" i="6"/>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F159" i="6" s="1"/>
  <c r="D158" i="6"/>
  <c r="F158" i="6" s="1"/>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I212" i="6" l="1"/>
  <c r="O45" i="6"/>
  <c r="C147" i="6"/>
  <c r="C84" i="6"/>
  <c r="C79" i="6"/>
  <c r="C281" i="6"/>
  <c r="C280" i="6"/>
  <c r="C182" i="6" l="1"/>
  <c r="C183" i="6"/>
  <c r="J212" i="6"/>
  <c r="Q160" i="6"/>
  <c r="I213" i="6"/>
  <c r="J213"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9" i="7" s="1"/>
  <c r="C265" i="6"/>
  <c r="C69" i="7" s="1"/>
  <c r="C106" i="7" s="1"/>
  <c r="I106" i="7" s="1"/>
  <c r="H154" i="6"/>
  <c r="J79" i="6"/>
  <c r="J80" i="6" s="1"/>
  <c r="J81" i="6" s="1"/>
  <c r="R167" i="6"/>
  <c r="Q167" i="6"/>
  <c r="C25" i="6"/>
  <c r="D25" i="6"/>
  <c r="E25" i="6"/>
  <c r="F25" i="6"/>
  <c r="G25" i="6"/>
  <c r="H25" i="6"/>
  <c r="I25" i="6"/>
  <c r="J25" i="6"/>
  <c r="K25" i="6"/>
  <c r="L25" i="6"/>
  <c r="F84" i="6"/>
  <c r="G84" i="6"/>
  <c r="J84" i="6"/>
  <c r="K84" i="6"/>
  <c r="K57" i="6"/>
  <c r="Q50" i="6"/>
  <c r="D160" i="7"/>
  <c r="E160" i="7"/>
  <c r="F160" i="7"/>
  <c r="G160" i="7"/>
  <c r="H160" i="7"/>
  <c r="I160" i="7"/>
  <c r="J160" i="7"/>
  <c r="C160" i="7"/>
  <c r="E243" i="6"/>
  <c r="E47" i="7" s="1"/>
  <c r="E88" i="7" s="1"/>
  <c r="D243" i="6"/>
  <c r="D47" i="7" s="1"/>
  <c r="D88" i="7" s="1"/>
  <c r="F243" i="6"/>
  <c r="F47" i="7" s="1"/>
  <c r="F88" i="7" s="1"/>
  <c r="G243" i="6"/>
  <c r="G47" i="7" s="1"/>
  <c r="G88" i="7" s="1"/>
  <c r="H243" i="6"/>
  <c r="H47" i="7" s="1"/>
  <c r="H88" i="7" s="1"/>
  <c r="I243" i="6"/>
  <c r="I47" i="7" s="1"/>
  <c r="I88" i="7" s="1"/>
  <c r="J243" i="6"/>
  <c r="J47" i="7" s="1"/>
  <c r="J88" i="7" s="1"/>
  <c r="C243" i="6"/>
  <c r="C47" i="7" s="1"/>
  <c r="C88"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J178" i="6" l="1"/>
  <c r="C8" i="34"/>
  <c r="C8" i="35" s="1"/>
  <c r="J214" i="6"/>
  <c r="I214" i="6"/>
  <c r="J182" i="6"/>
  <c r="J183" i="6"/>
  <c r="F182" i="6"/>
  <c r="F183" i="6"/>
  <c r="I182" i="6"/>
  <c r="I183" i="6"/>
  <c r="E182" i="6"/>
  <c r="E183" i="6"/>
  <c r="H182" i="6"/>
  <c r="H183" i="6"/>
  <c r="D182" i="6"/>
  <c r="D183" i="6"/>
  <c r="G182" i="6"/>
  <c r="G183" i="6"/>
  <c r="E65" i="6"/>
  <c r="L85" i="6"/>
  <c r="L86" i="6" s="1"/>
  <c r="Q128" i="6"/>
  <c r="AA128" i="6"/>
  <c r="R128" i="6"/>
  <c r="E69" i="7"/>
  <c r="J69" i="7" s="1"/>
  <c r="T150" i="6"/>
  <c r="D265" i="6"/>
  <c r="D69"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8" i="7"/>
  <c r="I178" i="7" s="1"/>
  <c r="I69"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C10" i="35" l="1"/>
  <c r="C16" i="35" s="1"/>
  <c r="C8" i="36"/>
  <c r="C10" i="36" s="1"/>
  <c r="C16" i="36" s="1"/>
  <c r="O53" i="6"/>
  <c r="P53" i="6"/>
  <c r="E106" i="7"/>
  <c r="J106"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C22" i="7" s="1"/>
  <c r="L57" i="6"/>
  <c r="R131" i="6"/>
  <c r="X65" i="6"/>
  <c r="X49" i="6"/>
  <c r="U132" i="6"/>
  <c r="L95" i="6"/>
  <c r="X50" i="6"/>
  <c r="U131" i="6"/>
  <c r="L96" i="6"/>
  <c r="R132" i="6"/>
  <c r="L94" i="6"/>
  <c r="R135" i="6"/>
  <c r="L99" i="6"/>
  <c r="X46" i="6"/>
  <c r="L100" i="6"/>
  <c r="R136" i="6"/>
  <c r="X61" i="6"/>
  <c r="L98" i="6"/>
  <c r="U136" i="6"/>
  <c r="C21" i="38" l="1"/>
  <c r="C22" i="37"/>
  <c r="D26" i="7"/>
  <c r="C26" i="7"/>
  <c r="E135" i="6"/>
  <c r="P54" i="6"/>
  <c r="O54" i="6"/>
  <c r="E178"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I72" i="7" l="1"/>
  <c r="Z135" i="6"/>
  <c r="C354" i="6"/>
  <c r="C18" i="34" s="1"/>
  <c r="C130" i="6"/>
  <c r="J178" i="7"/>
  <c r="H120" i="6"/>
  <c r="AD137" i="6"/>
  <c r="AC133" i="6"/>
  <c r="C21" i="7"/>
  <c r="L131" i="6"/>
  <c r="J130" i="6"/>
  <c r="F134" i="6"/>
  <c r="G134" i="6"/>
  <c r="H130" i="6"/>
  <c r="G120" i="6"/>
  <c r="D215" i="6"/>
  <c r="L132" i="6"/>
  <c r="E120" i="6"/>
  <c r="J120" i="6"/>
  <c r="D134" i="6"/>
  <c r="K130" i="6"/>
  <c r="C211" i="6" s="1"/>
  <c r="K120" i="6"/>
  <c r="J134" i="6"/>
  <c r="L136" i="6"/>
  <c r="D217" i="6" s="1"/>
  <c r="F120" i="6"/>
  <c r="L135" i="6"/>
  <c r="D216" i="6" s="1"/>
  <c r="Z131" i="6"/>
  <c r="D120" i="6"/>
  <c r="I130" i="6"/>
  <c r="Y66" i="6"/>
  <c r="Y68" i="6"/>
  <c r="F138" i="6"/>
  <c r="E132" i="6"/>
  <c r="C120" i="6"/>
  <c r="H134" i="6"/>
  <c r="E136" i="6"/>
  <c r="C134" i="6"/>
  <c r="D130" i="6"/>
  <c r="K134" i="6"/>
  <c r="C104" i="6"/>
  <c r="E134" i="6"/>
  <c r="AC137" i="6"/>
  <c r="I134" i="6"/>
  <c r="I120" i="6"/>
  <c r="X69" i="6"/>
  <c r="Y62" i="6"/>
  <c r="AD133" i="6"/>
  <c r="L130" i="6"/>
  <c r="L120" i="6"/>
  <c r="Z45" i="6"/>
  <c r="J73" i="7"/>
  <c r="J72" i="7"/>
  <c r="I73" i="7"/>
  <c r="C18" i="35" l="1"/>
  <c r="C19" i="34"/>
  <c r="C21" i="34" s="1"/>
  <c r="C20" i="38"/>
  <c r="C21" i="37"/>
  <c r="C25" i="7"/>
  <c r="C27" i="7" s="1"/>
  <c r="D25" i="7"/>
  <c r="D27" i="7" s="1"/>
  <c r="AA136" i="6"/>
  <c r="AA135" i="6"/>
  <c r="E196" i="6"/>
  <c r="D213" i="6"/>
  <c r="J194" i="6"/>
  <c r="J302" i="6" s="1"/>
  <c r="H178" i="6"/>
  <c r="Z132" i="6"/>
  <c r="J110" i="7"/>
  <c r="K138" i="6"/>
  <c r="D212" i="6"/>
  <c r="I109" i="7"/>
  <c r="Z49" i="6"/>
  <c r="Z61" i="6"/>
  <c r="AA131" i="6"/>
  <c r="I110" i="7"/>
  <c r="Y69" i="6"/>
  <c r="AA132" i="6"/>
  <c r="C215" i="6"/>
  <c r="J138" i="6"/>
  <c r="J109" i="7"/>
  <c r="D138" i="6"/>
  <c r="Z65" i="6"/>
  <c r="H138" i="6"/>
  <c r="C138" i="6"/>
  <c r="I138" i="6"/>
  <c r="E138" i="6"/>
  <c r="E202" i="6"/>
  <c r="Z136" i="6"/>
  <c r="G138" i="6"/>
  <c r="I217" i="6"/>
  <c r="C222" i="6" s="1"/>
  <c r="E178" i="6"/>
  <c r="J217" i="6"/>
  <c r="C283" i="6"/>
  <c r="D178" i="6"/>
  <c r="D194" i="6" s="1"/>
  <c r="G178" i="6"/>
  <c r="F178" i="6"/>
  <c r="C178" i="6"/>
  <c r="C194" i="6" s="1"/>
  <c r="I178" i="6"/>
  <c r="C122" i="6"/>
  <c r="L138" i="6"/>
  <c r="D211" i="6"/>
  <c r="D228" i="6"/>
  <c r="C19" i="35" l="1"/>
  <c r="C21" i="35" s="1"/>
  <c r="C18" i="36"/>
  <c r="C19" i="36" s="1"/>
  <c r="C21" i="36" s="1"/>
  <c r="C9" i="38" s="1"/>
  <c r="J181" i="7"/>
  <c r="I182" i="7"/>
  <c r="I181" i="7"/>
  <c r="J182" i="7"/>
  <c r="J200" i="6"/>
  <c r="J303" i="6" s="1"/>
  <c r="J204" i="6"/>
  <c r="D224" i="6"/>
  <c r="AA137" i="6"/>
  <c r="E201" i="6"/>
  <c r="Z133" i="6"/>
  <c r="H204" i="6"/>
  <c r="H194" i="6"/>
  <c r="H302" i="6" s="1"/>
  <c r="H200" i="6"/>
  <c r="H303" i="6" s="1"/>
  <c r="C200" i="6"/>
  <c r="K303" i="6"/>
  <c r="F273" i="6"/>
  <c r="J273" i="6"/>
  <c r="C226" i="6"/>
  <c r="I273" i="6"/>
  <c r="AA133" i="6"/>
  <c r="D223" i="6"/>
  <c r="Z66" i="6"/>
  <c r="Z62" i="6"/>
  <c r="D219" i="6"/>
  <c r="C204" i="6"/>
  <c r="Z68" i="6"/>
  <c r="C219" i="6"/>
  <c r="C139" i="6"/>
  <c r="Z137" i="6"/>
  <c r="L303" i="6"/>
  <c r="K302" i="6"/>
  <c r="D227" i="6"/>
  <c r="E195" i="6"/>
  <c r="D226" i="6"/>
  <c r="I194" i="6"/>
  <c r="G200" i="6"/>
  <c r="G204" i="6"/>
  <c r="G194" i="6"/>
  <c r="D200" i="6"/>
  <c r="D204" i="6"/>
  <c r="I200" i="6"/>
  <c r="I204" i="6"/>
  <c r="F204" i="6"/>
  <c r="F200" i="6"/>
  <c r="F194" i="6"/>
  <c r="L302" i="6"/>
  <c r="D222" i="6"/>
  <c r="C9" i="37" l="1"/>
  <c r="D9" i="37"/>
  <c r="C230" i="6"/>
  <c r="F269" i="6"/>
  <c r="F73" i="7" s="1"/>
  <c r="I76" i="7"/>
  <c r="J76" i="7"/>
  <c r="E303" i="6"/>
  <c r="F77" i="7"/>
  <c r="C303" i="6"/>
  <c r="D267" i="6"/>
  <c r="F268" i="6"/>
  <c r="D271" i="6"/>
  <c r="D230" i="6"/>
  <c r="H304" i="6"/>
  <c r="H308" i="6" s="1"/>
  <c r="Z69" i="6"/>
  <c r="E302" i="6"/>
  <c r="E204" i="6"/>
  <c r="K304" i="6"/>
  <c r="K307" i="6" s="1"/>
  <c r="F272" i="6"/>
  <c r="C197" i="6"/>
  <c r="G302" i="6"/>
  <c r="G303" i="6"/>
  <c r="L304" i="6"/>
  <c r="I303" i="6"/>
  <c r="D303" i="6"/>
  <c r="I302" i="6"/>
  <c r="J304" i="6"/>
  <c r="F302" i="6"/>
  <c r="D197" i="6"/>
  <c r="F303" i="6"/>
  <c r="C11" i="37" l="1"/>
  <c r="C26" i="37"/>
  <c r="C25" i="37"/>
  <c r="C27" i="37" s="1"/>
  <c r="J113" i="7"/>
  <c r="I113" i="7"/>
  <c r="D71" i="7"/>
  <c r="D75" i="7"/>
  <c r="F76" i="7"/>
  <c r="F72" i="7"/>
  <c r="K308" i="6"/>
  <c r="H307" i="6"/>
  <c r="C233" i="6"/>
  <c r="J307" i="6"/>
  <c r="L307" i="6"/>
  <c r="E304" i="6"/>
  <c r="F304" i="6"/>
  <c r="I304" i="6"/>
  <c r="C312" i="6"/>
  <c r="L308" i="6"/>
  <c r="D250" i="6"/>
  <c r="D198" i="6"/>
  <c r="J308" i="6"/>
  <c r="G304" i="6"/>
  <c r="C198" i="6"/>
  <c r="C250" i="6"/>
  <c r="D235" i="6" l="1"/>
  <c r="C249" i="6" s="1"/>
  <c r="C53" i="7" s="1"/>
  <c r="D234" i="6"/>
  <c r="C54" i="7"/>
  <c r="G131" i="7"/>
  <c r="G130" i="7"/>
  <c r="D130" i="7"/>
  <c r="J185" i="7"/>
  <c r="I185" i="7"/>
  <c r="D131" i="7"/>
  <c r="G308" i="6"/>
  <c r="E307" i="6"/>
  <c r="E308" i="6"/>
  <c r="D251" i="6"/>
  <c r="D302" i="6"/>
  <c r="E317" i="6"/>
  <c r="D54" i="7"/>
  <c r="I308" i="6"/>
  <c r="I307" i="6"/>
  <c r="C251" i="6"/>
  <c r="C302" i="6"/>
  <c r="F308" i="6"/>
  <c r="G307" i="6"/>
  <c r="F307" i="6"/>
  <c r="F245" i="6" l="1"/>
  <c r="C275" i="6"/>
  <c r="E259" i="6"/>
  <c r="E63" i="7" s="1"/>
  <c r="G132" i="7"/>
  <c r="D136" i="7"/>
  <c r="D137" i="7"/>
  <c r="D132" i="7"/>
  <c r="E275" i="6"/>
  <c r="E272" i="6"/>
  <c r="I245" i="6"/>
  <c r="I49" i="7" s="1"/>
  <c r="C322" i="6"/>
  <c r="J255" i="6"/>
  <c r="J59" i="7" s="1"/>
  <c r="C271" i="6"/>
  <c r="F259" i="6"/>
  <c r="F63" i="7" s="1"/>
  <c r="H245" i="6"/>
  <c r="H49" i="7" s="1"/>
  <c r="I255" i="6"/>
  <c r="I59" i="7" s="1"/>
  <c r="E257" i="6"/>
  <c r="E269" i="6"/>
  <c r="E256" i="6"/>
  <c r="D249" i="6"/>
  <c r="E268" i="6"/>
  <c r="D259" i="6"/>
  <c r="D63" i="7" s="1"/>
  <c r="J259" i="6"/>
  <c r="J63" i="7" s="1"/>
  <c r="H255" i="6"/>
  <c r="H59" i="7" s="1"/>
  <c r="D255" i="6"/>
  <c r="D59" i="7" s="1"/>
  <c r="G259" i="6"/>
  <c r="G63" i="7" s="1"/>
  <c r="I259" i="6"/>
  <c r="I63" i="7" s="1"/>
  <c r="C259" i="6"/>
  <c r="C63" i="7" s="1"/>
  <c r="C255" i="6"/>
  <c r="C267" i="6"/>
  <c r="E246" i="6"/>
  <c r="H259" i="6"/>
  <c r="H63" i="7" s="1"/>
  <c r="F255" i="6"/>
  <c r="F59" i="7" s="1"/>
  <c r="J245" i="6"/>
  <c r="J49" i="7" s="1"/>
  <c r="G255" i="6"/>
  <c r="G59" i="7" s="1"/>
  <c r="E273" i="6"/>
  <c r="G245" i="6"/>
  <c r="E247" i="6"/>
  <c r="C55" i="7"/>
  <c r="D304" i="6"/>
  <c r="C311" i="6"/>
  <c r="C304" i="6"/>
  <c r="D55" i="7"/>
  <c r="K257" i="6" l="1"/>
  <c r="E76" i="7"/>
  <c r="D138" i="7"/>
  <c r="E79" i="7"/>
  <c r="E73" i="7"/>
  <c r="C79" i="7"/>
  <c r="K329" i="6"/>
  <c r="H328" i="6"/>
  <c r="D328" i="6"/>
  <c r="F329" i="6"/>
  <c r="H329" i="6"/>
  <c r="E77" i="7"/>
  <c r="G328" i="6"/>
  <c r="F328" i="6"/>
  <c r="C75" i="7"/>
  <c r="E328" i="6"/>
  <c r="K328" i="6"/>
  <c r="G49" i="7"/>
  <c r="C328" i="6"/>
  <c r="F49" i="7"/>
  <c r="K247" i="6"/>
  <c r="G329" i="6"/>
  <c r="C71" i="7"/>
  <c r="D53" i="7"/>
  <c r="D329" i="6"/>
  <c r="C59" i="7"/>
  <c r="E51" i="7"/>
  <c r="L328" i="6"/>
  <c r="E60" i="7"/>
  <c r="E61" i="7"/>
  <c r="E329" i="6"/>
  <c r="L329" i="6"/>
  <c r="C329" i="6"/>
  <c r="E72" i="7"/>
  <c r="E50" i="7"/>
  <c r="C313" i="6"/>
  <c r="E316" i="6"/>
  <c r="D308" i="6"/>
  <c r="D307" i="6"/>
  <c r="C308" i="6"/>
  <c r="C307" i="6"/>
  <c r="K61" i="7" l="1"/>
  <c r="J329" i="6"/>
  <c r="I329" i="6"/>
  <c r="G330" i="6"/>
  <c r="K330" i="6"/>
  <c r="D330" i="6"/>
  <c r="H330" i="6"/>
  <c r="F330" i="6"/>
  <c r="C330" i="6"/>
  <c r="L330" i="6"/>
  <c r="J328" i="6"/>
  <c r="I328" i="6"/>
  <c r="E330" i="6"/>
  <c r="K51" i="7"/>
  <c r="C316" i="6"/>
  <c r="L316" i="6"/>
  <c r="L317" i="6"/>
  <c r="C317" i="6"/>
  <c r="C333" i="6" l="1"/>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C8" i="38" l="1"/>
  <c r="D8" i="37"/>
  <c r="E11" i="7"/>
  <c r="E26" i="7"/>
  <c r="E25" i="7"/>
  <c r="K340" i="6"/>
  <c r="L340" i="6"/>
  <c r="E340" i="6"/>
  <c r="F340" i="6"/>
  <c r="C342" i="6"/>
  <c r="I340" i="6"/>
  <c r="G340" i="6"/>
  <c r="D340" i="6"/>
  <c r="H340" i="6"/>
  <c r="J340" i="6"/>
  <c r="C343" i="6"/>
  <c r="C340" i="6"/>
  <c r="E8" i="37" l="1"/>
  <c r="D11" i="37"/>
  <c r="D25" i="37"/>
  <c r="D26" i="37"/>
  <c r="D8" i="38"/>
  <c r="C10" i="38"/>
  <c r="C24" i="38"/>
  <c r="C25" i="38"/>
  <c r="E27" i="7"/>
  <c r="C344" i="6"/>
  <c r="C26" i="38" l="1"/>
  <c r="D27" i="37"/>
  <c r="E8" i="38"/>
  <c r="D25" i="38"/>
  <c r="D10" i="38"/>
  <c r="D24" i="38"/>
  <c r="E26" i="37"/>
  <c r="E11" i="37"/>
  <c r="E25" i="37"/>
  <c r="C30" i="37" s="1"/>
  <c r="C346" i="6"/>
  <c r="E27" i="37" l="1"/>
  <c r="D26" i="38"/>
  <c r="C31" i="37"/>
  <c r="E10" i="38"/>
  <c r="E25" i="38"/>
  <c r="E24" i="38"/>
  <c r="C29" i="38" s="1"/>
  <c r="C33" i="37"/>
  <c r="E26" i="38" l="1"/>
  <c r="C32" i="38" s="1"/>
  <c r="C30" i="38"/>
  <c r="C142" i="7" l="1"/>
  <c r="C204" i="7" l="1"/>
  <c r="C31" i="7"/>
  <c r="C143" i="7"/>
  <c r="C205" i="7"/>
  <c r="C30" i="7"/>
  <c r="C144" i="7" l="1"/>
  <c r="C206" i="7"/>
  <c r="C38" i="7"/>
  <c r="C33" i="7"/>
  <c r="C97" i="7" l="1"/>
  <c r="C108" i="7"/>
  <c r="C130" i="7" s="1"/>
  <c r="D94" i="7"/>
  <c r="D97" i="7"/>
  <c r="D123" i="7" s="1"/>
  <c r="E110" i="7"/>
  <c r="E99" i="7"/>
  <c r="G90" i="7"/>
  <c r="E98" i="7"/>
  <c r="C37" i="7"/>
  <c r="C39" i="7" s="1"/>
  <c r="D95" i="7"/>
  <c r="E91" i="7"/>
  <c r="I97" i="7"/>
  <c r="E114" i="7"/>
  <c r="E109" i="7"/>
  <c r="C94" i="7"/>
  <c r="H97" i="7"/>
  <c r="E113" i="7"/>
  <c r="E92" i="7"/>
  <c r="C95" i="7"/>
  <c r="H90" i="7"/>
  <c r="C112" i="7"/>
  <c r="G97" i="7"/>
  <c r="G123" i="7" s="1"/>
  <c r="I90" i="7"/>
  <c r="J90" i="7" s="1"/>
  <c r="J122" i="7" s="1"/>
  <c r="F90" i="7"/>
  <c r="F97" i="7"/>
  <c r="D122" i="7" l="1"/>
  <c r="G122" i="7"/>
  <c r="E122" i="7"/>
  <c r="F130" i="7"/>
  <c r="J97" i="7"/>
  <c r="I123" i="7"/>
  <c r="E123" i="7"/>
  <c r="C122" i="7"/>
  <c r="C131" i="7"/>
  <c r="H122" i="7"/>
  <c r="C123" i="7"/>
  <c r="H123" i="7"/>
  <c r="F131" i="7"/>
  <c r="F122" i="7"/>
  <c r="I122" i="7"/>
  <c r="F123" i="7"/>
  <c r="D124" i="7" l="1"/>
  <c r="G124" i="7"/>
  <c r="F132" i="7"/>
  <c r="E124" i="7"/>
  <c r="C132" i="7"/>
  <c r="J123" i="7"/>
  <c r="C136" i="7"/>
  <c r="I124" i="7"/>
  <c r="H124" i="7"/>
  <c r="F124" i="7"/>
  <c r="C124" i="7"/>
  <c r="E136" i="7" l="1"/>
  <c r="J124" i="7"/>
  <c r="C137" i="7"/>
  <c r="C147" i="7" l="1"/>
  <c r="E147" i="7" s="1"/>
  <c r="C166" i="7" s="1"/>
  <c r="E137" i="7"/>
  <c r="C138" i="7"/>
  <c r="I162" i="7" l="1"/>
  <c r="J162" i="7"/>
  <c r="C180" i="7"/>
  <c r="C167" i="7"/>
  <c r="D166" i="7"/>
  <c r="E182" i="7"/>
  <c r="F162" i="7"/>
  <c r="D167" i="7"/>
  <c r="G162" i="7"/>
  <c r="H162" i="7"/>
  <c r="E164" i="7"/>
  <c r="E181" i="7"/>
  <c r="E163" i="7"/>
  <c r="E138" i="7"/>
  <c r="C148" i="7"/>
  <c r="H194" i="7" l="1"/>
  <c r="I194" i="7"/>
  <c r="J194" i="7"/>
  <c r="G194" i="7"/>
  <c r="D194" i="7"/>
  <c r="K194" i="7"/>
  <c r="C194" i="7"/>
  <c r="F194" i="7"/>
  <c r="L194" i="7"/>
  <c r="E194" i="7"/>
  <c r="E148" i="7"/>
  <c r="C169" i="7" s="1"/>
  <c r="C149" i="7"/>
  <c r="C198" i="7" l="1"/>
  <c r="G169" i="7"/>
  <c r="E171" i="7"/>
  <c r="C184" i="7"/>
  <c r="E170" i="7"/>
  <c r="H169" i="7"/>
  <c r="E186" i="7"/>
  <c r="D169" i="7"/>
  <c r="F169" i="7"/>
  <c r="J169" i="7"/>
  <c r="E185" i="7"/>
  <c r="I169" i="7"/>
  <c r="C209" i="7" l="1"/>
  <c r="E209" i="7" s="1"/>
  <c r="D195" i="7"/>
  <c r="E195" i="7"/>
  <c r="K195" i="7"/>
  <c r="C195" i="7"/>
  <c r="I195" i="7"/>
  <c r="J195" i="7"/>
  <c r="L195" i="7"/>
  <c r="F195" i="7"/>
  <c r="H195" i="7"/>
  <c r="G195" i="7"/>
  <c r="F196" i="7" l="1"/>
  <c r="E196" i="7"/>
  <c r="H196" i="7"/>
  <c r="J196" i="7"/>
  <c r="I196" i="7"/>
  <c r="K196" i="7"/>
  <c r="G196" i="7"/>
  <c r="L196" i="7"/>
  <c r="C199" i="7"/>
  <c r="C196" i="7"/>
  <c r="D196" i="7"/>
  <c r="C210" i="7" l="1"/>
  <c r="C200" i="7"/>
  <c r="C211" i="7" l="1"/>
  <c r="E210" i="7"/>
  <c r="E211" i="7" l="1"/>
</calcChain>
</file>

<file path=xl/sharedStrings.xml><?xml version="1.0" encoding="utf-8"?>
<sst xmlns="http://schemas.openxmlformats.org/spreadsheetml/2006/main" count="1113" uniqueCount="438">
  <si>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</si>
  <si>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</si>
  <si>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</si>
  <si>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</si>
  <si>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</si>
  <si>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</si>
  <si>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</si>
  <si>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</si>
  <si>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</si>
  <si>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</si>
  <si>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</si>
  <si>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</si>
  <si>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</si>
  <si>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</si>
  <si>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</si>
  <si>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</si>
  <si>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</si>
  <si>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</si>
  <si>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</si>
  <si>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</si>
  <si>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</si>
  <si>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</si>
  <si>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</si>
  <si>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</si>
  <si>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</si>
  <si>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</si>
  <si>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</si>
  <si>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</si>
  <si>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</si>
  <si>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</si>
  <si>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</si>
  <si>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</si>
  <si>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</si>
  <si>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</si>
  <si>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</si>
  <si>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</si>
  <si>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</si>
  <si>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</si>
  <si>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</si>
  <si>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</si>
  <si>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</si>
  <si>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</si>
  <si>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</si>
  <si>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</si>
  <si>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</si>
  <si>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</si>
  <si>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</si>
  <si>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</si>
  <si>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</si>
  <si>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</si>
  <si>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</si>
  <si>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</si>
  <si>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</si>
  <si>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</si>
  <si>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</si>
  <si>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</si>
  <si>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</si>
  <si>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</si>
  <si>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</si>
  <si>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</si>
  <si>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</si>
  <si>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</si>
  <si>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</si>
  <si>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</si>
  <si>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</si>
  <si>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</si>
  <si>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</si>
  <si>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</si>
  <si>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</si>
  <si>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</si>
  <si>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</si>
  <si>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</si>
  <si>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</si>
  <si>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</si>
  <si>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</si>
  <si>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</si>
  <si>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</si>
  <si>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</si>
  <si>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</si>
  <si>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</si>
  <si>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</si>
  <si>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</si>
  <si>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</si>
  <si>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</si>
  <si>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</si>
  <si>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</si>
  <si>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</si>
  <si>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</si>
  <si>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</si>
  <si>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</si>
  <si>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</si>
  <si>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</si>
  <si>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</si>
  <si>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</si>
  <si>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</si>
  <si>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</si>
  <si>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</si>
  <si>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</si>
  <si>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</si>
  <si>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</si>
  <si>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</si>
  <si>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</si>
  <si>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</si>
  <si>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</si>
  <si>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</si>
  <si>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</si>
  <si>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</si>
  <si>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</si>
  <si>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</si>
  <si>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</si>
  <si>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</si>
  <si>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</si>
  <si>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</si>
  <si>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</si>
  <si>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</si>
  <si>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</si>
  <si>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</si>
  <si>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</si>
  <si>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</si>
  <si>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</si>
  <si>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</si>
  <si>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</si>
  <si>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</si>
  <si>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</si>
  <si>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</si>
  <si>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</si>
  <si>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</si>
  <si>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</si>
  <si>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</si>
  <si>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</si>
  <si>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</si>
  <si>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</si>
  <si>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</si>
  <si>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</si>
  <si>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</si>
  <si>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</si>
  <si>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</si>
  <si>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</si>
  <si>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</si>
  <si>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</si>
  <si>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</si>
  <si>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</si>
  <si>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</si>
  <si>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</si>
  <si>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</si>
  <si>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</si>
  <si>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</si>
  <si>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</si>
  <si>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</si>
  <si>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</si>
  <si>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</si>
  <si>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</si>
  <si>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</si>
  <si>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</si>
  <si>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</si>
  <si>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</si>
  <si>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</si>
  <si>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</si>
  <si>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</si>
  <si>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</si>
  <si>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</si>
  <si>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</si>
  <si>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</si>
  <si>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</si>
  <si>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</si>
  <si>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</si>
  <si>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</si>
  <si>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</si>
  <si>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</si>
  <si>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</si>
  <si>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</si>
  <si>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</si>
  <si>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</si>
  <si>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</si>
  <si>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</si>
  <si>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</si>
  <si>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</si>
  <si>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</si>
  <si>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</si>
  <si>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</si>
  <si>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</si>
  <si>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</si>
  <si>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</si>
  <si>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</si>
  <si>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</si>
  <si>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</si>
  <si>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</si>
  <si>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</si>
  <si>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</si>
  <si>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</si>
  <si>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</si>
  <si>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</si>
  <si>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</si>
  <si>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</si>
  <si>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</si>
  <si>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</si>
  <si>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</si>
  <si>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</si>
  <si>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</si>
  <si>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</si>
  <si>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</si>
  <si>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</si>
  <si>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</si>
  <si>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</si>
  <si>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</si>
  <si>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</si>
  <si>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</si>
  <si>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</si>
  <si>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</si>
  <si>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</si>
  <si>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</si>
  <si>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</si>
  <si>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</si>
  <si>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</si>
  <si>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</si>
  <si>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</si>
  <si>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</si>
  <si>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</si>
  <si>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</si>
  <si>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</si>
  <si>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</si>
  <si>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</si>
  <si>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</si>
  <si>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</si>
  <si>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</si>
  <si>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</si>
  <si>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</si>
  <si>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</si>
  <si>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</si>
  <si>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</si>
  <si>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</si>
  <si>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</si>
  <si>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</si>
  <si>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</si>
  <si>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</si>
  <si>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</si>
  <si>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</si>
  <si>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</si>
  <si>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</si>
  <si>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</si>
  <si>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</si>
  <si>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</si>
  <si>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</si>
  <si>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</si>
  <si>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</si>
  <si>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</si>
  <si>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</si>
  <si>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</si>
  <si>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</si>
  <si>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</si>
  <si>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</si>
  <si>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</si>
  <si>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</si>
  <si>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</si>
  <si>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</si>
  <si>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</si>
  <si>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</si>
  <si>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</si>
  <si>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</si>
  <si>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</si>
  <si>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</si>
  <si>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</si>
  <si>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</si>
  <si>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</si>
  <si>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</si>
  <si>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</si>
  <si>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</si>
  <si>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</si>
  <si>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</si>
  <si>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</si>
  <si>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</si>
  <si>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</si>
  <si>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</si>
  <si>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</si>
  <si>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</si>
  <si>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</si>
  <si>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</si>
  <si>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</si>
  <si>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</si>
  <si>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</si>
  <si>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</si>
  <si>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</si>
  <si>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</si>
  <si>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</si>
  <si>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</si>
  <si>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</si>
  <si>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</si>
  <si>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</si>
  <si>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</si>
  <si>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</si>
  <si>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</si>
  <si>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</si>
  <si>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</si>
  <si>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</si>
  <si>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</si>
  <si>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</si>
  <si>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</si>
  <si>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</si>
  <si>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</si>
  <si>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</si>
  <si>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</si>
  <si>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</si>
  <si>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</si>
  <si>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</si>
  <si>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</si>
  <si>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</si>
  <si>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</si>
  <si>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</si>
  <si>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</si>
  <si>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</si>
  <si>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</si>
  <si>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</si>
  <si>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</si>
  <si>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</si>
  <si>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 xml:space="preserve"> NITS Rate</t>
  </si>
  <si>
    <t xml:space="preserve">Congestion Factors &amp; On/Off Peak Ratios </t>
  </si>
  <si>
    <t>Total Tranches</t>
  </si>
  <si>
    <t>Tranche %</t>
  </si>
  <si>
    <t>Yes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</si>
  <si>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</si>
  <si>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</si>
  <si>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</si>
  <si>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</si>
  <si>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</si>
  <si>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</si>
  <si>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</si>
  <si>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</si>
  <si>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</si>
  <si>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</si>
  <si>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Tariff (Result of 2018 Rate Case Loss Study)</t>
  </si>
  <si>
    <t>Tariff (Result of 2018 Loss Study)</t>
  </si>
  <si>
    <t>(based on W/N actuals used in settlement and final rate design of 2018 Rate Case, rounded to .1%)</t>
  </si>
  <si>
    <t>(same as 2003/2004 BGS blocking inversion)(generally not updated)</t>
  </si>
  <si>
    <t>remaining portion of 36 month bid - 2019 auction</t>
  </si>
  <si>
    <t>Base Capacity</t>
  </si>
  <si>
    <t>remaining portion of 36 month bid - 2020 auction</t>
  </si>
  <si>
    <t>Blocking Percentages based on Annualized W/N Usage Used in 2018 Electric Rate Case Settlement</t>
  </si>
  <si>
    <t>1A</t>
  </si>
  <si>
    <t>Capacity Proxy Price True-Up - in $/MWh</t>
  </si>
  <si>
    <t>entered after 2022 &amp; 2023 BGS Auctions</t>
  </si>
  <si>
    <t>1B</t>
  </si>
  <si>
    <t xml:space="preserve">Transmission Price </t>
  </si>
  <si>
    <t>asssumed transmission price in bids</t>
  </si>
  <si>
    <t>1C</t>
  </si>
  <si>
    <t>= line 1 + line 1A - line 1B</t>
  </si>
  <si>
    <t>= ((1 - 1B) * (2)/(3) * (4) * (6)) + ((1A) * (2)/(3) * (6))</t>
  </si>
  <si>
    <t>= ((1 - 1B) * (2)/(3) * (5) * (7)) + ((1A) * (2)/(3) * (7))</t>
  </si>
  <si>
    <t>Development of Assumed Transmission Price in Bids</t>
  </si>
  <si>
    <t>Calculation for 2019/2020 and 2020/2021</t>
  </si>
  <si>
    <t>Eligible Tranches</t>
  </si>
  <si>
    <t>= line 1 / line 2</t>
  </si>
  <si>
    <t>Transmission Obligations (MW)</t>
  </si>
  <si>
    <t>Obligations from filing years</t>
  </si>
  <si>
    <t>Adjustment Transmission Obligation (MW)</t>
  </si>
  <si>
    <t>= line 3 * line 4</t>
  </si>
  <si>
    <t>NITS Rate ($/MW-yr)</t>
  </si>
  <si>
    <t>NITS Rates from from 2019 and 2020</t>
  </si>
  <si>
    <t>Payment ($/yr)</t>
  </si>
  <si>
    <t>= line 5 * line 6</t>
  </si>
  <si>
    <t>Pre Loss Usage (MWh)</t>
  </si>
  <si>
    <t>Applicable usage from filing years</t>
  </si>
  <si>
    <t>Allocated Usage (MWh)</t>
  </si>
  <si>
    <t>= line 3 * line 8</t>
  </si>
  <si>
    <t>Transmission Price ($/MWh)</t>
  </si>
  <si>
    <t>= line 7 / line 9 (To Attachment 3, Table A, Line 1B)</t>
  </si>
  <si>
    <t>includes energy, Generation obligations, Ancillary Services and Renewable Power Costs- adjusted to billing time periods</t>
  </si>
  <si>
    <t>Including Generation Obligation $</t>
  </si>
  <si>
    <t>Annual - including Gen Obl $</t>
  </si>
  <si>
    <t>Development of  Capacity Proxy Price True-Up - $/MWh</t>
  </si>
  <si>
    <t xml:space="preserve">2021/2022 Delivery Year </t>
  </si>
  <si>
    <t>2021/22
Delivery Year</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</si>
  <si>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</si>
  <si>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</si>
  <si>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</si>
  <si>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</si>
  <si>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</si>
  <si>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</si>
  <si>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</si>
  <si>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</si>
  <si>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</si>
  <si>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</si>
  <si>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</si>
  <si>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</si>
  <si>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</si>
  <si>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</si>
  <si>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</si>
  <si>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</si>
  <si>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</si>
  <si>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2022/23
Delivery Year</t>
  </si>
  <si>
    <t>per Board Order dated 11/13/2019</t>
  </si>
  <si>
    <t>2023/24
Delivery Year</t>
  </si>
  <si>
    <t>Table A With Additional Line Item</t>
  </si>
  <si>
    <t>Calculation of June 2022 to May 2023 BGS-RSCP Rates</t>
  </si>
  <si>
    <t>Specific BGS-RSCP Auction &gt;&gt;</t>
  </si>
  <si>
    <t>remaining portion of 36 month bid - 2021 auction</t>
  </si>
  <si>
    <t>36 month bid - 2022 auction</t>
  </si>
  <si>
    <t>winning Bids</t>
  </si>
  <si>
    <t>22/23 Capacity Proxy Price True-up - in $/MWh</t>
  </si>
  <si>
    <t>entered after 2022 BGS Auction</t>
  </si>
  <si>
    <t>Transmission Price</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</si>
  <si>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</si>
  <si>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</si>
  <si>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</si>
  <si>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</si>
  <si>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</si>
  <si>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</si>
  <si>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Calculation of June 2023 to May 2024 BGS-RSCP Rates</t>
  </si>
  <si>
    <t>remaining portion of 36 month bid - 2022 auction</t>
  </si>
  <si>
    <t>36 month bid - 2023 auction</t>
  </si>
  <si>
    <t>23/24 Capacity Proxy Price True-up - in $/MWh</t>
  </si>
  <si>
    <t>entered after 2023 BGS Auction</t>
  </si>
  <si>
    <t xml:space="preserve">= line 1 + line 1A </t>
  </si>
  <si>
    <t>= ((1) * (2)/(3) * (4) * (6)) + ((1A) * (2)/(3) * (6))</t>
  </si>
  <si>
    <t>= ((1) * (2)/(3) * (5) * (7)) + ((1A) * (2)/(3) * (7))</t>
  </si>
  <si>
    <t>Using 2023/2024 Illustrative Data for PSE&amp;G</t>
  </si>
  <si>
    <t>Using 2022/2023 Illustrative Data for PSEG</t>
  </si>
  <si>
    <t>Illustrative Only</t>
  </si>
  <si>
    <t>Illustrative Purposes Only for PSE&amp;G</t>
  </si>
  <si>
    <t>2021 Illustrative (Excluding transmission)</t>
  </si>
  <si>
    <t xml:space="preserve">  Summer Averages for Aug 2017-Jul 2020</t>
  </si>
  <si>
    <t xml:space="preserve">  Winter Averages for Oct 2017-May 2020</t>
  </si>
  <si>
    <t>Capacity Proxy True Up</t>
  </si>
  <si>
    <t>as may be determined by the RPM or its successor or otherwise</t>
  </si>
  <si>
    <t>Zonal Capacity Price ($/MW-day)</t>
  </si>
  <si>
    <t>per Board Order dated 11/18/2020</t>
  </si>
  <si>
    <t>Based on average of year 2017,2018 &amp; 2019 Load Profile Information</t>
  </si>
  <si>
    <t>On-Peak periods as defined in specified rate schedule (average of %s for 2017, 2018 &amp; 2019)</t>
  </si>
  <si>
    <t>PJM - No update for 2021</t>
  </si>
  <si>
    <t>Obligations - Peak Load shares eff 1/1/21, scaling factors eff 6/1/20, Transmission Loads eff 1/1/21; costs are market estimates</t>
  </si>
  <si>
    <t>NYMEX Forwards (January 8, 2021) from NERA</t>
  </si>
  <si>
    <t xml:space="preserve"> forecasted 2020 energy use by class, PJM and PSE&amp;G on/off % from 2017, 2018 &amp; 2019 class load profiles</t>
  </si>
  <si>
    <t>Development of BGS-RSCP Cost and Bid Factors for 2021/2022 BGS Filing</t>
  </si>
  <si>
    <t>Calendar month sales forecasted for 2020, less % for LPL-Sec &gt; 500 kW Peak Load Share</t>
  </si>
  <si>
    <t>PJM June 1, 2020 (through May 31, 2021) Forecast Pool Requirement</t>
  </si>
  <si>
    <t>36 month bid - 2021 Auction</t>
  </si>
  <si>
    <t>Calculation of June 2021 to May 2022 BGS-RSCP Rates</t>
  </si>
  <si>
    <t>NON-DEMAND RATES ------------------------------------------------------------------------------------------------------------------------------------------------</t>
  </si>
  <si>
    <t>DEMAND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</si>
</sst>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12"/>
      <color indexed="8"/>
      <name val="Arial"/>
      <family val="2"/>
    </font>
    <font>
      <b/>
      <sz val="10"/>
      <color rgb="FFFF0000"/>
      <name val="Arial"/>
      <family val="2"/>
    </font>
    <font>
      <sz val="10"/>
      <name val="Times New Roman"/>
      <family val="1"/>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i/>
      <sz val="8"/>
      <color rgb="FF161BF6"/>
      <name val="Arial"/>
      <family val="2"/>
    </font>
    <font>
      <sz val="10"/>
      <color rgb="FF0000FF"/>
      <name val="Arial"/>
      <family val="2"/>
    </font>
    <font>
      <b/>
      <sz val="16"/>
      <name val="Arial"/>
      <family val="2"/>
    </font>
    <font>
      <b/>
      <i/>
      <sz val="10"/>
      <color rgb="FFFF0000"/>
      <name val="Arial"/>
      <family val="2"/>
    </font>
    <font>
      <sz val="10"/>
      <color rgb="FFC00000"/>
      <name val="Arial"/>
      <family val="2"/>
    </font>
    <font>
      <sz val="10"/>
      <color rgb="FFFF000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1" tint="0.49998474074526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3">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8" borderId="8" applyNumberFormat="0" applyProtection="0">
      <alignment vertical="center"/>
    </xf>
    <xf numFmtId="0" fontId="19" fillId="0" borderId="9" applyNumberFormat="0" applyFont="0" applyFill="0" applyAlignment="0" applyProtection="0"/>
    <xf numFmtId="0" fontId="49"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4" fillId="28" borderId="8" applyNumberFormat="0" applyProtection="0">
      <alignment vertical="center"/>
    </xf>
    <xf numFmtId="4" fontId="26" fillId="28" borderId="8" applyNumberFormat="0" applyProtection="0">
      <alignment horizontal="left" vertical="center" indent="1"/>
    </xf>
    <xf numFmtId="4" fontId="26" fillId="28" borderId="8" applyNumberFormat="0" applyProtection="0">
      <alignment horizontal="left" vertical="center" indent="1"/>
    </xf>
    <xf numFmtId="0" fontId="5" fillId="29" borderId="8" applyNumberFormat="0" applyProtection="0">
      <alignment horizontal="left" vertical="center" indent="1"/>
    </xf>
    <xf numFmtId="4" fontId="26" fillId="30" borderId="8" applyNumberFormat="0" applyProtection="0">
      <alignment horizontal="right" vertical="center"/>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40" fillId="39" borderId="8" applyNumberFormat="0" applyProtection="0">
      <alignment horizontal="left" vertical="center" indent="1"/>
    </xf>
    <xf numFmtId="4" fontId="26" fillId="40" borderId="27" applyNumberFormat="0" applyProtection="0">
      <alignment horizontal="left" vertical="center" indent="1"/>
    </xf>
    <xf numFmtId="4" fontId="50" fillId="41" borderId="0" applyNumberFormat="0" applyProtection="0">
      <alignment horizontal="left" vertical="center" indent="1"/>
    </xf>
    <xf numFmtId="0" fontId="5" fillId="29" borderId="8" applyNumberFormat="0" applyProtection="0">
      <alignment horizontal="left" vertical="center" indent="1"/>
    </xf>
    <xf numFmtId="4" fontId="26" fillId="40" borderId="8" applyNumberFormat="0" applyProtection="0">
      <alignment horizontal="left" vertical="center" indent="1"/>
    </xf>
    <xf numFmtId="4" fontId="26" fillId="27" borderId="8" applyNumberFormat="0" applyProtection="0">
      <alignment horizontal="left" vertical="center" indent="1"/>
    </xf>
    <xf numFmtId="0" fontId="5" fillId="27" borderId="8" applyNumberFormat="0" applyProtection="0">
      <alignment horizontal="left" vertical="center" indent="1"/>
    </xf>
    <xf numFmtId="0" fontId="5" fillId="27" borderId="8" applyNumberFormat="0" applyProtection="0">
      <alignment horizontal="left" vertical="center" indent="1"/>
    </xf>
    <xf numFmtId="0" fontId="5" fillId="42" borderId="8" applyNumberFormat="0" applyProtection="0">
      <alignment horizontal="left" vertical="center" indent="1"/>
    </xf>
    <xf numFmtId="0" fontId="5" fillId="42"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4" fontId="26" fillId="43" borderId="8" applyNumberFormat="0" applyProtection="0">
      <alignment vertical="center"/>
    </xf>
    <xf numFmtId="4" fontId="54" fillId="43" borderId="8" applyNumberFormat="0" applyProtection="0">
      <alignment vertical="center"/>
    </xf>
    <xf numFmtId="4" fontId="26" fillId="43" borderId="8" applyNumberFormat="0" applyProtection="0">
      <alignment horizontal="left" vertical="center" indent="1"/>
    </xf>
    <xf numFmtId="4" fontId="26" fillId="43" borderId="8" applyNumberFormat="0" applyProtection="0">
      <alignment horizontal="left" vertical="center" indent="1"/>
    </xf>
    <xf numFmtId="4" fontId="26" fillId="40" borderId="8" applyNumberFormat="0" applyProtection="0">
      <alignment horizontal="right" vertical="center"/>
    </xf>
    <xf numFmtId="4" fontId="54" fillId="40" borderId="8" applyNumberFormat="0" applyProtection="0">
      <alignment horizontal="right" vertical="center"/>
    </xf>
    <xf numFmtId="0" fontId="5" fillId="29" borderId="8" applyNumberFormat="0" applyProtection="0">
      <alignment horizontal="left" vertical="center" indent="1"/>
    </xf>
    <xf numFmtId="0" fontId="5" fillId="29" borderId="8" applyNumberFormat="0" applyProtection="0">
      <alignment horizontal="left" vertical="center" indent="1"/>
    </xf>
    <xf numFmtId="0" fontId="55" fillId="0" borderId="0"/>
    <xf numFmtId="4" fontId="20" fillId="40"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xf numFmtId="43" fontId="5" fillId="0" borderId="0" applyFont="0" applyFill="0" applyBorder="0" applyAlignment="0" applyProtection="0"/>
    <xf numFmtId="4" fontId="26" fillId="40" borderId="8" applyNumberFormat="0" applyProtection="0">
      <alignment horizontal="left" vertical="center" indent="1"/>
    </xf>
    <xf numFmtId="4" fontId="26" fillId="27" borderId="8" applyNumberFormat="0" applyProtection="0">
      <alignment horizontal="left" vertical="center" indent="1"/>
    </xf>
    <xf numFmtId="0" fontId="5" fillId="0" borderId="0"/>
    <xf numFmtId="0" fontId="5" fillId="0" borderId="0"/>
    <xf numFmtId="0" fontId="5" fillId="0" borderId="0"/>
  </cellStyleXfs>
  <cellXfs count="464">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5" fillId="0" borderId="0" xfId="0" applyFont="1" applyFill="1"/>
    <xf numFmtId="0" fontId="7" fillId="24" borderId="0" xfId="0" applyFont="1" applyFill="1" applyBorder="1"/>
    <xf numFmtId="44" fontId="45"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0" fontId="5" fillId="0" borderId="0" xfId="85" applyFill="1"/>
    <xf numFmtId="0" fontId="10" fillId="0" borderId="0" xfId="85" applyFont="1" applyFill="1"/>
    <xf numFmtId="0" fontId="9" fillId="0" borderId="0" xfId="85" applyFont="1" applyFill="1" applyAlignment="1">
      <alignment horizontal="center" wrapText="1"/>
    </xf>
    <xf numFmtId="0" fontId="10" fillId="0" borderId="0" xfId="85" applyFont="1" applyAlignment="1">
      <alignment horizontal="center"/>
    </xf>
    <xf numFmtId="0" fontId="5" fillId="0" borderId="0" xfId="85" applyFont="1" applyFill="1"/>
    <xf numFmtId="44" fontId="5" fillId="0" borderId="0" xfId="33" applyNumberFormat="1" applyFont="1" applyFill="1"/>
    <xf numFmtId="167" fontId="5" fillId="0" borderId="0" xfId="0" applyNumberFormat="1" applyFont="1" applyFill="1"/>
    <xf numFmtId="0" fontId="0" fillId="0" borderId="0" xfId="0" applyFill="1" applyAlignment="1">
      <alignment horizontal="center"/>
    </xf>
    <xf numFmtId="0" fontId="5" fillId="0" borderId="0" xfId="85"/>
    <xf numFmtId="169" fontId="45" fillId="0" borderId="0" xfId="33" applyNumberFormat="1" applyFont="1" applyFill="1"/>
    <xf numFmtId="0" fontId="45" fillId="0" borderId="0" xfId="0" applyFont="1" applyFill="1"/>
    <xf numFmtId="0" fontId="7" fillId="0" borderId="0" xfId="85" applyFont="1" applyFill="1"/>
    <xf numFmtId="0" fontId="5" fillId="0" borderId="0" xfId="85" applyFill="1" applyAlignment="1">
      <alignment horizontal="right"/>
    </xf>
    <xf numFmtId="44" fontId="5" fillId="0" borderId="0" xfId="100" applyNumberFormat="1" applyFont="1" applyFill="1"/>
    <xf numFmtId="0" fontId="5" fillId="0" borderId="0" xfId="85" quotePrefix="1" applyFill="1"/>
    <xf numFmtId="44" fontId="5" fillId="0" borderId="0" xfId="85" applyNumberFormat="1" applyFill="1"/>
    <xf numFmtId="0" fontId="7" fillId="0" borderId="0" xfId="85" applyFont="1" applyFill="1" applyAlignment="1">
      <alignment horizontal="center"/>
    </xf>
    <xf numFmtId="3" fontId="8" fillId="0" borderId="0" xfId="85" applyNumberFormat="1" applyFont="1" applyFill="1"/>
    <xf numFmtId="0" fontId="9" fillId="0" borderId="0" xfId="85" applyFont="1" applyFill="1"/>
    <xf numFmtId="0" fontId="5" fillId="0" borderId="0" xfId="85" applyFill="1" applyAlignment="1">
      <alignment horizontal="center"/>
    </xf>
    <xf numFmtId="3" fontId="5" fillId="0" borderId="0" xfId="85" applyNumberFormat="1" applyFont="1" applyFill="1"/>
    <xf numFmtId="169" fontId="5" fillId="0" borderId="0" xfId="85" applyNumberFormat="1" applyFill="1"/>
    <xf numFmtId="17" fontId="5" fillId="0" borderId="0" xfId="85" applyNumberFormat="1" applyFill="1"/>
    <xf numFmtId="44" fontId="5" fillId="0" borderId="17" xfId="85" applyNumberFormat="1" applyFill="1" applyBorder="1"/>
    <xf numFmtId="10" fontId="0" fillId="0" borderId="0" xfId="57" applyNumberFormat="1" applyFont="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0" fontId="56" fillId="0" borderId="0" xfId="0" applyFont="1" applyFill="1" applyAlignment="1"/>
    <xf numFmtId="0" fontId="57" fillId="0" borderId="0" xfId="0" applyFont="1" applyFill="1"/>
    <xf numFmtId="0" fontId="5" fillId="0" borderId="0" xfId="0" applyFont="1" applyFill="1" applyAlignment="1"/>
    <xf numFmtId="3" fontId="0" fillId="25" borderId="0" xfId="0" applyNumberFormat="1" applyFill="1" applyAlignment="1">
      <alignment horizontal="center"/>
    </xf>
    <xf numFmtId="3" fontId="0" fillId="25" borderId="17" xfId="0" applyNumberFormat="1" applyFill="1" applyBorder="1" applyAlignment="1">
      <alignment horizontal="center"/>
    </xf>
    <xf numFmtId="0" fontId="5" fillId="0" borderId="0" xfId="85" applyFont="1"/>
    <xf numFmtId="0" fontId="5" fillId="0" borderId="0" xfId="85" applyFill="1" applyBorder="1"/>
    <xf numFmtId="169" fontId="45" fillId="0" borderId="17" xfId="33" applyNumberFormat="1" applyFont="1" applyFill="1" applyBorder="1"/>
    <xf numFmtId="0" fontId="10" fillId="0" borderId="0" xfId="85" applyFont="1"/>
    <xf numFmtId="0" fontId="7" fillId="0" borderId="0" xfId="85" applyFont="1" applyFill="1" applyBorder="1" applyAlignment="1">
      <alignment horizontal="center"/>
    </xf>
    <xf numFmtId="0" fontId="58" fillId="0" borderId="0" xfId="85" applyFont="1"/>
    <xf numFmtId="0" fontId="5" fillId="0" borderId="0" xfId="85" quotePrefix="1" applyFont="1"/>
    <xf numFmtId="164" fontId="58" fillId="0" borderId="0" xfId="85" applyNumberFormat="1" applyFont="1"/>
    <xf numFmtId="164" fontId="5" fillId="0" borderId="0" xfId="85" applyNumberFormat="1"/>
    <xf numFmtId="44" fontId="58" fillId="0" borderId="0" xfId="33" applyFont="1" applyFill="1"/>
    <xf numFmtId="44" fontId="58" fillId="0" borderId="0" xfId="33" applyFont="1" applyFill="1" applyBorder="1"/>
    <xf numFmtId="169" fontId="5" fillId="0" borderId="0" xfId="85" applyNumberFormat="1"/>
    <xf numFmtId="174" fontId="58" fillId="0" borderId="0" xfId="85" applyNumberFormat="1" applyFont="1" applyFill="1"/>
    <xf numFmtId="174" fontId="58" fillId="0" borderId="0" xfId="85" applyNumberFormat="1" applyFont="1" applyFill="1" applyBorder="1"/>
    <xf numFmtId="174" fontId="5" fillId="0" borderId="0" xfId="85" applyNumberFormat="1"/>
    <xf numFmtId="0" fontId="7" fillId="0" borderId="0" xfId="85" applyFont="1" applyFill="1" applyBorder="1"/>
    <xf numFmtId="44" fontId="7" fillId="0" borderId="0" xfId="85" applyNumberFormat="1" applyFont="1"/>
    <xf numFmtId="0" fontId="48" fillId="0" borderId="0" xfId="85" applyFont="1" applyAlignment="1">
      <alignment horizontal="center"/>
    </xf>
    <xf numFmtId="0" fontId="5" fillId="0" borderId="0" xfId="85" applyFont="1" applyAlignment="1">
      <alignment horizontal="center" wrapText="1"/>
    </xf>
    <xf numFmtId="0" fontId="5" fillId="0" borderId="0" xfId="85" quotePrefix="1" applyFont="1" applyAlignment="1">
      <alignment horizontal="center"/>
    </xf>
    <xf numFmtId="178" fontId="5" fillId="0" borderId="17" xfId="85" quotePrefix="1" applyNumberFormat="1" applyFont="1" applyBorder="1" applyAlignment="1">
      <alignment horizontal="right"/>
    </xf>
    <xf numFmtId="178" fontId="5" fillId="0" borderId="0" xfId="85" quotePrefix="1" applyNumberFormat="1" applyFont="1" applyAlignment="1">
      <alignment horizontal="right"/>
    </xf>
    <xf numFmtId="168" fontId="5" fillId="0" borderId="0" xfId="85" applyNumberFormat="1" applyFont="1"/>
    <xf numFmtId="3" fontId="5" fillId="0" borderId="17" xfId="85" applyNumberFormat="1" applyFont="1" applyBorder="1"/>
    <xf numFmtId="182" fontId="5" fillId="0" borderId="0" xfId="85" quotePrefix="1" applyNumberFormat="1" applyFont="1" applyAlignment="1">
      <alignment horizontal="right"/>
    </xf>
    <xf numFmtId="182" fontId="5" fillId="0" borderId="0" xfId="85" applyNumberFormat="1" applyFont="1"/>
    <xf numFmtId="0" fontId="7" fillId="0" borderId="0" xfId="85" applyFont="1" applyFill="1" applyAlignment="1">
      <alignment wrapText="1"/>
    </xf>
    <xf numFmtId="174" fontId="5" fillId="0" borderId="0" xfId="28" applyNumberFormat="1" applyFont="1"/>
    <xf numFmtId="174" fontId="5" fillId="0" borderId="17" xfId="28" applyNumberFormat="1" applyFont="1" applyBorder="1"/>
    <xf numFmtId="10" fontId="5" fillId="0" borderId="0" xfId="57" applyNumberFormat="1" applyFont="1"/>
    <xf numFmtId="3" fontId="5" fillId="0" borderId="0" xfId="85" applyNumberFormat="1" applyFont="1"/>
    <xf numFmtId="3" fontId="5" fillId="0" borderId="17" xfId="85" applyNumberFormat="1" applyBorder="1"/>
    <xf numFmtId="182" fontId="5" fillId="0" borderId="0" xfId="85" applyNumberFormat="1"/>
    <xf numFmtId="178" fontId="7" fillId="0" borderId="26" xfId="85" applyNumberFormat="1" applyFont="1" applyBorder="1"/>
    <xf numFmtId="0" fontId="7" fillId="0" borderId="0" xfId="85" quotePrefix="1" applyFont="1"/>
    <xf numFmtId="3" fontId="5" fillId="0" borderId="0" xfId="85" applyNumberFormat="1"/>
    <xf numFmtId="178" fontId="5" fillId="0" borderId="0" xfId="85" applyNumberFormat="1"/>
    <xf numFmtId="0" fontId="59" fillId="0" borderId="0" xfId="85" applyFont="1" applyFill="1"/>
    <xf numFmtId="0" fontId="60" fillId="0" borderId="0" xfId="85" applyFont="1" applyFill="1"/>
    <xf numFmtId="0" fontId="12" fillId="0" borderId="0" xfId="85" applyFont="1" applyFill="1" applyAlignment="1">
      <alignment horizontal="center"/>
    </xf>
    <xf numFmtId="0" fontId="5" fillId="0" borderId="0" xfId="85" applyFont="1" applyFill="1" applyAlignment="1">
      <alignment horizontal="center"/>
    </xf>
    <xf numFmtId="44" fontId="61" fillId="0" borderId="0" xfId="33" applyFont="1" applyFill="1"/>
    <xf numFmtId="166" fontId="62" fillId="44" borderId="0" xfId="85" applyNumberFormat="1" applyFont="1" applyFill="1"/>
    <xf numFmtId="44" fontId="45" fillId="0" borderId="0" xfId="100" applyFont="1" applyFill="1"/>
    <xf numFmtId="0" fontId="5" fillId="0" borderId="0" xfId="85" quotePrefix="1" applyFont="1" applyFill="1"/>
    <xf numFmtId="0" fontId="8" fillId="0" borderId="0" xfId="85" applyFont="1" applyFill="1"/>
    <xf numFmtId="166" fontId="8" fillId="0" borderId="0" xfId="85" applyNumberFormat="1" applyFont="1" applyFill="1"/>
    <xf numFmtId="169" fontId="45" fillId="0" borderId="0" xfId="100" applyNumberFormat="1" applyFont="1" applyFill="1"/>
    <xf numFmtId="0" fontId="45" fillId="0" borderId="0" xfId="85" applyFont="1" applyFill="1"/>
    <xf numFmtId="169" fontId="53" fillId="0" borderId="0" xfId="100" applyNumberFormat="1" applyFont="1" applyFill="1"/>
    <xf numFmtId="44" fontId="0" fillId="0" borderId="0" xfId="100" applyNumberFormat="1" applyFont="1" applyFill="1"/>
    <xf numFmtId="172" fontId="5" fillId="0" borderId="0" xfId="85" applyNumberFormat="1" applyFill="1"/>
    <xf numFmtId="172" fontId="5" fillId="0" borderId="0" xfId="100" applyNumberFormat="1" applyFont="1" applyFill="1"/>
    <xf numFmtId="44" fontId="7" fillId="0" borderId="0" xfId="100" quotePrefix="1" applyNumberFormat="1" applyFont="1" applyFill="1"/>
    <xf numFmtId="0" fontId="7" fillId="0" borderId="0" xfId="85" applyFont="1" applyFill="1" applyAlignment="1">
      <alignment horizontal="left"/>
    </xf>
    <xf numFmtId="169" fontId="16" fillId="0" borderId="0" xfId="85" applyNumberFormat="1" applyFont="1" applyFill="1"/>
    <xf numFmtId="169" fontId="0" fillId="0" borderId="0" xfId="100" applyNumberFormat="1" applyFont="1" applyFill="1"/>
    <xf numFmtId="0" fontId="12" fillId="0" borderId="0" xfId="85" applyFont="1" applyFill="1" applyAlignment="1">
      <alignment horizontal="left"/>
    </xf>
    <xf numFmtId="175" fontId="5" fillId="0" borderId="0" xfId="28" quotePrefix="1" applyNumberFormat="1" applyFont="1" applyFill="1" applyBorder="1"/>
    <xf numFmtId="17" fontId="5" fillId="0" borderId="0" xfId="85" applyNumberFormat="1" applyFill="1" applyAlignment="1">
      <alignment horizontal="right"/>
    </xf>
    <xf numFmtId="43" fontId="5" fillId="0" borderId="0" xfId="28" quotePrefix="1" applyNumberFormat="1" applyFont="1" applyFill="1" applyBorder="1"/>
    <xf numFmtId="43" fontId="5" fillId="0" borderId="0" xfId="28" applyNumberFormat="1" applyFont="1" applyFill="1" applyBorder="1" applyAlignment="1">
      <alignment horizontal="right"/>
    </xf>
    <xf numFmtId="175" fontId="5" fillId="0" borderId="0" xfId="85" applyNumberFormat="1" applyFill="1"/>
    <xf numFmtId="175" fontId="7" fillId="0" borderId="0" xfId="85" applyNumberFormat="1" applyFont="1" applyFill="1"/>
    <xf numFmtId="0" fontId="7" fillId="0" borderId="0" xfId="85" applyFont="1" applyFill="1" applyAlignment="1">
      <alignment horizontal="right"/>
    </xf>
    <xf numFmtId="171" fontId="7" fillId="0" borderId="0" xfId="100" quotePrefix="1" applyNumberFormat="1" applyFont="1" applyFill="1" applyBorder="1"/>
    <xf numFmtId="0" fontId="5" fillId="0" borderId="0" xfId="85" applyFont="1" applyFill="1" applyAlignment="1">
      <alignment horizontal="left"/>
    </xf>
    <xf numFmtId="43" fontId="5" fillId="0" borderId="0" xfId="28" quotePrefix="1" applyNumberFormat="1" applyFont="1" applyFill="1"/>
    <xf numFmtId="175" fontId="5" fillId="0" borderId="0" xfId="28" quotePrefix="1" applyNumberFormat="1" applyFont="1" applyFill="1"/>
    <xf numFmtId="0" fontId="7" fillId="0" borderId="0" xfId="85" applyFont="1" applyFill="1" applyAlignment="1">
      <alignment horizontal="center" wrapText="1"/>
    </xf>
    <xf numFmtId="0" fontId="13" fillId="0" borderId="0" xfId="85" applyFont="1" applyFill="1" applyAlignment="1">
      <alignment horizontal="left"/>
    </xf>
    <xf numFmtId="172" fontId="5" fillId="0" borderId="0" xfId="100" quotePrefix="1" applyNumberFormat="1" applyFont="1" applyFill="1"/>
    <xf numFmtId="0" fontId="12" fillId="0" borderId="0" xfId="85" applyFont="1" applyFill="1"/>
    <xf numFmtId="166" fontId="12" fillId="0" borderId="0" xfId="85" applyNumberFormat="1" applyFont="1" applyFill="1"/>
    <xf numFmtId="172" fontId="7" fillId="0" borderId="0" xfId="100" quotePrefix="1" applyNumberFormat="1" applyFont="1" applyFill="1"/>
    <xf numFmtId="169" fontId="0" fillId="0" borderId="0" xfId="100" quotePrefix="1" applyNumberFormat="1" applyFont="1" applyFill="1"/>
    <xf numFmtId="169" fontId="16" fillId="0" borderId="0" xfId="100" applyNumberFormat="1" applyFont="1" applyFill="1"/>
    <xf numFmtId="169" fontId="16" fillId="0" borderId="0" xfId="100" quotePrefix="1" applyNumberFormat="1" applyFont="1" applyFill="1"/>
    <xf numFmtId="169" fontId="7" fillId="0" borderId="0" xfId="85" applyNumberFormat="1" applyFont="1" applyFill="1"/>
    <xf numFmtId="0" fontId="5" fillId="0" borderId="0" xfId="85" applyFill="1" applyAlignment="1">
      <alignment horizontal="left"/>
    </xf>
    <xf numFmtId="180" fontId="7" fillId="0" borderId="0" xfId="100" quotePrefix="1" applyNumberFormat="1" applyFont="1" applyFill="1"/>
    <xf numFmtId="0" fontId="13" fillId="0" borderId="0" xfId="85" applyFont="1" applyFill="1" applyAlignment="1">
      <alignment horizontal="center"/>
    </xf>
    <xf numFmtId="169" fontId="16" fillId="0" borderId="0" xfId="100" applyNumberFormat="1" applyFont="1" applyFill="1" applyBorder="1"/>
    <xf numFmtId="0" fontId="5" fillId="0" borderId="0" xfId="85" applyFill="1" applyAlignment="1">
      <alignment horizontal="center" wrapText="1"/>
    </xf>
    <xf numFmtId="169" fontId="5" fillId="0" borderId="17" xfId="85" applyNumberFormat="1" applyFill="1" applyBorder="1"/>
    <xf numFmtId="169" fontId="45" fillId="0" borderId="0" xfId="100" applyNumberFormat="1" applyFont="1"/>
    <xf numFmtId="0" fontId="51" fillId="0" borderId="0" xfId="85" applyFont="1" applyAlignment="1">
      <alignment horizontal="left"/>
    </xf>
    <xf numFmtId="178" fontId="5" fillId="0" borderId="0" xfId="85" applyNumberFormat="1" applyFont="1" applyFill="1"/>
    <xf numFmtId="178" fontId="5" fillId="0" borderId="17" xfId="85" quotePrefix="1" applyNumberFormat="1" applyFont="1" applyFill="1" applyBorder="1" applyAlignment="1">
      <alignment horizontal="right"/>
    </xf>
    <xf numFmtId="0" fontId="7" fillId="0" borderId="0" xfId="0" applyFont="1" applyFill="1" applyAlignment="1">
      <alignment horizontal="right"/>
    </xf>
    <xf numFmtId="0" fontId="0" fillId="0" borderId="0" xfId="0" applyFill="1" applyAlignment="1">
      <alignment horizontal="center"/>
    </xf>
    <xf numFmtId="0" fontId="62" fillId="0" borderId="0" xfId="0" applyFont="1" applyFill="1"/>
    <xf numFmtId="0" fontId="5" fillId="0" borderId="0" xfId="0" applyFont="1" applyFill="1" applyAlignment="1">
      <alignment horizontal="center"/>
    </xf>
    <xf numFmtId="44" fontId="5" fillId="0" borderId="0" xfId="33" applyFont="1" applyFill="1"/>
    <xf numFmtId="0" fontId="0" fillId="0" borderId="0" xfId="0" applyFont="1" applyFill="1"/>
    <xf numFmtId="44" fontId="45" fillId="0" borderId="28" xfId="33" applyFont="1" applyFill="1" applyBorder="1"/>
    <xf numFmtId="17" fontId="13" fillId="0" borderId="0" xfId="0" applyNumberFormat="1" applyFont="1" applyFill="1" applyAlignment="1">
      <alignment horizontal="left"/>
    </xf>
    <xf numFmtId="0" fontId="0" fillId="0" borderId="0" xfId="0" applyFill="1" applyBorder="1" applyAlignment="1">
      <alignment horizontal="left"/>
    </xf>
    <xf numFmtId="0" fontId="7"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11" fillId="0" borderId="0" xfId="0" applyFont="1" applyFill="1" applyBorder="1" applyAlignment="1">
      <alignment horizontal="left"/>
    </xf>
    <xf numFmtId="0" fontId="7" fillId="0" borderId="0" xfId="0" applyFont="1" applyFill="1" applyBorder="1"/>
    <xf numFmtId="0" fontId="12" fillId="0" borderId="0" xfId="0" applyFont="1" applyFill="1" applyBorder="1" applyAlignment="1">
      <alignment horizontal="left"/>
    </xf>
    <xf numFmtId="39" fontId="5" fillId="0" borderId="0" xfId="0" quotePrefix="1" applyNumberFormat="1" applyFont="1" applyFill="1" applyBorder="1"/>
    <xf numFmtId="0" fontId="9" fillId="0" borderId="0" xfId="0" applyFont="1" applyFill="1" applyBorder="1" applyAlignment="1">
      <alignment horizontal="left"/>
    </xf>
    <xf numFmtId="0" fontId="5" fillId="0" borderId="23" xfId="0" applyFont="1" applyFill="1" applyBorder="1"/>
    <xf numFmtId="0" fontId="9" fillId="0" borderId="23" xfId="0" applyFont="1" applyFill="1" applyBorder="1" applyAlignment="1">
      <alignment horizontal="center" wrapText="1"/>
    </xf>
    <xf numFmtId="0" fontId="9" fillId="0" borderId="23" xfId="0" applyFont="1" applyFill="1" applyBorder="1"/>
    <xf numFmtId="0" fontId="5" fillId="0" borderId="23" xfId="0" applyFont="1" applyFill="1" applyBorder="1" applyAlignment="1">
      <alignment wrapText="1"/>
    </xf>
    <xf numFmtId="0" fontId="9" fillId="0" borderId="0" xfId="0" applyFont="1" applyFill="1" applyBorder="1" applyAlignment="1">
      <alignment horizontal="center" wrapText="1"/>
    </xf>
    <xf numFmtId="0" fontId="5" fillId="0" borderId="0" xfId="0" applyFont="1" applyFill="1" applyBorder="1" applyAlignment="1">
      <alignment wrapText="1"/>
    </xf>
    <xf numFmtId="0" fontId="9" fillId="0" borderId="23" xfId="0" quotePrefix="1" applyFont="1" applyFill="1" applyBorder="1"/>
    <xf numFmtId="0" fontId="7" fillId="0" borderId="23" xfId="0" applyFont="1" applyFill="1" applyBorder="1" applyAlignment="1">
      <alignment horizontal="center"/>
    </xf>
    <xf numFmtId="0" fontId="14" fillId="0" borderId="0" xfId="0" applyFont="1" applyFill="1" applyBorder="1" applyAlignment="1">
      <alignment horizontal="center"/>
    </xf>
    <xf numFmtId="0" fontId="9" fillId="0" borderId="0" xfId="0" applyFont="1" applyFill="1" applyBorder="1" applyAlignment="1">
      <alignment horizontal="center"/>
    </xf>
    <xf numFmtId="0" fontId="0" fillId="0" borderId="23" xfId="0" applyFill="1" applyBorder="1"/>
    <xf numFmtId="17" fontId="0" fillId="0" borderId="23" xfId="0" applyNumberFormat="1" applyFill="1" applyBorder="1"/>
    <xf numFmtId="10" fontId="8" fillId="0" borderId="23" xfId="57" applyNumberFormat="1" applyFont="1" applyFill="1" applyBorder="1"/>
    <xf numFmtId="173" fontId="8" fillId="0" borderId="0" xfId="57" quotePrefix="1" applyNumberFormat="1" applyFont="1" applyFill="1" applyBorder="1"/>
    <xf numFmtId="9" fontId="5" fillId="0" borderId="0" xfId="57" quotePrefix="1" applyFont="1" applyFill="1" applyBorder="1"/>
    <xf numFmtId="17" fontId="0" fillId="0" borderId="0" xfId="0" applyNumberFormat="1" applyFill="1" applyBorder="1"/>
    <xf numFmtId="9" fontId="8" fillId="0" borderId="0" xfId="57" quotePrefix="1" applyFont="1" applyFill="1" applyBorder="1"/>
    <xf numFmtId="9" fontId="9" fillId="0" borderId="0" xfId="57" applyFont="1" applyFill="1" applyBorder="1"/>
    <xf numFmtId="9" fontId="8" fillId="0" borderId="0" xfId="57" applyNumberFormat="1" applyFont="1" applyFill="1" applyBorder="1"/>
    <xf numFmtId="10" fontId="8" fillId="0" borderId="23" xfId="57" quotePrefix="1" applyNumberFormat="1" applyFont="1" applyFill="1" applyBorder="1"/>
    <xf numFmtId="1" fontId="8" fillId="0" borderId="0" xfId="57" quotePrefix="1" applyNumberFormat="1" applyFont="1" applyFill="1" applyBorder="1"/>
    <xf numFmtId="17" fontId="7" fillId="0" borderId="0" xfId="0" applyNumberFormat="1" applyFont="1" applyFill="1" applyBorder="1"/>
    <xf numFmtId="17" fontId="9" fillId="0" borderId="0" xfId="0" applyNumberFormat="1" applyFont="1" applyFill="1" applyBorder="1"/>
    <xf numFmtId="0" fontId="15" fillId="0" borderId="0" xfId="49" applyFill="1" applyBorder="1" applyAlignment="1" applyProtection="1"/>
    <xf numFmtId="0" fontId="0" fillId="0" borderId="0" xfId="0" applyFill="1" applyBorder="1" applyAlignment="1">
      <alignment horizontal="center"/>
    </xf>
    <xf numFmtId="3" fontId="0" fillId="0" borderId="0" xfId="0" applyNumberFormat="1" applyFill="1" applyBorder="1" applyAlignment="1"/>
    <xf numFmtId="38" fontId="8" fillId="0" borderId="23" xfId="0" applyNumberFormat="1" applyFont="1" applyFill="1" applyBorder="1" applyAlignment="1">
      <alignment horizontal="right"/>
    </xf>
    <xf numFmtId="3" fontId="0" fillId="0" borderId="0" xfId="0" applyNumberFormat="1" applyFill="1" applyBorder="1"/>
    <xf numFmtId="9" fontId="0" fillId="0" borderId="0" xfId="57" applyFont="1" applyFill="1" applyBorder="1" applyAlignment="1"/>
    <xf numFmtId="174" fontId="8" fillId="0" borderId="0" xfId="28" applyNumberFormat="1" applyFont="1" applyFill="1" applyBorder="1" applyAlignment="1">
      <alignment horizontal="center"/>
    </xf>
    <xf numFmtId="173" fontId="5" fillId="0" borderId="0" xfId="0" applyNumberFormat="1" applyFont="1" applyFill="1" applyBorder="1"/>
    <xf numFmtId="0" fontId="5" fillId="0" borderId="0" xfId="0" quotePrefix="1" applyFont="1" applyFill="1" applyBorder="1"/>
    <xf numFmtId="3" fontId="8" fillId="0" borderId="0" xfId="0" applyNumberFormat="1" applyFont="1" applyFill="1" applyBorder="1"/>
    <xf numFmtId="9" fontId="0" fillId="0" borderId="0" xfId="0" applyNumberFormat="1" applyFill="1" applyBorder="1"/>
    <xf numFmtId="17" fontId="0" fillId="0" borderId="0" xfId="0" applyNumberFormat="1" applyFill="1" applyBorder="1" applyAlignment="1">
      <alignment horizontal="center"/>
    </xf>
    <xf numFmtId="37" fontId="0" fillId="0" borderId="0" xfId="0" applyNumberFormat="1" applyFill="1" applyBorder="1"/>
    <xf numFmtId="10" fontId="0" fillId="0" borderId="0" xfId="0" applyNumberFormat="1" applyFill="1" applyBorder="1"/>
    <xf numFmtId="0" fontId="5" fillId="0" borderId="23" xfId="0" applyFont="1" applyFill="1" applyBorder="1" applyAlignment="1">
      <alignment horizontal="center"/>
    </xf>
    <xf numFmtId="17" fontId="0" fillId="0" borderId="0" xfId="0" applyNumberFormat="1" applyFill="1" applyBorder="1" applyAlignment="1">
      <alignment horizontal="right"/>
    </xf>
    <xf numFmtId="0" fontId="0" fillId="0" borderId="23" xfId="0" applyFill="1" applyBorder="1" applyAlignment="1">
      <alignment horizontal="center"/>
    </xf>
    <xf numFmtId="44" fontId="5" fillId="0" borderId="0" xfId="33" quotePrefix="1" applyFont="1" applyFill="1" applyBorder="1"/>
    <xf numFmtId="10" fontId="8" fillId="0" borderId="23" xfId="0" applyNumberFormat="1" applyFont="1" applyFill="1" applyBorder="1"/>
    <xf numFmtId="0" fontId="12" fillId="0" borderId="0" xfId="0" applyFont="1" applyFill="1" applyBorder="1" applyAlignment="1">
      <alignment horizontal="center"/>
    </xf>
    <xf numFmtId="0" fontId="0" fillId="0" borderId="0" xfId="0" applyFill="1" applyBorder="1" applyAlignment="1"/>
    <xf numFmtId="3" fontId="0" fillId="0" borderId="0" xfId="0" quotePrefix="1" applyNumberFormat="1" applyFill="1" applyBorder="1"/>
    <xf numFmtId="40" fontId="8" fillId="0" borderId="23" xfId="0" applyNumberFormat="1" applyFont="1" applyFill="1" applyBorder="1" applyAlignment="1">
      <alignment horizontal="right"/>
    </xf>
    <xf numFmtId="0" fontId="52" fillId="0" borderId="23" xfId="85" applyFont="1" applyFill="1" applyBorder="1" applyAlignment="1">
      <alignment vertical="center"/>
    </xf>
    <xf numFmtId="166" fontId="8" fillId="0" borderId="23" xfId="0" applyNumberFormat="1" applyFont="1" applyFill="1" applyBorder="1"/>
    <xf numFmtId="0" fontId="9" fillId="0" borderId="0" xfId="0" applyFont="1" applyFill="1" applyBorder="1" applyAlignment="1"/>
    <xf numFmtId="166" fontId="5" fillId="0" borderId="0" xfId="0" applyNumberFormat="1" applyFont="1" applyFill="1" applyBorder="1"/>
    <xf numFmtId="177" fontId="5" fillId="0" borderId="0" xfId="0" applyNumberFormat="1" applyFont="1" applyFill="1" applyBorder="1"/>
    <xf numFmtId="9" fontId="5" fillId="0" borderId="0" xfId="57" applyNumberFormat="1" applyFont="1" applyFill="1" applyBorder="1"/>
    <xf numFmtId="166" fontId="0" fillId="0" borderId="0" xfId="0" applyNumberFormat="1" applyFill="1" applyBorder="1"/>
    <xf numFmtId="9" fontId="0" fillId="0" borderId="0" xfId="57" applyNumberFormat="1" applyFont="1" applyFill="1" applyBorder="1"/>
    <xf numFmtId="9" fontId="8" fillId="0" borderId="23" xfId="57" applyNumberFormat="1" applyFont="1" applyFill="1" applyBorder="1"/>
    <xf numFmtId="4" fontId="8" fillId="0" borderId="0" xfId="0" applyNumberFormat="1" applyFont="1" applyFill="1" applyBorder="1"/>
    <xf numFmtId="9" fontId="8" fillId="0" borderId="0" xfId="57" applyFont="1" applyFill="1" applyBorder="1"/>
    <xf numFmtId="167" fontId="8" fillId="0" borderId="0" xfId="0" applyNumberFormat="1" applyFont="1" applyFill="1" applyBorder="1"/>
    <xf numFmtId="165" fontId="0" fillId="0" borderId="0" xfId="0" applyNumberFormat="1" applyFill="1" applyBorder="1"/>
    <xf numFmtId="167" fontId="8" fillId="0" borderId="23" xfId="57" applyNumberFormat="1" applyFont="1" applyFill="1" applyBorder="1"/>
    <xf numFmtId="167" fontId="5" fillId="0" borderId="0" xfId="0" applyNumberFormat="1" applyFont="1" applyFill="1" applyBorder="1"/>
    <xf numFmtId="170" fontId="0" fillId="0" borderId="0" xfId="0" applyNumberFormat="1" applyFill="1" applyBorder="1"/>
    <xf numFmtId="181" fontId="8" fillId="0" borderId="23" xfId="57" applyNumberFormat="1" applyFont="1" applyFill="1" applyBorder="1"/>
    <xf numFmtId="165" fontId="0" fillId="0" borderId="0" xfId="0" quotePrefix="1" applyNumberFormat="1" applyFill="1" applyBorder="1"/>
    <xf numFmtId="0" fontId="56" fillId="0" borderId="0" xfId="0" applyFont="1" applyFill="1" applyBorder="1"/>
    <xf numFmtId="168" fontId="7" fillId="0" borderId="0" xfId="0" applyNumberFormat="1" applyFont="1" applyFill="1" applyBorder="1"/>
    <xf numFmtId="0" fontId="0" fillId="0" borderId="23" xfId="0" applyFill="1" applyBorder="1" applyAlignment="1">
      <alignment horizontal="right"/>
    </xf>
    <xf numFmtId="168" fontId="8" fillId="0" borderId="23" xfId="0" applyNumberFormat="1" applyFont="1" applyFill="1" applyBorder="1"/>
    <xf numFmtId="168" fontId="0" fillId="0" borderId="0" xfId="0" applyNumberFormat="1" applyFill="1" applyBorder="1"/>
    <xf numFmtId="168" fontId="5" fillId="0" borderId="0" xfId="0" applyNumberFormat="1" applyFont="1" applyFill="1" applyBorder="1"/>
    <xf numFmtId="183" fontId="8" fillId="0" borderId="23" xfId="0" applyNumberFormat="1" applyFont="1" applyFill="1" applyBorder="1"/>
    <xf numFmtId="168" fontId="8" fillId="0" borderId="0" xfId="0" applyNumberFormat="1" applyFont="1" applyFill="1" applyBorder="1"/>
    <xf numFmtId="0" fontId="0" fillId="0" borderId="0" xfId="0" applyFill="1" applyBorder="1" applyAlignment="1">
      <alignment horizontal="right"/>
    </xf>
    <xf numFmtId="3" fontId="5" fillId="0" borderId="0" xfId="0" applyNumberFormat="1" applyFont="1" applyFill="1" applyBorder="1" applyAlignment="1">
      <alignment horizontal="right"/>
    </xf>
    <xf numFmtId="184" fontId="46" fillId="0" borderId="23" xfId="0" applyNumberFormat="1" applyFont="1" applyFill="1" applyBorder="1" applyAlignment="1">
      <alignment horizontal="left"/>
    </xf>
    <xf numFmtId="0" fontId="8" fillId="0" borderId="23" xfId="0" applyFont="1" applyFill="1" applyBorder="1"/>
    <xf numFmtId="178" fontId="8" fillId="0" borderId="23" xfId="0" applyNumberFormat="1" applyFont="1" applyFill="1" applyBorder="1"/>
    <xf numFmtId="0" fontId="8" fillId="0" borderId="0" xfId="0" applyFont="1" applyFill="1" applyBorder="1"/>
    <xf numFmtId="178" fontId="8" fillId="0" borderId="0" xfId="0" applyNumberFormat="1" applyFont="1" applyFill="1" applyBorder="1"/>
    <xf numFmtId="0" fontId="0" fillId="0" borderId="0" xfId="0" quotePrefix="1" applyFill="1" applyBorder="1" applyAlignment="1">
      <alignment horizontal="right"/>
    </xf>
    <xf numFmtId="168" fontId="5" fillId="0" borderId="0" xfId="0" applyNumberFormat="1" applyFont="1" applyFill="1" applyBorder="1" applyAlignment="1">
      <alignment horizontal="right"/>
    </xf>
    <xf numFmtId="44" fontId="8" fillId="0" borderId="23" xfId="33" applyNumberFormat="1" applyFont="1" applyFill="1" applyBorder="1"/>
    <xf numFmtId="0" fontId="0" fillId="0" borderId="23" xfId="0" quotePrefix="1" applyFill="1" applyBorder="1"/>
    <xf numFmtId="0" fontId="5" fillId="0" borderId="0" xfId="0" applyFont="1" applyFill="1" applyBorder="1" applyAlignment="1">
      <alignment horizontal="right"/>
    </xf>
    <xf numFmtId="0" fontId="5" fillId="0" borderId="23" xfId="0" applyFont="1" applyFill="1" applyBorder="1" applyAlignment="1">
      <alignment horizontal="right"/>
    </xf>
    <xf numFmtId="0" fontId="9" fillId="0" borderId="0" xfId="0" quotePrefix="1" applyFont="1" applyFill="1" applyBorder="1"/>
    <xf numFmtId="44" fontId="0" fillId="0" borderId="0" xfId="33" applyFont="1" applyFill="1" applyBorder="1"/>
    <xf numFmtId="0" fontId="0" fillId="0" borderId="0" xfId="0" quotePrefix="1" applyFill="1" applyBorder="1"/>
    <xf numFmtId="169" fontId="8" fillId="0" borderId="0" xfId="33" applyNumberFormat="1" applyFont="1" applyFill="1" applyBorder="1"/>
    <xf numFmtId="44" fontId="0" fillId="0" borderId="0" xfId="33" quotePrefix="1" applyFont="1" applyFill="1" applyBorder="1"/>
    <xf numFmtId="0" fontId="12" fillId="0" borderId="0" xfId="0" applyFont="1" applyFill="1" applyBorder="1" applyAlignment="1">
      <alignment horizontal="left" wrapText="1"/>
    </xf>
    <xf numFmtId="0" fontId="5" fillId="0" borderId="23" xfId="0" applyFont="1" applyFill="1" applyBorder="1" applyAlignment="1">
      <alignment horizontal="center" wrapText="1"/>
    </xf>
    <xf numFmtId="44" fontId="8" fillId="0" borderId="23" xfId="33" applyFont="1" applyFill="1" applyBorder="1"/>
    <xf numFmtId="44" fontId="8" fillId="0" borderId="14" xfId="33" applyFont="1" applyFill="1" applyBorder="1"/>
    <xf numFmtId="44" fontId="0" fillId="0" borderId="0" xfId="33" quotePrefix="1" applyFont="1" applyFill="1" applyBorder="1" applyAlignment="1">
      <alignment horizontal="right"/>
    </xf>
    <xf numFmtId="0" fontId="8" fillId="0" borderId="23" xfId="33" applyNumberFormat="1" applyFont="1" applyFill="1" applyBorder="1"/>
    <xf numFmtId="0" fontId="8" fillId="0" borderId="14" xfId="33" applyNumberFormat="1" applyFont="1" applyFill="1" applyBorder="1"/>
    <xf numFmtId="0" fontId="8" fillId="0" borderId="23" xfId="33" applyNumberFormat="1" applyFont="1" applyFill="1" applyBorder="1" applyAlignment="1">
      <alignment horizontal="right"/>
    </xf>
    <xf numFmtId="9" fontId="0" fillId="0" borderId="23" xfId="57" applyFont="1" applyFill="1" applyBorder="1"/>
    <xf numFmtId="166" fontId="8" fillId="0" borderId="23" xfId="33" applyNumberFormat="1" applyFont="1" applyFill="1" applyBorder="1"/>
    <xf numFmtId="44" fontId="7" fillId="0" borderId="0" xfId="0" applyNumberFormat="1" applyFont="1" applyFill="1" applyBorder="1" applyAlignment="1">
      <alignment horizontal="center"/>
    </xf>
    <xf numFmtId="44" fontId="7" fillId="0" borderId="0" xfId="0" applyNumberFormat="1" applyFont="1" applyFill="1" applyBorder="1"/>
    <xf numFmtId="44" fontId="0" fillId="0" borderId="0" xfId="0" applyNumberFormat="1" applyFill="1" applyBorder="1"/>
    <xf numFmtId="0" fontId="13" fillId="0" borderId="0" xfId="0" applyFont="1" applyFill="1" applyBorder="1" applyAlignment="1">
      <alignment horizontal="left"/>
    </xf>
    <xf numFmtId="172" fontId="5" fillId="0" borderId="0" xfId="33" applyNumberFormat="1" applyFont="1" applyFill="1" applyBorder="1"/>
    <xf numFmtId="43" fontId="0" fillId="0" borderId="0" xfId="0" applyNumberFormat="1" applyFill="1" applyBorder="1"/>
    <xf numFmtId="172" fontId="0" fillId="0" borderId="0" xfId="0" applyNumberFormat="1" applyFill="1" applyBorder="1"/>
    <xf numFmtId="17" fontId="13" fillId="0" borderId="0" xfId="0" applyNumberFormat="1" applyFont="1" applyFill="1" applyBorder="1" applyAlignment="1">
      <alignment horizontal="left"/>
    </xf>
    <xf numFmtId="169" fontId="5" fillId="0" borderId="0" xfId="33" quotePrefix="1" applyNumberFormat="1" applyFont="1" applyFill="1" applyBorder="1"/>
    <xf numFmtId="169" fontId="0" fillId="0" borderId="0" xfId="33" applyNumberFormat="1" applyFont="1" applyFill="1" applyBorder="1"/>
    <xf numFmtId="169" fontId="0" fillId="0" borderId="0" xfId="0" applyNumberFormat="1" applyFill="1" applyBorder="1"/>
    <xf numFmtId="43" fontId="5" fillId="0" borderId="0" xfId="28" quotePrefix="1" applyFont="1" applyFill="1" applyBorder="1"/>
    <xf numFmtId="175" fontId="0" fillId="0" borderId="0" xfId="0" applyNumberFormat="1" applyFill="1" applyBorder="1"/>
    <xf numFmtId="175" fontId="7" fillId="0" borderId="0" xfId="0" applyNumberFormat="1" applyFont="1" applyFill="1" applyBorder="1"/>
    <xf numFmtId="0" fontId="7" fillId="0" borderId="0" xfId="0" applyFont="1" applyFill="1" applyBorder="1" applyAlignment="1">
      <alignment horizontal="right"/>
    </xf>
    <xf numFmtId="0" fontId="7" fillId="0" borderId="0" xfId="0" applyFont="1" applyFill="1" applyBorder="1" applyAlignment="1">
      <alignment horizontal="center" wrapText="1"/>
    </xf>
    <xf numFmtId="172" fontId="5" fillId="0" borderId="0" xfId="33" quotePrefix="1" applyNumberFormat="1" applyFont="1" applyFill="1" applyBorder="1"/>
    <xf numFmtId="174" fontId="0" fillId="0" borderId="0" xfId="28" applyNumberFormat="1" applyFont="1" applyFill="1" applyBorder="1"/>
    <xf numFmtId="44" fontId="5" fillId="0" borderId="0" xfId="0" applyNumberFormat="1" applyFont="1" applyFill="1" applyBorder="1"/>
    <xf numFmtId="169" fontId="5" fillId="0" borderId="0" xfId="33" applyNumberFormat="1" applyFont="1" applyFill="1" applyBorder="1"/>
    <xf numFmtId="9" fontId="0" fillId="0" borderId="0" xfId="57" applyFont="1" applyFill="1" applyBorder="1"/>
    <xf numFmtId="169" fontId="0" fillId="0" borderId="0" xfId="57" applyNumberFormat="1" applyFont="1" applyFill="1" applyBorder="1"/>
    <xf numFmtId="0" fontId="9" fillId="0" borderId="0" xfId="0" applyFont="1" applyFill="1" applyBorder="1" applyAlignment="1">
      <alignment horizontal="right"/>
    </xf>
    <xf numFmtId="176" fontId="7" fillId="0" borderId="0" xfId="28" applyNumberFormat="1" applyFont="1" applyFill="1" applyBorder="1"/>
    <xf numFmtId="43" fontId="9" fillId="0" borderId="0" xfId="28" applyFont="1" applyFill="1" applyBorder="1"/>
    <xf numFmtId="176" fontId="5" fillId="0" borderId="0" xfId="28" quotePrefix="1" applyNumberFormat="1" applyFont="1" applyFill="1" applyBorder="1"/>
    <xf numFmtId="169" fontId="0" fillId="0" borderId="0" xfId="33" quotePrefix="1" applyNumberFormat="1" applyFont="1" applyFill="1" applyBorder="1"/>
    <xf numFmtId="3" fontId="13" fillId="0" borderId="0" xfId="0" applyNumberFormat="1" applyFont="1" applyFill="1" applyBorder="1"/>
    <xf numFmtId="0" fontId="7" fillId="0" borderId="0" xfId="0" applyFont="1" applyFill="1" applyBorder="1" applyAlignment="1">
      <alignment horizontal="left"/>
    </xf>
    <xf numFmtId="0" fontId="0" fillId="0" borderId="0" xfId="0" applyFill="1" applyBorder="1" applyAlignment="1">
      <alignment horizontal="center" wrapText="1"/>
    </xf>
    <xf numFmtId="168" fontId="0" fillId="0" borderId="0" xfId="0" applyNumberFormat="1" applyFill="1" applyBorder="1" applyAlignment="1">
      <alignment horizontal="right"/>
    </xf>
    <xf numFmtId="0" fontId="23" fillId="0" borderId="0" xfId="0" applyFont="1" applyFill="1" applyBorder="1"/>
    <xf numFmtId="182" fontId="8" fillId="0" borderId="0" xfId="0" applyNumberFormat="1" applyFont="1" applyFill="1" applyBorder="1"/>
    <xf numFmtId="6" fontId="8" fillId="0" borderId="0" xfId="0" applyNumberFormat="1" applyFont="1" applyFill="1" applyBorder="1"/>
    <xf numFmtId="6" fontId="0" fillId="0" borderId="0" xfId="0" applyNumberFormat="1" applyFill="1" applyBorder="1"/>
    <xf numFmtId="8" fontId="0" fillId="0" borderId="0" xfId="0" applyNumberFormat="1" applyFill="1" applyBorder="1"/>
    <xf numFmtId="182" fontId="0" fillId="0" borderId="0" xfId="0" applyNumberFormat="1" applyFill="1" applyBorder="1"/>
    <xf numFmtId="178" fontId="0" fillId="0" borderId="0" xfId="0" applyNumberFormat="1" applyFill="1" applyBorder="1"/>
    <xf numFmtId="0" fontId="0" fillId="0" borderId="23" xfId="0" applyFill="1" applyBorder="1" applyAlignment="1">
      <alignment horizontal="right"/>
    </xf>
    <xf numFmtId="0" fontId="5" fillId="0" borderId="0" xfId="0" applyFont="1" applyFill="1" applyBorder="1" applyAlignment="1">
      <alignment horizontal="left"/>
    </xf>
    <xf numFmtId="0" fontId="0" fillId="0" borderId="0" xfId="0" applyFill="1" applyBorder="1" applyAlignment="1">
      <alignment horizontal="left"/>
    </xf>
    <xf numFmtId="0" fontId="5" fillId="0" borderId="25" xfId="0" applyFont="1" applyFill="1" applyBorder="1" applyAlignment="1">
      <alignment horizontal="center"/>
    </xf>
    <xf numFmtId="0" fontId="5" fillId="0" borderId="24" xfId="0" applyFont="1" applyFill="1" applyBorder="1" applyAlignment="1">
      <alignment horizontal="center"/>
    </xf>
    <xf numFmtId="178" fontId="5" fillId="0" borderId="17" xfId="33" applyNumberFormat="1" applyFont="1" applyFill="1" applyBorder="1" applyAlignment="1">
      <alignment horizontal="center"/>
    </xf>
    <xf numFmtId="4" fontId="0" fillId="0" borderId="0" xfId="0" applyNumberFormat="1" applyFill="1" applyAlignment="1">
      <alignment horizontal="center" wrapText="1"/>
    </xf>
    <xf numFmtId="4" fontId="0" fillId="0" borderId="0" xfId="0" applyNumberFormat="1" applyAlignment="1">
      <alignment horizontal="center" wrapText="1"/>
    </xf>
  </cellXfs>
  <cellStyles count="16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5" xfId="98" xr:uid="{00000000-0005-0000-0000-000058000000}"/>
    <cellStyle name="Normal 2 5 2" xfId="161" xr:uid="{00000000-0005-0000-0000-000059000000}"/>
    <cellStyle name="Normal 2 6" xfId="108" xr:uid="{00000000-0005-0000-0000-00005A000000}"/>
    <cellStyle name="Normal 3" xfId="54" xr:uid="{00000000-0005-0000-0000-00005B000000}"/>
    <cellStyle name="Normal 3 2" xfId="86" xr:uid="{00000000-0005-0000-0000-00005C000000}"/>
    <cellStyle name="Normal 3 2 2" xfId="102" xr:uid="{00000000-0005-0000-0000-00005D000000}"/>
    <cellStyle name="Normal 3 3" xfId="93" xr:uid="{00000000-0005-0000-0000-00005E000000}"/>
    <cellStyle name="Normal 3 4" xfId="154" xr:uid="{00000000-0005-0000-0000-00005F000000}"/>
    <cellStyle name="Normal 4" xfId="79" xr:uid="{00000000-0005-0000-0000-000060000000}"/>
    <cellStyle name="Normal 4 2" xfId="94" xr:uid="{00000000-0005-0000-0000-000061000000}"/>
    <cellStyle name="Normal 4 3" xfId="106" xr:uid="{00000000-0005-0000-0000-000062000000}"/>
    <cellStyle name="Normal 5" xfId="82" xr:uid="{00000000-0005-0000-0000-000063000000}"/>
    <cellStyle name="Note 2" xfId="55" xr:uid="{00000000-0005-0000-0000-000064000000}"/>
    <cellStyle name="Note 2 2" xfId="80" xr:uid="{00000000-0005-0000-0000-000065000000}"/>
    <cellStyle name="Output 2" xfId="56" xr:uid="{00000000-0005-0000-0000-000066000000}"/>
    <cellStyle name="Percent" xfId="57" builtinId="5"/>
    <cellStyle name="Percent 2" xfId="58" xr:uid="{00000000-0005-0000-0000-000068000000}"/>
    <cellStyle name="Percent 2 2" xfId="59" xr:uid="{00000000-0005-0000-0000-000069000000}"/>
    <cellStyle name="Percent 2 2 2" xfId="103" xr:uid="{00000000-0005-0000-0000-00006A000000}"/>
    <cellStyle name="Percent 2 3" xfId="81" xr:uid="{00000000-0005-0000-0000-00006B000000}"/>
    <cellStyle name="Percent 3" xfId="60" xr:uid="{00000000-0005-0000-0000-00006C000000}"/>
    <cellStyle name="Percent 3 2" xfId="61" xr:uid="{00000000-0005-0000-0000-00006D000000}"/>
    <cellStyle name="Percent 3 2 2" xfId="68" xr:uid="{00000000-0005-0000-0000-00006E000000}"/>
    <cellStyle name="Percent 4" xfId="62" xr:uid="{00000000-0005-0000-0000-00006F000000}"/>
    <cellStyle name="Percent 4 2" xfId="104" xr:uid="{00000000-0005-0000-0000-000070000000}"/>
    <cellStyle name="Percent 5" xfId="70" xr:uid="{00000000-0005-0000-0000-000071000000}"/>
    <cellStyle name="Percent 5 2" xfId="73" xr:uid="{00000000-0005-0000-0000-000072000000}"/>
    <cellStyle name="Percent 5 3" xfId="155" xr:uid="{00000000-0005-0000-0000-000073000000}"/>
    <cellStyle name="Percent 6" xfId="84" xr:uid="{00000000-0005-0000-0000-000074000000}"/>
    <cellStyle name="Percent 7" xfId="156" xr:uid="{00000000-0005-0000-0000-000075000000}"/>
    <cellStyle name="SAPBEXaggData" xfId="95" xr:uid="{00000000-0005-0000-0000-000076000000}"/>
    <cellStyle name="SAPBEXaggDataEmph" xfId="109" xr:uid="{00000000-0005-0000-0000-000077000000}"/>
    <cellStyle name="SAPBEXaggItem" xfId="110" xr:uid="{00000000-0005-0000-0000-000078000000}"/>
    <cellStyle name="SAPBEXaggItemX" xfId="111" xr:uid="{00000000-0005-0000-0000-000079000000}"/>
    <cellStyle name="SAPBEXchaText" xfId="112" xr:uid="{00000000-0005-0000-0000-00007A000000}"/>
    <cellStyle name="SAPBEXexcBad7" xfId="113" xr:uid="{00000000-0005-0000-0000-00007B000000}"/>
    <cellStyle name="SAPBEXexcBad8" xfId="114" xr:uid="{00000000-0005-0000-0000-00007C000000}"/>
    <cellStyle name="SAPBEXexcBad9" xfId="115" xr:uid="{00000000-0005-0000-0000-00007D000000}"/>
    <cellStyle name="SAPBEXexcCritical4" xfId="116" xr:uid="{00000000-0005-0000-0000-00007E000000}"/>
    <cellStyle name="SAPBEXexcCritical5" xfId="117" xr:uid="{00000000-0005-0000-0000-00007F000000}"/>
    <cellStyle name="SAPBEXexcCritical6" xfId="118" xr:uid="{00000000-0005-0000-0000-000080000000}"/>
    <cellStyle name="SAPBEXexcGood1" xfId="119" xr:uid="{00000000-0005-0000-0000-000081000000}"/>
    <cellStyle name="SAPBEXexcGood2" xfId="120" xr:uid="{00000000-0005-0000-0000-000082000000}"/>
    <cellStyle name="SAPBEXexcGood3" xfId="121" xr:uid="{00000000-0005-0000-0000-000083000000}"/>
    <cellStyle name="SAPBEXfilterDrill" xfId="122" xr:uid="{00000000-0005-0000-0000-000084000000}"/>
    <cellStyle name="SAPBEXfilterItem" xfId="123" xr:uid="{00000000-0005-0000-0000-000085000000}"/>
    <cellStyle name="SAPBEXfilterText" xfId="124" xr:uid="{00000000-0005-0000-0000-000086000000}"/>
    <cellStyle name="SAPBEXformats" xfId="125" xr:uid="{00000000-0005-0000-0000-000087000000}"/>
    <cellStyle name="SAPBEXheaderItem" xfId="126" xr:uid="{00000000-0005-0000-0000-000088000000}"/>
    <cellStyle name="SAPBEXheaderItem 2" xfId="158" xr:uid="{00000000-0005-0000-0000-000089000000}"/>
    <cellStyle name="SAPBEXheaderText" xfId="127" xr:uid="{00000000-0005-0000-0000-00008A000000}"/>
    <cellStyle name="SAPBEXheaderText 2" xfId="159" xr:uid="{00000000-0005-0000-0000-00008B000000}"/>
    <cellStyle name="SAPBEXHLevel0" xfId="128" xr:uid="{00000000-0005-0000-0000-00008C000000}"/>
    <cellStyle name="SAPBEXHLevel0X" xfId="129" xr:uid="{00000000-0005-0000-0000-00008D000000}"/>
    <cellStyle name="SAPBEXHLevel1" xfId="130" xr:uid="{00000000-0005-0000-0000-00008E000000}"/>
    <cellStyle name="SAPBEXHLevel1X" xfId="131" xr:uid="{00000000-0005-0000-0000-00008F000000}"/>
    <cellStyle name="SAPBEXHLevel2" xfId="132" xr:uid="{00000000-0005-0000-0000-000090000000}"/>
    <cellStyle name="SAPBEXHLevel2X" xfId="133" xr:uid="{00000000-0005-0000-0000-000091000000}"/>
    <cellStyle name="SAPBEXHLevel3" xfId="134" xr:uid="{00000000-0005-0000-0000-000092000000}"/>
    <cellStyle name="SAPBEXHLevel3X" xfId="135" xr:uid="{00000000-0005-0000-0000-000093000000}"/>
    <cellStyle name="SAPBEXresData" xfId="136" xr:uid="{00000000-0005-0000-0000-000094000000}"/>
    <cellStyle name="SAPBEXresDataEmph" xfId="137" xr:uid="{00000000-0005-0000-0000-000095000000}"/>
    <cellStyle name="SAPBEXresItem" xfId="138" xr:uid="{00000000-0005-0000-0000-000096000000}"/>
    <cellStyle name="SAPBEXresItemX" xfId="139" xr:uid="{00000000-0005-0000-0000-000097000000}"/>
    <cellStyle name="SAPBEXstdData" xfId="140" xr:uid="{00000000-0005-0000-0000-000098000000}"/>
    <cellStyle name="SAPBEXstdDataEmph" xfId="141" xr:uid="{00000000-0005-0000-0000-000099000000}"/>
    <cellStyle name="SAPBEXstdItem" xfId="142" xr:uid="{00000000-0005-0000-0000-00009A000000}"/>
    <cellStyle name="SAPBEXstdItemX" xfId="143" xr:uid="{00000000-0005-0000-0000-00009B000000}"/>
    <cellStyle name="SAPBEXtitle" xfId="144" xr:uid="{00000000-0005-0000-0000-00009C000000}"/>
    <cellStyle name="SAPBEXundefined" xfId="145" xr:uid="{00000000-0005-0000-0000-00009D000000}"/>
    <cellStyle name="Title 2" xfId="63" xr:uid="{00000000-0005-0000-0000-00009E000000}"/>
    <cellStyle name="Total" xfId="64" builtinId="25" customBuiltin="1"/>
    <cellStyle name="Total 2" xfId="65" xr:uid="{00000000-0005-0000-0000-0000A0000000}"/>
    <cellStyle name="Total 3" xfId="96" xr:uid="{00000000-0005-0000-0000-0000A1000000}"/>
    <cellStyle name="Warning Text 2" xfId="66" xr:uid="{00000000-0005-0000-0000-0000A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61BF6"/>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F393"/>
  <sheetViews>
    <sheetView tabSelected="1" view="pageBreakPreview" zoomScale="60" zoomScaleNormal="70" workbookViewId="0">
      <selection activeCell="A6" sqref="A6"/>
    </sheetView>
  </sheetViews>
  <sheetFormatPr defaultColWidth="9.1171875" defaultRowHeight="12.7" outlineLevelRow="1" x14ac:dyDescent="0.4"/>
  <cols>
    <col min="1" max="1" width="17.41015625" style="309" customWidth="1"/>
    <col min="2" max="2" width="66.1171875" style="114" customWidth="1"/>
    <col min="3" max="3" width="12" style="114" bestFit="1" customWidth="1"/>
    <col min="4" max="5" width="13.29296875" style="114" customWidth="1"/>
    <col min="6" max="6" width="12.703125" style="114" customWidth="1"/>
    <col min="7" max="8" width="10.703125" style="114" customWidth="1"/>
    <col min="9" max="9" width="11" style="114" customWidth="1"/>
    <col min="10" max="10" width="10.703125" style="114" customWidth="1"/>
    <col min="11" max="11" width="12.29296875" style="114" customWidth="1"/>
    <col min="12" max="12" width="12.41015625" style="114" customWidth="1"/>
    <col min="13" max="14" width="13.29296875" style="114" customWidth="1"/>
    <col min="15" max="15" width="12.703125" style="114" customWidth="1"/>
    <col min="16" max="16" width="25.87890625" style="114" customWidth="1"/>
    <col min="17" max="17" width="11.1171875" style="114" customWidth="1"/>
    <col min="18" max="18" width="10.87890625" style="114" bestFit="1" customWidth="1"/>
    <col min="19" max="19" width="9.1171875" style="114"/>
    <col min="20" max="20" width="10.1171875" style="114" bestFit="1" customWidth="1"/>
    <col min="21" max="21" width="14.41015625" style="114" customWidth="1"/>
    <col min="22" max="22" width="11" style="114" bestFit="1" customWidth="1"/>
    <col min="23" max="23" width="10.703125" style="114" customWidth="1"/>
    <col min="24" max="24" width="11.703125" style="114" customWidth="1"/>
    <col min="25" max="25" width="11.29296875" style="114" bestFit="1" customWidth="1"/>
    <col min="26" max="26" width="10.1171875" style="114" customWidth="1"/>
    <col min="27" max="27" width="10.703125" style="114" customWidth="1"/>
    <col min="28" max="28" width="12.87890625" style="114" bestFit="1" customWidth="1"/>
    <col min="29" max="29" width="9.1171875" style="114"/>
    <col min="30" max="30" width="17.5859375" style="114" customWidth="1"/>
    <col min="31" max="31" width="9.1171875" style="114"/>
    <col min="32" max="32" width="10.29296875" style="114" bestFit="1" customWidth="1"/>
    <col min="33" max="33" width="10.5859375" style="114" customWidth="1"/>
    <col min="34" max="16384" width="9.1171875" style="114"/>
  </cols>
  <sheetData>
    <row r="1" spans="1:24" x14ac:dyDescent="0.4">
      <c r="A1" s="114"/>
    </row>
    <row r="2" spans="1:24" x14ac:dyDescent="0.4">
      <c r="C2" s="310"/>
      <c r="D2" s="310"/>
      <c r="E2" s="310"/>
      <c r="F2" s="310"/>
      <c r="G2" s="310"/>
      <c r="H2" s="310"/>
      <c r="I2" s="310"/>
      <c r="J2" s="310"/>
      <c r="K2" s="310"/>
      <c r="L2" s="310"/>
    </row>
    <row r="3" spans="1:24" x14ac:dyDescent="0.4">
      <c r="A3" s="114"/>
    </row>
    <row r="4" spans="1:24" x14ac:dyDescent="0.4">
      <c r="A4" s="311"/>
      <c r="B4" s="457"/>
      <c r="C4" s="458"/>
      <c r="D4" s="458"/>
      <c r="E4" s="458"/>
      <c r="F4" s="458"/>
      <c r="G4" s="458"/>
      <c r="H4" s="458"/>
      <c r="I4" s="458"/>
      <c r="J4" s="458"/>
      <c r="K4" s="458"/>
      <c r="L4" s="458"/>
    </row>
    <row r="5" spans="1:24" x14ac:dyDescent="0.4">
      <c r="C5" s="310"/>
      <c r="D5" s="310"/>
      <c r="E5" s="310"/>
      <c r="F5" s="310"/>
      <c r="G5" s="310"/>
      <c r="H5" s="310"/>
      <c r="I5" s="310"/>
      <c r="J5" s="310"/>
      <c r="K5" s="310"/>
      <c r="L5" s="310"/>
    </row>
    <row r="6" spans="1:24" ht="15.35" x14ac:dyDescent="0.5">
      <c r="B6" s="155" t="s">
        <v>431</v>
      </c>
      <c r="C6" s="312"/>
      <c r="D6" s="312"/>
      <c r="E6" s="312"/>
      <c r="F6" s="312"/>
      <c r="J6" s="155"/>
    </row>
    <row r="7" spans="1:24" x14ac:dyDescent="0.4">
      <c r="A7" s="313"/>
      <c r="B7" s="314" t="s">
        <v>91</v>
      </c>
      <c r="C7" s="312"/>
      <c r="D7" s="312"/>
      <c r="E7" s="312"/>
      <c r="F7" s="312"/>
    </row>
    <row r="8" spans="1:24" x14ac:dyDescent="0.4">
      <c r="B8" s="312"/>
      <c r="C8" s="312"/>
      <c r="D8" s="312"/>
      <c r="E8" s="115" t="s">
        <v>425</v>
      </c>
      <c r="F8" s="312"/>
    </row>
    <row r="9" spans="1:24" x14ac:dyDescent="0.4">
      <c r="A9" s="315" t="s">
        <v>64</v>
      </c>
      <c r="B9" s="9" t="s">
        <v>129</v>
      </c>
      <c r="C9" s="316"/>
      <c r="D9" s="312"/>
      <c r="E9" s="115" t="s">
        <v>60</v>
      </c>
      <c r="F9" s="312"/>
      <c r="N9" s="9"/>
      <c r="O9" s="9"/>
      <c r="P9" s="312"/>
      <c r="Q9" s="312"/>
      <c r="R9" s="312"/>
      <c r="S9" s="312"/>
      <c r="T9" s="312"/>
      <c r="U9" s="312"/>
      <c r="V9" s="312"/>
      <c r="W9" s="312"/>
      <c r="X9" s="312"/>
    </row>
    <row r="10" spans="1:24" ht="25.35" x14ac:dyDescent="0.4">
      <c r="A10" s="317"/>
      <c r="B10" s="318"/>
      <c r="C10" s="319" t="s">
        <v>50</v>
      </c>
      <c r="D10" s="319" t="s">
        <v>50</v>
      </c>
      <c r="E10" s="319" t="s">
        <v>50</v>
      </c>
      <c r="F10" s="319" t="s">
        <v>50</v>
      </c>
      <c r="G10" s="319" t="s">
        <v>50</v>
      </c>
      <c r="H10" s="319" t="s">
        <v>50</v>
      </c>
      <c r="I10" s="320" t="s">
        <v>96</v>
      </c>
      <c r="J10" s="321"/>
      <c r="K10" s="319" t="s">
        <v>50</v>
      </c>
      <c r="L10" s="319" t="s">
        <v>50</v>
      </c>
      <c r="M10" s="322"/>
      <c r="N10" s="115"/>
      <c r="O10" s="322"/>
      <c r="P10" s="322"/>
      <c r="Q10" s="322"/>
      <c r="R10" s="322"/>
      <c r="S10" s="322"/>
      <c r="T10" s="322"/>
      <c r="U10" s="115"/>
      <c r="V10" s="323"/>
      <c r="W10" s="322"/>
      <c r="X10" s="322"/>
    </row>
    <row r="11" spans="1:24" x14ac:dyDescent="0.4">
      <c r="A11" s="317"/>
      <c r="B11" s="324" t="s">
        <v>232</v>
      </c>
      <c r="C11" s="325" t="s">
        <v>0</v>
      </c>
      <c r="D11" s="325" t="s">
        <v>1</v>
      </c>
      <c r="E11" s="325" t="s">
        <v>2</v>
      </c>
      <c r="F11" s="325" t="s">
        <v>3</v>
      </c>
      <c r="G11" s="325" t="s">
        <v>4</v>
      </c>
      <c r="H11" s="325" t="s">
        <v>6</v>
      </c>
      <c r="I11" s="325" t="s">
        <v>37</v>
      </c>
      <c r="J11" s="325" t="s">
        <v>38</v>
      </c>
      <c r="K11" s="325" t="s">
        <v>5</v>
      </c>
      <c r="L11" s="325" t="s">
        <v>36</v>
      </c>
      <c r="M11" s="326"/>
      <c r="N11" s="327"/>
      <c r="O11" s="310"/>
      <c r="P11" s="310"/>
      <c r="Q11" s="310"/>
      <c r="R11" s="310"/>
      <c r="S11" s="310"/>
      <c r="T11" s="310"/>
      <c r="U11" s="310"/>
      <c r="V11" s="310"/>
      <c r="W11" s="310"/>
      <c r="X11" s="310"/>
    </row>
    <row r="12" spans="1:24" x14ac:dyDescent="0.4">
      <c r="A12" s="317"/>
      <c r="B12" s="328"/>
      <c r="C12" s="325"/>
      <c r="D12" s="325"/>
      <c r="E12" s="325"/>
      <c r="F12" s="325"/>
      <c r="G12" s="325"/>
      <c r="H12" s="325"/>
      <c r="I12" s="325"/>
      <c r="J12" s="325"/>
      <c r="K12" s="325"/>
      <c r="L12" s="325"/>
      <c r="O12" s="312"/>
      <c r="P12" s="312"/>
      <c r="Q12" s="312"/>
      <c r="R12" s="312"/>
      <c r="S12" s="312"/>
      <c r="T12" s="312"/>
      <c r="U12" s="312"/>
      <c r="V12" s="312"/>
      <c r="W12" s="312"/>
      <c r="X12" s="312"/>
    </row>
    <row r="13" spans="1:24" x14ac:dyDescent="0.4">
      <c r="A13" s="317"/>
      <c r="B13" s="329" t="s">
        <v>7</v>
      </c>
      <c r="C13" s="330">
        <v>0.48270000000000002</v>
      </c>
      <c r="D13" s="330">
        <v>0.4783</v>
      </c>
      <c r="E13" s="330">
        <v>0.49199999999999999</v>
      </c>
      <c r="F13" s="330">
        <v>0.48270000000000002</v>
      </c>
      <c r="G13" s="330">
        <v>0.48270000000000002</v>
      </c>
      <c r="H13" s="330">
        <v>0.4733</v>
      </c>
      <c r="I13" s="330">
        <v>0.30930000000000002</v>
      </c>
      <c r="J13" s="330">
        <v>0.30930000000000002</v>
      </c>
      <c r="K13" s="330">
        <v>0.55330000000000001</v>
      </c>
      <c r="L13" s="330">
        <v>0.5323</v>
      </c>
      <c r="M13" s="331"/>
      <c r="N13" s="332"/>
      <c r="O13" s="332"/>
      <c r="P13" s="332"/>
      <c r="Q13" s="332"/>
      <c r="R13" s="332"/>
      <c r="S13" s="332"/>
      <c r="T13" s="332"/>
      <c r="U13" s="332"/>
      <c r="V13" s="332"/>
      <c r="W13" s="332"/>
      <c r="X13" s="332"/>
    </row>
    <row r="14" spans="1:24" x14ac:dyDescent="0.4">
      <c r="A14" s="317"/>
      <c r="B14" s="329" t="s">
        <v>8</v>
      </c>
      <c r="C14" s="330">
        <v>0.49170000000000003</v>
      </c>
      <c r="D14" s="330">
        <v>0.48570000000000002</v>
      </c>
      <c r="E14" s="330">
        <v>0.49769999999999998</v>
      </c>
      <c r="F14" s="330">
        <v>0.49170000000000003</v>
      </c>
      <c r="G14" s="330">
        <v>0.49170000000000003</v>
      </c>
      <c r="H14" s="330">
        <v>0.48170000000000002</v>
      </c>
      <c r="I14" s="330">
        <v>0.29499999999999998</v>
      </c>
      <c r="J14" s="330">
        <v>0.29499999999999998</v>
      </c>
      <c r="K14" s="330">
        <v>0.56200000000000006</v>
      </c>
      <c r="L14" s="330">
        <v>0.54200000000000004</v>
      </c>
      <c r="M14" s="331"/>
      <c r="N14" s="332"/>
      <c r="O14" s="332"/>
      <c r="P14" s="332"/>
      <c r="Q14" s="332"/>
      <c r="R14" s="332"/>
      <c r="S14" s="332"/>
      <c r="T14" s="332"/>
      <c r="U14" s="332"/>
      <c r="V14" s="332"/>
      <c r="W14" s="332"/>
      <c r="X14" s="332"/>
    </row>
    <row r="15" spans="1:24" x14ac:dyDescent="0.4">
      <c r="A15" s="317"/>
      <c r="B15" s="329" t="s">
        <v>9</v>
      </c>
      <c r="C15" s="330">
        <v>0.48970000000000002</v>
      </c>
      <c r="D15" s="330">
        <v>0.48270000000000002</v>
      </c>
      <c r="E15" s="330">
        <v>0.495</v>
      </c>
      <c r="F15" s="330">
        <v>0.48970000000000002</v>
      </c>
      <c r="G15" s="330">
        <v>0.48970000000000002</v>
      </c>
      <c r="H15" s="330">
        <v>0.48399999999999999</v>
      </c>
      <c r="I15" s="330">
        <v>0.25469999999999998</v>
      </c>
      <c r="J15" s="330">
        <v>0.25469999999999998</v>
      </c>
      <c r="K15" s="330">
        <v>0.55869999999999997</v>
      </c>
      <c r="L15" s="330">
        <v>0.5403</v>
      </c>
      <c r="M15" s="331"/>
      <c r="N15" s="332"/>
      <c r="O15" s="332"/>
      <c r="P15" s="332"/>
      <c r="Q15" s="332"/>
      <c r="R15" s="332"/>
      <c r="S15" s="332"/>
      <c r="T15" s="332"/>
      <c r="U15" s="332"/>
      <c r="V15" s="332"/>
      <c r="W15" s="332"/>
      <c r="X15" s="332"/>
    </row>
    <row r="16" spans="1:24" x14ac:dyDescent="0.4">
      <c r="A16" s="317"/>
      <c r="B16" s="329" t="s">
        <v>10</v>
      </c>
      <c r="C16" s="330">
        <v>0.48330000000000001</v>
      </c>
      <c r="D16" s="330">
        <v>0.49270000000000003</v>
      </c>
      <c r="E16" s="330">
        <v>0.49099999999999999</v>
      </c>
      <c r="F16" s="330">
        <v>0.48330000000000001</v>
      </c>
      <c r="G16" s="330">
        <v>0.48330000000000001</v>
      </c>
      <c r="H16" s="330">
        <v>0.51670000000000005</v>
      </c>
      <c r="I16" s="330">
        <v>0.223</v>
      </c>
      <c r="J16" s="330">
        <v>0.223</v>
      </c>
      <c r="K16" s="330">
        <v>0.56669999999999998</v>
      </c>
      <c r="L16" s="330">
        <v>0.54769999999999996</v>
      </c>
      <c r="M16" s="331"/>
      <c r="N16" s="332"/>
      <c r="O16" s="332"/>
      <c r="P16" s="332"/>
      <c r="Q16" s="332"/>
      <c r="R16" s="332"/>
      <c r="S16" s="332"/>
      <c r="T16" s="332"/>
      <c r="U16" s="332"/>
      <c r="V16" s="332"/>
      <c r="W16" s="332"/>
      <c r="X16" s="332"/>
    </row>
    <row r="17" spans="1:24" x14ac:dyDescent="0.4">
      <c r="A17" s="317"/>
      <c r="B17" s="329" t="s">
        <v>11</v>
      </c>
      <c r="C17" s="330">
        <v>0.50870000000000004</v>
      </c>
      <c r="D17" s="330">
        <v>0.51770000000000005</v>
      </c>
      <c r="E17" s="330">
        <v>0.52529999999999999</v>
      </c>
      <c r="F17" s="330">
        <v>0.50870000000000004</v>
      </c>
      <c r="G17" s="330">
        <v>0.50870000000000004</v>
      </c>
      <c r="H17" s="330">
        <v>0.60229999999999995</v>
      </c>
      <c r="I17" s="330">
        <v>0.21529999999999999</v>
      </c>
      <c r="J17" s="330">
        <v>0.21529999999999999</v>
      </c>
      <c r="K17" s="330">
        <v>0.59099999999999997</v>
      </c>
      <c r="L17" s="330">
        <v>0.57030000000000003</v>
      </c>
      <c r="M17" s="331"/>
      <c r="N17" s="332"/>
      <c r="O17" s="332"/>
      <c r="P17" s="332"/>
      <c r="Q17" s="332"/>
      <c r="R17" s="332"/>
      <c r="S17" s="332"/>
      <c r="T17" s="332"/>
      <c r="U17" s="332"/>
      <c r="V17" s="332"/>
      <c r="W17" s="332"/>
      <c r="X17" s="332"/>
    </row>
    <row r="18" spans="1:24" x14ac:dyDescent="0.4">
      <c r="A18" s="317"/>
      <c r="B18" s="329" t="s">
        <v>12</v>
      </c>
      <c r="C18" s="330">
        <v>0.50600000000000001</v>
      </c>
      <c r="D18" s="330">
        <v>0.51370000000000005</v>
      </c>
      <c r="E18" s="330">
        <v>0.52669999999999995</v>
      </c>
      <c r="F18" s="330">
        <v>0.50600000000000001</v>
      </c>
      <c r="G18" s="330">
        <v>0.50600000000000001</v>
      </c>
      <c r="H18" s="330">
        <v>0.61270000000000002</v>
      </c>
      <c r="I18" s="330">
        <v>0.1973</v>
      </c>
      <c r="J18" s="330">
        <v>0.1973</v>
      </c>
      <c r="K18" s="330">
        <v>0.5827</v>
      </c>
      <c r="L18" s="330">
        <v>0.56169999999999998</v>
      </c>
      <c r="M18" s="331"/>
      <c r="N18" s="332"/>
      <c r="O18" s="332"/>
      <c r="P18" s="332"/>
      <c r="Q18" s="332"/>
      <c r="R18" s="332"/>
      <c r="S18" s="332"/>
      <c r="T18" s="332"/>
      <c r="U18" s="332"/>
      <c r="V18" s="332"/>
      <c r="W18" s="332"/>
      <c r="X18" s="332"/>
    </row>
    <row r="19" spans="1:24" x14ac:dyDescent="0.4">
      <c r="A19" s="317"/>
      <c r="B19" s="329" t="s">
        <v>13</v>
      </c>
      <c r="C19" s="330">
        <v>0.48970000000000002</v>
      </c>
      <c r="D19" s="330">
        <v>0.50029999999999997</v>
      </c>
      <c r="E19" s="330">
        <v>0.50829999999999997</v>
      </c>
      <c r="F19" s="330">
        <v>0.48970000000000002</v>
      </c>
      <c r="G19" s="330">
        <v>0.48970000000000002</v>
      </c>
      <c r="H19" s="330">
        <v>0.58699999999999997</v>
      </c>
      <c r="I19" s="330">
        <v>0.189</v>
      </c>
      <c r="J19" s="330">
        <v>0.189</v>
      </c>
      <c r="K19" s="330">
        <v>0.56530000000000002</v>
      </c>
      <c r="L19" s="330">
        <v>0.5373</v>
      </c>
      <c r="M19" s="331"/>
      <c r="N19" s="332"/>
      <c r="O19" s="332"/>
      <c r="P19" s="332"/>
      <c r="Q19" s="332"/>
      <c r="R19" s="332"/>
      <c r="S19" s="332"/>
      <c r="T19" s="332"/>
      <c r="U19" s="332"/>
      <c r="V19" s="332"/>
      <c r="W19" s="332"/>
      <c r="X19" s="332"/>
    </row>
    <row r="20" spans="1:24" x14ac:dyDescent="0.4">
      <c r="A20" s="317"/>
      <c r="B20" s="329" t="s">
        <v>14</v>
      </c>
      <c r="C20" s="330">
        <v>0.54169999999999996</v>
      </c>
      <c r="D20" s="330">
        <v>0.54930000000000001</v>
      </c>
      <c r="E20" s="330">
        <v>0.55530000000000002</v>
      </c>
      <c r="F20" s="330">
        <v>0.54169999999999996</v>
      </c>
      <c r="G20" s="330">
        <v>0.54169999999999996</v>
      </c>
      <c r="H20" s="330">
        <v>0.63829999999999998</v>
      </c>
      <c r="I20" s="330">
        <v>0.222</v>
      </c>
      <c r="J20" s="330">
        <v>0.222</v>
      </c>
      <c r="K20" s="330">
        <v>0.60729999999999995</v>
      </c>
      <c r="L20" s="330">
        <v>0.57330000000000003</v>
      </c>
      <c r="M20" s="331"/>
      <c r="N20" s="332"/>
      <c r="O20" s="332"/>
      <c r="P20" s="332"/>
      <c r="Q20" s="332"/>
      <c r="R20" s="332"/>
      <c r="S20" s="332"/>
      <c r="T20" s="332"/>
      <c r="U20" s="332"/>
      <c r="V20" s="332"/>
      <c r="W20" s="332"/>
      <c r="X20" s="332"/>
    </row>
    <row r="21" spans="1:24" x14ac:dyDescent="0.4">
      <c r="A21" s="317"/>
      <c r="B21" s="329" t="s">
        <v>15</v>
      </c>
      <c r="C21" s="330">
        <v>0.47470000000000001</v>
      </c>
      <c r="D21" s="330">
        <v>0.48630000000000001</v>
      </c>
      <c r="E21" s="330">
        <v>0.49099999999999999</v>
      </c>
      <c r="F21" s="330">
        <v>0.47470000000000001</v>
      </c>
      <c r="G21" s="330">
        <v>0.47470000000000001</v>
      </c>
      <c r="H21" s="330">
        <v>0.5857</v>
      </c>
      <c r="I21" s="330">
        <v>0.2223</v>
      </c>
      <c r="J21" s="330">
        <v>0.2223</v>
      </c>
      <c r="K21" s="330">
        <v>0.55730000000000002</v>
      </c>
      <c r="L21" s="330">
        <v>0.53169999999999995</v>
      </c>
      <c r="M21" s="331"/>
      <c r="N21" s="332"/>
      <c r="O21" s="332"/>
      <c r="P21" s="332"/>
      <c r="Q21" s="332"/>
      <c r="R21" s="332"/>
      <c r="S21" s="332"/>
      <c r="T21" s="332"/>
      <c r="U21" s="332"/>
      <c r="V21" s="332"/>
      <c r="W21" s="332"/>
      <c r="X21" s="332"/>
    </row>
    <row r="22" spans="1:24" x14ac:dyDescent="0.4">
      <c r="A22" s="317"/>
      <c r="B22" s="329" t="s">
        <v>16</v>
      </c>
      <c r="C22" s="330">
        <v>0.51629999999999998</v>
      </c>
      <c r="D22" s="330">
        <v>0.52700000000000002</v>
      </c>
      <c r="E22" s="330">
        <v>0.52370000000000005</v>
      </c>
      <c r="F22" s="330">
        <v>0.51629999999999998</v>
      </c>
      <c r="G22" s="330">
        <v>0.51629999999999998</v>
      </c>
      <c r="H22" s="330">
        <v>0.58930000000000005</v>
      </c>
      <c r="I22" s="330">
        <v>0.27700000000000002</v>
      </c>
      <c r="J22" s="330">
        <v>0.27700000000000002</v>
      </c>
      <c r="K22" s="330">
        <v>0.59570000000000001</v>
      </c>
      <c r="L22" s="330">
        <v>0.57599999999999996</v>
      </c>
      <c r="M22" s="331"/>
      <c r="N22" s="332"/>
      <c r="O22" s="332"/>
      <c r="P22" s="332"/>
      <c r="Q22" s="332"/>
      <c r="R22" s="332"/>
      <c r="S22" s="332"/>
      <c r="T22" s="332"/>
      <c r="U22" s="332"/>
      <c r="V22" s="332"/>
      <c r="W22" s="332"/>
      <c r="X22" s="332"/>
    </row>
    <row r="23" spans="1:24" x14ac:dyDescent="0.4">
      <c r="A23" s="317"/>
      <c r="B23" s="329" t="s">
        <v>17</v>
      </c>
      <c r="C23" s="330">
        <v>0.47399999999999998</v>
      </c>
      <c r="D23" s="330">
        <v>0.46600000000000003</v>
      </c>
      <c r="E23" s="330">
        <v>0.47699999999999998</v>
      </c>
      <c r="F23" s="330">
        <v>0.47399999999999998</v>
      </c>
      <c r="G23" s="330">
        <v>0.47399999999999998</v>
      </c>
      <c r="H23" s="330">
        <v>0.48599999999999999</v>
      </c>
      <c r="I23" s="330">
        <v>0.30630000000000002</v>
      </c>
      <c r="J23" s="330">
        <v>0.30630000000000002</v>
      </c>
      <c r="K23" s="330">
        <v>0.54600000000000004</v>
      </c>
      <c r="L23" s="330">
        <v>0.52869999999999995</v>
      </c>
      <c r="M23" s="331"/>
      <c r="N23" s="332"/>
      <c r="O23" s="332"/>
      <c r="P23" s="332"/>
      <c r="Q23" s="332"/>
      <c r="R23" s="332"/>
      <c r="S23" s="332"/>
      <c r="T23" s="332"/>
      <c r="U23" s="332"/>
      <c r="V23" s="332"/>
      <c r="W23" s="332"/>
      <c r="X23" s="332"/>
    </row>
    <row r="24" spans="1:24" x14ac:dyDescent="0.4">
      <c r="A24" s="317"/>
      <c r="B24" s="329" t="s">
        <v>18</v>
      </c>
      <c r="C24" s="330">
        <v>0.45600000000000002</v>
      </c>
      <c r="D24" s="330">
        <v>0.44900000000000001</v>
      </c>
      <c r="E24" s="330">
        <v>0.46029999999999999</v>
      </c>
      <c r="F24" s="330">
        <v>0.45600000000000002</v>
      </c>
      <c r="G24" s="330">
        <v>0.45600000000000002</v>
      </c>
      <c r="H24" s="330">
        <v>0.4617</v>
      </c>
      <c r="I24" s="330">
        <v>0.29870000000000002</v>
      </c>
      <c r="J24" s="330">
        <v>0.29870000000000002</v>
      </c>
      <c r="K24" s="330">
        <v>0.51770000000000005</v>
      </c>
      <c r="L24" s="330">
        <v>0.501</v>
      </c>
      <c r="M24" s="331"/>
      <c r="N24" s="332"/>
      <c r="O24" s="332"/>
      <c r="P24" s="332"/>
      <c r="Q24" s="332"/>
      <c r="R24" s="332"/>
      <c r="S24" s="332"/>
      <c r="T24" s="332"/>
      <c r="U24" s="332"/>
      <c r="V24" s="332"/>
      <c r="W24" s="332"/>
      <c r="X24" s="332"/>
    </row>
    <row r="25" spans="1:24" x14ac:dyDescent="0.4">
      <c r="A25" s="317"/>
      <c r="B25" s="333"/>
      <c r="C25" s="334"/>
      <c r="D25" s="334"/>
      <c r="E25" s="334"/>
      <c r="F25" s="334"/>
      <c r="G25" s="334"/>
      <c r="H25" s="334"/>
      <c r="I25" s="334"/>
      <c r="J25" s="334"/>
      <c r="K25" s="334"/>
      <c r="L25" s="334"/>
      <c r="M25" s="334"/>
      <c r="N25" s="332"/>
      <c r="O25" s="332"/>
      <c r="P25" s="332"/>
      <c r="Q25" s="332"/>
      <c r="R25" s="332"/>
      <c r="S25" s="332"/>
      <c r="T25" s="332"/>
      <c r="U25" s="332"/>
      <c r="V25" s="332"/>
      <c r="W25" s="332"/>
      <c r="X25" s="332"/>
    </row>
    <row r="26" spans="1:24" x14ac:dyDescent="0.4">
      <c r="A26" s="317"/>
      <c r="B26" s="333"/>
      <c r="C26" s="334"/>
      <c r="D26" s="334"/>
      <c r="E26" s="115" t="str">
        <f>E8</f>
        <v>Based on average of year 2017,2018 &amp; 2019 Load Profile Information</v>
      </c>
      <c r="K26" s="334"/>
      <c r="L26" s="334"/>
      <c r="M26" s="334"/>
      <c r="N26" s="332"/>
      <c r="O26" s="332"/>
      <c r="P26" s="332"/>
      <c r="Q26" s="332"/>
      <c r="R26" s="332"/>
      <c r="S26" s="332"/>
      <c r="T26" s="332"/>
      <c r="U26" s="332"/>
      <c r="V26" s="332"/>
      <c r="W26" s="332"/>
      <c r="X26" s="332"/>
    </row>
    <row r="27" spans="1:24" x14ac:dyDescent="0.4">
      <c r="A27" s="315" t="s">
        <v>65</v>
      </c>
      <c r="B27" s="9" t="s">
        <v>130</v>
      </c>
      <c r="C27" s="334"/>
      <c r="D27" s="334"/>
      <c r="E27" s="335" t="s">
        <v>426</v>
      </c>
      <c r="G27" s="334"/>
      <c r="H27" s="334"/>
      <c r="I27" s="336"/>
      <c r="J27" s="336"/>
      <c r="K27" s="334"/>
      <c r="L27" s="334"/>
      <c r="M27" s="334"/>
      <c r="N27" s="332"/>
      <c r="O27" s="332"/>
      <c r="P27" s="332"/>
      <c r="Q27" s="332"/>
      <c r="R27" s="332"/>
      <c r="S27" s="332"/>
      <c r="T27" s="332"/>
      <c r="U27" s="332"/>
      <c r="V27" s="332"/>
      <c r="W27" s="332"/>
      <c r="X27" s="332"/>
    </row>
    <row r="28" spans="1:24" ht="25.35" x14ac:dyDescent="0.4">
      <c r="A28" s="317"/>
      <c r="B28" s="328"/>
      <c r="C28" s="319" t="s">
        <v>50</v>
      </c>
      <c r="D28" s="319" t="s">
        <v>50</v>
      </c>
      <c r="E28" s="322"/>
      <c r="F28" s="115"/>
      <c r="G28" s="322"/>
      <c r="H28" s="322"/>
      <c r="I28" s="322"/>
      <c r="J28" s="322"/>
      <c r="K28" s="322"/>
      <c r="L28" s="322"/>
      <c r="M28" s="322"/>
      <c r="N28" s="332"/>
      <c r="O28" s="332"/>
      <c r="P28" s="332"/>
      <c r="Q28" s="332"/>
      <c r="R28" s="332"/>
      <c r="S28" s="332"/>
      <c r="T28" s="332"/>
      <c r="U28" s="332"/>
      <c r="V28" s="332"/>
      <c r="W28" s="332"/>
    </row>
    <row r="29" spans="1:24" x14ac:dyDescent="0.4">
      <c r="A29" s="317"/>
      <c r="B29" s="324" t="s">
        <v>232</v>
      </c>
      <c r="C29" s="325" t="s">
        <v>2</v>
      </c>
      <c r="D29" s="325" t="s">
        <v>36</v>
      </c>
      <c r="E29" s="310"/>
      <c r="F29" s="327"/>
      <c r="G29" s="310"/>
      <c r="H29" s="310"/>
      <c r="I29" s="310"/>
      <c r="J29" s="310"/>
      <c r="K29" s="310"/>
      <c r="L29" s="310"/>
      <c r="M29" s="310"/>
      <c r="N29" s="332"/>
      <c r="O29" s="332"/>
      <c r="P29" s="332"/>
      <c r="Q29" s="332"/>
      <c r="R29" s="332"/>
      <c r="S29" s="332"/>
      <c r="T29" s="332"/>
      <c r="U29" s="332"/>
      <c r="V29" s="332"/>
      <c r="W29" s="332"/>
    </row>
    <row r="30" spans="1:24" x14ac:dyDescent="0.4">
      <c r="A30" s="317"/>
      <c r="B30" s="328"/>
      <c r="C30" s="328"/>
      <c r="D30" s="328"/>
      <c r="G30" s="312"/>
      <c r="H30" s="312"/>
      <c r="I30" s="312"/>
      <c r="J30" s="312"/>
      <c r="K30" s="312"/>
      <c r="L30" s="312"/>
      <c r="M30" s="312"/>
      <c r="N30" s="332"/>
      <c r="O30" s="332"/>
      <c r="P30" s="332"/>
      <c r="Q30" s="332"/>
      <c r="R30" s="332"/>
      <c r="S30" s="332"/>
      <c r="T30" s="332"/>
      <c r="U30" s="332"/>
      <c r="V30" s="332"/>
      <c r="W30" s="332"/>
    </row>
    <row r="31" spans="1:24" x14ac:dyDescent="0.4">
      <c r="A31" s="317"/>
      <c r="B31" s="329" t="s">
        <v>7</v>
      </c>
      <c r="C31" s="330">
        <v>0.42499999999999999</v>
      </c>
      <c r="D31" s="337">
        <v>0.47320000000000001</v>
      </c>
      <c r="E31" s="331"/>
      <c r="F31" s="334"/>
      <c r="G31" s="332"/>
      <c r="H31" s="332"/>
      <c r="I31" s="332"/>
      <c r="J31" s="332"/>
      <c r="K31" s="332"/>
      <c r="L31" s="332"/>
      <c r="M31" s="332"/>
      <c r="N31" s="332"/>
      <c r="O31" s="332"/>
      <c r="P31" s="332"/>
      <c r="Q31" s="332"/>
      <c r="R31" s="332"/>
      <c r="S31" s="332"/>
      <c r="T31" s="332"/>
      <c r="U31" s="332"/>
      <c r="V31" s="332"/>
      <c r="W31" s="332"/>
    </row>
    <row r="32" spans="1:24" x14ac:dyDescent="0.4">
      <c r="A32" s="317"/>
      <c r="B32" s="329" t="s">
        <v>8</v>
      </c>
      <c r="C32" s="330">
        <v>0.4214</v>
      </c>
      <c r="D32" s="337">
        <v>0.48039999999999999</v>
      </c>
      <c r="E32" s="331"/>
      <c r="F32" s="334"/>
      <c r="G32" s="332"/>
      <c r="H32" s="332"/>
      <c r="I32" s="332"/>
      <c r="J32" s="332"/>
      <c r="K32" s="332"/>
      <c r="L32" s="332"/>
      <c r="M32" s="332"/>
      <c r="N32" s="332"/>
      <c r="O32" s="332"/>
      <c r="P32" s="332"/>
      <c r="Q32" s="332"/>
      <c r="R32" s="332"/>
      <c r="S32" s="332"/>
      <c r="T32" s="332"/>
      <c r="U32" s="332"/>
      <c r="V32" s="332"/>
      <c r="W32" s="332"/>
    </row>
    <row r="33" spans="1:32" x14ac:dyDescent="0.4">
      <c r="A33" s="317"/>
      <c r="B33" s="329" t="s">
        <v>9</v>
      </c>
      <c r="C33" s="330">
        <v>0.41720000000000002</v>
      </c>
      <c r="D33" s="337">
        <v>0.47699999999999998</v>
      </c>
      <c r="E33" s="331"/>
      <c r="F33" s="334"/>
      <c r="G33" s="332"/>
      <c r="H33" s="332"/>
      <c r="I33" s="332"/>
      <c r="J33" s="332"/>
      <c r="K33" s="332"/>
      <c r="L33" s="332"/>
      <c r="M33" s="332"/>
      <c r="N33" s="332"/>
      <c r="O33" s="332"/>
      <c r="P33" s="332"/>
      <c r="Q33" s="332"/>
      <c r="R33" s="332"/>
      <c r="S33" s="332"/>
      <c r="T33" s="332"/>
      <c r="U33" s="332"/>
      <c r="V33" s="332"/>
      <c r="W33" s="332"/>
    </row>
    <row r="34" spans="1:32" x14ac:dyDescent="0.4">
      <c r="A34" s="317"/>
      <c r="B34" s="329" t="s">
        <v>10</v>
      </c>
      <c r="C34" s="330">
        <v>0.4209</v>
      </c>
      <c r="D34" s="337">
        <v>0.48430000000000001</v>
      </c>
      <c r="E34" s="331"/>
      <c r="F34" s="334"/>
      <c r="G34" s="332"/>
      <c r="H34" s="332"/>
      <c r="I34" s="332"/>
      <c r="J34" s="332"/>
      <c r="K34" s="332"/>
      <c r="L34" s="332"/>
      <c r="M34" s="332"/>
      <c r="N34" s="332"/>
      <c r="O34" s="332"/>
      <c r="P34" s="332"/>
      <c r="Q34" s="332"/>
      <c r="R34" s="332"/>
      <c r="S34" s="332"/>
      <c r="T34" s="332"/>
      <c r="U34" s="332"/>
      <c r="V34" s="332"/>
      <c r="W34" s="332"/>
    </row>
    <row r="35" spans="1:32" x14ac:dyDescent="0.4">
      <c r="A35" s="317"/>
      <c r="B35" s="329" t="s">
        <v>11</v>
      </c>
      <c r="C35" s="330">
        <v>0.44440000000000002</v>
      </c>
      <c r="D35" s="337">
        <v>0.49769999999999998</v>
      </c>
      <c r="E35" s="331"/>
      <c r="F35" s="338"/>
      <c r="G35" s="332"/>
      <c r="H35" s="332"/>
      <c r="I35" s="332"/>
      <c r="J35" s="332"/>
      <c r="K35" s="332"/>
      <c r="L35" s="332"/>
      <c r="M35" s="332"/>
      <c r="N35" s="332"/>
      <c r="O35" s="332"/>
      <c r="P35" s="332"/>
      <c r="Q35" s="332"/>
      <c r="R35" s="332"/>
      <c r="S35" s="332"/>
      <c r="T35" s="332"/>
      <c r="U35" s="332"/>
      <c r="V35" s="332"/>
      <c r="W35" s="332"/>
    </row>
    <row r="36" spans="1:32" x14ac:dyDescent="0.4">
      <c r="A36" s="317"/>
      <c r="B36" s="329" t="s">
        <v>12</v>
      </c>
      <c r="C36" s="330">
        <v>0.46100000000000002</v>
      </c>
      <c r="D36" s="330">
        <v>0.50509999999999999</v>
      </c>
      <c r="E36" s="331"/>
      <c r="F36" s="338"/>
      <c r="G36" s="332"/>
      <c r="H36" s="332"/>
      <c r="I36" s="332"/>
      <c r="J36" s="332"/>
      <c r="K36" s="332"/>
      <c r="L36" s="332"/>
      <c r="M36" s="332"/>
      <c r="N36" s="332"/>
      <c r="O36" s="332"/>
      <c r="P36" s="332"/>
      <c r="Q36" s="332"/>
      <c r="R36" s="332"/>
      <c r="S36" s="332"/>
      <c r="T36" s="332"/>
      <c r="U36" s="332"/>
      <c r="V36" s="332"/>
      <c r="W36" s="332"/>
    </row>
    <row r="37" spans="1:32" x14ac:dyDescent="0.4">
      <c r="A37" s="317"/>
      <c r="B37" s="329" t="s">
        <v>13</v>
      </c>
      <c r="C37" s="330">
        <v>0.48259999999999997</v>
      </c>
      <c r="D37" s="330">
        <v>0.50060000000000004</v>
      </c>
      <c r="E37" s="331"/>
      <c r="F37" s="338"/>
      <c r="G37" s="332"/>
      <c r="H37" s="332"/>
      <c r="I37" s="332"/>
      <c r="J37" s="332"/>
      <c r="K37" s="332"/>
      <c r="L37" s="332"/>
      <c r="M37" s="332"/>
      <c r="N37" s="332"/>
      <c r="O37" s="332"/>
      <c r="P37" s="332"/>
      <c r="Q37" s="332"/>
      <c r="R37" s="332"/>
      <c r="S37" s="332"/>
      <c r="T37" s="332"/>
      <c r="U37" s="332"/>
      <c r="V37" s="332"/>
      <c r="W37" s="332"/>
    </row>
    <row r="38" spans="1:32" x14ac:dyDescent="0.4">
      <c r="A38" s="317"/>
      <c r="B38" s="329" t="s">
        <v>14</v>
      </c>
      <c r="C38" s="330">
        <v>0.4869</v>
      </c>
      <c r="D38" s="337">
        <v>0.49809999999999999</v>
      </c>
      <c r="E38" s="331"/>
      <c r="F38" s="338"/>
      <c r="G38" s="332"/>
      <c r="H38" s="332"/>
      <c r="I38" s="332"/>
      <c r="J38" s="332"/>
      <c r="K38" s="332"/>
      <c r="L38" s="332"/>
      <c r="M38" s="332"/>
      <c r="N38" s="332"/>
      <c r="O38" s="332"/>
      <c r="P38" s="332"/>
      <c r="Q38" s="332"/>
      <c r="R38" s="332"/>
      <c r="S38" s="332"/>
      <c r="T38" s="332"/>
      <c r="U38" s="332"/>
      <c r="V38" s="332"/>
      <c r="W38" s="332"/>
    </row>
    <row r="39" spans="1:32" x14ac:dyDescent="0.4">
      <c r="A39" s="317"/>
      <c r="B39" s="329" t="s">
        <v>15</v>
      </c>
      <c r="C39" s="330">
        <v>0.48849999999999999</v>
      </c>
      <c r="D39" s="337">
        <v>0.50470000000000004</v>
      </c>
      <c r="E39" s="331"/>
      <c r="F39" s="338"/>
      <c r="G39" s="332"/>
      <c r="H39" s="332"/>
      <c r="I39" s="332"/>
      <c r="J39" s="332"/>
      <c r="K39" s="332"/>
      <c r="L39" s="332"/>
      <c r="M39" s="332"/>
      <c r="N39" s="332"/>
      <c r="O39" s="332"/>
      <c r="P39" s="332"/>
      <c r="Q39" s="332"/>
      <c r="R39" s="332"/>
      <c r="S39" s="332"/>
      <c r="T39" s="332"/>
      <c r="U39" s="332"/>
      <c r="V39" s="332"/>
      <c r="W39" s="332"/>
    </row>
    <row r="40" spans="1:32" x14ac:dyDescent="0.4">
      <c r="A40" s="317"/>
      <c r="B40" s="329" t="s">
        <v>16</v>
      </c>
      <c r="C40" s="330">
        <v>0.46139999999999998</v>
      </c>
      <c r="D40" s="337">
        <v>0.50319999999999998</v>
      </c>
      <c r="E40" s="331"/>
      <c r="F40" s="338"/>
      <c r="G40" s="332"/>
      <c r="H40" s="332"/>
      <c r="I40" s="332"/>
      <c r="J40" s="332"/>
      <c r="K40" s="332"/>
      <c r="L40" s="332"/>
      <c r="M40" s="332"/>
      <c r="N40" s="332"/>
      <c r="O40" s="332"/>
      <c r="P40" s="332"/>
      <c r="Q40" s="332"/>
      <c r="R40" s="332"/>
      <c r="S40" s="332"/>
      <c r="T40" s="332"/>
      <c r="U40" s="332"/>
      <c r="V40" s="332"/>
      <c r="W40" s="332"/>
    </row>
    <row r="41" spans="1:32" x14ac:dyDescent="0.4">
      <c r="A41" s="317"/>
      <c r="B41" s="329" t="s">
        <v>17</v>
      </c>
      <c r="C41" s="330">
        <v>0.43190000000000001</v>
      </c>
      <c r="D41" s="337">
        <v>0.49469999999999997</v>
      </c>
      <c r="E41" s="331"/>
      <c r="F41" s="338"/>
      <c r="G41" s="332"/>
      <c r="H41" s="332"/>
      <c r="I41" s="332"/>
      <c r="J41" s="332"/>
      <c r="K41" s="332"/>
      <c r="L41" s="332"/>
      <c r="M41" s="332"/>
      <c r="N41" s="332"/>
      <c r="O41" s="332"/>
      <c r="P41" s="332"/>
      <c r="Q41" s="332"/>
      <c r="R41" s="332"/>
      <c r="S41" s="332"/>
      <c r="T41" s="332"/>
      <c r="U41" s="332"/>
      <c r="V41" s="332"/>
      <c r="W41" s="332"/>
    </row>
    <row r="42" spans="1:32" x14ac:dyDescent="0.4">
      <c r="A42" s="317"/>
      <c r="B42" s="329" t="s">
        <v>18</v>
      </c>
      <c r="C42" s="330">
        <v>0.42630000000000001</v>
      </c>
      <c r="D42" s="337">
        <v>0.4798</v>
      </c>
      <c r="E42" s="331"/>
      <c r="F42" s="338"/>
      <c r="G42" s="332"/>
      <c r="H42" s="332"/>
      <c r="I42" s="332"/>
      <c r="J42" s="332"/>
      <c r="K42" s="332"/>
      <c r="L42" s="332"/>
      <c r="M42" s="332"/>
      <c r="N42" s="332"/>
      <c r="O42" s="332"/>
      <c r="P42" s="332"/>
      <c r="Q42" s="332"/>
      <c r="R42" s="332"/>
      <c r="S42" s="332"/>
      <c r="T42" s="332"/>
      <c r="U42" s="332"/>
      <c r="V42" s="332"/>
      <c r="W42" s="332"/>
    </row>
    <row r="43" spans="1:32" x14ac:dyDescent="0.4">
      <c r="A43" s="317"/>
      <c r="B43" s="333"/>
      <c r="C43" s="334"/>
      <c r="D43" s="334"/>
      <c r="E43" s="334"/>
      <c r="F43" s="334"/>
      <c r="G43" s="334"/>
      <c r="H43" s="334"/>
      <c r="I43" s="336"/>
      <c r="J43" s="336"/>
      <c r="K43" s="334"/>
      <c r="L43" s="334"/>
      <c r="M43" s="334"/>
      <c r="N43" s="332"/>
      <c r="O43" s="332"/>
      <c r="P43" s="332"/>
      <c r="Q43" s="332"/>
      <c r="R43" s="332"/>
      <c r="S43" s="332"/>
      <c r="T43" s="332"/>
      <c r="U43" s="332"/>
      <c r="V43" s="332"/>
      <c r="W43" s="332"/>
      <c r="X43" s="332"/>
    </row>
    <row r="44" spans="1:32" x14ac:dyDescent="0.4">
      <c r="A44" s="317"/>
      <c r="B44" s="333"/>
      <c r="C44" s="334"/>
      <c r="D44" s="334"/>
      <c r="E44" s="334"/>
      <c r="F44" s="334"/>
      <c r="G44" s="334"/>
      <c r="H44" s="334"/>
      <c r="I44" s="336"/>
      <c r="J44" s="336"/>
      <c r="K44" s="334"/>
      <c r="L44" s="334"/>
      <c r="M44" s="334"/>
      <c r="N44" s="332"/>
      <c r="O44" s="332"/>
      <c r="P44" s="332"/>
      <c r="Q44" s="332"/>
      <c r="R44" s="332"/>
      <c r="S44" s="332"/>
      <c r="T44" s="332"/>
      <c r="U44" s="332"/>
      <c r="V44" s="332"/>
      <c r="W44" s="332"/>
      <c r="X44" s="332"/>
    </row>
    <row r="45" spans="1:32" x14ac:dyDescent="0.4">
      <c r="A45" s="315" t="s">
        <v>75</v>
      </c>
      <c r="B45" s="339" t="s">
        <v>131</v>
      </c>
      <c r="C45" s="310"/>
      <c r="D45" s="310"/>
      <c r="E45" s="310"/>
      <c r="F45" s="310"/>
      <c r="G45" s="310"/>
      <c r="H45" s="310"/>
      <c r="I45" s="310"/>
      <c r="J45" s="310"/>
      <c r="K45" s="310"/>
      <c r="L45" s="310"/>
      <c r="N45" s="332"/>
      <c r="O45" s="332"/>
      <c r="P45" s="332"/>
      <c r="Q45" s="332"/>
      <c r="R45" s="332"/>
      <c r="S45" s="332"/>
      <c r="T45" s="332"/>
      <c r="U45" s="332"/>
      <c r="V45" s="332"/>
      <c r="W45" s="332"/>
    </row>
    <row r="46" spans="1:32" x14ac:dyDescent="0.4">
      <c r="A46" s="317"/>
      <c r="B46" s="340" t="s">
        <v>432</v>
      </c>
      <c r="G46" s="341"/>
      <c r="L46" s="310"/>
      <c r="N46" s="332"/>
      <c r="O46" s="332"/>
      <c r="P46" s="332"/>
      <c r="Q46" s="332"/>
      <c r="R46" s="332"/>
      <c r="S46" s="332"/>
      <c r="T46" s="332"/>
      <c r="U46" s="332"/>
      <c r="V46" s="332"/>
      <c r="W46" s="332"/>
      <c r="AB46" s="342"/>
    </row>
    <row r="47" spans="1:32" x14ac:dyDescent="0.4">
      <c r="A47" s="317"/>
      <c r="B47" s="320" t="s">
        <v>78</v>
      </c>
      <c r="C47" s="325" t="s">
        <v>0</v>
      </c>
      <c r="D47" s="325" t="s">
        <v>1</v>
      </c>
      <c r="E47" s="325" t="s">
        <v>2</v>
      </c>
      <c r="F47" s="325" t="s">
        <v>3</v>
      </c>
      <c r="G47" s="325" t="s">
        <v>4</v>
      </c>
      <c r="H47" s="325" t="s">
        <v>6</v>
      </c>
      <c r="I47" s="325" t="s">
        <v>37</v>
      </c>
      <c r="J47" s="325" t="s">
        <v>38</v>
      </c>
      <c r="K47" s="325" t="s">
        <v>5</v>
      </c>
      <c r="L47" s="325" t="s">
        <v>36</v>
      </c>
      <c r="N47" s="332"/>
      <c r="O47" s="332"/>
      <c r="P47" s="332"/>
      <c r="Q47" s="332"/>
      <c r="R47" s="332"/>
      <c r="S47" s="332"/>
      <c r="T47" s="332"/>
      <c r="U47" s="332"/>
      <c r="V47" s="332"/>
      <c r="W47" s="332"/>
      <c r="X47" s="310"/>
      <c r="Y47" s="310"/>
      <c r="Z47" s="310"/>
      <c r="AB47" s="342"/>
      <c r="AF47" s="342"/>
    </row>
    <row r="48" spans="1:32" x14ac:dyDescent="0.4">
      <c r="A48" s="317"/>
      <c r="B48" s="328"/>
      <c r="C48" s="325"/>
      <c r="D48" s="325"/>
      <c r="E48" s="325"/>
      <c r="F48" s="325"/>
      <c r="G48" s="325"/>
      <c r="H48" s="325"/>
      <c r="I48" s="325"/>
      <c r="J48" s="325"/>
      <c r="K48" s="325"/>
      <c r="L48" s="325"/>
      <c r="N48" s="332"/>
      <c r="O48" s="332"/>
      <c r="P48" s="332"/>
      <c r="Q48" s="332"/>
      <c r="R48" s="332"/>
      <c r="S48" s="332"/>
      <c r="T48" s="332"/>
      <c r="U48" s="332"/>
      <c r="V48" s="332"/>
      <c r="W48" s="332"/>
      <c r="Y48" s="343"/>
      <c r="AB48" s="342"/>
      <c r="AF48" s="342"/>
    </row>
    <row r="49" spans="1:32" x14ac:dyDescent="0.4">
      <c r="A49" s="317"/>
      <c r="B49" s="329" t="s">
        <v>7</v>
      </c>
      <c r="C49" s="344">
        <v>1158782.9408249238</v>
      </c>
      <c r="D49" s="344">
        <v>13581.145419587001</v>
      </c>
      <c r="E49" s="344">
        <v>13959.307427872751</v>
      </c>
      <c r="F49" s="344">
        <v>83</v>
      </c>
      <c r="G49" s="344">
        <v>2</v>
      </c>
      <c r="H49" s="344">
        <v>1504.1042452061643</v>
      </c>
      <c r="I49" s="344">
        <v>15729</v>
      </c>
      <c r="J49" s="344">
        <v>32396</v>
      </c>
      <c r="K49" s="344">
        <v>545909.97467966552</v>
      </c>
      <c r="L49" s="344">
        <v>575623.03838755714</v>
      </c>
      <c r="N49" s="332"/>
      <c r="O49" s="332"/>
      <c r="P49" s="332"/>
      <c r="Q49" s="332"/>
      <c r="R49" s="332"/>
      <c r="S49" s="332"/>
      <c r="T49" s="332"/>
      <c r="U49" s="332"/>
      <c r="V49" s="332"/>
      <c r="W49" s="332"/>
      <c r="X49" s="345"/>
      <c r="Y49" s="343"/>
      <c r="Z49" s="346"/>
      <c r="AB49" s="347"/>
      <c r="AF49" s="348"/>
    </row>
    <row r="50" spans="1:32" x14ac:dyDescent="0.4">
      <c r="A50" s="317"/>
      <c r="B50" s="329" t="s">
        <v>8</v>
      </c>
      <c r="C50" s="344">
        <v>968636.16641473665</v>
      </c>
      <c r="D50" s="344">
        <v>11629.520323348841</v>
      </c>
      <c r="E50" s="344">
        <v>11728.526775786639</v>
      </c>
      <c r="F50" s="344">
        <v>80</v>
      </c>
      <c r="G50" s="344">
        <v>2</v>
      </c>
      <c r="H50" s="344">
        <v>1297.2794020978824</v>
      </c>
      <c r="I50" s="344">
        <v>12919</v>
      </c>
      <c r="J50" s="344">
        <v>27002</v>
      </c>
      <c r="K50" s="344">
        <v>502749.34791265207</v>
      </c>
      <c r="L50" s="344">
        <v>525211.62490493548</v>
      </c>
      <c r="N50" s="332"/>
      <c r="O50" s="332"/>
      <c r="P50" s="332"/>
      <c r="Q50" s="332"/>
      <c r="R50" s="332"/>
      <c r="S50" s="332"/>
      <c r="T50" s="332"/>
      <c r="U50" s="332"/>
      <c r="V50" s="332"/>
      <c r="W50" s="332"/>
      <c r="X50" s="345"/>
      <c r="Y50" s="343"/>
      <c r="Z50" s="346"/>
      <c r="AB50" s="347"/>
      <c r="AD50" s="349"/>
    </row>
    <row r="51" spans="1:32" x14ac:dyDescent="0.4">
      <c r="A51" s="317"/>
      <c r="B51" s="329" t="s">
        <v>9</v>
      </c>
      <c r="C51" s="344">
        <v>927889.04863921262</v>
      </c>
      <c r="D51" s="344">
        <v>9396.6060230466355</v>
      </c>
      <c r="E51" s="344">
        <v>11682.444038875921</v>
      </c>
      <c r="F51" s="344">
        <v>89</v>
      </c>
      <c r="G51" s="344">
        <v>1</v>
      </c>
      <c r="H51" s="344">
        <v>1045.0539836731482</v>
      </c>
      <c r="I51" s="344">
        <v>12905</v>
      </c>
      <c r="J51" s="344">
        <v>27387</v>
      </c>
      <c r="K51" s="344">
        <v>530255.17994208226</v>
      </c>
      <c r="L51" s="344">
        <v>557671.20184891601</v>
      </c>
      <c r="M51" s="350"/>
      <c r="N51" s="332"/>
      <c r="O51" s="332"/>
      <c r="P51" s="332"/>
      <c r="Q51" s="332"/>
      <c r="R51" s="332"/>
      <c r="S51" s="332"/>
      <c r="T51" s="332"/>
      <c r="U51" s="332"/>
      <c r="V51" s="332"/>
      <c r="W51" s="332"/>
      <c r="X51" s="345"/>
      <c r="Y51" s="343"/>
      <c r="Z51" s="351"/>
      <c r="AB51" s="347"/>
    </row>
    <row r="52" spans="1:32" x14ac:dyDescent="0.4">
      <c r="A52" s="317"/>
      <c r="B52" s="329" t="s">
        <v>10</v>
      </c>
      <c r="C52" s="344">
        <v>768432.3358304014</v>
      </c>
      <c r="D52" s="344">
        <v>5786.2445894411239</v>
      </c>
      <c r="E52" s="344">
        <v>9646.3394386371219</v>
      </c>
      <c r="F52" s="344">
        <v>74</v>
      </c>
      <c r="G52" s="344">
        <v>2</v>
      </c>
      <c r="H52" s="344">
        <v>696.98290624701519</v>
      </c>
      <c r="I52" s="344">
        <v>10619</v>
      </c>
      <c r="J52" s="344">
        <v>23671</v>
      </c>
      <c r="K52" s="344">
        <v>465334.98321957636</v>
      </c>
      <c r="L52" s="344">
        <v>486144.46033947472</v>
      </c>
      <c r="M52" s="350"/>
      <c r="N52" s="332"/>
      <c r="O52" s="332"/>
      <c r="P52" s="332"/>
      <c r="Q52" s="332"/>
      <c r="R52" s="332"/>
      <c r="S52" s="332"/>
      <c r="T52" s="332"/>
      <c r="U52" s="332"/>
      <c r="V52" s="332"/>
      <c r="W52" s="332"/>
      <c r="Y52" s="343"/>
      <c r="AB52" s="347"/>
    </row>
    <row r="53" spans="1:32" x14ac:dyDescent="0.4">
      <c r="A53" s="317"/>
      <c r="B53" s="329" t="s">
        <v>11</v>
      </c>
      <c r="C53" s="344">
        <v>921193.68524272216</v>
      </c>
      <c r="D53" s="344">
        <v>4420.39701094458</v>
      </c>
      <c r="E53" s="344">
        <v>12618.205737369042</v>
      </c>
      <c r="F53" s="344">
        <v>94</v>
      </c>
      <c r="G53" s="344">
        <v>1</v>
      </c>
      <c r="H53" s="344">
        <v>348.07107742613306</v>
      </c>
      <c r="I53" s="344">
        <v>10441</v>
      </c>
      <c r="J53" s="344">
        <v>22013</v>
      </c>
      <c r="K53" s="344">
        <v>509010.76321916579</v>
      </c>
      <c r="L53" s="344">
        <v>578070.95372692402</v>
      </c>
      <c r="N53" s="332"/>
      <c r="O53" s="332"/>
      <c r="P53" s="332"/>
      <c r="Q53" s="332"/>
      <c r="R53" s="332"/>
      <c r="S53" s="332"/>
      <c r="T53" s="332"/>
      <c r="U53" s="332"/>
      <c r="V53" s="332"/>
      <c r="W53" s="332"/>
      <c r="X53" s="345"/>
      <c r="Y53" s="343"/>
      <c r="Z53" s="351"/>
      <c r="AB53" s="347"/>
    </row>
    <row r="54" spans="1:32" x14ac:dyDescent="0.4">
      <c r="A54" s="317"/>
      <c r="B54" s="329" t="s">
        <v>12</v>
      </c>
      <c r="C54" s="344">
        <v>1231483.049911625</v>
      </c>
      <c r="D54" s="344">
        <v>5157.9353707413693</v>
      </c>
      <c r="E54" s="344">
        <v>17644.045452692895</v>
      </c>
      <c r="F54" s="344">
        <v>66</v>
      </c>
      <c r="G54" s="344">
        <v>1</v>
      </c>
      <c r="H54" s="344">
        <v>469.98002966475451</v>
      </c>
      <c r="I54" s="344">
        <v>8686</v>
      </c>
      <c r="J54" s="344">
        <v>18965</v>
      </c>
      <c r="K54" s="344">
        <v>529954.46447786305</v>
      </c>
      <c r="L54" s="344">
        <v>573279.40643708722</v>
      </c>
      <c r="M54" s="350"/>
      <c r="N54" s="332"/>
      <c r="O54" s="332"/>
      <c r="P54" s="332"/>
      <c r="Q54" s="332"/>
      <c r="R54" s="332"/>
      <c r="S54" s="332"/>
      <c r="T54" s="332"/>
      <c r="U54" s="332"/>
      <c r="V54" s="332"/>
      <c r="W54" s="332"/>
      <c r="X54" s="345"/>
      <c r="Y54" s="343"/>
      <c r="Z54" s="346"/>
      <c r="AB54" s="347"/>
    </row>
    <row r="55" spans="1:32" x14ac:dyDescent="0.4">
      <c r="A55" s="317"/>
      <c r="B55" s="329" t="s">
        <v>13</v>
      </c>
      <c r="C55" s="344">
        <v>1634450.3903467557</v>
      </c>
      <c r="D55" s="344">
        <v>5632.5504882514915</v>
      </c>
      <c r="E55" s="344">
        <v>23239.806363279899</v>
      </c>
      <c r="F55" s="344">
        <v>51</v>
      </c>
      <c r="G55" s="344">
        <v>1</v>
      </c>
      <c r="H55" s="344">
        <v>517.06210777070487</v>
      </c>
      <c r="I55" s="344">
        <v>9402</v>
      </c>
      <c r="J55" s="344">
        <v>16483</v>
      </c>
      <c r="K55" s="344">
        <v>608058.39571665251</v>
      </c>
      <c r="L55" s="344">
        <v>614890.53683168814</v>
      </c>
      <c r="M55" s="350"/>
      <c r="N55" s="332"/>
      <c r="O55" s="332"/>
      <c r="P55" s="332"/>
      <c r="Q55" s="332"/>
      <c r="R55" s="332"/>
      <c r="S55" s="332"/>
      <c r="T55" s="332"/>
      <c r="U55" s="332"/>
      <c r="V55" s="332"/>
      <c r="W55" s="332"/>
      <c r="X55" s="345"/>
      <c r="Y55" s="343"/>
      <c r="Z55" s="351"/>
      <c r="AB55" s="347"/>
    </row>
    <row r="56" spans="1:32" x14ac:dyDescent="0.4">
      <c r="A56" s="317"/>
      <c r="B56" s="329" t="s">
        <v>14</v>
      </c>
      <c r="C56" s="344">
        <v>1648641.1980882566</v>
      </c>
      <c r="D56" s="344">
        <v>5820.0766242941872</v>
      </c>
      <c r="E56" s="344">
        <v>22115.011397050981</v>
      </c>
      <c r="F56" s="344">
        <v>58</v>
      </c>
      <c r="G56" s="344">
        <v>1</v>
      </c>
      <c r="H56" s="344">
        <v>615.4300209563512</v>
      </c>
      <c r="I56" s="344">
        <v>10382</v>
      </c>
      <c r="J56" s="344">
        <v>19112</v>
      </c>
      <c r="K56" s="344">
        <v>639486.0934939218</v>
      </c>
      <c r="L56" s="344">
        <v>662645.46819714934</v>
      </c>
      <c r="M56" s="350"/>
      <c r="N56" s="332"/>
      <c r="O56" s="332"/>
      <c r="P56" s="332"/>
      <c r="Q56" s="332"/>
      <c r="R56" s="332"/>
      <c r="S56" s="332"/>
      <c r="T56" s="332"/>
      <c r="U56" s="332"/>
      <c r="V56" s="332"/>
      <c r="W56" s="332"/>
      <c r="AB56" s="347"/>
    </row>
    <row r="57" spans="1:32" x14ac:dyDescent="0.4">
      <c r="A57" s="317"/>
      <c r="B57" s="329" t="s">
        <v>15</v>
      </c>
      <c r="C57" s="344">
        <v>1054299.9059426726</v>
      </c>
      <c r="D57" s="344">
        <v>4477.4281554111731</v>
      </c>
      <c r="E57" s="344">
        <v>14453.991501649012</v>
      </c>
      <c r="F57" s="344">
        <v>61</v>
      </c>
      <c r="G57" s="344">
        <v>1</v>
      </c>
      <c r="H57" s="344">
        <v>432.1462169010444</v>
      </c>
      <c r="I57" s="344">
        <v>11378</v>
      </c>
      <c r="J57" s="344">
        <v>23342</v>
      </c>
      <c r="K57" s="344">
        <v>534120.08565770159</v>
      </c>
      <c r="L57" s="344">
        <v>555734.41233012883</v>
      </c>
      <c r="M57" s="350"/>
      <c r="N57" s="332"/>
      <c r="O57" s="332"/>
      <c r="P57" s="332"/>
      <c r="Q57" s="332"/>
      <c r="R57" s="332"/>
      <c r="S57" s="332"/>
      <c r="T57" s="332"/>
      <c r="U57" s="332"/>
      <c r="V57" s="332"/>
      <c r="W57" s="332"/>
      <c r="AB57" s="347"/>
    </row>
    <row r="58" spans="1:32" x14ac:dyDescent="0.4">
      <c r="A58" s="317"/>
      <c r="B58" s="329" t="s">
        <v>16</v>
      </c>
      <c r="C58" s="344">
        <v>822041.62450658716</v>
      </c>
      <c r="D58" s="344">
        <v>4946.2434955179133</v>
      </c>
      <c r="E58" s="344">
        <v>9887.0982273951504</v>
      </c>
      <c r="F58" s="344">
        <v>29</v>
      </c>
      <c r="G58" s="344">
        <v>0</v>
      </c>
      <c r="H58" s="344">
        <v>469.98002966475451</v>
      </c>
      <c r="I58" s="344">
        <v>13237</v>
      </c>
      <c r="J58" s="344">
        <v>25275</v>
      </c>
      <c r="K58" s="344">
        <v>493453.97324290191</v>
      </c>
      <c r="L58" s="344">
        <v>548223.95010477898</v>
      </c>
      <c r="M58" s="350"/>
      <c r="N58" s="332"/>
      <c r="O58" s="332"/>
      <c r="P58" s="332"/>
      <c r="Q58" s="332"/>
      <c r="R58" s="332"/>
      <c r="S58" s="332"/>
      <c r="T58" s="332"/>
      <c r="U58" s="332"/>
      <c r="V58" s="332"/>
      <c r="W58" s="332"/>
      <c r="AB58" s="347"/>
    </row>
    <row r="59" spans="1:32" x14ac:dyDescent="0.4">
      <c r="A59" s="317"/>
      <c r="B59" s="329" t="s">
        <v>17</v>
      </c>
      <c r="C59" s="344">
        <v>817903.04153254058</v>
      </c>
      <c r="D59" s="344">
        <v>7127.9264287569067</v>
      </c>
      <c r="E59" s="344">
        <v>9473.294059217289</v>
      </c>
      <c r="F59" s="344">
        <v>67</v>
      </c>
      <c r="G59" s="344">
        <v>1</v>
      </c>
      <c r="H59" s="344">
        <v>655.7860879043086</v>
      </c>
      <c r="I59" s="344">
        <v>14087</v>
      </c>
      <c r="J59" s="344">
        <v>24078</v>
      </c>
      <c r="K59" s="344">
        <v>451146.07166412007</v>
      </c>
      <c r="L59" s="344">
        <v>509232.93985620991</v>
      </c>
      <c r="M59" s="350"/>
      <c r="N59" s="332"/>
      <c r="O59" s="332"/>
      <c r="P59" s="332"/>
      <c r="Q59" s="332"/>
      <c r="R59" s="332"/>
      <c r="S59" s="332"/>
      <c r="T59" s="332"/>
      <c r="U59" s="332"/>
      <c r="V59" s="332"/>
      <c r="W59" s="332"/>
      <c r="AB59" s="347"/>
    </row>
    <row r="60" spans="1:32" x14ac:dyDescent="0.4">
      <c r="A60" s="317"/>
      <c r="B60" s="329" t="s">
        <v>18</v>
      </c>
      <c r="C60" s="344">
        <v>1057090.5264491043</v>
      </c>
      <c r="D60" s="344">
        <v>11054.375730846758</v>
      </c>
      <c r="E60" s="344">
        <v>12486.540774766994</v>
      </c>
      <c r="F60" s="344">
        <v>82</v>
      </c>
      <c r="G60" s="344">
        <v>1</v>
      </c>
      <c r="H60" s="344">
        <v>1201.4337430964833</v>
      </c>
      <c r="I60" s="344">
        <v>15300</v>
      </c>
      <c r="J60" s="344">
        <v>32133</v>
      </c>
      <c r="K60" s="344">
        <v>516690.31579844572</v>
      </c>
      <c r="L60" s="344">
        <v>561741.68439052568</v>
      </c>
      <c r="M60" s="350"/>
      <c r="N60" s="332"/>
      <c r="O60" s="332"/>
      <c r="P60" s="332"/>
      <c r="Q60" s="332"/>
      <c r="R60" s="332"/>
      <c r="S60" s="332"/>
      <c r="T60" s="332"/>
      <c r="U60" s="332"/>
      <c r="V60" s="332"/>
      <c r="W60" s="332"/>
      <c r="AB60" s="347"/>
    </row>
    <row r="61" spans="1:32" x14ac:dyDescent="0.4">
      <c r="A61" s="317"/>
      <c r="B61" s="352"/>
      <c r="C61" s="345"/>
      <c r="D61" s="345"/>
      <c r="E61" s="345"/>
      <c r="F61" s="345"/>
      <c r="G61" s="345"/>
      <c r="H61" s="345"/>
      <c r="I61" s="345"/>
      <c r="J61" s="345"/>
      <c r="K61" s="345"/>
      <c r="L61" s="345"/>
      <c r="M61" s="345"/>
      <c r="N61" s="332"/>
      <c r="O61" s="332"/>
      <c r="P61" s="332"/>
      <c r="Q61" s="332"/>
      <c r="R61" s="332"/>
      <c r="S61" s="332"/>
      <c r="T61" s="332"/>
      <c r="U61" s="332"/>
      <c r="V61" s="332"/>
      <c r="W61" s="332"/>
      <c r="AB61" s="345"/>
    </row>
    <row r="62" spans="1:32" x14ac:dyDescent="0.4">
      <c r="A62" s="317"/>
      <c r="B62" s="333"/>
      <c r="I62" s="353"/>
      <c r="J62" s="353"/>
      <c r="N62" s="332"/>
      <c r="O62" s="332"/>
      <c r="P62" s="332"/>
      <c r="Q62" s="332"/>
      <c r="R62" s="332"/>
      <c r="S62" s="332"/>
      <c r="T62" s="332"/>
      <c r="U62" s="332"/>
      <c r="V62" s="332"/>
      <c r="W62" s="332"/>
      <c r="AB62" s="354"/>
    </row>
    <row r="63" spans="1:32" x14ac:dyDescent="0.4">
      <c r="A63" s="317"/>
      <c r="B63" s="314" t="s">
        <v>301</v>
      </c>
      <c r="C63" s="355" t="s">
        <v>195</v>
      </c>
      <c r="D63" s="355" t="s">
        <v>195</v>
      </c>
      <c r="L63" s="345"/>
      <c r="N63" s="332"/>
      <c r="O63" s="332"/>
      <c r="P63" s="332"/>
      <c r="Q63" s="332"/>
      <c r="R63" s="332"/>
      <c r="S63" s="332"/>
      <c r="T63" s="332"/>
      <c r="U63" s="332"/>
      <c r="V63" s="332"/>
      <c r="W63" s="332"/>
      <c r="Y63" s="310"/>
      <c r="Z63" s="310"/>
      <c r="AB63" s="354"/>
    </row>
    <row r="64" spans="1:32" x14ac:dyDescent="0.4">
      <c r="A64" s="317"/>
      <c r="B64" s="356"/>
      <c r="C64" s="357" t="s">
        <v>194</v>
      </c>
      <c r="D64" s="357" t="s">
        <v>196</v>
      </c>
      <c r="E64" s="358"/>
      <c r="F64" s="358"/>
      <c r="G64" s="358"/>
      <c r="H64" s="358"/>
      <c r="I64" s="358"/>
      <c r="J64" s="358"/>
      <c r="N64" s="332"/>
      <c r="O64" s="332"/>
      <c r="P64" s="332"/>
      <c r="Q64" s="332"/>
      <c r="R64" s="332"/>
      <c r="S64" s="332"/>
      <c r="T64" s="332"/>
      <c r="U64" s="332"/>
      <c r="V64" s="332"/>
      <c r="W64" s="332"/>
    </row>
    <row r="65" spans="1:26" x14ac:dyDescent="0.4">
      <c r="A65" s="317"/>
      <c r="C65" s="359">
        <v>0.35811890636778504</v>
      </c>
      <c r="D65" s="359">
        <v>0.34084195127076689</v>
      </c>
      <c r="E65" s="358"/>
      <c r="F65" s="358"/>
      <c r="G65" s="358"/>
      <c r="H65" s="358"/>
      <c r="I65" s="358"/>
      <c r="J65" s="358"/>
      <c r="N65" s="332"/>
      <c r="O65" s="332"/>
      <c r="P65" s="332"/>
      <c r="Q65" s="332"/>
      <c r="R65" s="332"/>
      <c r="S65" s="332"/>
      <c r="T65" s="332"/>
      <c r="U65" s="332"/>
      <c r="V65" s="332"/>
      <c r="W65" s="332"/>
    </row>
    <row r="66" spans="1:26" x14ac:dyDescent="0.4">
      <c r="A66" s="317"/>
      <c r="C66" s="358"/>
      <c r="D66" s="358"/>
      <c r="E66" s="358"/>
      <c r="F66" s="358"/>
      <c r="G66" s="358"/>
      <c r="H66" s="358"/>
      <c r="I66" s="358"/>
      <c r="J66" s="358"/>
      <c r="K66" s="358"/>
      <c r="N66" s="332"/>
      <c r="O66" s="332"/>
      <c r="P66" s="332"/>
      <c r="Q66" s="332"/>
      <c r="R66" s="332"/>
      <c r="S66" s="332"/>
      <c r="T66" s="332"/>
      <c r="U66" s="332"/>
      <c r="V66" s="332"/>
      <c r="W66" s="332"/>
    </row>
    <row r="67" spans="1:26" x14ac:dyDescent="0.4">
      <c r="A67" s="317"/>
      <c r="C67" s="358"/>
      <c r="D67" s="358"/>
      <c r="E67" s="358"/>
      <c r="F67" s="358"/>
      <c r="G67" s="358"/>
      <c r="H67" s="358"/>
      <c r="I67" s="358"/>
      <c r="J67" s="358"/>
      <c r="K67" s="358"/>
      <c r="N67" s="332"/>
      <c r="O67" s="332"/>
      <c r="P67" s="332"/>
      <c r="Q67" s="332"/>
      <c r="R67" s="332"/>
      <c r="S67" s="332"/>
      <c r="T67" s="332"/>
      <c r="U67" s="332"/>
      <c r="V67" s="332"/>
      <c r="W67" s="332"/>
    </row>
    <row r="68" spans="1:26" x14ac:dyDescent="0.4">
      <c r="A68" s="317"/>
      <c r="B68" s="314"/>
      <c r="N68" s="332"/>
      <c r="O68" s="332"/>
      <c r="P68" s="332"/>
      <c r="Q68" s="332"/>
      <c r="R68" s="332"/>
      <c r="S68" s="332"/>
      <c r="T68" s="332"/>
      <c r="U68" s="332"/>
      <c r="V68" s="332"/>
      <c r="W68" s="332"/>
    </row>
    <row r="69" spans="1:26" x14ac:dyDescent="0.4">
      <c r="A69" s="315" t="s">
        <v>76</v>
      </c>
      <c r="B69" s="314" t="s">
        <v>39</v>
      </c>
      <c r="E69" s="360" t="s">
        <v>66</v>
      </c>
      <c r="F69" s="314" t="s">
        <v>178</v>
      </c>
      <c r="N69" s="332"/>
      <c r="O69" s="332"/>
      <c r="P69" s="332"/>
      <c r="Q69" s="332"/>
      <c r="R69" s="332"/>
      <c r="S69" s="332"/>
      <c r="T69" s="332"/>
      <c r="U69" s="332"/>
      <c r="V69" s="332"/>
      <c r="W69" s="332"/>
    </row>
    <row r="70" spans="1:26" s="361" customFormat="1" x14ac:dyDescent="0.4">
      <c r="A70" s="317"/>
      <c r="B70" s="115" t="s">
        <v>231</v>
      </c>
      <c r="F70" s="310" t="s">
        <v>177</v>
      </c>
      <c r="G70" s="312"/>
      <c r="N70" s="332"/>
      <c r="O70" s="332"/>
      <c r="P70" s="332"/>
      <c r="Q70" s="332"/>
      <c r="R70" s="332"/>
      <c r="S70" s="332"/>
      <c r="T70" s="332"/>
      <c r="U70" s="332"/>
      <c r="V70" s="332"/>
      <c r="W70" s="332"/>
      <c r="X70" s="362"/>
      <c r="Y70" s="343"/>
      <c r="Z70" s="346"/>
    </row>
    <row r="71" spans="1:26" x14ac:dyDescent="0.4">
      <c r="A71" s="317"/>
      <c r="C71" s="310" t="s">
        <v>20</v>
      </c>
      <c r="F71" s="310" t="s">
        <v>175</v>
      </c>
      <c r="N71" s="332"/>
      <c r="O71" s="332"/>
      <c r="P71" s="332"/>
      <c r="Q71" s="332"/>
      <c r="R71" s="332"/>
      <c r="S71" s="332"/>
      <c r="T71" s="332"/>
      <c r="U71" s="332"/>
      <c r="V71" s="332"/>
      <c r="W71" s="332"/>
      <c r="X71" s="345"/>
      <c r="Y71" s="343"/>
      <c r="Z71" s="351"/>
    </row>
    <row r="72" spans="1:26" x14ac:dyDescent="0.4">
      <c r="A72" s="317"/>
      <c r="B72" s="329" t="s">
        <v>7</v>
      </c>
      <c r="C72" s="363">
        <v>44.35</v>
      </c>
      <c r="E72" s="364" t="s">
        <v>53</v>
      </c>
      <c r="F72" s="365">
        <v>0.66969999999999996</v>
      </c>
      <c r="K72" s="366"/>
      <c r="N72" s="332"/>
      <c r="O72" s="332"/>
      <c r="P72" s="332"/>
      <c r="Q72" s="332"/>
      <c r="R72" s="332"/>
      <c r="S72" s="332"/>
      <c r="T72" s="332"/>
      <c r="U72" s="332"/>
      <c r="V72" s="332"/>
      <c r="W72" s="332"/>
      <c r="Y72" s="343"/>
    </row>
    <row r="73" spans="1:26" x14ac:dyDescent="0.4">
      <c r="A73" s="317"/>
      <c r="B73" s="329" t="s">
        <v>8</v>
      </c>
      <c r="C73" s="363">
        <v>41.8</v>
      </c>
      <c r="D73" s="367"/>
      <c r="E73" s="364" t="s">
        <v>54</v>
      </c>
      <c r="F73" s="365">
        <v>0.78959999999999997</v>
      </c>
      <c r="K73" s="366"/>
      <c r="N73" s="332"/>
      <c r="O73" s="332"/>
      <c r="P73" s="332"/>
      <c r="Q73" s="332"/>
      <c r="R73" s="332"/>
      <c r="S73" s="332"/>
      <c r="T73" s="332"/>
      <c r="U73" s="332"/>
      <c r="V73" s="332"/>
      <c r="W73" s="332"/>
      <c r="Y73" s="343"/>
    </row>
    <row r="74" spans="1:26" x14ac:dyDescent="0.4">
      <c r="A74" s="317"/>
      <c r="B74" s="329" t="s">
        <v>9</v>
      </c>
      <c r="C74" s="363">
        <v>33.9</v>
      </c>
      <c r="D74" s="367"/>
      <c r="E74" s="368"/>
      <c r="H74" s="369"/>
      <c r="I74" s="369"/>
      <c r="J74" s="366"/>
      <c r="N74" s="332"/>
      <c r="O74" s="332"/>
      <c r="P74" s="332"/>
      <c r="Q74" s="332"/>
      <c r="R74" s="332"/>
      <c r="S74" s="332"/>
      <c r="T74" s="332"/>
      <c r="U74" s="332"/>
      <c r="V74" s="332"/>
      <c r="W74" s="332"/>
      <c r="X74" s="362"/>
      <c r="Y74" s="343"/>
      <c r="Z74" s="346"/>
    </row>
    <row r="75" spans="1:26" x14ac:dyDescent="0.4">
      <c r="A75" s="317"/>
      <c r="B75" s="329" t="s">
        <v>10</v>
      </c>
      <c r="C75" s="363">
        <v>29.75</v>
      </c>
      <c r="D75" s="367"/>
      <c r="E75" s="368"/>
      <c r="H75" s="369"/>
      <c r="I75" s="369"/>
      <c r="J75" s="366"/>
      <c r="N75" s="332"/>
      <c r="O75" s="332"/>
      <c r="P75" s="332"/>
      <c r="Q75" s="332"/>
      <c r="R75" s="332"/>
      <c r="S75" s="332"/>
      <c r="T75" s="332"/>
      <c r="U75" s="332"/>
      <c r="V75" s="332"/>
      <c r="W75" s="332"/>
      <c r="X75" s="345"/>
      <c r="Y75" s="343"/>
      <c r="Z75" s="351"/>
    </row>
    <row r="76" spans="1:26" x14ac:dyDescent="0.4">
      <c r="A76" s="317"/>
      <c r="B76" s="329" t="s">
        <v>11</v>
      </c>
      <c r="C76" s="363">
        <v>30.25</v>
      </c>
      <c r="D76" s="367"/>
      <c r="E76" s="368"/>
      <c r="H76" s="369"/>
      <c r="I76" s="369"/>
      <c r="N76" s="332"/>
      <c r="O76" s="332"/>
      <c r="P76" s="332"/>
      <c r="Q76" s="332"/>
      <c r="R76" s="332"/>
      <c r="S76" s="332"/>
      <c r="T76" s="332"/>
      <c r="U76" s="332"/>
      <c r="V76" s="332"/>
      <c r="W76" s="332"/>
      <c r="Y76" s="343"/>
    </row>
    <row r="77" spans="1:26" x14ac:dyDescent="0.4">
      <c r="A77" s="317"/>
      <c r="B77" s="329" t="s">
        <v>12</v>
      </c>
      <c r="C77" s="363">
        <v>30.4</v>
      </c>
      <c r="F77" s="459" t="s">
        <v>323</v>
      </c>
      <c r="G77" s="460"/>
      <c r="N77" s="332"/>
      <c r="O77" s="332"/>
      <c r="P77" s="332"/>
      <c r="Q77" s="332"/>
      <c r="R77" s="332"/>
      <c r="S77" s="332"/>
      <c r="T77" s="332"/>
      <c r="U77" s="332"/>
      <c r="V77" s="332"/>
      <c r="W77" s="332"/>
      <c r="X77" s="345"/>
      <c r="Y77" s="343"/>
      <c r="Z77" s="346"/>
    </row>
    <row r="78" spans="1:26" x14ac:dyDescent="0.4">
      <c r="A78" s="317"/>
      <c r="B78" s="329" t="s">
        <v>13</v>
      </c>
      <c r="C78" s="363">
        <v>36.549999999999997</v>
      </c>
      <c r="D78" s="370"/>
      <c r="E78" s="325"/>
      <c r="F78" s="325" t="s">
        <v>20</v>
      </c>
      <c r="G78" s="325" t="s">
        <v>21</v>
      </c>
      <c r="H78" s="371"/>
      <c r="I78" s="371"/>
      <c r="N78" s="332"/>
      <c r="O78" s="332"/>
      <c r="P78" s="332"/>
      <c r="Q78" s="332"/>
      <c r="R78" s="332"/>
      <c r="S78" s="332"/>
      <c r="T78" s="332"/>
      <c r="U78" s="332"/>
      <c r="V78" s="332"/>
      <c r="W78" s="332"/>
      <c r="X78" s="345"/>
      <c r="Y78" s="343"/>
      <c r="Z78" s="351"/>
    </row>
    <row r="79" spans="1:26" x14ac:dyDescent="0.4">
      <c r="A79" s="317"/>
      <c r="B79" s="329" t="s">
        <v>14</v>
      </c>
      <c r="C79" s="363">
        <v>33.450000000000003</v>
      </c>
      <c r="D79" s="370"/>
      <c r="E79" s="364" t="s">
        <v>53</v>
      </c>
      <c r="F79" s="372">
        <v>0.9</v>
      </c>
      <c r="G79" s="372">
        <v>0.89</v>
      </c>
      <c r="H79" s="371"/>
      <c r="I79" s="371"/>
      <c r="N79" s="332"/>
      <c r="O79" s="332"/>
      <c r="P79" s="332"/>
      <c r="Q79" s="332"/>
      <c r="R79" s="332"/>
      <c r="S79" s="332"/>
      <c r="T79" s="332"/>
      <c r="U79" s="332"/>
      <c r="V79" s="332"/>
      <c r="W79" s="332"/>
    </row>
    <row r="80" spans="1:26" x14ac:dyDescent="0.4">
      <c r="A80" s="317"/>
      <c r="B80" s="329" t="s">
        <v>15</v>
      </c>
      <c r="C80" s="363">
        <v>31.7</v>
      </c>
      <c r="D80" s="370"/>
      <c r="E80" s="364" t="s">
        <v>54</v>
      </c>
      <c r="F80" s="372">
        <v>0.95</v>
      </c>
      <c r="G80" s="372">
        <v>0.98</v>
      </c>
      <c r="H80" s="371"/>
      <c r="I80" s="371"/>
      <c r="N80" s="332"/>
      <c r="O80" s="332"/>
      <c r="P80" s="332"/>
      <c r="Q80" s="332"/>
      <c r="R80" s="332"/>
      <c r="S80" s="332"/>
      <c r="T80" s="332"/>
      <c r="U80" s="332"/>
      <c r="V80" s="332"/>
      <c r="W80" s="332"/>
    </row>
    <row r="81" spans="1:23" x14ac:dyDescent="0.4">
      <c r="A81" s="317"/>
      <c r="B81" s="329" t="s">
        <v>16</v>
      </c>
      <c r="C81" s="363">
        <v>30.15</v>
      </c>
      <c r="D81" s="370"/>
      <c r="E81" s="368"/>
      <c r="H81" s="369"/>
      <c r="I81" s="369"/>
      <c r="N81" s="332"/>
      <c r="O81" s="332"/>
      <c r="P81" s="332"/>
      <c r="Q81" s="332"/>
      <c r="R81" s="332"/>
      <c r="S81" s="332"/>
      <c r="T81" s="332"/>
      <c r="U81" s="332"/>
      <c r="V81" s="332"/>
      <c r="W81" s="332"/>
    </row>
    <row r="82" spans="1:23" x14ac:dyDescent="0.4">
      <c r="A82" s="317"/>
      <c r="B82" s="329" t="s">
        <v>17</v>
      </c>
      <c r="C82" s="363">
        <v>30.45</v>
      </c>
      <c r="D82" s="367"/>
      <c r="E82" s="368"/>
      <c r="H82" s="369"/>
      <c r="I82" s="369"/>
      <c r="N82" s="332"/>
      <c r="O82" s="332"/>
      <c r="P82" s="332"/>
      <c r="Q82" s="332"/>
      <c r="R82" s="332"/>
      <c r="S82" s="332"/>
      <c r="T82" s="332"/>
      <c r="U82" s="332"/>
      <c r="V82" s="332"/>
      <c r="W82" s="332"/>
    </row>
    <row r="83" spans="1:23" x14ac:dyDescent="0.4">
      <c r="A83" s="317"/>
      <c r="B83" s="329" t="s">
        <v>18</v>
      </c>
      <c r="C83" s="363">
        <v>32.549999999999997</v>
      </c>
      <c r="D83" s="367"/>
      <c r="E83" s="368"/>
      <c r="H83" s="369"/>
      <c r="I83" s="369"/>
      <c r="N83" s="332"/>
      <c r="O83" s="332"/>
      <c r="P83" s="332"/>
      <c r="Q83" s="332"/>
      <c r="R83" s="332"/>
      <c r="S83" s="332"/>
      <c r="T83" s="332"/>
      <c r="U83" s="332"/>
      <c r="V83" s="332"/>
      <c r="W83" s="332"/>
    </row>
    <row r="84" spans="1:23" x14ac:dyDescent="0.4">
      <c r="A84" s="317"/>
      <c r="B84" s="333"/>
      <c r="C84" s="373"/>
      <c r="D84" s="373"/>
      <c r="G84" s="374"/>
      <c r="K84" s="374"/>
      <c r="N84" s="332"/>
      <c r="O84" s="332"/>
      <c r="P84" s="332"/>
      <c r="Q84" s="332"/>
      <c r="R84" s="332"/>
      <c r="S84" s="332"/>
      <c r="T84" s="332"/>
      <c r="U84" s="332"/>
      <c r="V84" s="332"/>
      <c r="W84" s="332"/>
    </row>
    <row r="85" spans="1:23" x14ac:dyDescent="0.4">
      <c r="A85" s="317"/>
      <c r="B85" s="375"/>
      <c r="C85" s="375"/>
      <c r="D85" s="373"/>
      <c r="G85" s="374"/>
      <c r="K85" s="374"/>
      <c r="N85" s="332"/>
      <c r="O85" s="332"/>
      <c r="P85" s="332"/>
      <c r="Q85" s="332"/>
      <c r="R85" s="332"/>
      <c r="S85" s="332"/>
      <c r="T85" s="332"/>
      <c r="U85" s="332"/>
      <c r="V85" s="332"/>
      <c r="W85" s="332"/>
    </row>
    <row r="86" spans="1:23" x14ac:dyDescent="0.4">
      <c r="A86" s="317"/>
      <c r="E86" s="376"/>
      <c r="F86" s="376"/>
      <c r="G86" s="376"/>
      <c r="H86" s="376"/>
      <c r="I86" s="376"/>
      <c r="J86" s="376"/>
      <c r="K86" s="376"/>
      <c r="L86" s="376"/>
      <c r="M86" s="376"/>
      <c r="N86" s="332"/>
      <c r="O86" s="332"/>
      <c r="P86" s="332"/>
      <c r="Q86" s="332"/>
      <c r="R86" s="332"/>
      <c r="S86" s="332"/>
      <c r="T86" s="332"/>
      <c r="U86" s="332"/>
      <c r="V86" s="332"/>
      <c r="W86" s="332"/>
    </row>
    <row r="87" spans="1:23" x14ac:dyDescent="0.4">
      <c r="A87" s="315" t="s">
        <v>67</v>
      </c>
      <c r="B87" s="328" t="s">
        <v>295</v>
      </c>
      <c r="C87" s="328" t="s">
        <v>296</v>
      </c>
      <c r="D87" s="328" t="s">
        <v>294</v>
      </c>
      <c r="E87" s="376"/>
      <c r="F87" s="376"/>
      <c r="G87" s="376"/>
      <c r="H87" s="376"/>
      <c r="I87" s="376"/>
      <c r="J87" s="376"/>
      <c r="K87" s="376"/>
      <c r="L87" s="376"/>
      <c r="M87" s="376"/>
      <c r="N87" s="332"/>
      <c r="O87" s="332"/>
      <c r="P87" s="332"/>
      <c r="Q87" s="332"/>
      <c r="R87" s="332"/>
      <c r="S87" s="332"/>
      <c r="T87" s="332"/>
      <c r="U87" s="332"/>
      <c r="V87" s="332"/>
      <c r="W87" s="332"/>
    </row>
    <row r="88" spans="1:23" x14ac:dyDescent="0.4">
      <c r="A88" s="317"/>
      <c r="B88" s="328" t="s">
        <v>292</v>
      </c>
      <c r="C88" s="377">
        <v>5.8326999999999997E-2</v>
      </c>
      <c r="D88" s="318" t="s">
        <v>329</v>
      </c>
      <c r="E88" s="378"/>
      <c r="F88" s="378"/>
      <c r="G88" s="378"/>
      <c r="H88" s="378"/>
      <c r="I88" s="378"/>
      <c r="J88" s="378"/>
      <c r="K88" s="378"/>
      <c r="L88" s="378"/>
      <c r="M88" s="376"/>
      <c r="N88" s="332"/>
      <c r="O88" s="332"/>
      <c r="P88" s="332"/>
      <c r="Q88" s="332"/>
      <c r="R88" s="332"/>
      <c r="S88" s="332"/>
      <c r="T88" s="332"/>
      <c r="U88" s="332"/>
      <c r="V88" s="332"/>
      <c r="W88" s="332"/>
    </row>
    <row r="89" spans="1:23" x14ac:dyDescent="0.4">
      <c r="A89" s="317"/>
      <c r="B89" s="328" t="s">
        <v>293</v>
      </c>
      <c r="C89" s="330">
        <v>4.5599999999999998E-3</v>
      </c>
      <c r="D89" s="318" t="s">
        <v>427</v>
      </c>
      <c r="E89" s="379"/>
      <c r="F89" s="379"/>
      <c r="G89" s="379"/>
      <c r="H89" s="379"/>
      <c r="I89" s="379"/>
      <c r="J89" s="379"/>
      <c r="K89" s="379"/>
      <c r="L89" s="379"/>
      <c r="M89" s="376"/>
      <c r="N89" s="332"/>
      <c r="O89" s="332"/>
      <c r="P89" s="332"/>
      <c r="Q89" s="332"/>
      <c r="R89" s="332"/>
      <c r="S89" s="332"/>
      <c r="T89" s="332"/>
      <c r="U89" s="332"/>
      <c r="V89" s="332"/>
      <c r="W89" s="332"/>
    </row>
    <row r="90" spans="1:23" x14ac:dyDescent="0.4">
      <c r="A90" s="317"/>
      <c r="B90" s="328" t="s">
        <v>299</v>
      </c>
      <c r="C90" s="380">
        <v>1.1242E-2</v>
      </c>
      <c r="D90" s="328" t="s">
        <v>298</v>
      </c>
      <c r="E90" s="379"/>
      <c r="F90" s="379"/>
      <c r="G90" s="379"/>
      <c r="H90" s="379"/>
      <c r="I90" s="379"/>
      <c r="J90" s="379"/>
      <c r="K90" s="379"/>
      <c r="L90" s="379"/>
      <c r="M90" s="376"/>
      <c r="N90" s="332"/>
      <c r="O90" s="332"/>
      <c r="P90" s="332"/>
      <c r="Q90" s="332"/>
      <c r="R90" s="332"/>
      <c r="S90" s="332"/>
      <c r="T90" s="332"/>
      <c r="U90" s="332"/>
      <c r="V90" s="332"/>
      <c r="W90" s="332"/>
    </row>
    <row r="91" spans="1:23" x14ac:dyDescent="0.4">
      <c r="A91" s="317"/>
      <c r="C91" s="381"/>
      <c r="D91" s="376"/>
      <c r="E91" s="376"/>
      <c r="F91" s="376"/>
      <c r="G91" s="376"/>
      <c r="H91" s="376"/>
      <c r="I91" s="376"/>
      <c r="J91" s="376"/>
      <c r="K91" s="376"/>
      <c r="L91" s="376"/>
      <c r="M91" s="376"/>
      <c r="N91" s="332"/>
      <c r="O91" s="332"/>
      <c r="P91" s="332"/>
      <c r="Q91" s="332"/>
      <c r="R91" s="332"/>
      <c r="S91" s="332"/>
      <c r="T91" s="332"/>
      <c r="U91" s="332"/>
      <c r="V91" s="332"/>
      <c r="W91" s="332"/>
    </row>
    <row r="92" spans="1:23" x14ac:dyDescent="0.4">
      <c r="A92" s="317"/>
      <c r="N92" s="332"/>
      <c r="O92" s="332"/>
      <c r="P92" s="332"/>
      <c r="Q92" s="332"/>
      <c r="R92" s="332"/>
      <c r="S92" s="332"/>
      <c r="T92" s="332"/>
      <c r="U92" s="332"/>
      <c r="V92" s="332"/>
      <c r="W92" s="332"/>
    </row>
    <row r="93" spans="1:23" x14ac:dyDescent="0.4">
      <c r="A93" s="317"/>
      <c r="N93" s="332"/>
      <c r="O93" s="332"/>
      <c r="P93" s="332"/>
      <c r="Q93" s="332"/>
      <c r="R93" s="332"/>
      <c r="S93" s="332"/>
      <c r="T93" s="332"/>
      <c r="U93" s="332"/>
      <c r="V93" s="332"/>
      <c r="W93" s="332"/>
    </row>
    <row r="94" spans="1:23" x14ac:dyDescent="0.4">
      <c r="A94" s="317"/>
      <c r="N94" s="332"/>
      <c r="O94" s="332"/>
      <c r="P94" s="332"/>
      <c r="Q94" s="332"/>
      <c r="R94" s="332"/>
      <c r="S94" s="332"/>
      <c r="T94" s="332"/>
      <c r="U94" s="332"/>
      <c r="V94" s="332"/>
      <c r="W94" s="332"/>
    </row>
    <row r="95" spans="1:23" x14ac:dyDescent="0.4">
      <c r="A95" s="315" t="s">
        <v>71</v>
      </c>
      <c r="B95" s="314" t="s">
        <v>158</v>
      </c>
      <c r="L95" s="310"/>
      <c r="N95" s="332"/>
      <c r="O95" s="332"/>
      <c r="P95" s="332"/>
      <c r="Q95" s="332"/>
      <c r="R95" s="332"/>
      <c r="S95" s="332"/>
      <c r="T95" s="332"/>
      <c r="U95" s="332"/>
      <c r="V95" s="332"/>
      <c r="W95" s="332"/>
    </row>
    <row r="96" spans="1:23" x14ac:dyDescent="0.4">
      <c r="A96" s="317"/>
      <c r="B96" s="382" t="s">
        <v>428</v>
      </c>
      <c r="L96" s="310"/>
      <c r="N96" s="332"/>
      <c r="O96" s="332"/>
      <c r="P96" s="332"/>
      <c r="Q96" s="332"/>
      <c r="R96" s="332"/>
      <c r="S96" s="332"/>
      <c r="T96" s="332"/>
      <c r="U96" s="332"/>
      <c r="V96" s="332"/>
      <c r="W96" s="332"/>
    </row>
    <row r="97" spans="1:23" x14ac:dyDescent="0.4">
      <c r="A97" s="317"/>
      <c r="B97" s="115" t="s">
        <v>77</v>
      </c>
      <c r="C97" s="310"/>
      <c r="D97" s="310"/>
      <c r="E97" s="310"/>
      <c r="F97" s="310"/>
      <c r="G97" s="310"/>
      <c r="H97" s="310"/>
      <c r="I97" s="310"/>
      <c r="J97" s="310"/>
      <c r="K97" s="310"/>
      <c r="L97" s="310"/>
      <c r="M97" s="310"/>
      <c r="N97" s="332"/>
      <c r="O97" s="332"/>
      <c r="P97" s="332"/>
      <c r="Q97" s="332"/>
      <c r="R97" s="332"/>
      <c r="S97" s="332"/>
      <c r="T97" s="332"/>
      <c r="U97" s="332"/>
      <c r="V97" s="332"/>
      <c r="W97" s="332"/>
    </row>
    <row r="98" spans="1:23" ht="12.75" customHeight="1" x14ac:dyDescent="0.4">
      <c r="A98" s="317"/>
      <c r="B98" s="115"/>
      <c r="C98" s="310"/>
      <c r="D98" s="310"/>
      <c r="E98" s="310"/>
      <c r="F98" s="310"/>
      <c r="G98" s="310"/>
      <c r="H98" s="310"/>
      <c r="I98" s="310"/>
      <c r="J98" s="310"/>
      <c r="K98" s="310"/>
      <c r="M98" s="310"/>
      <c r="N98" s="332"/>
      <c r="O98" s="332"/>
      <c r="P98" s="332"/>
      <c r="Q98" s="332"/>
      <c r="R98" s="332"/>
      <c r="S98" s="332"/>
      <c r="T98" s="332"/>
      <c r="U98" s="332"/>
      <c r="V98" s="332"/>
      <c r="W98" s="332"/>
    </row>
    <row r="99" spans="1:23" x14ac:dyDescent="0.4">
      <c r="A99" s="317"/>
      <c r="B99" s="328"/>
      <c r="C99" s="325" t="s">
        <v>0</v>
      </c>
      <c r="D99" s="325" t="s">
        <v>1</v>
      </c>
      <c r="E99" s="325" t="s">
        <v>2</v>
      </c>
      <c r="F99" s="325" t="s">
        <v>3</v>
      </c>
      <c r="G99" s="325" t="s">
        <v>4</v>
      </c>
      <c r="H99" s="325" t="s">
        <v>6</v>
      </c>
      <c r="I99" s="325" t="s">
        <v>37</v>
      </c>
      <c r="J99" s="325" t="s">
        <v>38</v>
      </c>
      <c r="K99" s="325" t="s">
        <v>5</v>
      </c>
      <c r="L99" s="325" t="s">
        <v>36</v>
      </c>
      <c r="N99" s="332"/>
      <c r="O99" s="332"/>
      <c r="P99" s="332"/>
      <c r="Q99" s="332"/>
      <c r="R99" s="332"/>
      <c r="S99" s="332"/>
      <c r="T99" s="332"/>
      <c r="U99" s="332"/>
      <c r="V99" s="332"/>
      <c r="W99" s="332"/>
    </row>
    <row r="100" spans="1:23" x14ac:dyDescent="0.4">
      <c r="A100" s="383"/>
      <c r="B100" s="384" t="s">
        <v>304</v>
      </c>
      <c r="C100" s="385">
        <v>4420.8580457335147</v>
      </c>
      <c r="D100" s="385">
        <v>19.232054315231025</v>
      </c>
      <c r="E100" s="385">
        <v>65.417800504333897</v>
      </c>
      <c r="F100" s="385">
        <v>0</v>
      </c>
      <c r="G100" s="385">
        <v>0</v>
      </c>
      <c r="H100" s="385">
        <v>2.7679390495108045</v>
      </c>
      <c r="I100" s="385">
        <v>0</v>
      </c>
      <c r="J100" s="385">
        <v>0</v>
      </c>
      <c r="K100" s="385">
        <v>1507.5032902830221</v>
      </c>
      <c r="L100" s="385">
        <v>1270.5185877781889</v>
      </c>
      <c r="M100" s="386"/>
      <c r="N100" s="332"/>
      <c r="O100" s="332"/>
      <c r="P100" s="332"/>
      <c r="Q100" s="332"/>
      <c r="R100" s="332"/>
      <c r="S100" s="332"/>
      <c r="T100" s="332"/>
      <c r="U100" s="332"/>
      <c r="V100" s="332"/>
      <c r="W100" s="332"/>
    </row>
    <row r="101" spans="1:23" x14ac:dyDescent="0.4">
      <c r="A101" s="114"/>
      <c r="B101" s="384" t="s">
        <v>288</v>
      </c>
      <c r="C101" s="385">
        <v>4459.7259198356678</v>
      </c>
      <c r="D101" s="385">
        <v>19.446342823740217</v>
      </c>
      <c r="E101" s="385">
        <v>66.033991271042851</v>
      </c>
      <c r="F101" s="385">
        <v>0</v>
      </c>
      <c r="G101" s="385">
        <v>0</v>
      </c>
      <c r="H101" s="385">
        <v>2.9486570290106227</v>
      </c>
      <c r="I101" s="385">
        <v>0</v>
      </c>
      <c r="J101" s="385">
        <v>0</v>
      </c>
      <c r="K101" s="385">
        <v>1565.569245459986</v>
      </c>
      <c r="L101" s="385">
        <v>1260.9197948606477</v>
      </c>
      <c r="N101" s="332"/>
      <c r="O101" s="332"/>
      <c r="P101" s="332"/>
      <c r="Q101" s="332"/>
      <c r="R101" s="332"/>
      <c r="S101" s="332"/>
      <c r="T101" s="332"/>
      <c r="U101" s="332"/>
      <c r="V101" s="332"/>
      <c r="W101" s="332"/>
    </row>
    <row r="102" spans="1:23" x14ac:dyDescent="0.4">
      <c r="A102" s="383"/>
      <c r="C102" s="387"/>
      <c r="D102" s="387"/>
      <c r="E102" s="387"/>
      <c r="F102" s="387"/>
      <c r="G102" s="387"/>
      <c r="H102" s="387"/>
      <c r="I102" s="387"/>
      <c r="J102" s="387"/>
      <c r="K102" s="387"/>
      <c r="L102" s="387"/>
      <c r="M102" s="386"/>
      <c r="N102" s="332"/>
      <c r="O102" s="332"/>
      <c r="P102" s="332"/>
      <c r="Q102" s="332"/>
      <c r="R102" s="332"/>
      <c r="S102" s="332"/>
      <c r="T102" s="332"/>
      <c r="U102" s="332"/>
      <c r="V102" s="332"/>
      <c r="W102" s="332"/>
    </row>
    <row r="103" spans="1:23" x14ac:dyDescent="0.4">
      <c r="A103" s="114"/>
      <c r="B103" s="384" t="s">
        <v>289</v>
      </c>
      <c r="C103" s="388">
        <v>1.0972813634782548</v>
      </c>
      <c r="D103" s="389"/>
      <c r="E103" s="389"/>
      <c r="F103" s="389"/>
      <c r="G103" s="389"/>
      <c r="H103" s="389"/>
      <c r="I103" s="389"/>
      <c r="J103" s="389"/>
      <c r="K103" s="389"/>
      <c r="M103" s="389"/>
      <c r="N103" s="332"/>
      <c r="O103" s="332"/>
      <c r="P103" s="332"/>
      <c r="Q103" s="332"/>
      <c r="R103" s="332"/>
      <c r="S103" s="332"/>
      <c r="T103" s="332"/>
      <c r="U103" s="332"/>
      <c r="V103" s="332"/>
      <c r="W103" s="332"/>
    </row>
    <row r="104" spans="1:23" x14ac:dyDescent="0.4">
      <c r="A104" s="317"/>
      <c r="B104" s="318" t="s">
        <v>433</v>
      </c>
      <c r="C104" s="388">
        <v>1.0882000000000001</v>
      </c>
      <c r="I104" s="389"/>
      <c r="K104" s="310"/>
      <c r="M104" s="389"/>
      <c r="N104" s="332"/>
      <c r="O104" s="332"/>
      <c r="P104" s="332"/>
      <c r="Q104" s="332"/>
      <c r="R104" s="332"/>
      <c r="S104" s="332"/>
      <c r="T104" s="332"/>
      <c r="U104" s="332"/>
      <c r="V104" s="332"/>
      <c r="W104" s="332"/>
    </row>
    <row r="105" spans="1:23" x14ac:dyDescent="0.4">
      <c r="A105" s="317"/>
      <c r="D105" s="390"/>
      <c r="E105" s="391"/>
      <c r="G105" s="390"/>
      <c r="H105" s="312"/>
      <c r="I105" s="389"/>
      <c r="K105" s="332"/>
      <c r="L105" s="332"/>
      <c r="M105" s="332"/>
      <c r="N105" s="332"/>
      <c r="O105" s="332"/>
      <c r="P105" s="332"/>
      <c r="Q105" s="332"/>
      <c r="R105" s="332"/>
      <c r="S105" s="332"/>
      <c r="T105" s="332"/>
    </row>
    <row r="106" spans="1:23" x14ac:dyDescent="0.4">
      <c r="A106" s="317"/>
      <c r="B106" s="312" t="s">
        <v>286</v>
      </c>
      <c r="C106" s="328"/>
      <c r="D106" s="318" t="s">
        <v>287</v>
      </c>
      <c r="E106" s="328" t="s">
        <v>286</v>
      </c>
      <c r="G106" s="390"/>
      <c r="H106" s="312"/>
      <c r="I106" s="389"/>
      <c r="K106" s="332"/>
      <c r="L106" s="332"/>
      <c r="M106" s="332"/>
      <c r="N106" s="332"/>
      <c r="O106" s="332"/>
      <c r="P106" s="332"/>
      <c r="Q106" s="332"/>
      <c r="R106" s="332"/>
      <c r="S106" s="332"/>
      <c r="T106" s="332"/>
    </row>
    <row r="107" spans="1:23" x14ac:dyDescent="0.4">
      <c r="A107" s="317"/>
      <c r="B107" s="392"/>
      <c r="C107" s="393">
        <v>2019</v>
      </c>
      <c r="D107" s="328">
        <v>28</v>
      </c>
      <c r="E107" s="394">
        <v>104709.15</v>
      </c>
      <c r="F107" s="390"/>
      <c r="G107" s="390"/>
      <c r="H107" s="312"/>
      <c r="I107" s="389"/>
      <c r="K107" s="332"/>
      <c r="L107" s="332"/>
      <c r="M107" s="332"/>
      <c r="N107" s="332"/>
      <c r="O107" s="332"/>
      <c r="P107" s="332"/>
      <c r="Q107" s="332"/>
      <c r="R107" s="332"/>
      <c r="S107" s="332"/>
      <c r="T107" s="332"/>
    </row>
    <row r="108" spans="1:23" x14ac:dyDescent="0.4">
      <c r="A108" s="317"/>
      <c r="B108" s="317"/>
      <c r="C108" s="393">
        <v>2020</v>
      </c>
      <c r="D108" s="328">
        <v>28</v>
      </c>
      <c r="E108" s="394">
        <v>138497.08431889772</v>
      </c>
      <c r="F108" s="390"/>
      <c r="G108" s="390"/>
      <c r="H108" s="395"/>
      <c r="J108" s="396"/>
      <c r="K108" s="332"/>
      <c r="L108" s="332"/>
      <c r="M108" s="332"/>
      <c r="N108" s="332"/>
      <c r="O108" s="332"/>
      <c r="P108" s="332"/>
      <c r="Q108" s="332"/>
      <c r="R108" s="332"/>
      <c r="S108" s="332"/>
      <c r="T108" s="332"/>
    </row>
    <row r="109" spans="1:23" x14ac:dyDescent="0.4">
      <c r="A109" s="317"/>
      <c r="C109" s="393">
        <v>2021</v>
      </c>
      <c r="D109" s="328">
        <v>29</v>
      </c>
      <c r="E109" s="394">
        <v>144787.98000000001</v>
      </c>
      <c r="F109" s="397"/>
      <c r="G109" s="397"/>
      <c r="H109" s="312"/>
      <c r="I109" s="389"/>
      <c r="K109" s="332"/>
      <c r="L109" s="332"/>
      <c r="M109" s="332"/>
      <c r="N109" s="332"/>
      <c r="O109" s="332"/>
      <c r="P109" s="332"/>
      <c r="Q109" s="332"/>
      <c r="R109" s="332"/>
      <c r="S109" s="332"/>
      <c r="T109" s="332"/>
    </row>
    <row r="110" spans="1:23" x14ac:dyDescent="0.4">
      <c r="A110" s="317"/>
      <c r="C110" s="395"/>
      <c r="E110" s="396"/>
      <c r="F110" s="390"/>
      <c r="G110" s="390"/>
      <c r="I110" s="389"/>
      <c r="J110" s="398"/>
      <c r="K110" s="332"/>
      <c r="L110" s="332"/>
      <c r="M110" s="332"/>
      <c r="N110" s="332"/>
      <c r="O110" s="332"/>
      <c r="P110" s="332"/>
      <c r="Q110" s="332"/>
      <c r="R110" s="332"/>
      <c r="S110" s="332"/>
      <c r="T110" s="332"/>
    </row>
    <row r="111" spans="1:23" x14ac:dyDescent="0.4">
      <c r="A111" s="317"/>
      <c r="B111" s="312"/>
      <c r="C111" s="390"/>
      <c r="E111" s="461" t="s">
        <v>334</v>
      </c>
      <c r="F111" s="461"/>
      <c r="I111" s="389"/>
      <c r="J111" s="398"/>
      <c r="K111" s="332"/>
      <c r="L111" s="332"/>
      <c r="M111" s="332"/>
      <c r="N111" s="332"/>
      <c r="O111" s="332"/>
      <c r="P111" s="332"/>
      <c r="Q111" s="332"/>
      <c r="R111" s="332"/>
      <c r="S111" s="332"/>
      <c r="T111" s="332"/>
    </row>
    <row r="112" spans="1:23" x14ac:dyDescent="0.4">
      <c r="A112" s="317"/>
      <c r="B112" s="312" t="s">
        <v>102</v>
      </c>
      <c r="C112" s="456" t="s">
        <v>150</v>
      </c>
      <c r="D112" s="456"/>
      <c r="E112" s="399">
        <v>172.26</v>
      </c>
      <c r="F112" s="400" t="s">
        <v>98</v>
      </c>
      <c r="I112" s="389"/>
      <c r="J112" s="398"/>
      <c r="K112" s="332"/>
      <c r="L112" s="332"/>
      <c r="M112" s="332"/>
      <c r="N112" s="332"/>
      <c r="O112" s="332"/>
      <c r="P112" s="332"/>
      <c r="Q112" s="332"/>
      <c r="R112" s="332"/>
      <c r="S112" s="332"/>
      <c r="T112" s="332"/>
    </row>
    <row r="113" spans="1:23" x14ac:dyDescent="0.4">
      <c r="A113" s="317"/>
      <c r="C113" s="456" t="s">
        <v>151</v>
      </c>
      <c r="D113" s="456"/>
      <c r="E113" s="399">
        <v>172.26</v>
      </c>
      <c r="F113" s="400" t="s">
        <v>98</v>
      </c>
      <c r="K113" s="332"/>
      <c r="L113" s="332"/>
      <c r="M113" s="332"/>
      <c r="N113" s="332"/>
      <c r="O113" s="332"/>
      <c r="P113" s="332"/>
      <c r="Q113" s="332"/>
      <c r="R113" s="332"/>
      <c r="S113" s="332"/>
      <c r="T113" s="332"/>
    </row>
    <row r="114" spans="1:23" ht="18" customHeight="1" x14ac:dyDescent="0.4">
      <c r="A114" s="317"/>
      <c r="F114" s="312"/>
      <c r="G114" s="312"/>
      <c r="H114" s="312"/>
      <c r="I114" s="312"/>
      <c r="K114" s="332"/>
      <c r="L114" s="332"/>
      <c r="M114" s="332"/>
      <c r="N114" s="332"/>
      <c r="O114" s="332"/>
      <c r="P114" s="332"/>
      <c r="Q114" s="332"/>
      <c r="R114" s="332"/>
      <c r="S114" s="332"/>
      <c r="T114" s="332"/>
    </row>
    <row r="115" spans="1:23" x14ac:dyDescent="0.4">
      <c r="A115" s="317"/>
      <c r="F115" s="312"/>
      <c r="G115" s="312"/>
      <c r="H115" s="312"/>
      <c r="I115" s="312"/>
      <c r="J115" s="312"/>
      <c r="N115" s="332"/>
      <c r="O115" s="332"/>
      <c r="P115" s="332"/>
      <c r="Q115" s="332"/>
      <c r="R115" s="332"/>
      <c r="S115" s="332"/>
      <c r="T115" s="332"/>
      <c r="U115" s="332"/>
      <c r="V115" s="332"/>
      <c r="W115" s="332"/>
    </row>
    <row r="116" spans="1:23" x14ac:dyDescent="0.4">
      <c r="A116" s="317"/>
      <c r="F116" s="312"/>
      <c r="G116" s="312"/>
      <c r="H116" s="312"/>
      <c r="I116" s="312"/>
      <c r="J116" s="312"/>
      <c r="N116" s="332"/>
      <c r="O116" s="332"/>
      <c r="P116" s="332"/>
      <c r="Q116" s="332"/>
      <c r="R116" s="332"/>
      <c r="S116" s="332"/>
      <c r="T116" s="332"/>
      <c r="U116" s="332"/>
      <c r="V116" s="332"/>
      <c r="W116" s="332"/>
    </row>
    <row r="117" spans="1:23" x14ac:dyDescent="0.4">
      <c r="A117" s="315"/>
      <c r="B117" s="328"/>
      <c r="C117" s="325" t="s">
        <v>0</v>
      </c>
      <c r="D117" s="325" t="s">
        <v>1</v>
      </c>
      <c r="F117" s="312"/>
      <c r="G117" s="312"/>
      <c r="H117" s="312"/>
      <c r="I117" s="312"/>
      <c r="J117" s="401"/>
      <c r="N117" s="332"/>
      <c r="O117" s="332"/>
      <c r="P117" s="332"/>
      <c r="Q117" s="332"/>
      <c r="R117" s="332"/>
      <c r="S117" s="332"/>
      <c r="T117" s="332"/>
      <c r="U117" s="332"/>
      <c r="V117" s="332"/>
      <c r="W117" s="332"/>
    </row>
    <row r="118" spans="1:23" x14ac:dyDescent="0.4">
      <c r="A118" s="315"/>
      <c r="B118" s="402" t="s">
        <v>184</v>
      </c>
      <c r="C118" s="365">
        <v>0.86519999999999975</v>
      </c>
      <c r="D118" s="365">
        <v>1.1569000000000003</v>
      </c>
      <c r="E118" s="312" t="s">
        <v>161</v>
      </c>
      <c r="F118" s="403" t="s">
        <v>332</v>
      </c>
      <c r="I118" s="312"/>
      <c r="J118" s="401"/>
      <c r="K118" s="404"/>
      <c r="N118" s="332"/>
      <c r="O118" s="332"/>
      <c r="P118" s="332"/>
      <c r="Q118" s="332"/>
      <c r="R118" s="332"/>
      <c r="S118" s="332"/>
      <c r="T118" s="332"/>
      <c r="U118" s="332"/>
      <c r="V118" s="332"/>
      <c r="W118" s="332"/>
    </row>
    <row r="119" spans="1:23" x14ac:dyDescent="0.4">
      <c r="A119" s="315"/>
      <c r="F119" s="312"/>
      <c r="H119" s="312"/>
      <c r="I119" s="312"/>
      <c r="J119" s="401"/>
      <c r="K119" s="404"/>
      <c r="N119" s="332"/>
      <c r="O119" s="332"/>
      <c r="P119" s="332"/>
      <c r="Q119" s="332"/>
      <c r="R119" s="332"/>
      <c r="S119" s="332"/>
      <c r="T119" s="332"/>
      <c r="U119" s="332"/>
      <c r="V119" s="332"/>
      <c r="W119" s="332"/>
    </row>
    <row r="120" spans="1:23" x14ac:dyDescent="0.4">
      <c r="A120" s="114"/>
      <c r="B120" s="312"/>
      <c r="C120" s="312"/>
      <c r="D120" s="312"/>
      <c r="E120" s="312"/>
      <c r="F120" s="312"/>
      <c r="G120" s="312"/>
      <c r="H120" s="312"/>
      <c r="I120" s="312"/>
      <c r="J120" s="312"/>
      <c r="N120" s="332"/>
      <c r="O120" s="332"/>
      <c r="P120" s="332"/>
      <c r="Q120" s="332"/>
      <c r="R120" s="332"/>
      <c r="S120" s="332"/>
      <c r="T120" s="332"/>
      <c r="U120" s="332"/>
      <c r="V120" s="332"/>
      <c r="W120" s="332"/>
    </row>
    <row r="121" spans="1:23" x14ac:dyDescent="0.4">
      <c r="A121" s="315" t="s">
        <v>72</v>
      </c>
      <c r="B121" s="314" t="s">
        <v>319</v>
      </c>
      <c r="D121" s="312"/>
      <c r="I121" s="312"/>
      <c r="J121" s="312"/>
      <c r="N121" s="332"/>
      <c r="O121" s="332"/>
      <c r="P121" s="332"/>
      <c r="Q121" s="332"/>
      <c r="R121" s="332"/>
      <c r="S121" s="332"/>
      <c r="T121" s="332"/>
      <c r="U121" s="332"/>
      <c r="V121" s="332"/>
      <c r="W121" s="332"/>
    </row>
    <row r="122" spans="1:23" x14ac:dyDescent="0.4">
      <c r="A122" s="315"/>
      <c r="B122" s="312" t="s">
        <v>320</v>
      </c>
      <c r="D122" s="399">
        <v>2</v>
      </c>
      <c r="E122" s="405" t="s">
        <v>142</v>
      </c>
      <c r="I122" s="312"/>
      <c r="J122" s="312"/>
      <c r="N122" s="332"/>
      <c r="O122" s="332"/>
      <c r="P122" s="332"/>
      <c r="Q122" s="332"/>
      <c r="R122" s="332"/>
      <c r="S122" s="332"/>
      <c r="T122" s="332"/>
      <c r="U122" s="332"/>
      <c r="V122" s="332"/>
      <c r="W122" s="332"/>
    </row>
    <row r="123" spans="1:23" x14ac:dyDescent="0.4">
      <c r="A123" s="315"/>
      <c r="B123" s="312" t="s">
        <v>321</v>
      </c>
      <c r="D123" s="399">
        <v>15.39</v>
      </c>
      <c r="E123" s="405" t="s">
        <v>142</v>
      </c>
      <c r="I123" s="312"/>
      <c r="J123" s="312"/>
      <c r="N123" s="332"/>
      <c r="O123" s="332"/>
      <c r="P123" s="332"/>
      <c r="Q123" s="332"/>
      <c r="R123" s="332"/>
      <c r="S123" s="332"/>
      <c r="T123" s="332"/>
      <c r="U123" s="332"/>
      <c r="V123" s="332"/>
      <c r="W123" s="332"/>
    </row>
    <row r="124" spans="1:23" x14ac:dyDescent="0.4">
      <c r="A124" s="317"/>
      <c r="B124" s="115"/>
      <c r="E124" s="405"/>
      <c r="N124" s="332"/>
      <c r="O124" s="332"/>
      <c r="P124" s="332"/>
      <c r="Q124" s="332"/>
      <c r="R124" s="332"/>
      <c r="S124" s="332"/>
      <c r="T124" s="332"/>
      <c r="U124" s="332"/>
      <c r="V124" s="332"/>
      <c r="W124" s="332"/>
    </row>
    <row r="125" spans="1:23" x14ac:dyDescent="0.4">
      <c r="A125" s="317"/>
      <c r="B125" s="115"/>
      <c r="F125" s="405"/>
      <c r="N125" s="332"/>
      <c r="O125" s="332"/>
      <c r="P125" s="332"/>
      <c r="Q125" s="332"/>
      <c r="R125" s="332"/>
      <c r="S125" s="332"/>
      <c r="T125" s="332"/>
      <c r="U125" s="332"/>
      <c r="V125" s="332"/>
      <c r="W125" s="332"/>
    </row>
    <row r="126" spans="1:23" x14ac:dyDescent="0.4">
      <c r="A126" s="317"/>
      <c r="B126" s="314"/>
      <c r="E126" s="406"/>
      <c r="F126" s="405"/>
      <c r="N126" s="332"/>
      <c r="O126" s="332"/>
      <c r="P126" s="332"/>
      <c r="Q126" s="332"/>
      <c r="R126" s="332"/>
      <c r="S126" s="332"/>
      <c r="T126" s="332"/>
      <c r="U126" s="332"/>
      <c r="V126" s="332"/>
      <c r="W126" s="332"/>
    </row>
    <row r="127" spans="1:23" x14ac:dyDescent="0.4">
      <c r="A127" s="315"/>
      <c r="B127" s="314"/>
      <c r="N127" s="332"/>
      <c r="O127" s="332"/>
      <c r="P127" s="332"/>
      <c r="Q127" s="332"/>
      <c r="R127" s="332"/>
      <c r="S127" s="332"/>
      <c r="T127" s="332"/>
      <c r="U127" s="332"/>
      <c r="V127" s="332"/>
      <c r="W127" s="332"/>
    </row>
    <row r="128" spans="1:23" x14ac:dyDescent="0.4">
      <c r="A128" s="315" t="s">
        <v>312</v>
      </c>
      <c r="B128" s="314" t="s">
        <v>310</v>
      </c>
      <c r="N128" s="332"/>
      <c r="O128" s="332"/>
      <c r="P128" s="332"/>
      <c r="Q128" s="332"/>
      <c r="R128" s="332"/>
      <c r="S128" s="332"/>
      <c r="T128" s="332"/>
      <c r="U128" s="332"/>
      <c r="V128" s="332"/>
      <c r="W128" s="332"/>
    </row>
    <row r="129" spans="1:23" x14ac:dyDescent="0.4">
      <c r="A129" s="315"/>
      <c r="B129" s="314" t="s">
        <v>311</v>
      </c>
      <c r="C129" s="310"/>
      <c r="D129" s="399">
        <v>359.98</v>
      </c>
      <c r="E129" s="310" t="s">
        <v>141</v>
      </c>
      <c r="F129" s="310"/>
      <c r="G129" s="310"/>
      <c r="H129" s="310"/>
      <c r="I129" s="310"/>
      <c r="J129" s="310"/>
      <c r="N129" s="332"/>
      <c r="O129" s="332"/>
      <c r="P129" s="332"/>
      <c r="Q129" s="332"/>
      <c r="R129" s="332"/>
      <c r="S129" s="332"/>
      <c r="T129" s="332"/>
      <c r="U129" s="332"/>
      <c r="V129" s="332"/>
      <c r="W129" s="332"/>
    </row>
    <row r="130" spans="1:23" x14ac:dyDescent="0.4">
      <c r="A130" s="315"/>
      <c r="B130" s="314"/>
      <c r="N130" s="332"/>
      <c r="O130" s="332"/>
      <c r="P130" s="332"/>
      <c r="Q130" s="332"/>
      <c r="R130" s="332"/>
      <c r="S130" s="332"/>
      <c r="T130" s="332"/>
      <c r="U130" s="332"/>
      <c r="V130" s="332"/>
      <c r="W130" s="332"/>
    </row>
    <row r="131" spans="1:23" x14ac:dyDescent="0.4">
      <c r="A131" s="317"/>
      <c r="B131" s="390"/>
      <c r="C131" s="407"/>
      <c r="D131" s="407"/>
      <c r="E131" s="407"/>
      <c r="F131" s="407"/>
      <c r="G131" s="407"/>
      <c r="H131" s="407"/>
      <c r="I131" s="407"/>
      <c r="J131" s="407"/>
      <c r="K131" s="332"/>
      <c r="L131" s="332"/>
      <c r="M131" s="332"/>
      <c r="N131" s="332"/>
      <c r="O131" s="332"/>
      <c r="P131" s="332"/>
      <c r="Q131" s="332"/>
      <c r="R131" s="332"/>
    </row>
    <row r="132" spans="1:23" x14ac:dyDescent="0.4">
      <c r="A132" s="317"/>
      <c r="B132" s="390"/>
      <c r="C132" s="407"/>
      <c r="D132" s="407"/>
      <c r="E132" s="407"/>
      <c r="F132" s="407"/>
      <c r="G132" s="407"/>
      <c r="H132" s="407"/>
      <c r="I132" s="407"/>
      <c r="J132" s="407"/>
      <c r="K132" s="332"/>
      <c r="L132" s="332"/>
      <c r="M132" s="332"/>
      <c r="N132" s="332"/>
      <c r="O132" s="332"/>
      <c r="P132" s="332"/>
      <c r="Q132" s="332"/>
      <c r="R132" s="332"/>
    </row>
    <row r="133" spans="1:23" x14ac:dyDescent="0.4">
      <c r="A133" s="317"/>
      <c r="B133" s="390"/>
      <c r="G133" s="407"/>
      <c r="H133" s="407"/>
      <c r="I133" s="407"/>
      <c r="K133" s="332"/>
      <c r="L133" s="332"/>
      <c r="M133" s="332"/>
      <c r="N133" s="332"/>
      <c r="O133" s="332"/>
      <c r="P133" s="332"/>
      <c r="Q133" s="332"/>
      <c r="R133" s="332"/>
    </row>
    <row r="134" spans="1:23" ht="50.7" x14ac:dyDescent="0.4">
      <c r="A134" s="408" t="s">
        <v>313</v>
      </c>
      <c r="B134" s="318" t="s">
        <v>228</v>
      </c>
      <c r="C134" s="409" t="s">
        <v>333</v>
      </c>
      <c r="D134" s="409" t="s">
        <v>335</v>
      </c>
      <c r="E134" s="319" t="s">
        <v>434</v>
      </c>
      <c r="G134" s="407"/>
      <c r="H134" s="407"/>
      <c r="I134" s="407"/>
      <c r="J134" s="358"/>
      <c r="K134" s="332"/>
      <c r="L134" s="332"/>
      <c r="M134" s="332"/>
      <c r="N134" s="332"/>
      <c r="O134" s="332"/>
      <c r="P134" s="332"/>
      <c r="Q134" s="332"/>
      <c r="R134" s="332"/>
    </row>
    <row r="135" spans="1:23" x14ac:dyDescent="0.4">
      <c r="A135" s="317"/>
      <c r="B135" s="318" t="s">
        <v>202</v>
      </c>
      <c r="C135" s="410">
        <v>98.04</v>
      </c>
      <c r="D135" s="410">
        <v>102.16</v>
      </c>
      <c r="E135" s="410">
        <v>102.16</v>
      </c>
      <c r="F135" s="411"/>
      <c r="G135" s="407"/>
      <c r="H135" s="407"/>
      <c r="I135" s="407"/>
      <c r="J135" s="412"/>
      <c r="K135" s="332"/>
      <c r="L135" s="332"/>
      <c r="M135" s="332"/>
      <c r="N135" s="332"/>
      <c r="O135" s="332"/>
      <c r="P135" s="332"/>
      <c r="Q135" s="332"/>
      <c r="R135" s="332"/>
    </row>
    <row r="136" spans="1:23" x14ac:dyDescent="0.4">
      <c r="A136" s="317"/>
      <c r="B136" s="318" t="s">
        <v>305</v>
      </c>
      <c r="C136" s="413">
        <v>28</v>
      </c>
      <c r="D136" s="413">
        <v>28</v>
      </c>
      <c r="E136" s="413">
        <v>29</v>
      </c>
      <c r="F136" s="414"/>
      <c r="G136" s="407"/>
      <c r="H136" s="407"/>
      <c r="I136" s="407"/>
      <c r="K136" s="332"/>
      <c r="L136" s="332"/>
      <c r="M136" s="332"/>
      <c r="N136" s="332"/>
      <c r="O136" s="332"/>
      <c r="P136" s="332"/>
      <c r="Q136" s="332"/>
      <c r="R136" s="332"/>
    </row>
    <row r="137" spans="1:23" x14ac:dyDescent="0.4">
      <c r="A137" s="317"/>
      <c r="B137" s="318" t="s">
        <v>328</v>
      </c>
      <c r="C137" s="328"/>
      <c r="D137" s="328"/>
      <c r="E137" s="415" t="s">
        <v>318</v>
      </c>
      <c r="G137" s="407"/>
      <c r="H137" s="407"/>
      <c r="I137" s="407"/>
      <c r="K137" s="332"/>
      <c r="L137" s="332"/>
      <c r="M137" s="332"/>
      <c r="N137" s="332"/>
      <c r="O137" s="332"/>
      <c r="P137" s="332"/>
      <c r="Q137" s="332"/>
      <c r="R137" s="332"/>
    </row>
    <row r="138" spans="1:23" x14ac:dyDescent="0.4">
      <c r="A138" s="317"/>
      <c r="B138" s="314" t="s">
        <v>204</v>
      </c>
      <c r="F138" s="407"/>
      <c r="G138" s="407"/>
      <c r="H138" s="407"/>
      <c r="I138" s="407"/>
      <c r="K138" s="332"/>
      <c r="L138" s="332"/>
      <c r="M138" s="332"/>
      <c r="N138" s="332"/>
      <c r="O138" s="332"/>
      <c r="P138" s="332"/>
      <c r="Q138" s="332"/>
      <c r="R138" s="332"/>
    </row>
    <row r="139" spans="1:23" x14ac:dyDescent="0.4">
      <c r="A139" s="315"/>
      <c r="B139" s="416" t="s">
        <v>205</v>
      </c>
      <c r="C139" s="417">
        <v>1</v>
      </c>
      <c r="D139" s="417">
        <v>1</v>
      </c>
      <c r="E139" s="417">
        <v>1</v>
      </c>
      <c r="F139" s="407"/>
      <c r="G139" s="407"/>
      <c r="H139" s="407"/>
      <c r="I139" s="407"/>
      <c r="K139" s="332"/>
      <c r="L139" s="332"/>
      <c r="M139" s="332"/>
      <c r="N139" s="332"/>
      <c r="O139" s="332"/>
      <c r="P139" s="332"/>
      <c r="Q139" s="332"/>
      <c r="R139" s="332"/>
    </row>
    <row r="140" spans="1:23" x14ac:dyDescent="0.4">
      <c r="A140" s="317"/>
      <c r="B140" s="416" t="s">
        <v>206</v>
      </c>
      <c r="C140" s="417">
        <v>1</v>
      </c>
      <c r="D140" s="417">
        <v>1</v>
      </c>
      <c r="E140" s="417">
        <v>1</v>
      </c>
      <c r="F140" s="407"/>
      <c r="G140" s="407"/>
      <c r="H140" s="407"/>
      <c r="I140" s="407"/>
      <c r="K140" s="332"/>
      <c r="L140" s="332"/>
      <c r="M140" s="332"/>
      <c r="N140" s="332"/>
      <c r="O140" s="332"/>
      <c r="P140" s="332"/>
      <c r="Q140" s="332"/>
      <c r="R140" s="332"/>
    </row>
    <row r="141" spans="1:23" x14ac:dyDescent="0.4">
      <c r="A141" s="317"/>
      <c r="B141" s="314"/>
    </row>
    <row r="142" spans="1:23" x14ac:dyDescent="0.4">
      <c r="A142" s="317"/>
      <c r="B142" s="115"/>
      <c r="G142" s="407"/>
    </row>
    <row r="143" spans="1:23" x14ac:dyDescent="0.4">
      <c r="A143" s="317"/>
      <c r="B143" s="115"/>
    </row>
    <row r="144" spans="1:23" x14ac:dyDescent="0.4">
      <c r="A144" s="317"/>
      <c r="C144" s="310"/>
      <c r="D144" s="310"/>
      <c r="E144" s="310"/>
      <c r="F144" s="310"/>
      <c r="G144" s="310"/>
      <c r="H144" s="310"/>
      <c r="I144" s="310"/>
      <c r="J144" s="310"/>
    </row>
    <row r="145" spans="1:11" x14ac:dyDescent="0.4">
      <c r="A145" s="317"/>
      <c r="C145" s="310"/>
      <c r="D145" s="310"/>
      <c r="E145" s="358"/>
      <c r="F145" s="418"/>
      <c r="G145" s="310"/>
    </row>
    <row r="146" spans="1:11" x14ac:dyDescent="0.4">
      <c r="A146" s="317"/>
      <c r="B146" s="333"/>
      <c r="C146" s="358"/>
      <c r="D146" s="358"/>
      <c r="E146" s="358"/>
      <c r="F146" s="358"/>
      <c r="G146" s="358"/>
      <c r="H146" s="358"/>
      <c r="I146" s="358"/>
      <c r="J146" s="358"/>
      <c r="K146" s="358"/>
    </row>
    <row r="147" spans="1:11" x14ac:dyDescent="0.4">
      <c r="A147" s="317"/>
      <c r="B147" s="356"/>
      <c r="C147" s="358"/>
      <c r="D147" s="358"/>
      <c r="E147" s="358"/>
      <c r="F147" s="358"/>
      <c r="G147" s="358"/>
      <c r="H147" s="358"/>
      <c r="I147" s="358"/>
      <c r="J147" s="358"/>
    </row>
    <row r="148" spans="1:11" x14ac:dyDescent="0.4">
      <c r="A148" s="317"/>
      <c r="B148" s="356"/>
      <c r="C148" s="358"/>
      <c r="D148" s="358"/>
      <c r="E148" s="358"/>
      <c r="F148" s="358"/>
      <c r="G148" s="358"/>
      <c r="H148" s="358"/>
      <c r="I148" s="358"/>
      <c r="J148" s="358"/>
    </row>
    <row r="149" spans="1:11" x14ac:dyDescent="0.4">
      <c r="A149" s="317"/>
      <c r="B149" s="401"/>
      <c r="C149" s="358"/>
      <c r="D149" s="358"/>
      <c r="E149" s="358"/>
      <c r="F149" s="358"/>
      <c r="G149" s="358"/>
      <c r="H149" s="358"/>
      <c r="I149" s="358"/>
      <c r="J149" s="358"/>
    </row>
    <row r="150" spans="1:11" x14ac:dyDescent="0.4">
      <c r="A150" s="317"/>
      <c r="B150" s="401"/>
      <c r="C150" s="358"/>
      <c r="D150" s="358"/>
      <c r="E150" s="358"/>
      <c r="F150" s="358"/>
      <c r="G150" s="358"/>
      <c r="H150" s="358"/>
      <c r="I150" s="358"/>
      <c r="J150" s="358"/>
    </row>
    <row r="151" spans="1:11" x14ac:dyDescent="0.4">
      <c r="A151" s="317"/>
      <c r="C151" s="358"/>
      <c r="D151" s="358"/>
      <c r="E151" s="358"/>
      <c r="F151" s="358"/>
      <c r="G151" s="358"/>
      <c r="H151" s="358"/>
      <c r="I151" s="358"/>
      <c r="J151" s="358"/>
    </row>
    <row r="152" spans="1:11" x14ac:dyDescent="0.4">
      <c r="A152" s="317"/>
      <c r="B152" s="333"/>
      <c r="C152" s="358"/>
      <c r="D152" s="358"/>
      <c r="E152" s="358"/>
      <c r="F152" s="358"/>
      <c r="G152" s="358"/>
      <c r="H152" s="358"/>
      <c r="I152" s="358"/>
      <c r="J152" s="358"/>
      <c r="K152" s="358"/>
    </row>
    <row r="153" spans="1:11" x14ac:dyDescent="0.4">
      <c r="A153" s="317"/>
      <c r="B153" s="356"/>
      <c r="C153" s="358"/>
      <c r="D153" s="358"/>
      <c r="E153" s="358"/>
      <c r="F153" s="358"/>
      <c r="G153" s="358"/>
      <c r="H153" s="358"/>
      <c r="I153" s="358"/>
      <c r="J153" s="358"/>
    </row>
    <row r="154" spans="1:11" x14ac:dyDescent="0.4">
      <c r="A154" s="317"/>
      <c r="B154" s="356"/>
      <c r="C154" s="358"/>
      <c r="D154" s="358"/>
      <c r="E154" s="358"/>
      <c r="F154" s="358"/>
      <c r="G154" s="358"/>
      <c r="H154" s="358"/>
      <c r="I154" s="358"/>
      <c r="J154" s="358"/>
    </row>
    <row r="155" spans="1:11" x14ac:dyDescent="0.4">
      <c r="A155" s="317"/>
      <c r="C155" s="358"/>
      <c r="D155" s="358"/>
      <c r="E155" s="358"/>
      <c r="F155" s="358"/>
      <c r="G155" s="358"/>
      <c r="H155" s="358"/>
      <c r="I155" s="358"/>
      <c r="J155" s="358"/>
    </row>
    <row r="156" spans="1:11" x14ac:dyDescent="0.4">
      <c r="A156" s="317"/>
      <c r="C156" s="358"/>
      <c r="D156" s="358"/>
      <c r="E156" s="358"/>
      <c r="F156" s="358"/>
      <c r="G156" s="358"/>
      <c r="H156" s="358"/>
      <c r="I156" s="358"/>
      <c r="J156" s="358"/>
      <c r="K156" s="358"/>
    </row>
    <row r="157" spans="1:11" x14ac:dyDescent="0.4">
      <c r="A157" s="317"/>
      <c r="C157" s="358"/>
      <c r="D157" s="358"/>
      <c r="E157" s="358"/>
      <c r="F157" s="358"/>
      <c r="G157" s="358"/>
      <c r="H157" s="358"/>
      <c r="I157" s="358"/>
      <c r="J157" s="358"/>
      <c r="K157" s="358"/>
    </row>
    <row r="158" spans="1:11" x14ac:dyDescent="0.4">
      <c r="A158" s="317"/>
      <c r="B158" s="314"/>
      <c r="D158" s="312"/>
      <c r="F158" s="358"/>
    </row>
    <row r="159" spans="1:11" x14ac:dyDescent="0.4">
      <c r="A159" s="317"/>
      <c r="B159" s="115"/>
      <c r="D159" s="312"/>
      <c r="F159" s="358"/>
    </row>
    <row r="160" spans="1:11" x14ac:dyDescent="0.4">
      <c r="A160" s="317"/>
      <c r="B160" s="115"/>
      <c r="E160" s="419"/>
      <c r="F160" s="358"/>
    </row>
    <row r="161" spans="1:15" x14ac:dyDescent="0.4">
      <c r="A161" s="317"/>
      <c r="C161" s="310"/>
      <c r="D161" s="310"/>
      <c r="E161" s="310"/>
      <c r="H161" s="314"/>
      <c r="I161" s="310"/>
      <c r="J161" s="310"/>
    </row>
    <row r="162" spans="1:15" x14ac:dyDescent="0.4">
      <c r="A162" s="317"/>
      <c r="C162" s="310"/>
      <c r="D162" s="310"/>
      <c r="E162" s="419"/>
      <c r="F162" s="314"/>
    </row>
    <row r="163" spans="1:15" x14ac:dyDescent="0.4">
      <c r="A163" s="317"/>
      <c r="B163" s="333"/>
      <c r="C163" s="358"/>
      <c r="D163" s="358"/>
      <c r="E163" s="420"/>
      <c r="H163" s="421"/>
    </row>
    <row r="164" spans="1:15" x14ac:dyDescent="0.4">
      <c r="A164" s="317"/>
      <c r="B164" s="356"/>
      <c r="C164" s="358"/>
      <c r="D164" s="358"/>
      <c r="E164" s="419"/>
      <c r="H164" s="390"/>
      <c r="I164" s="422"/>
      <c r="J164" s="422"/>
      <c r="K164" s="405"/>
      <c r="O164" s="423"/>
    </row>
    <row r="165" spans="1:15" x14ac:dyDescent="0.4">
      <c r="A165" s="317"/>
      <c r="B165" s="356"/>
      <c r="C165" s="358"/>
      <c r="D165" s="358"/>
      <c r="H165" s="390"/>
      <c r="I165" s="422"/>
      <c r="J165" s="422"/>
      <c r="K165" s="405"/>
    </row>
    <row r="166" spans="1:15" x14ac:dyDescent="0.4">
      <c r="A166" s="317"/>
      <c r="C166" s="358"/>
      <c r="D166" s="358"/>
      <c r="H166" s="390"/>
      <c r="I166" s="422"/>
      <c r="J166" s="422"/>
      <c r="K166" s="405"/>
    </row>
    <row r="167" spans="1:15" x14ac:dyDescent="0.4">
      <c r="A167" s="317"/>
      <c r="B167" s="333"/>
      <c r="C167" s="358"/>
      <c r="D167" s="358"/>
    </row>
    <row r="168" spans="1:15" x14ac:dyDescent="0.4">
      <c r="A168" s="317"/>
      <c r="B168" s="356"/>
      <c r="C168" s="358"/>
      <c r="D168" s="358"/>
      <c r="H168" s="421"/>
      <c r="I168" s="424"/>
      <c r="J168" s="424"/>
      <c r="K168" s="405"/>
    </row>
    <row r="169" spans="1:15" x14ac:dyDescent="0.4">
      <c r="A169" s="317"/>
      <c r="B169" s="356"/>
      <c r="C169" s="358"/>
      <c r="D169" s="358"/>
      <c r="H169" s="390"/>
      <c r="I169" s="422"/>
      <c r="J169" s="422"/>
      <c r="K169" s="405"/>
    </row>
    <row r="170" spans="1:15" x14ac:dyDescent="0.4">
      <c r="A170" s="317"/>
      <c r="B170" s="356"/>
      <c r="C170" s="358"/>
      <c r="D170" s="358"/>
    </row>
    <row r="171" spans="1:15" x14ac:dyDescent="0.4">
      <c r="A171" s="317"/>
      <c r="C171" s="358"/>
      <c r="D171" s="358"/>
    </row>
    <row r="172" spans="1:15" x14ac:dyDescent="0.4">
      <c r="A172" s="317"/>
      <c r="C172" s="358"/>
      <c r="D172" s="358"/>
    </row>
    <row r="173" spans="1:15" x14ac:dyDescent="0.4">
      <c r="A173" s="317"/>
      <c r="B173" s="425"/>
      <c r="C173" s="358"/>
      <c r="D173" s="358"/>
    </row>
    <row r="174" spans="1:15" x14ac:dyDescent="0.4">
      <c r="A174" s="317"/>
      <c r="B174" s="333"/>
      <c r="C174" s="358"/>
      <c r="D174" s="358"/>
    </row>
    <row r="175" spans="1:15" x14ac:dyDescent="0.4">
      <c r="A175" s="317"/>
      <c r="B175" s="356"/>
      <c r="C175" s="358"/>
      <c r="D175" s="358"/>
    </row>
    <row r="176" spans="1:15" x14ac:dyDescent="0.4">
      <c r="A176" s="317"/>
      <c r="B176" s="356"/>
      <c r="C176" s="358"/>
      <c r="D176" s="358"/>
    </row>
    <row r="177" spans="1:7" x14ac:dyDescent="0.4">
      <c r="A177" s="317"/>
      <c r="C177" s="358"/>
      <c r="D177" s="358"/>
    </row>
    <row r="178" spans="1:7" x14ac:dyDescent="0.4">
      <c r="A178" s="317"/>
      <c r="B178" s="333"/>
      <c r="C178" s="358"/>
      <c r="D178" s="358"/>
    </row>
    <row r="179" spans="1:7" x14ac:dyDescent="0.4">
      <c r="A179" s="317"/>
      <c r="B179" s="356"/>
      <c r="C179" s="358"/>
      <c r="D179" s="358"/>
    </row>
    <row r="180" spans="1:7" x14ac:dyDescent="0.4">
      <c r="A180" s="317"/>
      <c r="B180" s="356"/>
      <c r="C180" s="358"/>
      <c r="D180" s="358"/>
    </row>
    <row r="181" spans="1:7" x14ac:dyDescent="0.4">
      <c r="A181" s="317"/>
      <c r="B181" s="356"/>
      <c r="C181" s="358"/>
      <c r="D181" s="358"/>
    </row>
    <row r="182" spans="1:7" x14ac:dyDescent="0.4">
      <c r="A182" s="317"/>
      <c r="C182" s="358"/>
      <c r="D182" s="358"/>
    </row>
    <row r="183" spans="1:7" x14ac:dyDescent="0.4">
      <c r="A183" s="317"/>
      <c r="C183" s="426"/>
      <c r="D183" s="426"/>
    </row>
    <row r="184" spans="1:7" x14ac:dyDescent="0.4">
      <c r="A184" s="317"/>
      <c r="B184" s="314"/>
      <c r="C184" s="358"/>
      <c r="D184" s="358"/>
    </row>
    <row r="185" spans="1:7" x14ac:dyDescent="0.4">
      <c r="A185" s="317"/>
      <c r="B185" s="390"/>
      <c r="C185" s="427"/>
      <c r="G185" s="428"/>
    </row>
    <row r="186" spans="1:7" x14ac:dyDescent="0.4">
      <c r="A186" s="317"/>
      <c r="C186" s="390"/>
      <c r="D186" s="407"/>
    </row>
    <row r="187" spans="1:7" x14ac:dyDescent="0.4">
      <c r="A187" s="317"/>
      <c r="C187" s="390"/>
      <c r="D187" s="407"/>
    </row>
    <row r="188" spans="1:7" x14ac:dyDescent="0.4">
      <c r="A188" s="317"/>
    </row>
    <row r="189" spans="1:7" x14ac:dyDescent="0.4">
      <c r="A189" s="317"/>
      <c r="E189" s="424"/>
    </row>
    <row r="190" spans="1:7" x14ac:dyDescent="0.4">
      <c r="A190" s="315"/>
      <c r="B190" s="314"/>
    </row>
    <row r="191" spans="1:7" x14ac:dyDescent="0.4">
      <c r="A191" s="317"/>
      <c r="B191" s="314"/>
    </row>
    <row r="192" spans="1:7" x14ac:dyDescent="0.4">
      <c r="A192" s="317"/>
      <c r="B192" s="314"/>
    </row>
    <row r="193" spans="1:13" x14ac:dyDescent="0.4">
      <c r="A193" s="317"/>
      <c r="B193" s="115"/>
    </row>
    <row r="194" spans="1:13" x14ac:dyDescent="0.4">
      <c r="A194" s="317"/>
      <c r="B194" s="314"/>
    </row>
    <row r="195" spans="1:13" x14ac:dyDescent="0.4">
      <c r="A195" s="317"/>
      <c r="C195" s="310"/>
      <c r="D195" s="310"/>
      <c r="E195" s="310"/>
      <c r="F195" s="310"/>
      <c r="G195" s="310"/>
      <c r="H195" s="310"/>
      <c r="I195" s="310"/>
      <c r="J195" s="310"/>
    </row>
    <row r="196" spans="1:13" x14ac:dyDescent="0.4">
      <c r="A196" s="317"/>
      <c r="C196" s="310"/>
      <c r="D196" s="310"/>
      <c r="E196" s="310"/>
      <c r="F196" s="310"/>
      <c r="G196" s="310"/>
    </row>
    <row r="197" spans="1:13" x14ac:dyDescent="0.4">
      <c r="A197" s="317"/>
      <c r="B197" s="333"/>
      <c r="E197" s="270"/>
      <c r="F197" s="71"/>
      <c r="G197" s="71"/>
      <c r="H197" s="71"/>
      <c r="I197" s="270"/>
      <c r="J197" s="270"/>
      <c r="K197" s="429"/>
      <c r="L197" s="429"/>
      <c r="M197" s="429"/>
    </row>
    <row r="198" spans="1:13" x14ac:dyDescent="0.4">
      <c r="A198" s="317"/>
      <c r="B198" s="356"/>
      <c r="C198" s="59"/>
      <c r="D198" s="272"/>
      <c r="E198" s="71"/>
      <c r="F198" s="270"/>
      <c r="G198" s="270"/>
      <c r="H198" s="270"/>
      <c r="I198" s="312"/>
      <c r="J198" s="273"/>
      <c r="K198" s="429"/>
      <c r="L198" s="429"/>
      <c r="M198" s="429"/>
    </row>
    <row r="199" spans="1:13" x14ac:dyDescent="0.4">
      <c r="A199" s="317"/>
      <c r="B199" s="356"/>
      <c r="C199" s="59"/>
      <c r="D199" s="272"/>
      <c r="E199" s="71"/>
      <c r="F199" s="270"/>
      <c r="G199" s="270"/>
      <c r="H199" s="430"/>
      <c r="I199" s="312"/>
      <c r="J199" s="273"/>
      <c r="K199" s="431"/>
      <c r="L199" s="429"/>
      <c r="M199" s="429"/>
    </row>
    <row r="200" spans="1:13" x14ac:dyDescent="0.4">
      <c r="A200" s="317"/>
      <c r="E200" s="59"/>
      <c r="F200" s="272"/>
      <c r="G200" s="272"/>
      <c r="L200" s="429"/>
      <c r="M200" s="429"/>
    </row>
    <row r="201" spans="1:13" x14ac:dyDescent="0.4">
      <c r="A201" s="317"/>
      <c r="B201" s="432"/>
      <c r="C201" s="71"/>
      <c r="D201" s="71"/>
      <c r="E201" s="59"/>
      <c r="F201" s="272"/>
      <c r="G201" s="272"/>
      <c r="H201" s="272"/>
      <c r="I201" s="272"/>
      <c r="J201" s="272"/>
      <c r="K201" s="429"/>
      <c r="L201" s="429"/>
      <c r="M201" s="429"/>
    </row>
    <row r="202" spans="1:13" x14ac:dyDescent="0.4">
      <c r="A202" s="315"/>
      <c r="B202" s="432"/>
      <c r="C202" s="91"/>
      <c r="D202" s="91"/>
      <c r="E202" s="311"/>
      <c r="F202" s="272"/>
      <c r="G202" s="272"/>
      <c r="H202" s="272"/>
      <c r="I202" s="272"/>
      <c r="J202" s="272"/>
      <c r="K202" s="429"/>
      <c r="L202" s="429"/>
      <c r="M202" s="429"/>
    </row>
    <row r="203" spans="1:13" x14ac:dyDescent="0.4">
      <c r="A203" s="315"/>
      <c r="B203" s="432"/>
      <c r="C203" s="91"/>
      <c r="D203" s="91"/>
      <c r="E203" s="311"/>
      <c r="F203" s="272"/>
      <c r="G203" s="272"/>
      <c r="H203" s="272"/>
      <c r="I203" s="272"/>
      <c r="J203" s="272"/>
      <c r="K203" s="429"/>
      <c r="L203" s="429"/>
      <c r="M203" s="429"/>
    </row>
    <row r="204" spans="1:13" x14ac:dyDescent="0.4">
      <c r="A204" s="317"/>
      <c r="G204" s="272"/>
      <c r="H204" s="272"/>
      <c r="I204" s="272"/>
      <c r="J204" s="272"/>
      <c r="K204" s="429"/>
      <c r="L204" s="429"/>
      <c r="M204" s="429"/>
    </row>
    <row r="205" spans="1:13" x14ac:dyDescent="0.4">
      <c r="A205" s="317"/>
      <c r="H205" s="272"/>
      <c r="I205" s="272"/>
      <c r="J205" s="272"/>
      <c r="K205" s="429"/>
      <c r="L205" s="429"/>
      <c r="M205" s="429"/>
    </row>
    <row r="206" spans="1:13" x14ac:dyDescent="0.4">
      <c r="A206" s="317"/>
      <c r="C206" s="272"/>
      <c r="D206" s="272"/>
      <c r="E206" s="272"/>
      <c r="F206" s="272"/>
      <c r="G206" s="272"/>
      <c r="H206" s="272"/>
      <c r="I206" s="272"/>
      <c r="J206" s="272"/>
      <c r="K206" s="429"/>
      <c r="L206" s="429"/>
      <c r="M206" s="429"/>
    </row>
    <row r="207" spans="1:13" x14ac:dyDescent="0.4">
      <c r="A207" s="317"/>
      <c r="B207" s="333"/>
      <c r="C207" s="71"/>
      <c r="D207" s="71"/>
      <c r="E207" s="270"/>
      <c r="F207" s="71"/>
      <c r="G207" s="71"/>
      <c r="H207" s="71"/>
      <c r="I207" s="270"/>
      <c r="J207" s="270"/>
      <c r="K207" s="429"/>
      <c r="L207" s="429"/>
      <c r="M207" s="429"/>
    </row>
    <row r="208" spans="1:13" x14ac:dyDescent="0.4">
      <c r="A208" s="317"/>
      <c r="B208" s="356"/>
      <c r="C208" s="272"/>
      <c r="D208" s="272"/>
      <c r="E208" s="71"/>
      <c r="F208" s="272"/>
      <c r="G208" s="272"/>
      <c r="H208" s="272"/>
      <c r="J208" s="273"/>
      <c r="K208" s="429"/>
      <c r="L208" s="429"/>
      <c r="M208" s="429"/>
    </row>
    <row r="209" spans="1:13" x14ac:dyDescent="0.4">
      <c r="A209" s="317"/>
      <c r="B209" s="356"/>
      <c r="C209" s="272"/>
      <c r="D209" s="272"/>
      <c r="E209" s="71"/>
      <c r="F209" s="272"/>
      <c r="G209" s="272"/>
      <c r="J209" s="273"/>
      <c r="K209" s="431"/>
      <c r="L209" s="429"/>
      <c r="M209" s="429"/>
    </row>
    <row r="210" spans="1:13" x14ac:dyDescent="0.4">
      <c r="A210" s="317"/>
      <c r="C210" s="272"/>
      <c r="D210" s="272"/>
      <c r="E210" s="272"/>
      <c r="F210" s="272"/>
      <c r="G210" s="272"/>
      <c r="K210" s="429"/>
      <c r="L210" s="429"/>
      <c r="M210" s="429"/>
    </row>
    <row r="211" spans="1:13" x14ac:dyDescent="0.4">
      <c r="A211" s="317"/>
      <c r="C211" s="270"/>
      <c r="D211" s="270"/>
      <c r="E211" s="270"/>
      <c r="F211" s="270"/>
      <c r="G211" s="270"/>
      <c r="H211" s="270"/>
      <c r="I211" s="270"/>
      <c r="J211" s="270"/>
      <c r="K211" s="429"/>
      <c r="L211" s="429"/>
      <c r="M211" s="429"/>
    </row>
    <row r="212" spans="1:13" x14ac:dyDescent="0.4">
      <c r="A212" s="317"/>
    </row>
    <row r="213" spans="1:13" x14ac:dyDescent="0.4">
      <c r="A213" s="317"/>
    </row>
    <row r="214" spans="1:13" x14ac:dyDescent="0.4">
      <c r="A214" s="317"/>
      <c r="B214" s="314"/>
    </row>
    <row r="215" spans="1:13" x14ac:dyDescent="0.4">
      <c r="A215" s="317"/>
      <c r="B215" s="115"/>
    </row>
    <row r="216" spans="1:13" x14ac:dyDescent="0.4">
      <c r="A216" s="317"/>
      <c r="B216" s="312"/>
    </row>
    <row r="217" spans="1:13" x14ac:dyDescent="0.4">
      <c r="A217" s="317"/>
      <c r="C217" s="310"/>
      <c r="D217" s="310"/>
      <c r="E217" s="310"/>
      <c r="F217" s="310"/>
      <c r="H217" s="314"/>
    </row>
    <row r="218" spans="1:13" x14ac:dyDescent="0.4">
      <c r="A218" s="317"/>
      <c r="C218" s="310"/>
      <c r="D218" s="433"/>
      <c r="E218" s="310"/>
      <c r="F218" s="433"/>
    </row>
    <row r="219" spans="1:13" x14ac:dyDescent="0.4">
      <c r="A219" s="317"/>
      <c r="B219" s="333"/>
      <c r="C219" s="71"/>
      <c r="D219" s="431"/>
      <c r="E219" s="430"/>
      <c r="F219" s="430"/>
      <c r="H219" s="421"/>
    </row>
    <row r="220" spans="1:13" x14ac:dyDescent="0.4">
      <c r="A220" s="317"/>
      <c r="B220" s="356"/>
      <c r="C220" s="270"/>
      <c r="D220" s="431"/>
      <c r="E220" s="71"/>
      <c r="F220" s="431"/>
      <c r="H220" s="390"/>
      <c r="I220" s="434"/>
      <c r="J220" s="434"/>
      <c r="K220" s="405"/>
    </row>
    <row r="221" spans="1:13" x14ac:dyDescent="0.4">
      <c r="A221" s="317"/>
      <c r="B221" s="356"/>
      <c r="C221" s="270"/>
      <c r="D221" s="431"/>
      <c r="E221" s="71"/>
      <c r="F221" s="431"/>
      <c r="H221" s="390"/>
      <c r="I221" s="434"/>
      <c r="J221" s="434"/>
      <c r="K221" s="405"/>
    </row>
    <row r="222" spans="1:13" x14ac:dyDescent="0.4">
      <c r="A222" s="317"/>
      <c r="C222" s="270"/>
      <c r="D222" s="431"/>
      <c r="E222" s="270"/>
      <c r="F222" s="431"/>
      <c r="H222" s="390"/>
      <c r="I222" s="434"/>
      <c r="J222" s="434"/>
      <c r="K222" s="405"/>
    </row>
    <row r="223" spans="1:13" x14ac:dyDescent="0.4">
      <c r="A223" s="317"/>
      <c r="B223" s="333"/>
      <c r="C223" s="71"/>
      <c r="D223" s="431"/>
      <c r="E223" s="71"/>
      <c r="F223" s="431"/>
    </row>
    <row r="224" spans="1:13" x14ac:dyDescent="0.4">
      <c r="A224" s="317"/>
      <c r="B224" s="356"/>
      <c r="C224" s="270"/>
      <c r="D224" s="430"/>
      <c r="E224" s="71"/>
      <c r="F224" s="431"/>
      <c r="H224" s="421"/>
      <c r="I224" s="424"/>
      <c r="J224" s="424"/>
    </row>
    <row r="225" spans="1:11" x14ac:dyDescent="0.4">
      <c r="A225" s="317"/>
      <c r="B225" s="356"/>
      <c r="C225" s="270"/>
      <c r="D225" s="430"/>
      <c r="E225" s="71"/>
      <c r="F225" s="431"/>
      <c r="H225" s="390"/>
      <c r="I225" s="434"/>
      <c r="J225" s="434"/>
      <c r="K225" s="405"/>
    </row>
    <row r="226" spans="1:11" x14ac:dyDescent="0.4">
      <c r="A226" s="317"/>
      <c r="C226" s="270"/>
      <c r="D226" s="430"/>
      <c r="E226" s="270"/>
      <c r="F226" s="430"/>
    </row>
    <row r="227" spans="1:11" x14ac:dyDescent="0.4">
      <c r="A227" s="317"/>
      <c r="C227" s="270"/>
      <c r="D227" s="430"/>
      <c r="E227" s="270"/>
      <c r="F227" s="430"/>
    </row>
    <row r="228" spans="1:11" x14ac:dyDescent="0.4">
      <c r="A228" s="317"/>
      <c r="C228" s="429"/>
      <c r="E228" s="429"/>
    </row>
    <row r="229" spans="1:11" x14ac:dyDescent="0.4">
      <c r="A229" s="317"/>
      <c r="C229" s="429"/>
      <c r="E229" s="429"/>
    </row>
    <row r="231" spans="1:11" x14ac:dyDescent="0.4">
      <c r="A231" s="314"/>
      <c r="E231" s="404"/>
    </row>
    <row r="232" spans="1:11" x14ac:dyDescent="0.4">
      <c r="A232" s="317"/>
      <c r="B232" s="390"/>
      <c r="C232" s="420"/>
      <c r="D232" s="405"/>
      <c r="E232" s="309"/>
    </row>
    <row r="233" spans="1:11" x14ac:dyDescent="0.4">
      <c r="A233" s="317"/>
      <c r="B233" s="390"/>
      <c r="C233" s="420"/>
      <c r="D233" s="405"/>
      <c r="E233" s="309"/>
    </row>
    <row r="234" spans="1:11" x14ac:dyDescent="0.4">
      <c r="A234" s="317"/>
      <c r="B234" s="390"/>
    </row>
    <row r="235" spans="1:11" x14ac:dyDescent="0.4">
      <c r="A235" s="317"/>
      <c r="B235" s="390"/>
      <c r="C235" s="420"/>
      <c r="D235" s="405"/>
      <c r="E235" s="406"/>
    </row>
    <row r="236" spans="1:11" x14ac:dyDescent="0.4">
      <c r="A236" s="317"/>
      <c r="B236" s="390"/>
      <c r="C236" s="435"/>
      <c r="E236" s="406"/>
    </row>
    <row r="237" spans="1:11" x14ac:dyDescent="0.4">
      <c r="A237" s="317"/>
      <c r="B237" s="390"/>
      <c r="C237" s="435"/>
      <c r="E237" s="406"/>
    </row>
    <row r="238" spans="1:11" x14ac:dyDescent="0.4">
      <c r="A238" s="317"/>
      <c r="B238" s="390"/>
      <c r="C238" s="436"/>
    </row>
    <row r="239" spans="1:11" x14ac:dyDescent="0.4">
      <c r="A239" s="317"/>
      <c r="B239" s="390"/>
      <c r="C239" s="312"/>
    </row>
    <row r="240" spans="1:11" x14ac:dyDescent="0.4">
      <c r="A240" s="317"/>
      <c r="B240" s="390"/>
      <c r="C240" s="311"/>
    </row>
    <row r="241" spans="1:13" x14ac:dyDescent="0.4">
      <c r="A241" s="317"/>
      <c r="B241" s="390"/>
      <c r="C241" s="309"/>
    </row>
    <row r="242" spans="1:13" x14ac:dyDescent="0.4">
      <c r="A242" s="317"/>
      <c r="B242" s="390"/>
    </row>
    <row r="243" spans="1:13" x14ac:dyDescent="0.4">
      <c r="A243" s="317"/>
      <c r="B243" s="390"/>
    </row>
    <row r="244" spans="1:13" x14ac:dyDescent="0.4">
      <c r="A244" s="317"/>
      <c r="B244" s="390"/>
    </row>
    <row r="246" spans="1:13" x14ac:dyDescent="0.4">
      <c r="B246" s="390"/>
    </row>
    <row r="247" spans="1:13" x14ac:dyDescent="0.4">
      <c r="A247" s="317"/>
      <c r="C247" s="429"/>
      <c r="E247" s="429"/>
    </row>
    <row r="248" spans="1:13" x14ac:dyDescent="0.4">
      <c r="A248" s="317"/>
      <c r="C248" s="429"/>
      <c r="E248" s="429"/>
    </row>
    <row r="249" spans="1:13" x14ac:dyDescent="0.4">
      <c r="A249" s="317"/>
      <c r="C249" s="429"/>
      <c r="E249" s="429"/>
    </row>
    <row r="250" spans="1:13" x14ac:dyDescent="0.4">
      <c r="A250" s="315"/>
      <c r="B250" s="314"/>
    </row>
    <row r="251" spans="1:13" x14ac:dyDescent="0.4">
      <c r="A251" s="317"/>
      <c r="B251" s="314"/>
    </row>
    <row r="252" spans="1:13" x14ac:dyDescent="0.4">
      <c r="A252" s="317"/>
      <c r="C252" s="310"/>
      <c r="D252" s="310"/>
      <c r="E252" s="310"/>
      <c r="F252" s="310"/>
      <c r="G252" s="310"/>
      <c r="H252" s="310"/>
      <c r="I252" s="310"/>
      <c r="J252" s="310"/>
      <c r="K252" s="310"/>
      <c r="L252" s="310"/>
      <c r="M252" s="310"/>
    </row>
    <row r="253" spans="1:13" x14ac:dyDescent="0.4">
      <c r="A253" s="317"/>
    </row>
    <row r="254" spans="1:13" x14ac:dyDescent="0.4">
      <c r="A254" s="317"/>
      <c r="B254" s="342"/>
      <c r="C254" s="437"/>
      <c r="D254" s="437"/>
      <c r="E254" s="427"/>
      <c r="F254" s="427"/>
      <c r="G254" s="427"/>
      <c r="H254" s="427"/>
      <c r="I254" s="427"/>
      <c r="J254" s="427"/>
      <c r="K254" s="427"/>
      <c r="L254" s="427"/>
      <c r="M254" s="427"/>
    </row>
    <row r="255" spans="1:13" x14ac:dyDescent="0.4">
      <c r="A255" s="317"/>
      <c r="B255" s="342"/>
      <c r="C255" s="427"/>
      <c r="D255" s="427"/>
      <c r="E255" s="427"/>
      <c r="F255" s="427"/>
      <c r="G255" s="427"/>
      <c r="H255" s="427"/>
      <c r="I255" s="427"/>
      <c r="J255" s="427"/>
      <c r="K255" s="427"/>
      <c r="L255" s="427"/>
      <c r="M255" s="427"/>
    </row>
    <row r="256" spans="1:13" x14ac:dyDescent="0.4">
      <c r="A256" s="317"/>
      <c r="B256" s="342"/>
      <c r="C256" s="428"/>
      <c r="D256" s="428"/>
      <c r="E256" s="428"/>
      <c r="F256" s="428"/>
      <c r="G256" s="428"/>
      <c r="H256" s="428"/>
      <c r="I256" s="428"/>
      <c r="J256" s="427"/>
      <c r="K256" s="427"/>
      <c r="L256" s="427"/>
      <c r="M256" s="427"/>
    </row>
    <row r="257" spans="1:13" x14ac:dyDescent="0.4">
      <c r="A257" s="317"/>
      <c r="B257" s="342"/>
    </row>
    <row r="258" spans="1:13" x14ac:dyDescent="0.4">
      <c r="A258" s="317"/>
    </row>
    <row r="259" spans="1:13" x14ac:dyDescent="0.4">
      <c r="A259" s="317"/>
      <c r="B259" s="342"/>
      <c r="C259" s="438"/>
      <c r="D259" s="438"/>
      <c r="E259" s="438"/>
      <c r="F259" s="438"/>
      <c r="G259" s="438"/>
      <c r="H259" s="438"/>
      <c r="I259" s="438"/>
      <c r="J259" s="438"/>
      <c r="K259" s="438"/>
      <c r="L259" s="438"/>
      <c r="M259" s="438"/>
    </row>
    <row r="260" spans="1:13" x14ac:dyDescent="0.4">
      <c r="A260" s="317"/>
      <c r="B260" s="342"/>
      <c r="C260" s="438"/>
      <c r="D260" s="438"/>
      <c r="E260" s="438"/>
      <c r="F260" s="438"/>
      <c r="G260" s="438"/>
      <c r="H260" s="438"/>
      <c r="I260" s="438"/>
      <c r="J260" s="438"/>
      <c r="K260" s="438"/>
      <c r="L260" s="438"/>
      <c r="M260" s="438"/>
    </row>
    <row r="261" spans="1:13" x14ac:dyDescent="0.4">
      <c r="A261" s="317"/>
    </row>
    <row r="262" spans="1:13" x14ac:dyDescent="0.4">
      <c r="A262" s="317"/>
    </row>
    <row r="263" spans="1:13" x14ac:dyDescent="0.4">
      <c r="A263" s="317"/>
      <c r="B263" s="342"/>
      <c r="C263" s="439"/>
    </row>
    <row r="264" spans="1:13" x14ac:dyDescent="0.4">
      <c r="A264" s="317"/>
      <c r="B264" s="342"/>
      <c r="C264" s="439"/>
    </row>
    <row r="265" spans="1:13" x14ac:dyDescent="0.4">
      <c r="A265" s="317"/>
      <c r="B265" s="342"/>
      <c r="C265" s="428"/>
      <c r="D265" s="423"/>
    </row>
    <row r="266" spans="1:13" x14ac:dyDescent="0.4">
      <c r="A266" s="317"/>
      <c r="L266" s="440"/>
    </row>
    <row r="267" spans="1:13" x14ac:dyDescent="0.4">
      <c r="A267" s="317"/>
      <c r="K267" s="342"/>
    </row>
    <row r="268" spans="1:13" x14ac:dyDescent="0.4">
      <c r="A268" s="317"/>
      <c r="B268" s="342"/>
      <c r="C268" s="438"/>
      <c r="E268" s="404"/>
      <c r="K268" s="342"/>
      <c r="L268" s="370"/>
      <c r="M268" s="441"/>
    </row>
    <row r="269" spans="1:13" x14ac:dyDescent="0.4">
      <c r="A269" s="317"/>
      <c r="B269" s="342"/>
      <c r="C269" s="438"/>
      <c r="E269" s="404"/>
      <c r="K269" s="342"/>
      <c r="L269" s="370"/>
      <c r="M269" s="441"/>
    </row>
    <row r="270" spans="1:13" x14ac:dyDescent="0.4">
      <c r="A270" s="317"/>
    </row>
    <row r="271" spans="1:13" x14ac:dyDescent="0.4">
      <c r="A271" s="317"/>
      <c r="C271" s="429"/>
      <c r="E271" s="429"/>
    </row>
    <row r="272" spans="1:13" x14ac:dyDescent="0.4">
      <c r="A272" s="315"/>
      <c r="B272" s="314"/>
      <c r="C272" s="429"/>
      <c r="E272" s="429"/>
    </row>
    <row r="273" spans="1:12" x14ac:dyDescent="0.4">
      <c r="A273" s="317"/>
      <c r="C273" s="429"/>
      <c r="E273" s="429"/>
    </row>
    <row r="274" spans="1:12" x14ac:dyDescent="0.4">
      <c r="A274" s="317"/>
      <c r="B274" s="390"/>
      <c r="C274" s="358"/>
      <c r="E274" s="442"/>
    </row>
    <row r="275" spans="1:12" x14ac:dyDescent="0.4">
      <c r="A275" s="317"/>
      <c r="B275" s="390"/>
      <c r="C275" s="443"/>
      <c r="E275" s="429"/>
    </row>
    <row r="276" spans="1:12" x14ac:dyDescent="0.4">
      <c r="A276" s="317"/>
      <c r="B276" s="390"/>
      <c r="C276" s="443"/>
      <c r="E276" s="429"/>
    </row>
    <row r="277" spans="1:12" x14ac:dyDescent="0.4">
      <c r="A277" s="317"/>
      <c r="C277" s="429"/>
      <c r="E277" s="429"/>
    </row>
    <row r="278" spans="1:12" x14ac:dyDescent="0.4">
      <c r="A278" s="317"/>
      <c r="C278" s="310"/>
      <c r="D278" s="310"/>
      <c r="E278" s="310"/>
      <c r="F278" s="310"/>
      <c r="G278" s="310"/>
      <c r="H278" s="310"/>
      <c r="I278" s="310"/>
      <c r="J278" s="310"/>
      <c r="K278" s="310"/>
      <c r="L278" s="310"/>
    </row>
    <row r="279" spans="1:12" x14ac:dyDescent="0.4">
      <c r="A279" s="317"/>
    </row>
    <row r="280" spans="1:12" x14ac:dyDescent="0.4">
      <c r="A280" s="317"/>
      <c r="B280" s="342"/>
      <c r="C280" s="427"/>
      <c r="D280" s="427"/>
      <c r="E280" s="444"/>
      <c r="F280" s="427"/>
      <c r="G280" s="427"/>
      <c r="H280" s="427"/>
      <c r="I280" s="427"/>
      <c r="J280" s="427"/>
      <c r="K280" s="444"/>
      <c r="L280" s="444"/>
    </row>
    <row r="281" spans="1:12" x14ac:dyDescent="0.4">
      <c r="A281" s="317"/>
      <c r="B281" s="342"/>
      <c r="C281" s="427"/>
      <c r="D281" s="427"/>
      <c r="E281" s="444"/>
      <c r="F281" s="427"/>
      <c r="G281" s="427"/>
      <c r="H281" s="427"/>
      <c r="I281" s="427"/>
      <c r="J281" s="427"/>
      <c r="K281" s="444"/>
      <c r="L281" s="444"/>
    </row>
    <row r="282" spans="1:12" x14ac:dyDescent="0.4">
      <c r="A282" s="317"/>
      <c r="B282" s="342"/>
      <c r="C282" s="428"/>
      <c r="D282" s="428"/>
      <c r="E282" s="428"/>
      <c r="F282" s="428"/>
      <c r="G282" s="428"/>
      <c r="H282" s="428"/>
      <c r="I282" s="428"/>
      <c r="J282" s="428"/>
      <c r="K282" s="428"/>
      <c r="L282" s="428"/>
    </row>
    <row r="283" spans="1:12" x14ac:dyDescent="0.4">
      <c r="A283" s="317"/>
      <c r="B283" s="342"/>
      <c r="C283" s="428"/>
      <c r="D283" s="428"/>
      <c r="E283" s="428"/>
      <c r="F283" s="428"/>
      <c r="G283" s="428"/>
      <c r="H283" s="428"/>
      <c r="I283" s="428"/>
      <c r="J283" s="428"/>
      <c r="K283" s="428"/>
      <c r="L283" s="428"/>
    </row>
    <row r="284" spans="1:12" x14ac:dyDescent="0.4">
      <c r="A284" s="317"/>
      <c r="B284" s="342"/>
      <c r="C284" s="428"/>
      <c r="D284" s="428"/>
      <c r="E284" s="428"/>
      <c r="F284" s="428"/>
      <c r="G284" s="428"/>
      <c r="H284" s="428"/>
      <c r="I284" s="428"/>
      <c r="J284" s="428"/>
      <c r="K284" s="428"/>
      <c r="L284" s="428"/>
    </row>
    <row r="285" spans="1:12" x14ac:dyDescent="0.4">
      <c r="A285" s="317"/>
      <c r="B285" s="342"/>
      <c r="C285" s="428"/>
      <c r="E285" s="429"/>
    </row>
    <row r="286" spans="1:12" x14ac:dyDescent="0.4">
      <c r="A286" s="317"/>
      <c r="B286" s="342"/>
      <c r="C286" s="428"/>
      <c r="E286" s="429"/>
    </row>
    <row r="287" spans="1:12" x14ac:dyDescent="0.4">
      <c r="A287" s="317"/>
      <c r="B287" s="342"/>
      <c r="C287" s="429"/>
      <c r="E287" s="429"/>
    </row>
    <row r="288" spans="1:12" x14ac:dyDescent="0.4">
      <c r="A288" s="317"/>
      <c r="C288" s="310"/>
      <c r="D288" s="310"/>
      <c r="E288" s="310"/>
      <c r="F288" s="310"/>
      <c r="G288" s="310"/>
      <c r="H288" s="310"/>
      <c r="I288" s="310"/>
      <c r="J288" s="310"/>
      <c r="K288" s="310"/>
      <c r="L288" s="310"/>
    </row>
    <row r="289" spans="1:12" x14ac:dyDescent="0.4">
      <c r="A289" s="317"/>
    </row>
    <row r="290" spans="1:12" x14ac:dyDescent="0.4">
      <c r="A290" s="317"/>
      <c r="B290" s="342"/>
      <c r="C290" s="427"/>
      <c r="D290" s="427"/>
      <c r="E290" s="427"/>
      <c r="F290" s="427"/>
      <c r="G290" s="427"/>
      <c r="H290" s="427"/>
      <c r="I290" s="427"/>
      <c r="J290" s="427"/>
      <c r="K290" s="427"/>
      <c r="L290" s="427"/>
    </row>
    <row r="291" spans="1:12" x14ac:dyDescent="0.4">
      <c r="A291" s="317"/>
      <c r="B291" s="342"/>
      <c r="C291" s="427"/>
      <c r="D291" s="427"/>
      <c r="E291" s="427"/>
      <c r="F291" s="427"/>
      <c r="G291" s="427"/>
      <c r="H291" s="427"/>
      <c r="I291" s="427"/>
      <c r="J291" s="427"/>
      <c r="K291" s="427"/>
      <c r="L291" s="427"/>
    </row>
    <row r="292" spans="1:12" x14ac:dyDescent="0.4">
      <c r="A292" s="317"/>
      <c r="B292" s="342"/>
      <c r="C292" s="428"/>
      <c r="D292" s="428"/>
      <c r="E292" s="428"/>
      <c r="F292" s="428"/>
      <c r="G292" s="428"/>
      <c r="H292" s="428"/>
      <c r="I292" s="428"/>
      <c r="J292" s="427"/>
      <c r="K292" s="427"/>
      <c r="L292" s="427"/>
    </row>
    <row r="293" spans="1:12" x14ac:dyDescent="0.4">
      <c r="A293" s="317"/>
      <c r="C293" s="429"/>
      <c r="D293" s="429"/>
      <c r="E293" s="429"/>
      <c r="F293" s="429"/>
      <c r="G293" s="429"/>
      <c r="H293" s="429"/>
      <c r="I293" s="429"/>
      <c r="J293" s="429"/>
      <c r="K293" s="429"/>
      <c r="L293" s="429"/>
    </row>
    <row r="294" spans="1:12" x14ac:dyDescent="0.4">
      <c r="A294" s="317"/>
      <c r="B294" s="342"/>
      <c r="C294" s="428"/>
    </row>
    <row r="295" spans="1:12" x14ac:dyDescent="0.4">
      <c r="A295" s="317"/>
      <c r="B295" s="342"/>
      <c r="C295" s="428"/>
    </row>
    <row r="296" spans="1:12" x14ac:dyDescent="0.4">
      <c r="A296" s="317"/>
      <c r="B296" s="342"/>
      <c r="C296" s="428"/>
    </row>
    <row r="297" spans="1:12" x14ac:dyDescent="0.4">
      <c r="A297" s="317"/>
      <c r="C297" s="429"/>
      <c r="E297" s="429"/>
    </row>
    <row r="298" spans="1:12" x14ac:dyDescent="0.4">
      <c r="B298" s="390"/>
      <c r="C298" s="428"/>
    </row>
    <row r="302" spans="1:12" x14ac:dyDescent="0.4">
      <c r="A302" s="315"/>
      <c r="B302" s="314"/>
      <c r="C302" s="403"/>
    </row>
    <row r="303" spans="1:12" x14ac:dyDescent="0.4">
      <c r="B303" s="115"/>
    </row>
    <row r="304" spans="1:12" x14ac:dyDescent="0.4">
      <c r="B304" s="342"/>
      <c r="C304" s="345"/>
    </row>
    <row r="305" spans="1:10" x14ac:dyDescent="0.4">
      <c r="B305" s="342"/>
      <c r="C305" s="445"/>
    </row>
    <row r="306" spans="1:10" x14ac:dyDescent="0.4">
      <c r="B306" s="342"/>
      <c r="C306" s="345"/>
    </row>
    <row r="308" spans="1:10" hidden="1" outlineLevel="1" x14ac:dyDescent="0.4">
      <c r="A308" s="446"/>
    </row>
    <row r="309" spans="1:10" hidden="1" outlineLevel="1" x14ac:dyDescent="0.4">
      <c r="A309" s="315"/>
      <c r="B309" s="314"/>
    </row>
    <row r="310" spans="1:10" hidden="1" outlineLevel="1" x14ac:dyDescent="0.4"/>
    <row r="311" spans="1:10" hidden="1" outlineLevel="1" x14ac:dyDescent="0.4">
      <c r="A311" s="114"/>
      <c r="C311" s="447"/>
      <c r="D311" s="447"/>
      <c r="E311" s="447"/>
    </row>
    <row r="312" spans="1:10" hidden="1" outlineLevel="1" x14ac:dyDescent="0.4">
      <c r="A312" s="114"/>
      <c r="C312" s="436"/>
      <c r="D312" s="436"/>
      <c r="E312" s="436"/>
    </row>
    <row r="313" spans="1:10" hidden="1" outlineLevel="1" x14ac:dyDescent="0.4">
      <c r="A313" s="114"/>
      <c r="C313" s="420"/>
      <c r="D313" s="420"/>
      <c r="E313" s="420"/>
      <c r="F313" s="420"/>
      <c r="G313" s="420"/>
    </row>
    <row r="314" spans="1:10" hidden="1" outlineLevel="1" x14ac:dyDescent="0.4">
      <c r="A314" s="114"/>
    </row>
    <row r="315" spans="1:10" hidden="1" outlineLevel="1" x14ac:dyDescent="0.4">
      <c r="A315" s="114"/>
      <c r="C315" s="420"/>
      <c r="D315" s="420"/>
      <c r="E315" s="420"/>
      <c r="F315" s="420"/>
    </row>
    <row r="316" spans="1:10" hidden="1" outlineLevel="1" x14ac:dyDescent="0.4">
      <c r="A316" s="114"/>
    </row>
    <row r="317" spans="1:10" hidden="1" outlineLevel="1" x14ac:dyDescent="0.4">
      <c r="A317" s="114"/>
      <c r="C317" s="310"/>
      <c r="D317" s="310"/>
      <c r="E317" s="310"/>
      <c r="F317" s="310"/>
      <c r="G317" s="310"/>
      <c r="H317" s="310"/>
      <c r="I317" s="310"/>
      <c r="J317" s="310"/>
    </row>
    <row r="318" spans="1:10" hidden="1" outlineLevel="1" x14ac:dyDescent="0.4">
      <c r="A318" s="114"/>
      <c r="C318" s="448"/>
      <c r="D318" s="448"/>
      <c r="E318" s="448"/>
      <c r="F318" s="448"/>
      <c r="G318" s="448"/>
      <c r="H318" s="448"/>
      <c r="I318" s="448"/>
      <c r="J318" s="448"/>
    </row>
    <row r="319" spans="1:10" hidden="1" outlineLevel="1" x14ac:dyDescent="0.4">
      <c r="A319" s="114"/>
      <c r="C319" s="345"/>
      <c r="D319" s="345"/>
      <c r="E319" s="345"/>
      <c r="F319" s="345"/>
      <c r="G319" s="345"/>
      <c r="H319" s="345"/>
      <c r="I319" s="345"/>
      <c r="J319" s="345"/>
    </row>
    <row r="320" spans="1:10" hidden="1" outlineLevel="1" x14ac:dyDescent="0.4">
      <c r="A320" s="114"/>
    </row>
    <row r="321" spans="1:12" hidden="1" outlineLevel="1" x14ac:dyDescent="0.4">
      <c r="A321" s="114"/>
    </row>
    <row r="322" spans="1:12" hidden="1" outlineLevel="1" x14ac:dyDescent="0.4">
      <c r="A322" s="114"/>
    </row>
    <row r="323" spans="1:12" hidden="1" outlineLevel="1" x14ac:dyDescent="0.4">
      <c r="A323" s="114"/>
      <c r="C323" s="310"/>
      <c r="D323" s="310"/>
    </row>
    <row r="324" spans="1:12" hidden="1" outlineLevel="1" x14ac:dyDescent="0.4">
      <c r="A324" s="114"/>
      <c r="C324" s="420"/>
      <c r="D324" s="420"/>
    </row>
    <row r="325" spans="1:12" hidden="1" outlineLevel="1" x14ac:dyDescent="0.4">
      <c r="A325" s="114"/>
      <c r="C325" s="424"/>
      <c r="D325" s="424"/>
    </row>
    <row r="326" spans="1:12" hidden="1" outlineLevel="1" x14ac:dyDescent="0.4">
      <c r="A326" s="114"/>
      <c r="C326" s="420"/>
      <c r="D326" s="420"/>
    </row>
    <row r="327" spans="1:12" hidden="1" outlineLevel="1" x14ac:dyDescent="0.4">
      <c r="C327" s="420"/>
      <c r="D327" s="420"/>
    </row>
    <row r="328" spans="1:12" hidden="1" outlineLevel="1" x14ac:dyDescent="0.4">
      <c r="C328" s="424"/>
      <c r="D328" s="424"/>
    </row>
    <row r="329" spans="1:12" hidden="1" outlineLevel="1" x14ac:dyDescent="0.4"/>
    <row r="330" spans="1:12" hidden="1" outlineLevel="1" x14ac:dyDescent="0.4">
      <c r="C330" s="424"/>
      <c r="D330" s="424"/>
    </row>
    <row r="331" spans="1:12" hidden="1" outlineLevel="1" x14ac:dyDescent="0.4"/>
    <row r="332" spans="1:12" hidden="1" outlineLevel="1" x14ac:dyDescent="0.4">
      <c r="C332" s="424"/>
    </row>
    <row r="333" spans="1:12" hidden="1" outlineLevel="1" x14ac:dyDescent="0.4">
      <c r="A333" s="315"/>
      <c r="B333" s="314"/>
    </row>
    <row r="334" spans="1:12" hidden="1" outlineLevel="1" x14ac:dyDescent="0.4"/>
    <row r="335" spans="1:12" hidden="1" outlineLevel="1" x14ac:dyDescent="0.4">
      <c r="C335" s="310"/>
      <c r="D335" s="310"/>
      <c r="E335" s="310"/>
      <c r="F335" s="310"/>
      <c r="G335" s="310"/>
      <c r="H335" s="310"/>
      <c r="I335" s="310"/>
      <c r="J335" s="310"/>
      <c r="K335" s="310"/>
      <c r="L335" s="310"/>
    </row>
    <row r="336" spans="1:12" hidden="1" outlineLevel="1" x14ac:dyDescent="0.4">
      <c r="C336" s="310"/>
      <c r="D336" s="310"/>
      <c r="E336" s="310"/>
      <c r="F336" s="310"/>
      <c r="G336" s="310"/>
      <c r="H336" s="310"/>
      <c r="I336" s="310"/>
      <c r="J336" s="310"/>
      <c r="K336" s="310"/>
      <c r="L336" s="310"/>
    </row>
    <row r="337" spans="1:12" hidden="1" outlineLevel="1" x14ac:dyDescent="0.4">
      <c r="B337" s="342"/>
    </row>
    <row r="338" spans="1:12" hidden="1" outlineLevel="1" x14ac:dyDescent="0.4">
      <c r="B338" s="342"/>
      <c r="C338" s="420"/>
      <c r="D338" s="420"/>
      <c r="E338" s="420"/>
      <c r="F338" s="420"/>
      <c r="G338" s="420"/>
      <c r="H338" s="420"/>
      <c r="I338" s="420"/>
      <c r="J338" s="420"/>
    </row>
    <row r="339" spans="1:12" hidden="1" outlineLevel="1" x14ac:dyDescent="0.4">
      <c r="B339" s="342"/>
    </row>
    <row r="340" spans="1:12" hidden="1" outlineLevel="1" x14ac:dyDescent="0.4">
      <c r="A340" s="114"/>
      <c r="B340" s="342"/>
      <c r="C340" s="310"/>
      <c r="D340" s="310"/>
    </row>
    <row r="341" spans="1:12" hidden="1" outlineLevel="1" x14ac:dyDescent="0.4">
      <c r="A341" s="114"/>
      <c r="B341" s="342"/>
      <c r="C341" s="386"/>
      <c r="D341" s="386"/>
    </row>
    <row r="342" spans="1:12" hidden="1" outlineLevel="1" x14ac:dyDescent="0.4">
      <c r="A342" s="114"/>
      <c r="B342" s="342"/>
      <c r="C342" s="424"/>
      <c r="D342" s="424"/>
    </row>
    <row r="343" spans="1:12" hidden="1" outlineLevel="1" x14ac:dyDescent="0.4">
      <c r="A343" s="114"/>
      <c r="B343" s="342"/>
      <c r="C343" s="423"/>
      <c r="D343" s="423"/>
    </row>
    <row r="344" spans="1:12" hidden="1" outlineLevel="1" x14ac:dyDescent="0.4">
      <c r="A344" s="114"/>
      <c r="B344" s="342"/>
    </row>
    <row r="345" spans="1:12" hidden="1" outlineLevel="1" x14ac:dyDescent="0.4">
      <c r="A345" s="114"/>
      <c r="B345" s="342"/>
    </row>
    <row r="346" spans="1:12" hidden="1" outlineLevel="1" x14ac:dyDescent="0.4">
      <c r="A346" s="114"/>
      <c r="B346" s="342"/>
      <c r="C346" s="420"/>
    </row>
    <row r="347" spans="1:12" hidden="1" outlineLevel="1" x14ac:dyDescent="0.4">
      <c r="A347" s="114"/>
      <c r="B347" s="342"/>
      <c r="C347" s="420"/>
    </row>
    <row r="348" spans="1:12" hidden="1" outlineLevel="1" x14ac:dyDescent="0.4">
      <c r="A348" s="114"/>
      <c r="B348" s="342"/>
      <c r="C348" s="420"/>
    </row>
    <row r="349" spans="1:12" hidden="1" outlineLevel="1" x14ac:dyDescent="0.4">
      <c r="A349" s="114"/>
      <c r="B349" s="342"/>
      <c r="C349" s="420"/>
    </row>
    <row r="350" spans="1:12" hidden="1" outlineLevel="1" x14ac:dyDescent="0.4">
      <c r="A350" s="114"/>
      <c r="C350" s="310"/>
      <c r="D350" s="310"/>
      <c r="E350" s="310"/>
      <c r="F350" s="310"/>
      <c r="G350" s="310"/>
      <c r="H350" s="310"/>
      <c r="I350" s="310"/>
      <c r="J350" s="310"/>
      <c r="K350" s="310"/>
      <c r="L350" s="310"/>
    </row>
    <row r="351" spans="1:12" hidden="1" outlineLevel="1" x14ac:dyDescent="0.4">
      <c r="A351" s="114"/>
      <c r="C351" s="310"/>
      <c r="D351" s="310"/>
      <c r="E351" s="310"/>
      <c r="F351" s="310"/>
      <c r="G351" s="310"/>
      <c r="H351" s="310"/>
      <c r="I351" s="310"/>
      <c r="J351" s="310"/>
      <c r="K351" s="310"/>
      <c r="L351" s="310"/>
    </row>
    <row r="352" spans="1:12" hidden="1" outlineLevel="1" x14ac:dyDescent="0.4">
      <c r="A352" s="114"/>
      <c r="B352" s="342"/>
      <c r="C352" s="386"/>
      <c r="D352" s="386"/>
      <c r="E352" s="386"/>
      <c r="F352" s="386"/>
      <c r="G352" s="386"/>
      <c r="H352" s="386"/>
      <c r="I352" s="386"/>
      <c r="J352" s="386"/>
      <c r="K352" s="386"/>
      <c r="L352" s="386"/>
    </row>
    <row r="353" spans="1:12" hidden="1" outlineLevel="1" x14ac:dyDescent="0.4">
      <c r="A353" s="114"/>
      <c r="B353" s="342"/>
      <c r="C353" s="420"/>
      <c r="D353" s="420"/>
      <c r="E353" s="420"/>
      <c r="F353" s="420"/>
      <c r="G353" s="420"/>
      <c r="H353" s="420"/>
      <c r="I353" s="420"/>
      <c r="J353" s="420"/>
      <c r="K353" s="420"/>
      <c r="L353" s="420"/>
    </row>
    <row r="354" spans="1:12" hidden="1" outlineLevel="1" x14ac:dyDescent="0.4">
      <c r="A354" s="114"/>
      <c r="B354" s="342"/>
      <c r="C354" s="420"/>
      <c r="D354" s="420"/>
      <c r="E354" s="420"/>
      <c r="F354" s="420"/>
      <c r="G354" s="420"/>
      <c r="H354" s="420"/>
      <c r="I354" s="420"/>
      <c r="J354" s="420"/>
      <c r="K354" s="420"/>
      <c r="L354" s="420"/>
    </row>
    <row r="355" spans="1:12" hidden="1" outlineLevel="1" x14ac:dyDescent="0.4">
      <c r="A355" s="114"/>
      <c r="B355" s="342"/>
      <c r="C355" s="420"/>
      <c r="D355" s="420"/>
      <c r="E355" s="420"/>
      <c r="F355" s="420"/>
      <c r="G355" s="420"/>
      <c r="H355" s="420"/>
      <c r="I355" s="420"/>
      <c r="J355" s="420"/>
      <c r="K355" s="420"/>
      <c r="L355" s="420"/>
    </row>
    <row r="356" spans="1:12" hidden="1" outlineLevel="1" x14ac:dyDescent="0.4">
      <c r="B356" s="342"/>
      <c r="C356" s="420"/>
      <c r="D356" s="420"/>
      <c r="E356" s="420"/>
      <c r="F356" s="420"/>
      <c r="G356" s="420"/>
      <c r="H356" s="420"/>
      <c r="I356" s="420"/>
      <c r="J356" s="420"/>
      <c r="K356" s="420"/>
      <c r="L356" s="420"/>
    </row>
    <row r="357" spans="1:12" hidden="1" outlineLevel="1" x14ac:dyDescent="0.4">
      <c r="B357" s="342"/>
      <c r="C357" s="420"/>
      <c r="D357" s="420"/>
      <c r="E357" s="420"/>
      <c r="F357" s="420"/>
      <c r="G357" s="420"/>
      <c r="H357" s="420"/>
      <c r="I357" s="420"/>
      <c r="J357" s="420"/>
      <c r="K357" s="420"/>
      <c r="L357" s="420"/>
    </row>
    <row r="358" spans="1:12" hidden="1" outlineLevel="1" x14ac:dyDescent="0.4">
      <c r="B358" s="342"/>
      <c r="C358" s="420"/>
      <c r="D358" s="420"/>
      <c r="E358" s="420"/>
      <c r="F358" s="420"/>
      <c r="G358" s="420"/>
      <c r="H358" s="420"/>
      <c r="I358" s="420"/>
      <c r="J358" s="420"/>
      <c r="K358" s="420"/>
      <c r="L358" s="420"/>
    </row>
    <row r="359" spans="1:12" hidden="1" outlineLevel="1" x14ac:dyDescent="0.4">
      <c r="B359" s="342"/>
      <c r="C359" s="420"/>
    </row>
    <row r="360" spans="1:12" hidden="1" outlineLevel="1" x14ac:dyDescent="0.4">
      <c r="B360" s="342"/>
      <c r="C360" s="420"/>
    </row>
    <row r="361" spans="1:12" hidden="1" outlineLevel="1" x14ac:dyDescent="0.4"/>
    <row r="362" spans="1:12" hidden="1" outlineLevel="1" x14ac:dyDescent="0.4">
      <c r="B362" s="390"/>
      <c r="C362" s="428"/>
    </row>
    <row r="363" spans="1:12" hidden="1" outlineLevel="1" x14ac:dyDescent="0.4"/>
    <row r="364" spans="1:12" hidden="1" outlineLevel="1" x14ac:dyDescent="0.4"/>
    <row r="365" spans="1:12" hidden="1" outlineLevel="1" x14ac:dyDescent="0.4"/>
    <row r="366" spans="1:12" hidden="1" outlineLevel="1" x14ac:dyDescent="0.4"/>
    <row r="367" spans="1:12" hidden="1" outlineLevel="1" x14ac:dyDescent="0.4">
      <c r="A367" s="449"/>
    </row>
    <row r="368" spans="1:12" hidden="1" outlineLevel="1" x14ac:dyDescent="0.4">
      <c r="A368" s="390"/>
      <c r="C368" s="450"/>
    </row>
    <row r="369" spans="1:4" hidden="1" outlineLevel="1" x14ac:dyDescent="0.4">
      <c r="A369" s="390"/>
      <c r="C369" s="451"/>
    </row>
    <row r="370" spans="1:4" hidden="1" outlineLevel="1" x14ac:dyDescent="0.4">
      <c r="A370" s="390"/>
      <c r="C370" s="451"/>
    </row>
    <row r="371" spans="1:4" hidden="1" outlineLevel="1" x14ac:dyDescent="0.4">
      <c r="A371" s="390"/>
      <c r="C371" s="452"/>
      <c r="D371" s="405"/>
    </row>
    <row r="372" spans="1:4" hidden="1" outlineLevel="1" x14ac:dyDescent="0.4">
      <c r="A372" s="390"/>
      <c r="C372" s="389"/>
    </row>
    <row r="373" spans="1:4" hidden="1" outlineLevel="1" x14ac:dyDescent="0.4">
      <c r="A373" s="390"/>
      <c r="C373" s="453"/>
      <c r="D373" s="405"/>
    </row>
    <row r="374" spans="1:4" hidden="1" outlineLevel="1" x14ac:dyDescent="0.4"/>
    <row r="375" spans="1:4" hidden="1" outlineLevel="1" x14ac:dyDescent="0.4"/>
    <row r="376" spans="1:4" hidden="1" outlineLevel="1" x14ac:dyDescent="0.4">
      <c r="A376" s="390"/>
      <c r="C376" s="386"/>
      <c r="D376" s="405"/>
    </row>
    <row r="377" spans="1:4" hidden="1" outlineLevel="1" x14ac:dyDescent="0.4">
      <c r="A377" s="390"/>
      <c r="C377" s="454"/>
      <c r="D377" s="405"/>
    </row>
    <row r="378" spans="1:4" hidden="1" outlineLevel="1" x14ac:dyDescent="0.4"/>
    <row r="379" spans="1:4" hidden="1" outlineLevel="1" x14ac:dyDescent="0.4">
      <c r="A379" s="361"/>
      <c r="C379" s="455"/>
    </row>
    <row r="380" spans="1:4" hidden="1" outlineLevel="1" x14ac:dyDescent="0.4">
      <c r="A380" s="361"/>
      <c r="C380" s="454"/>
      <c r="D380" s="405"/>
    </row>
    <row r="381" spans="1:4" hidden="1" outlineLevel="1" x14ac:dyDescent="0.4">
      <c r="A381" s="361"/>
    </row>
    <row r="382" spans="1:4" hidden="1" outlineLevel="1" x14ac:dyDescent="0.4">
      <c r="A382" s="361"/>
      <c r="C382" s="454"/>
      <c r="D382" s="405"/>
    </row>
    <row r="383" spans="1:4" hidden="1" outlineLevel="1" x14ac:dyDescent="0.4">
      <c r="A383" s="361"/>
      <c r="C383" s="454"/>
    </row>
    <row r="384" spans="1:4" hidden="1" outlineLevel="1" x14ac:dyDescent="0.4">
      <c r="A384" s="361"/>
      <c r="C384" s="454"/>
    </row>
    <row r="385" spans="1:1" collapsed="1" x14ac:dyDescent="0.4">
      <c r="A385" s="361"/>
    </row>
    <row r="386" spans="1:1" x14ac:dyDescent="0.4">
      <c r="A386" s="361"/>
    </row>
    <row r="387" spans="1:1" x14ac:dyDescent="0.4">
      <c r="A387" s="361"/>
    </row>
    <row r="388" spans="1:1" x14ac:dyDescent="0.4">
      <c r="A388" s="361"/>
    </row>
    <row r="391" spans="1:1" x14ac:dyDescent="0.4">
      <c r="A391" s="114"/>
    </row>
    <row r="392" spans="1:1" x14ac:dyDescent="0.4">
      <c r="A392" s="114"/>
    </row>
    <row r="393" spans="1:1" x14ac:dyDescent="0.4">
      <c r="A393" s="114"/>
    </row>
  </sheetData>
  <customSheetViews>
    <customSheetView guid="{9BF7FAF1-D686-4A6B-A2BE-0DAD43841920}" scale="80" hiddenRows="1">
      <selection activeCell="B5" sqref="B5:L5"/>
      <pageMargins left="0.7" right="0.7" top="0.75" bottom="0.75" header="0.3" footer="0.3"/>
      <pageSetup orientation="portrait" r:id="rId1"/>
    </customSheetView>
    <customSheetView guid="{D5524E47-947F-4D9F-AE8B-3F0380261994}" scale="85" hiddenRows="1">
      <selection activeCell="B5" sqref="B5:L5"/>
      <pageMargins left="0.7" right="0.7" top="0.75" bottom="0.75" header="0.3" footer="0.3"/>
      <pageSetup orientation="portrait" r:id="rId2"/>
    </customSheetView>
    <customSheetView guid="{88B031DE-0423-45A5-B384-E560A52FDD07}" scale="85" hiddenRows="1">
      <selection activeCell="B5" sqref="B5:L5"/>
      <pageMargins left="0.7" right="0.7" top="0.75" bottom="0.75" header="0.3" footer="0.3"/>
      <pageSetup orientation="portrait" r:id="rId3"/>
    </customSheetView>
    <customSheetView guid="{782F5CFE-DE26-4D5A-B82E-30A424B0A39B}" scale="80" hiddenRows="1">
      <selection activeCell="B5" sqref="B5:L5"/>
      <pageMargins left="0.7" right="0.7" top="0.75" bottom="0.75" header="0.3" footer="0.3"/>
      <pageSetup orientation="portrait" r:id="rId4"/>
    </customSheetView>
  </customSheetViews>
  <mergeCells count="5">
    <mergeCell ref="C112:D112"/>
    <mergeCell ref="C113:D113"/>
    <mergeCell ref="B4:L4"/>
    <mergeCell ref="F77:G77"/>
    <mergeCell ref="E111:F111"/>
  </mergeCells>
  <hyperlinks>
    <hyperlink ref="P9" r:id="rId5" display="\\njnwkfp06\PSE&amp;G\Customer Operations\CS\regulato\2015 BGS-RSCP for 2016-2017\2015-07 Initial Filing\BGS-FP Initial Filing Supporting Documents\Table1&amp;2 - OnPeak%\Table 1 - Time period usage for 2016-17 Spreadsheet.xls" xr:uid="{00000000-0004-0000-0000-000000000000}"/>
  </hyperlinks>
  <pageMargins left="0.7" right="0.7" top="0.75" bottom="0.75" header="0.3" footer="0.3"/>
  <pageSetup scale="39" orientation="portrait" r:id="rId6"/>
  <rowBreaks count="1" manualBreakCount="1">
    <brk id="140" max="3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54"/>
  <sheetViews>
    <sheetView view="pageBreakPreview" zoomScale="60" zoomScaleNormal="70" workbookViewId="0">
      <selection activeCell="A2" sqref="A2"/>
    </sheetView>
  </sheetViews>
  <sheetFormatPr defaultColWidth="9.1171875" defaultRowHeight="12.7" x14ac:dyDescent="0.4"/>
  <cols>
    <col min="1" max="1" width="13.1171875" style="4" customWidth="1"/>
    <col min="2" max="2" width="36.29296875" style="1" customWidth="1"/>
    <col min="3" max="3" width="13.41015625" style="1" customWidth="1"/>
    <col min="4" max="4" width="12.5859375" style="1" customWidth="1"/>
    <col min="5" max="5" width="11.5859375" style="1" customWidth="1"/>
    <col min="6" max="6" width="12.703125" style="1" customWidth="1"/>
    <col min="7" max="8" width="10.703125" style="1" customWidth="1"/>
    <col min="9" max="9" width="11" style="1" customWidth="1"/>
    <col min="10" max="10" width="10.703125" style="1" customWidth="1"/>
    <col min="11" max="11" width="12.29296875" style="1" customWidth="1"/>
    <col min="12" max="12" width="14.29296875" style="1" customWidth="1"/>
    <col min="13" max="13" width="16.5859375" style="1" customWidth="1"/>
    <col min="14" max="14" width="15.1171875" style="1" bestFit="1" customWidth="1"/>
    <col min="15" max="16" width="11.5859375" style="1" customWidth="1"/>
    <col min="17" max="17" width="15.703125" style="1" customWidth="1"/>
    <col min="18" max="18" width="29" style="1" bestFit="1" customWidth="1"/>
    <col min="19" max="19" width="16.41015625" style="1" customWidth="1"/>
    <col min="20" max="20" width="23.87890625" style="1" bestFit="1" customWidth="1"/>
    <col min="21" max="21" width="18" style="1" bestFit="1" customWidth="1"/>
    <col min="22" max="24" width="11.5859375" style="1" customWidth="1"/>
    <col min="25" max="25" width="11.29296875" style="1" bestFit="1" customWidth="1"/>
    <col min="26" max="26" width="10.1171875" style="1" customWidth="1"/>
    <col min="27" max="27" width="10.703125" style="1" customWidth="1"/>
    <col min="28" max="28" width="12.87890625" style="1" bestFit="1" customWidth="1"/>
    <col min="29" max="29" width="9.1171875" style="1"/>
    <col min="30" max="30" width="17.5859375" style="1" customWidth="1"/>
    <col min="31" max="31" width="9.1171875" style="1"/>
    <col min="32" max="32" width="10.29296875" style="1" bestFit="1" customWidth="1"/>
    <col min="33" max="33" width="10.5859375" style="1" customWidth="1"/>
    <col min="34" max="16384" width="9.1171875" style="1"/>
  </cols>
  <sheetData>
    <row r="1" spans="1:24" x14ac:dyDescent="0.4">
      <c r="A1" s="4" t="s">
        <v>280</v>
      </c>
      <c r="C1" s="18"/>
      <c r="D1" s="18"/>
      <c r="E1" s="18"/>
      <c r="F1" s="18"/>
      <c r="G1" s="18"/>
      <c r="H1" s="18"/>
      <c r="I1" s="18"/>
      <c r="J1" s="18"/>
      <c r="K1" s="18"/>
      <c r="L1" s="18"/>
    </row>
    <row r="2" spans="1:24" ht="15.35" x14ac:dyDescent="0.5">
      <c r="B2" s="155" t="str">
        <f>Input!B6</f>
        <v>Development of BGS-RSCP Cost and Bid Factors for 2021/2022 BGS Filing</v>
      </c>
      <c r="C2" s="11"/>
      <c r="D2" s="11"/>
      <c r="E2" s="11"/>
      <c r="F2" s="11"/>
    </row>
    <row r="3" spans="1:24" x14ac:dyDescent="0.4">
      <c r="A3" s="5"/>
      <c r="B3" s="6" t="s">
        <v>91</v>
      </c>
      <c r="C3" s="11"/>
      <c r="D3" s="11"/>
      <c r="E3" s="11"/>
      <c r="F3" s="11"/>
    </row>
    <row r="4" spans="1:24" x14ac:dyDescent="0.4">
      <c r="B4" s="11"/>
      <c r="C4" s="11"/>
      <c r="D4" s="11"/>
      <c r="E4" s="7" t="str">
        <f>+Input!E8</f>
        <v>Based on average of year 2017,2018 &amp; 2019 Load Profile Information</v>
      </c>
      <c r="F4" s="11"/>
    </row>
    <row r="5" spans="1:24" x14ac:dyDescent="0.4">
      <c r="A5" s="8" t="s">
        <v>64</v>
      </c>
      <c r="B5" s="9" t="s">
        <v>129</v>
      </c>
      <c r="C5" s="10"/>
      <c r="D5" s="11"/>
      <c r="E5" s="7" t="s">
        <v>60</v>
      </c>
      <c r="F5" s="11"/>
      <c r="N5" s="9"/>
      <c r="O5" s="9" t="s">
        <v>173</v>
      </c>
      <c r="P5" s="11"/>
      <c r="Q5" s="11"/>
      <c r="R5" s="11"/>
      <c r="S5" s="11"/>
      <c r="T5" s="11"/>
      <c r="U5" s="11"/>
      <c r="V5" s="11"/>
      <c r="W5" s="11"/>
      <c r="X5" s="11"/>
    </row>
    <row r="6" spans="1:24" ht="25.35" x14ac:dyDescent="0.4">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4">
      <c r="A7" s="12"/>
      <c r="B7" s="15" t="s">
        <v>232</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4">
      <c r="A8" s="12"/>
      <c r="C8" s="18"/>
      <c r="D8" s="18"/>
      <c r="E8" s="18"/>
      <c r="F8" s="18"/>
      <c r="G8" s="18"/>
      <c r="H8" s="18"/>
      <c r="I8" s="18"/>
      <c r="J8" s="18"/>
      <c r="K8" s="18"/>
      <c r="L8" s="18"/>
      <c r="O8" s="11"/>
      <c r="P8" s="11"/>
      <c r="Q8" s="11"/>
      <c r="R8" s="11"/>
      <c r="S8" s="11"/>
      <c r="T8" s="11"/>
      <c r="U8" s="11"/>
      <c r="V8" s="11"/>
      <c r="W8" s="11"/>
      <c r="X8" s="11"/>
    </row>
    <row r="9" spans="1:24" x14ac:dyDescent="0.4">
      <c r="A9" s="12"/>
      <c r="B9" s="19" t="s">
        <v>7</v>
      </c>
      <c r="C9" s="156">
        <f>Input!C13</f>
        <v>0.48270000000000002</v>
      </c>
      <c r="D9" s="156">
        <f>Input!D13</f>
        <v>0.4783</v>
      </c>
      <c r="E9" s="156">
        <f>Input!E13</f>
        <v>0.49199999999999999</v>
      </c>
      <c r="F9" s="156">
        <f>Input!F13</f>
        <v>0.48270000000000002</v>
      </c>
      <c r="G9" s="156">
        <f>Input!G13</f>
        <v>0.48270000000000002</v>
      </c>
      <c r="H9" s="156">
        <f>Input!H13</f>
        <v>0.4733</v>
      </c>
      <c r="I9" s="156">
        <f>Input!I13</f>
        <v>0.30930000000000002</v>
      </c>
      <c r="J9" s="156">
        <f>Input!J13</f>
        <v>0.30930000000000002</v>
      </c>
      <c r="K9" s="156">
        <f>Input!K13</f>
        <v>0.55330000000000001</v>
      </c>
      <c r="L9" s="156">
        <f>Input!L13</f>
        <v>0.5323</v>
      </c>
      <c r="M9" s="20"/>
      <c r="N9" s="21"/>
      <c r="O9" s="22">
        <f t="shared" ref="O9:X9" si="1">1-C9</f>
        <v>0.51729999999999998</v>
      </c>
      <c r="P9" s="22">
        <f t="shared" si="1"/>
        <v>0.52170000000000005</v>
      </c>
      <c r="Q9" s="22">
        <f t="shared" si="1"/>
        <v>0.50800000000000001</v>
      </c>
      <c r="R9" s="22">
        <f t="shared" si="1"/>
        <v>0.51729999999999998</v>
      </c>
      <c r="S9" s="22">
        <f t="shared" si="1"/>
        <v>0.51729999999999998</v>
      </c>
      <c r="T9" s="22">
        <f t="shared" si="1"/>
        <v>0.52669999999999995</v>
      </c>
      <c r="U9" s="22">
        <f t="shared" si="1"/>
        <v>0.69069999999999998</v>
      </c>
      <c r="V9" s="22">
        <f t="shared" si="1"/>
        <v>0.69069999999999998</v>
      </c>
      <c r="W9" s="22">
        <f t="shared" si="1"/>
        <v>0.44669999999999999</v>
      </c>
      <c r="X9" s="22">
        <f t="shared" si="1"/>
        <v>0.4677</v>
      </c>
    </row>
    <row r="10" spans="1:24" x14ac:dyDescent="0.4">
      <c r="A10" s="12"/>
      <c r="B10" s="19" t="s">
        <v>8</v>
      </c>
      <c r="C10" s="156">
        <f>Input!C14</f>
        <v>0.49170000000000003</v>
      </c>
      <c r="D10" s="156">
        <f>Input!D14</f>
        <v>0.48570000000000002</v>
      </c>
      <c r="E10" s="156">
        <f>Input!E14</f>
        <v>0.49769999999999998</v>
      </c>
      <c r="F10" s="156">
        <f>Input!F14</f>
        <v>0.49170000000000003</v>
      </c>
      <c r="G10" s="156">
        <f>Input!G14</f>
        <v>0.49170000000000003</v>
      </c>
      <c r="H10" s="156">
        <f>Input!H14</f>
        <v>0.48170000000000002</v>
      </c>
      <c r="I10" s="156">
        <f>Input!I14</f>
        <v>0.29499999999999998</v>
      </c>
      <c r="J10" s="156">
        <f>Input!J14</f>
        <v>0.29499999999999998</v>
      </c>
      <c r="K10" s="156">
        <f>Input!K14</f>
        <v>0.56200000000000006</v>
      </c>
      <c r="L10" s="156">
        <f>Input!L14</f>
        <v>0.54200000000000004</v>
      </c>
      <c r="M10" s="20"/>
      <c r="N10" s="21"/>
      <c r="O10" s="22">
        <f t="shared" ref="O10:O20" si="2">1-C10</f>
        <v>0.50829999999999997</v>
      </c>
      <c r="P10" s="22">
        <f t="shared" ref="P10:P20" si="3">1-D10</f>
        <v>0.51429999999999998</v>
      </c>
      <c r="Q10" s="22">
        <f t="shared" ref="Q10:Q20" si="4">1-E10</f>
        <v>0.50229999999999997</v>
      </c>
      <c r="R10" s="22">
        <f t="shared" ref="R10:R20" si="5">1-F10</f>
        <v>0.50829999999999997</v>
      </c>
      <c r="S10" s="22">
        <f t="shared" ref="S10:S20" si="6">1-G10</f>
        <v>0.50829999999999997</v>
      </c>
      <c r="T10" s="22">
        <f t="shared" ref="T10:T20" si="7">1-H10</f>
        <v>0.51829999999999998</v>
      </c>
      <c r="U10" s="22">
        <f t="shared" ref="U10:U20" si="8">1-I10</f>
        <v>0.70500000000000007</v>
      </c>
      <c r="V10" s="22">
        <f t="shared" ref="V10:V20" si="9">1-J10</f>
        <v>0.70500000000000007</v>
      </c>
      <c r="W10" s="22">
        <f t="shared" ref="W10:W20" si="10">1-K10</f>
        <v>0.43799999999999994</v>
      </c>
      <c r="X10" s="22">
        <f t="shared" ref="X10:X20" si="11">1-L10</f>
        <v>0.45799999999999996</v>
      </c>
    </row>
    <row r="11" spans="1:24" x14ac:dyDescent="0.4">
      <c r="A11" s="12"/>
      <c r="B11" s="19" t="s">
        <v>9</v>
      </c>
      <c r="C11" s="156">
        <f>Input!C15</f>
        <v>0.48970000000000002</v>
      </c>
      <c r="D11" s="156">
        <f>Input!D15</f>
        <v>0.48270000000000002</v>
      </c>
      <c r="E11" s="156">
        <f>Input!E15</f>
        <v>0.495</v>
      </c>
      <c r="F11" s="156">
        <f>Input!F15</f>
        <v>0.48970000000000002</v>
      </c>
      <c r="G11" s="156">
        <f>Input!G15</f>
        <v>0.48970000000000002</v>
      </c>
      <c r="H11" s="156">
        <f>Input!H15</f>
        <v>0.48399999999999999</v>
      </c>
      <c r="I11" s="156">
        <f>Input!I15</f>
        <v>0.25469999999999998</v>
      </c>
      <c r="J11" s="156">
        <f>Input!J15</f>
        <v>0.25469999999999998</v>
      </c>
      <c r="K11" s="156">
        <f>Input!K15</f>
        <v>0.55869999999999997</v>
      </c>
      <c r="L11" s="156">
        <f>Input!L15</f>
        <v>0.5403</v>
      </c>
      <c r="M11" s="20"/>
      <c r="N11" s="21"/>
      <c r="O11" s="22">
        <f t="shared" si="2"/>
        <v>0.51029999999999998</v>
      </c>
      <c r="P11" s="22">
        <f t="shared" si="3"/>
        <v>0.51729999999999998</v>
      </c>
      <c r="Q11" s="22">
        <f t="shared" si="4"/>
        <v>0.505</v>
      </c>
      <c r="R11" s="22">
        <f t="shared" si="5"/>
        <v>0.51029999999999998</v>
      </c>
      <c r="S11" s="22">
        <f t="shared" si="6"/>
        <v>0.51029999999999998</v>
      </c>
      <c r="T11" s="22">
        <f t="shared" si="7"/>
        <v>0.51600000000000001</v>
      </c>
      <c r="U11" s="22">
        <f t="shared" si="8"/>
        <v>0.74530000000000007</v>
      </c>
      <c r="V11" s="22">
        <f t="shared" si="9"/>
        <v>0.74530000000000007</v>
      </c>
      <c r="W11" s="22">
        <f t="shared" si="10"/>
        <v>0.44130000000000003</v>
      </c>
      <c r="X11" s="22">
        <f t="shared" si="11"/>
        <v>0.4597</v>
      </c>
    </row>
    <row r="12" spans="1:24" x14ac:dyDescent="0.4">
      <c r="A12" s="12"/>
      <c r="B12" s="19" t="s">
        <v>10</v>
      </c>
      <c r="C12" s="156">
        <f>Input!C16</f>
        <v>0.48330000000000001</v>
      </c>
      <c r="D12" s="156">
        <f>Input!D16</f>
        <v>0.49270000000000003</v>
      </c>
      <c r="E12" s="156">
        <f>Input!E16</f>
        <v>0.49099999999999999</v>
      </c>
      <c r="F12" s="156">
        <f>Input!F16</f>
        <v>0.48330000000000001</v>
      </c>
      <c r="G12" s="156">
        <f>Input!G16</f>
        <v>0.48330000000000001</v>
      </c>
      <c r="H12" s="156">
        <f>Input!H16</f>
        <v>0.51670000000000005</v>
      </c>
      <c r="I12" s="156">
        <f>Input!I16</f>
        <v>0.223</v>
      </c>
      <c r="J12" s="156">
        <f>Input!J16</f>
        <v>0.223</v>
      </c>
      <c r="K12" s="156">
        <f>Input!K16</f>
        <v>0.56669999999999998</v>
      </c>
      <c r="L12" s="156">
        <f>Input!L16</f>
        <v>0.54769999999999996</v>
      </c>
      <c r="M12" s="20"/>
      <c r="N12" s="21"/>
      <c r="O12" s="22">
        <f t="shared" si="2"/>
        <v>0.51669999999999994</v>
      </c>
      <c r="P12" s="22">
        <f t="shared" si="3"/>
        <v>0.50729999999999997</v>
      </c>
      <c r="Q12" s="22">
        <f t="shared" si="4"/>
        <v>0.50900000000000001</v>
      </c>
      <c r="R12" s="22">
        <f t="shared" si="5"/>
        <v>0.51669999999999994</v>
      </c>
      <c r="S12" s="22">
        <f t="shared" si="6"/>
        <v>0.51669999999999994</v>
      </c>
      <c r="T12" s="22">
        <f t="shared" si="7"/>
        <v>0.48329999999999995</v>
      </c>
      <c r="U12" s="22">
        <f t="shared" si="8"/>
        <v>0.77700000000000002</v>
      </c>
      <c r="V12" s="22">
        <f t="shared" si="9"/>
        <v>0.77700000000000002</v>
      </c>
      <c r="W12" s="22">
        <f t="shared" si="10"/>
        <v>0.43330000000000002</v>
      </c>
      <c r="X12" s="22">
        <f t="shared" si="11"/>
        <v>0.45230000000000004</v>
      </c>
    </row>
    <row r="13" spans="1:24" x14ac:dyDescent="0.4">
      <c r="A13" s="12"/>
      <c r="B13" s="19" t="s">
        <v>11</v>
      </c>
      <c r="C13" s="156">
        <f>Input!C17</f>
        <v>0.50870000000000004</v>
      </c>
      <c r="D13" s="156">
        <f>Input!D17</f>
        <v>0.51770000000000005</v>
      </c>
      <c r="E13" s="156">
        <f>Input!E17</f>
        <v>0.52529999999999999</v>
      </c>
      <c r="F13" s="156">
        <f>Input!F17</f>
        <v>0.50870000000000004</v>
      </c>
      <c r="G13" s="156">
        <f>Input!G17</f>
        <v>0.50870000000000004</v>
      </c>
      <c r="H13" s="156">
        <f>Input!H17</f>
        <v>0.60229999999999995</v>
      </c>
      <c r="I13" s="156">
        <f>Input!I17</f>
        <v>0.21529999999999999</v>
      </c>
      <c r="J13" s="156">
        <f>Input!J17</f>
        <v>0.21529999999999999</v>
      </c>
      <c r="K13" s="156">
        <f>Input!K17</f>
        <v>0.59099999999999997</v>
      </c>
      <c r="L13" s="156">
        <f>Input!L17</f>
        <v>0.57030000000000003</v>
      </c>
      <c r="M13" s="20"/>
      <c r="N13" s="21"/>
      <c r="O13" s="22">
        <f t="shared" si="2"/>
        <v>0.49129999999999996</v>
      </c>
      <c r="P13" s="22">
        <f t="shared" si="3"/>
        <v>0.48229999999999995</v>
      </c>
      <c r="Q13" s="22">
        <f t="shared" si="4"/>
        <v>0.47470000000000001</v>
      </c>
      <c r="R13" s="22">
        <f t="shared" si="5"/>
        <v>0.49129999999999996</v>
      </c>
      <c r="S13" s="22">
        <f t="shared" si="6"/>
        <v>0.49129999999999996</v>
      </c>
      <c r="T13" s="22">
        <f t="shared" si="7"/>
        <v>0.39770000000000005</v>
      </c>
      <c r="U13" s="22">
        <f t="shared" si="8"/>
        <v>0.78469999999999995</v>
      </c>
      <c r="V13" s="22">
        <f t="shared" si="9"/>
        <v>0.78469999999999995</v>
      </c>
      <c r="W13" s="22">
        <f t="shared" si="10"/>
        <v>0.40900000000000003</v>
      </c>
      <c r="X13" s="22">
        <f t="shared" si="11"/>
        <v>0.42969999999999997</v>
      </c>
    </row>
    <row r="14" spans="1:24" x14ac:dyDescent="0.4">
      <c r="A14" s="12"/>
      <c r="B14" s="19" t="s">
        <v>12</v>
      </c>
      <c r="C14" s="156">
        <f>Input!C18</f>
        <v>0.50600000000000001</v>
      </c>
      <c r="D14" s="156">
        <f>Input!D18</f>
        <v>0.51370000000000005</v>
      </c>
      <c r="E14" s="156">
        <f>Input!E18</f>
        <v>0.52669999999999995</v>
      </c>
      <c r="F14" s="156">
        <f>Input!F18</f>
        <v>0.50600000000000001</v>
      </c>
      <c r="G14" s="156">
        <f>Input!G18</f>
        <v>0.50600000000000001</v>
      </c>
      <c r="H14" s="156">
        <f>Input!H18</f>
        <v>0.61270000000000002</v>
      </c>
      <c r="I14" s="156">
        <f>Input!I18</f>
        <v>0.1973</v>
      </c>
      <c r="J14" s="156">
        <f>Input!J18</f>
        <v>0.1973</v>
      </c>
      <c r="K14" s="156">
        <f>Input!K18</f>
        <v>0.5827</v>
      </c>
      <c r="L14" s="156">
        <f>Input!L18</f>
        <v>0.56169999999999998</v>
      </c>
      <c r="M14" s="20"/>
      <c r="N14" s="21"/>
      <c r="O14" s="22">
        <f t="shared" si="2"/>
        <v>0.49399999999999999</v>
      </c>
      <c r="P14" s="22">
        <f t="shared" si="3"/>
        <v>0.48629999999999995</v>
      </c>
      <c r="Q14" s="22">
        <f t="shared" si="4"/>
        <v>0.47330000000000005</v>
      </c>
      <c r="R14" s="22">
        <f t="shared" si="5"/>
        <v>0.49399999999999999</v>
      </c>
      <c r="S14" s="22">
        <f t="shared" si="6"/>
        <v>0.49399999999999999</v>
      </c>
      <c r="T14" s="22">
        <f t="shared" si="7"/>
        <v>0.38729999999999998</v>
      </c>
      <c r="U14" s="22">
        <f t="shared" si="8"/>
        <v>0.80269999999999997</v>
      </c>
      <c r="V14" s="22">
        <f t="shared" si="9"/>
        <v>0.80269999999999997</v>
      </c>
      <c r="W14" s="22">
        <f t="shared" si="10"/>
        <v>0.4173</v>
      </c>
      <c r="X14" s="22">
        <f t="shared" si="11"/>
        <v>0.43830000000000002</v>
      </c>
    </row>
    <row r="15" spans="1:24" x14ac:dyDescent="0.4">
      <c r="A15" s="12"/>
      <c r="B15" s="19" t="s">
        <v>13</v>
      </c>
      <c r="C15" s="156">
        <f>Input!C19</f>
        <v>0.48970000000000002</v>
      </c>
      <c r="D15" s="156">
        <f>Input!D19</f>
        <v>0.50029999999999997</v>
      </c>
      <c r="E15" s="156">
        <f>Input!E19</f>
        <v>0.50829999999999997</v>
      </c>
      <c r="F15" s="156">
        <f>Input!F19</f>
        <v>0.48970000000000002</v>
      </c>
      <c r="G15" s="156">
        <f>Input!G19</f>
        <v>0.48970000000000002</v>
      </c>
      <c r="H15" s="156">
        <f>Input!H19</f>
        <v>0.58699999999999997</v>
      </c>
      <c r="I15" s="156">
        <f>Input!I19</f>
        <v>0.189</v>
      </c>
      <c r="J15" s="156">
        <f>Input!J19</f>
        <v>0.189</v>
      </c>
      <c r="K15" s="156">
        <f>Input!K19</f>
        <v>0.56530000000000002</v>
      </c>
      <c r="L15" s="156">
        <f>Input!L19</f>
        <v>0.5373</v>
      </c>
      <c r="M15" s="20"/>
      <c r="N15" s="21"/>
      <c r="O15" s="22">
        <f t="shared" si="2"/>
        <v>0.51029999999999998</v>
      </c>
      <c r="P15" s="22">
        <f t="shared" si="3"/>
        <v>0.49970000000000003</v>
      </c>
      <c r="Q15" s="22">
        <f t="shared" si="4"/>
        <v>0.49170000000000003</v>
      </c>
      <c r="R15" s="22">
        <f t="shared" si="5"/>
        <v>0.51029999999999998</v>
      </c>
      <c r="S15" s="22">
        <f t="shared" si="6"/>
        <v>0.51029999999999998</v>
      </c>
      <c r="T15" s="22">
        <f t="shared" si="7"/>
        <v>0.41300000000000003</v>
      </c>
      <c r="U15" s="22">
        <f t="shared" si="8"/>
        <v>0.81099999999999994</v>
      </c>
      <c r="V15" s="22">
        <f t="shared" si="9"/>
        <v>0.81099999999999994</v>
      </c>
      <c r="W15" s="22">
        <f t="shared" si="10"/>
        <v>0.43469999999999998</v>
      </c>
      <c r="X15" s="22">
        <f t="shared" si="11"/>
        <v>0.4627</v>
      </c>
    </row>
    <row r="16" spans="1:24" x14ac:dyDescent="0.4">
      <c r="A16" s="12"/>
      <c r="B16" s="19" t="s">
        <v>14</v>
      </c>
      <c r="C16" s="156">
        <f>Input!C20</f>
        <v>0.54169999999999996</v>
      </c>
      <c r="D16" s="156">
        <f>Input!D20</f>
        <v>0.54930000000000001</v>
      </c>
      <c r="E16" s="156">
        <f>Input!E20</f>
        <v>0.55530000000000002</v>
      </c>
      <c r="F16" s="156">
        <f>Input!F20</f>
        <v>0.54169999999999996</v>
      </c>
      <c r="G16" s="156">
        <f>Input!G20</f>
        <v>0.54169999999999996</v>
      </c>
      <c r="H16" s="156">
        <f>Input!H20</f>
        <v>0.63829999999999998</v>
      </c>
      <c r="I16" s="156">
        <f>Input!I20</f>
        <v>0.222</v>
      </c>
      <c r="J16" s="156">
        <f>Input!J20</f>
        <v>0.222</v>
      </c>
      <c r="K16" s="156">
        <f>Input!K20</f>
        <v>0.60729999999999995</v>
      </c>
      <c r="L16" s="156">
        <f>Input!L20</f>
        <v>0.57330000000000003</v>
      </c>
      <c r="M16" s="20"/>
      <c r="N16" s="21"/>
      <c r="O16" s="22">
        <f t="shared" si="2"/>
        <v>0.45830000000000004</v>
      </c>
      <c r="P16" s="22">
        <f t="shared" si="3"/>
        <v>0.45069999999999999</v>
      </c>
      <c r="Q16" s="22">
        <f t="shared" si="4"/>
        <v>0.44469999999999998</v>
      </c>
      <c r="R16" s="22">
        <f t="shared" si="5"/>
        <v>0.45830000000000004</v>
      </c>
      <c r="S16" s="22">
        <f t="shared" si="6"/>
        <v>0.45830000000000004</v>
      </c>
      <c r="T16" s="22">
        <f t="shared" si="7"/>
        <v>0.36170000000000002</v>
      </c>
      <c r="U16" s="22">
        <f t="shared" si="8"/>
        <v>0.77800000000000002</v>
      </c>
      <c r="V16" s="22">
        <f t="shared" si="9"/>
        <v>0.77800000000000002</v>
      </c>
      <c r="W16" s="22">
        <f t="shared" si="10"/>
        <v>0.39270000000000005</v>
      </c>
      <c r="X16" s="22">
        <f t="shared" si="11"/>
        <v>0.42669999999999997</v>
      </c>
    </row>
    <row r="17" spans="1:24" x14ac:dyDescent="0.4">
      <c r="A17" s="12"/>
      <c r="B17" s="19" t="s">
        <v>15</v>
      </c>
      <c r="C17" s="156">
        <f>Input!C21</f>
        <v>0.47470000000000001</v>
      </c>
      <c r="D17" s="156">
        <f>Input!D21</f>
        <v>0.48630000000000001</v>
      </c>
      <c r="E17" s="156">
        <f>Input!E21</f>
        <v>0.49099999999999999</v>
      </c>
      <c r="F17" s="156">
        <f>Input!F21</f>
        <v>0.47470000000000001</v>
      </c>
      <c r="G17" s="156">
        <f>Input!G21</f>
        <v>0.47470000000000001</v>
      </c>
      <c r="H17" s="156">
        <f>Input!H21</f>
        <v>0.5857</v>
      </c>
      <c r="I17" s="156">
        <f>Input!I21</f>
        <v>0.2223</v>
      </c>
      <c r="J17" s="156">
        <f>Input!J21</f>
        <v>0.2223</v>
      </c>
      <c r="K17" s="156">
        <f>Input!K21</f>
        <v>0.55730000000000002</v>
      </c>
      <c r="L17" s="156">
        <f>Input!L21</f>
        <v>0.53169999999999995</v>
      </c>
      <c r="M17" s="20"/>
      <c r="N17" s="21"/>
      <c r="O17" s="22">
        <f t="shared" si="2"/>
        <v>0.52529999999999999</v>
      </c>
      <c r="P17" s="22">
        <f t="shared" si="3"/>
        <v>0.51370000000000005</v>
      </c>
      <c r="Q17" s="22">
        <f t="shared" si="4"/>
        <v>0.50900000000000001</v>
      </c>
      <c r="R17" s="22">
        <f t="shared" si="5"/>
        <v>0.52529999999999999</v>
      </c>
      <c r="S17" s="22">
        <f t="shared" si="6"/>
        <v>0.52529999999999999</v>
      </c>
      <c r="T17" s="22">
        <f t="shared" si="7"/>
        <v>0.4143</v>
      </c>
      <c r="U17" s="22">
        <f t="shared" si="8"/>
        <v>0.77770000000000006</v>
      </c>
      <c r="V17" s="22">
        <f t="shared" si="9"/>
        <v>0.77770000000000006</v>
      </c>
      <c r="W17" s="22">
        <f t="shared" si="10"/>
        <v>0.44269999999999998</v>
      </c>
      <c r="X17" s="22">
        <f t="shared" si="11"/>
        <v>0.46830000000000005</v>
      </c>
    </row>
    <row r="18" spans="1:24" x14ac:dyDescent="0.4">
      <c r="A18" s="12"/>
      <c r="B18" s="19" t="s">
        <v>16</v>
      </c>
      <c r="C18" s="156">
        <f>Input!C22</f>
        <v>0.51629999999999998</v>
      </c>
      <c r="D18" s="156">
        <f>Input!D22</f>
        <v>0.52700000000000002</v>
      </c>
      <c r="E18" s="156">
        <f>Input!E22</f>
        <v>0.52370000000000005</v>
      </c>
      <c r="F18" s="156">
        <f>Input!F22</f>
        <v>0.51629999999999998</v>
      </c>
      <c r="G18" s="156">
        <f>Input!G22</f>
        <v>0.51629999999999998</v>
      </c>
      <c r="H18" s="156">
        <f>Input!H22</f>
        <v>0.58930000000000005</v>
      </c>
      <c r="I18" s="156">
        <f>Input!I22</f>
        <v>0.27700000000000002</v>
      </c>
      <c r="J18" s="156">
        <f>Input!J22</f>
        <v>0.27700000000000002</v>
      </c>
      <c r="K18" s="156">
        <f>Input!K22</f>
        <v>0.59570000000000001</v>
      </c>
      <c r="L18" s="156">
        <f>Input!L22</f>
        <v>0.57599999999999996</v>
      </c>
      <c r="M18" s="20"/>
      <c r="N18" s="21"/>
      <c r="O18" s="22">
        <f t="shared" si="2"/>
        <v>0.48370000000000002</v>
      </c>
      <c r="P18" s="22">
        <f t="shared" si="3"/>
        <v>0.47299999999999998</v>
      </c>
      <c r="Q18" s="22">
        <f t="shared" si="4"/>
        <v>0.47629999999999995</v>
      </c>
      <c r="R18" s="22">
        <f t="shared" si="5"/>
        <v>0.48370000000000002</v>
      </c>
      <c r="S18" s="22">
        <f t="shared" si="6"/>
        <v>0.48370000000000002</v>
      </c>
      <c r="T18" s="22">
        <f t="shared" si="7"/>
        <v>0.41069999999999995</v>
      </c>
      <c r="U18" s="22">
        <f t="shared" si="8"/>
        <v>0.72299999999999998</v>
      </c>
      <c r="V18" s="22">
        <f t="shared" si="9"/>
        <v>0.72299999999999998</v>
      </c>
      <c r="W18" s="22">
        <f t="shared" si="10"/>
        <v>0.40429999999999999</v>
      </c>
      <c r="X18" s="22">
        <f t="shared" si="11"/>
        <v>0.42400000000000004</v>
      </c>
    </row>
    <row r="19" spans="1:24" x14ac:dyDescent="0.4">
      <c r="A19" s="12"/>
      <c r="B19" s="19" t="s">
        <v>17</v>
      </c>
      <c r="C19" s="156">
        <f>Input!C23</f>
        <v>0.47399999999999998</v>
      </c>
      <c r="D19" s="156">
        <f>Input!D23</f>
        <v>0.46600000000000003</v>
      </c>
      <c r="E19" s="156">
        <f>Input!E23</f>
        <v>0.47699999999999998</v>
      </c>
      <c r="F19" s="156">
        <f>Input!F23</f>
        <v>0.47399999999999998</v>
      </c>
      <c r="G19" s="156">
        <f>Input!G23</f>
        <v>0.47399999999999998</v>
      </c>
      <c r="H19" s="156">
        <f>Input!H23</f>
        <v>0.48599999999999999</v>
      </c>
      <c r="I19" s="156">
        <f>Input!I23</f>
        <v>0.30630000000000002</v>
      </c>
      <c r="J19" s="156">
        <f>Input!J23</f>
        <v>0.30630000000000002</v>
      </c>
      <c r="K19" s="156">
        <f>Input!K23</f>
        <v>0.54600000000000004</v>
      </c>
      <c r="L19" s="156">
        <f>Input!L23</f>
        <v>0.52869999999999995</v>
      </c>
      <c r="M19" s="20"/>
      <c r="N19" s="21"/>
      <c r="O19" s="22">
        <f t="shared" si="2"/>
        <v>0.52600000000000002</v>
      </c>
      <c r="P19" s="22">
        <f t="shared" si="3"/>
        <v>0.53400000000000003</v>
      </c>
      <c r="Q19" s="22">
        <f t="shared" si="4"/>
        <v>0.52300000000000002</v>
      </c>
      <c r="R19" s="22">
        <f t="shared" si="5"/>
        <v>0.52600000000000002</v>
      </c>
      <c r="S19" s="22">
        <f t="shared" si="6"/>
        <v>0.52600000000000002</v>
      </c>
      <c r="T19" s="22">
        <f t="shared" si="7"/>
        <v>0.51400000000000001</v>
      </c>
      <c r="U19" s="22">
        <f t="shared" si="8"/>
        <v>0.69369999999999998</v>
      </c>
      <c r="V19" s="22">
        <f t="shared" si="9"/>
        <v>0.69369999999999998</v>
      </c>
      <c r="W19" s="22">
        <f t="shared" si="10"/>
        <v>0.45399999999999996</v>
      </c>
      <c r="X19" s="22">
        <f t="shared" si="11"/>
        <v>0.47130000000000005</v>
      </c>
    </row>
    <row r="20" spans="1:24" x14ac:dyDescent="0.4">
      <c r="A20" s="12"/>
      <c r="B20" s="19" t="s">
        <v>18</v>
      </c>
      <c r="C20" s="156">
        <f>Input!C24</f>
        <v>0.45600000000000002</v>
      </c>
      <c r="D20" s="156">
        <f>Input!D24</f>
        <v>0.44900000000000001</v>
      </c>
      <c r="E20" s="156">
        <f>Input!E24</f>
        <v>0.46029999999999999</v>
      </c>
      <c r="F20" s="156">
        <f>Input!F24</f>
        <v>0.45600000000000002</v>
      </c>
      <c r="G20" s="156">
        <f>Input!G24</f>
        <v>0.45600000000000002</v>
      </c>
      <c r="H20" s="156">
        <f>Input!H24</f>
        <v>0.4617</v>
      </c>
      <c r="I20" s="156">
        <f>Input!I24</f>
        <v>0.29870000000000002</v>
      </c>
      <c r="J20" s="156">
        <f>Input!J24</f>
        <v>0.29870000000000002</v>
      </c>
      <c r="K20" s="156">
        <f>Input!K24</f>
        <v>0.51770000000000005</v>
      </c>
      <c r="L20" s="156">
        <f>Input!L24</f>
        <v>0.501</v>
      </c>
      <c r="M20" s="20"/>
      <c r="N20" s="21"/>
      <c r="O20" s="22">
        <f t="shared" si="2"/>
        <v>0.54400000000000004</v>
      </c>
      <c r="P20" s="22">
        <f t="shared" si="3"/>
        <v>0.55099999999999993</v>
      </c>
      <c r="Q20" s="22">
        <f t="shared" si="4"/>
        <v>0.53970000000000007</v>
      </c>
      <c r="R20" s="22">
        <f t="shared" si="5"/>
        <v>0.54400000000000004</v>
      </c>
      <c r="S20" s="22">
        <f t="shared" si="6"/>
        <v>0.54400000000000004</v>
      </c>
      <c r="T20" s="22">
        <f t="shared" si="7"/>
        <v>0.5383</v>
      </c>
      <c r="U20" s="22">
        <f t="shared" si="8"/>
        <v>0.70130000000000003</v>
      </c>
      <c r="V20" s="22">
        <f t="shared" si="9"/>
        <v>0.70130000000000003</v>
      </c>
      <c r="W20" s="22">
        <f t="shared" si="10"/>
        <v>0.48229999999999995</v>
      </c>
      <c r="X20" s="22">
        <f t="shared" si="11"/>
        <v>0.499</v>
      </c>
    </row>
    <row r="21" spans="1:24" x14ac:dyDescent="0.4">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4">
      <c r="A22" s="12"/>
      <c r="B22" s="19"/>
      <c r="C22" s="21"/>
      <c r="D22" s="21"/>
      <c r="E22" s="7" t="str">
        <f>+Input!E8</f>
        <v>Based on average of year 2017,2018 &amp; 2019 Load Profile Information</v>
      </c>
      <c r="K22" s="21"/>
      <c r="L22" s="21"/>
      <c r="M22" s="21"/>
      <c r="N22" s="21"/>
      <c r="O22" s="22"/>
      <c r="P22" s="22"/>
      <c r="Q22" s="22"/>
      <c r="R22" s="22"/>
      <c r="S22" s="22"/>
      <c r="T22" s="22"/>
      <c r="U22" s="22"/>
      <c r="V22" s="22"/>
      <c r="W22" s="22"/>
      <c r="X22" s="22"/>
    </row>
    <row r="23" spans="1:24" x14ac:dyDescent="0.4">
      <c r="A23" s="8" t="s">
        <v>65</v>
      </c>
      <c r="B23" s="9" t="s">
        <v>130</v>
      </c>
      <c r="C23" s="21"/>
      <c r="D23" s="21"/>
      <c r="E23" s="150" t="str">
        <f>Input!E27</f>
        <v>On-Peak periods as defined in specified rate schedule (average of %s for 2017, 2018 &amp; 2019)</v>
      </c>
      <c r="G23" s="21"/>
      <c r="H23" s="21"/>
      <c r="I23" s="23"/>
      <c r="J23" s="23"/>
      <c r="K23" s="21"/>
      <c r="L23" s="21"/>
      <c r="M23" s="21"/>
      <c r="N23" s="21"/>
      <c r="O23" s="22"/>
      <c r="P23" s="22"/>
      <c r="Q23" s="22"/>
      <c r="R23" s="22"/>
      <c r="S23" s="22"/>
      <c r="T23" s="22"/>
      <c r="U23" s="22"/>
      <c r="V23" s="22"/>
      <c r="W23" s="22"/>
      <c r="X23" s="22"/>
    </row>
    <row r="24" spans="1:24" ht="25.35" x14ac:dyDescent="0.4">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219</v>
      </c>
      <c r="R24" s="13" t="s">
        <v>79</v>
      </c>
      <c r="S24" s="13" t="s">
        <v>79</v>
      </c>
      <c r="T24" s="13" t="s">
        <v>79</v>
      </c>
      <c r="U24" s="13" t="s">
        <v>79</v>
      </c>
      <c r="V24" s="13" t="s">
        <v>79</v>
      </c>
      <c r="W24" s="13" t="s">
        <v>79</v>
      </c>
      <c r="X24" s="13" t="s">
        <v>219</v>
      </c>
    </row>
    <row r="25" spans="1:24" x14ac:dyDescent="0.4">
      <c r="A25" s="12"/>
      <c r="B25" s="15" t="s">
        <v>232</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4">
      <c r="A26" s="12"/>
      <c r="O26" s="11"/>
      <c r="P26" s="11"/>
      <c r="Q26" s="11"/>
      <c r="R26" s="11"/>
      <c r="S26" s="11"/>
      <c r="T26" s="11"/>
      <c r="U26" s="11"/>
      <c r="V26" s="11"/>
      <c r="W26" s="11"/>
      <c r="X26" s="11"/>
    </row>
    <row r="27" spans="1:24" x14ac:dyDescent="0.4">
      <c r="A27" s="12"/>
      <c r="B27" s="19" t="s">
        <v>7</v>
      </c>
      <c r="C27" s="24">
        <v>0</v>
      </c>
      <c r="D27" s="24">
        <v>0</v>
      </c>
      <c r="E27" s="24">
        <f>Input!C31</f>
        <v>0.42499999999999999</v>
      </c>
      <c r="F27" s="24">
        <v>0</v>
      </c>
      <c r="G27" s="24">
        <v>0</v>
      </c>
      <c r="H27" s="24">
        <v>0</v>
      </c>
      <c r="I27" s="24">
        <v>0</v>
      </c>
      <c r="J27" s="24">
        <v>0</v>
      </c>
      <c r="K27" s="24">
        <v>0</v>
      </c>
      <c r="L27" s="24">
        <f>Input!D31</f>
        <v>0.47320000000000001</v>
      </c>
      <c r="M27" s="20"/>
      <c r="N27" s="21"/>
      <c r="O27" s="22"/>
      <c r="P27" s="22"/>
      <c r="Q27" s="22">
        <f t="shared" ref="Q27:Q38" si="14">1-E27</f>
        <v>0.57499999999999996</v>
      </c>
      <c r="R27" s="22"/>
      <c r="S27" s="22"/>
      <c r="T27" s="22"/>
      <c r="U27" s="22"/>
      <c r="V27" s="22"/>
      <c r="W27" s="22"/>
      <c r="X27" s="22">
        <f t="shared" ref="X27:X38" si="15">1-L27</f>
        <v>0.52679999999999993</v>
      </c>
    </row>
    <row r="28" spans="1:24" x14ac:dyDescent="0.4">
      <c r="A28" s="12"/>
      <c r="B28" s="19" t="s">
        <v>8</v>
      </c>
      <c r="C28" s="24">
        <v>0</v>
      </c>
      <c r="D28" s="24">
        <v>0</v>
      </c>
      <c r="E28" s="24">
        <f>Input!C32</f>
        <v>0.4214</v>
      </c>
      <c r="F28" s="24">
        <v>0</v>
      </c>
      <c r="G28" s="24">
        <v>0</v>
      </c>
      <c r="H28" s="24">
        <v>0</v>
      </c>
      <c r="I28" s="24">
        <v>0</v>
      </c>
      <c r="J28" s="24">
        <v>0</v>
      </c>
      <c r="K28" s="24">
        <v>0</v>
      </c>
      <c r="L28" s="24">
        <f>Input!D32</f>
        <v>0.48039999999999999</v>
      </c>
      <c r="M28" s="20"/>
      <c r="N28" s="21"/>
      <c r="O28" s="22"/>
      <c r="P28" s="22"/>
      <c r="Q28" s="22">
        <f t="shared" si="14"/>
        <v>0.5786</v>
      </c>
      <c r="R28" s="22"/>
      <c r="S28" s="22"/>
      <c r="T28" s="22"/>
      <c r="U28" s="22"/>
      <c r="V28" s="22"/>
      <c r="W28" s="22"/>
      <c r="X28" s="22">
        <f t="shared" si="15"/>
        <v>0.51960000000000006</v>
      </c>
    </row>
    <row r="29" spans="1:24" x14ac:dyDescent="0.4">
      <c r="A29" s="12"/>
      <c r="B29" s="19" t="s">
        <v>9</v>
      </c>
      <c r="C29" s="24">
        <v>0</v>
      </c>
      <c r="D29" s="24">
        <v>0</v>
      </c>
      <c r="E29" s="24">
        <f>Input!C33</f>
        <v>0.41720000000000002</v>
      </c>
      <c r="F29" s="24">
        <v>0</v>
      </c>
      <c r="G29" s="24">
        <v>0</v>
      </c>
      <c r="H29" s="24">
        <v>0</v>
      </c>
      <c r="I29" s="24">
        <v>0</v>
      </c>
      <c r="J29" s="24">
        <v>0</v>
      </c>
      <c r="K29" s="24">
        <v>0</v>
      </c>
      <c r="L29" s="24">
        <f>Input!D33</f>
        <v>0.47699999999999998</v>
      </c>
      <c r="M29" s="20"/>
      <c r="N29" s="21"/>
      <c r="O29" s="22"/>
      <c r="P29" s="22"/>
      <c r="Q29" s="22">
        <f t="shared" si="14"/>
        <v>0.58279999999999998</v>
      </c>
      <c r="R29" s="22"/>
      <c r="S29" s="22"/>
      <c r="T29" s="22"/>
      <c r="U29" s="22"/>
      <c r="V29" s="22"/>
      <c r="W29" s="22"/>
      <c r="X29" s="22">
        <f t="shared" si="15"/>
        <v>0.52300000000000002</v>
      </c>
    </row>
    <row r="30" spans="1:24" x14ac:dyDescent="0.4">
      <c r="A30" s="12"/>
      <c r="B30" s="19" t="s">
        <v>10</v>
      </c>
      <c r="C30" s="24">
        <v>0</v>
      </c>
      <c r="D30" s="24">
        <v>0</v>
      </c>
      <c r="E30" s="24">
        <f>Input!C34</f>
        <v>0.4209</v>
      </c>
      <c r="F30" s="24">
        <v>0</v>
      </c>
      <c r="G30" s="24">
        <v>0</v>
      </c>
      <c r="H30" s="24">
        <v>0</v>
      </c>
      <c r="I30" s="24">
        <v>0</v>
      </c>
      <c r="J30" s="24">
        <v>0</v>
      </c>
      <c r="K30" s="24">
        <v>0</v>
      </c>
      <c r="L30" s="24">
        <f>Input!D34</f>
        <v>0.48430000000000001</v>
      </c>
      <c r="M30" s="20"/>
      <c r="N30" s="21"/>
      <c r="O30" s="22"/>
      <c r="P30" s="22"/>
      <c r="Q30" s="22">
        <f t="shared" si="14"/>
        <v>0.57909999999999995</v>
      </c>
      <c r="R30" s="22"/>
      <c r="S30" s="22"/>
      <c r="T30" s="22"/>
      <c r="U30" s="22"/>
      <c r="V30" s="22"/>
      <c r="W30" s="22"/>
      <c r="X30" s="22">
        <f t="shared" si="15"/>
        <v>0.51570000000000005</v>
      </c>
    </row>
    <row r="31" spans="1:24" x14ac:dyDescent="0.4">
      <c r="A31" s="12"/>
      <c r="B31" s="19" t="s">
        <v>11</v>
      </c>
      <c r="C31" s="24">
        <v>0</v>
      </c>
      <c r="D31" s="24">
        <v>0</v>
      </c>
      <c r="E31" s="24">
        <f>Input!C35</f>
        <v>0.44440000000000002</v>
      </c>
      <c r="F31" s="24">
        <v>0</v>
      </c>
      <c r="G31" s="24">
        <v>0</v>
      </c>
      <c r="H31" s="24">
        <v>0</v>
      </c>
      <c r="I31" s="24">
        <v>0</v>
      </c>
      <c r="J31" s="24">
        <v>0</v>
      </c>
      <c r="K31" s="24">
        <v>0</v>
      </c>
      <c r="L31" s="24">
        <f>Input!D35</f>
        <v>0.49769999999999998</v>
      </c>
      <c r="M31" s="20"/>
      <c r="N31" s="140"/>
      <c r="O31" s="22"/>
      <c r="P31" s="22"/>
      <c r="Q31" s="22">
        <f t="shared" si="14"/>
        <v>0.55559999999999998</v>
      </c>
      <c r="R31" s="22"/>
      <c r="S31" s="22"/>
      <c r="T31" s="22"/>
      <c r="U31" s="22"/>
      <c r="V31" s="22"/>
      <c r="W31" s="22"/>
      <c r="X31" s="22">
        <f t="shared" si="15"/>
        <v>0.50229999999999997</v>
      </c>
    </row>
    <row r="32" spans="1:24" x14ac:dyDescent="0.4">
      <c r="A32" s="12"/>
      <c r="B32" s="19" t="s">
        <v>12</v>
      </c>
      <c r="C32" s="24">
        <v>0</v>
      </c>
      <c r="D32" s="24">
        <v>0</v>
      </c>
      <c r="E32" s="24">
        <f>Input!C36</f>
        <v>0.46100000000000002</v>
      </c>
      <c r="F32" s="24">
        <v>0</v>
      </c>
      <c r="G32" s="24">
        <v>0</v>
      </c>
      <c r="H32" s="24">
        <v>0</v>
      </c>
      <c r="I32" s="24">
        <v>0</v>
      </c>
      <c r="J32" s="24">
        <v>0</v>
      </c>
      <c r="K32" s="24">
        <v>0</v>
      </c>
      <c r="L32" s="24">
        <f>Input!D36</f>
        <v>0.50509999999999999</v>
      </c>
      <c r="M32" s="20"/>
      <c r="N32" s="140"/>
      <c r="O32" s="22"/>
      <c r="P32" s="22"/>
      <c r="Q32" s="22">
        <f t="shared" si="14"/>
        <v>0.53899999999999992</v>
      </c>
      <c r="R32" s="22"/>
      <c r="S32" s="22"/>
      <c r="T32" s="22"/>
      <c r="U32" s="22"/>
      <c r="V32" s="22"/>
      <c r="W32" s="22"/>
      <c r="X32" s="22">
        <f t="shared" si="15"/>
        <v>0.49490000000000001</v>
      </c>
    </row>
    <row r="33" spans="1:32" x14ac:dyDescent="0.4">
      <c r="A33" s="12"/>
      <c r="B33" s="19" t="s">
        <v>13</v>
      </c>
      <c r="C33" s="24">
        <v>0</v>
      </c>
      <c r="D33" s="24">
        <v>0</v>
      </c>
      <c r="E33" s="24">
        <f>Input!C37</f>
        <v>0.48259999999999997</v>
      </c>
      <c r="F33" s="24">
        <v>0</v>
      </c>
      <c r="G33" s="24">
        <v>0</v>
      </c>
      <c r="H33" s="24">
        <v>0</v>
      </c>
      <c r="I33" s="24">
        <v>0</v>
      </c>
      <c r="J33" s="24">
        <v>0</v>
      </c>
      <c r="K33" s="24">
        <v>0</v>
      </c>
      <c r="L33" s="24">
        <f>Input!D37</f>
        <v>0.50060000000000004</v>
      </c>
      <c r="M33" s="20"/>
      <c r="N33" s="140"/>
      <c r="O33" s="22"/>
      <c r="P33" s="22"/>
      <c r="Q33" s="22">
        <f t="shared" si="14"/>
        <v>0.51740000000000008</v>
      </c>
      <c r="R33" s="22"/>
      <c r="S33" s="22"/>
      <c r="T33" s="22"/>
      <c r="U33" s="22"/>
      <c r="V33" s="22"/>
      <c r="W33" s="22"/>
      <c r="X33" s="22">
        <f t="shared" si="15"/>
        <v>0.49939999999999996</v>
      </c>
    </row>
    <row r="34" spans="1:32" x14ac:dyDescent="0.4">
      <c r="A34" s="12"/>
      <c r="B34" s="19" t="s">
        <v>14</v>
      </c>
      <c r="C34" s="24">
        <v>0</v>
      </c>
      <c r="D34" s="24">
        <v>0</v>
      </c>
      <c r="E34" s="24">
        <f>Input!C38</f>
        <v>0.4869</v>
      </c>
      <c r="F34" s="24">
        <v>0</v>
      </c>
      <c r="G34" s="24">
        <v>0</v>
      </c>
      <c r="H34" s="24">
        <v>0</v>
      </c>
      <c r="I34" s="24">
        <v>0</v>
      </c>
      <c r="J34" s="24">
        <v>0</v>
      </c>
      <c r="K34" s="24">
        <v>0</v>
      </c>
      <c r="L34" s="24">
        <f>Input!D38</f>
        <v>0.49809999999999999</v>
      </c>
      <c r="M34" s="20"/>
      <c r="N34" s="140"/>
      <c r="O34" s="22"/>
      <c r="P34" s="22"/>
      <c r="Q34" s="22">
        <f t="shared" si="14"/>
        <v>0.5131</v>
      </c>
      <c r="R34" s="22"/>
      <c r="S34" s="22"/>
      <c r="T34" s="22"/>
      <c r="U34" s="22"/>
      <c r="V34" s="22"/>
      <c r="W34" s="22"/>
      <c r="X34" s="22">
        <f t="shared" si="15"/>
        <v>0.50190000000000001</v>
      </c>
    </row>
    <row r="35" spans="1:32" x14ac:dyDescent="0.4">
      <c r="A35" s="12"/>
      <c r="B35" s="19" t="s">
        <v>15</v>
      </c>
      <c r="C35" s="24">
        <v>0</v>
      </c>
      <c r="D35" s="24">
        <v>0</v>
      </c>
      <c r="E35" s="24">
        <f>Input!C39</f>
        <v>0.48849999999999999</v>
      </c>
      <c r="F35" s="24">
        <v>0</v>
      </c>
      <c r="G35" s="24">
        <v>0</v>
      </c>
      <c r="H35" s="24">
        <v>0</v>
      </c>
      <c r="I35" s="24">
        <v>0</v>
      </c>
      <c r="J35" s="24">
        <v>0</v>
      </c>
      <c r="K35" s="24">
        <v>0</v>
      </c>
      <c r="L35" s="24">
        <f>Input!D39</f>
        <v>0.50470000000000004</v>
      </c>
      <c r="M35" s="20"/>
      <c r="N35" s="140"/>
      <c r="O35" s="22"/>
      <c r="P35" s="22"/>
      <c r="Q35" s="22">
        <f t="shared" si="14"/>
        <v>0.51150000000000007</v>
      </c>
      <c r="R35" s="22"/>
      <c r="S35" s="22"/>
      <c r="T35" s="22"/>
      <c r="U35" s="22"/>
      <c r="V35" s="22"/>
      <c r="W35" s="22"/>
      <c r="X35" s="22">
        <f t="shared" si="15"/>
        <v>0.49529999999999996</v>
      </c>
    </row>
    <row r="36" spans="1:32" x14ac:dyDescent="0.4">
      <c r="A36" s="12"/>
      <c r="B36" s="19" t="s">
        <v>16</v>
      </c>
      <c r="C36" s="24">
        <v>0</v>
      </c>
      <c r="D36" s="24">
        <v>0</v>
      </c>
      <c r="E36" s="24">
        <f>Input!C40</f>
        <v>0.46139999999999998</v>
      </c>
      <c r="F36" s="24">
        <v>0</v>
      </c>
      <c r="G36" s="24">
        <v>0</v>
      </c>
      <c r="H36" s="24">
        <v>0</v>
      </c>
      <c r="I36" s="24">
        <v>0</v>
      </c>
      <c r="J36" s="24">
        <v>0</v>
      </c>
      <c r="K36" s="24">
        <v>0</v>
      </c>
      <c r="L36" s="24">
        <f>Input!D40</f>
        <v>0.50319999999999998</v>
      </c>
      <c r="M36" s="20"/>
      <c r="N36" s="140"/>
      <c r="O36" s="22"/>
      <c r="P36" s="22"/>
      <c r="Q36" s="22">
        <f t="shared" si="14"/>
        <v>0.53859999999999997</v>
      </c>
      <c r="R36" s="22"/>
      <c r="S36" s="22"/>
      <c r="T36" s="22"/>
      <c r="U36" s="22"/>
      <c r="V36" s="22"/>
      <c r="W36" s="22"/>
      <c r="X36" s="22">
        <f t="shared" si="15"/>
        <v>0.49680000000000002</v>
      </c>
    </row>
    <row r="37" spans="1:32" x14ac:dyDescent="0.4">
      <c r="A37" s="12"/>
      <c r="B37" s="19" t="s">
        <v>17</v>
      </c>
      <c r="C37" s="24">
        <v>0</v>
      </c>
      <c r="D37" s="24">
        <v>0</v>
      </c>
      <c r="E37" s="24">
        <f>Input!C41</f>
        <v>0.43190000000000001</v>
      </c>
      <c r="F37" s="24">
        <v>0</v>
      </c>
      <c r="G37" s="24">
        <v>0</v>
      </c>
      <c r="H37" s="24">
        <v>0</v>
      </c>
      <c r="I37" s="24">
        <v>0</v>
      </c>
      <c r="J37" s="24">
        <v>0</v>
      </c>
      <c r="K37" s="24">
        <v>0</v>
      </c>
      <c r="L37" s="24">
        <f>Input!D41</f>
        <v>0.49469999999999997</v>
      </c>
      <c r="M37" s="20"/>
      <c r="N37" s="140"/>
      <c r="O37" s="22"/>
      <c r="P37" s="22"/>
      <c r="Q37" s="22">
        <f t="shared" si="14"/>
        <v>0.56810000000000005</v>
      </c>
      <c r="R37" s="22"/>
      <c r="S37" s="22"/>
      <c r="T37" s="22"/>
      <c r="U37" s="22"/>
      <c r="V37" s="22"/>
      <c r="W37" s="22"/>
      <c r="X37" s="22">
        <f t="shared" si="15"/>
        <v>0.50530000000000008</v>
      </c>
    </row>
    <row r="38" spans="1:32" x14ac:dyDescent="0.4">
      <c r="A38" s="12"/>
      <c r="B38" s="19" t="s">
        <v>18</v>
      </c>
      <c r="C38" s="24">
        <v>0</v>
      </c>
      <c r="D38" s="24">
        <v>0</v>
      </c>
      <c r="E38" s="24">
        <f>Input!C42</f>
        <v>0.42630000000000001</v>
      </c>
      <c r="F38" s="24">
        <v>0</v>
      </c>
      <c r="G38" s="24">
        <v>0</v>
      </c>
      <c r="H38" s="24">
        <v>0</v>
      </c>
      <c r="I38" s="24">
        <v>0</v>
      </c>
      <c r="J38" s="24">
        <v>0</v>
      </c>
      <c r="K38" s="24">
        <v>0</v>
      </c>
      <c r="L38" s="24">
        <f>Input!D42</f>
        <v>0.4798</v>
      </c>
      <c r="M38" s="20"/>
      <c r="N38" s="140"/>
      <c r="O38" s="22"/>
      <c r="P38" s="22"/>
      <c r="Q38" s="22">
        <f t="shared" si="14"/>
        <v>0.57369999999999999</v>
      </c>
      <c r="R38" s="22"/>
      <c r="S38" s="22"/>
      <c r="T38" s="22"/>
      <c r="U38" s="22"/>
      <c r="V38" s="22"/>
      <c r="W38" s="22"/>
      <c r="X38" s="22">
        <f t="shared" si="15"/>
        <v>0.5202</v>
      </c>
    </row>
    <row r="39" spans="1:32" x14ac:dyDescent="0.4">
      <c r="A39" s="12"/>
      <c r="B39" s="19"/>
      <c r="C39" s="21"/>
      <c r="D39" s="21"/>
      <c r="E39" s="21"/>
      <c r="F39" s="21"/>
      <c r="G39" s="21"/>
      <c r="H39" s="21"/>
      <c r="I39" s="23"/>
      <c r="J39" s="23"/>
      <c r="K39" s="21"/>
      <c r="L39" s="21"/>
      <c r="M39" s="21"/>
      <c r="N39" s="140"/>
      <c r="O39" s="22"/>
      <c r="P39" s="22"/>
      <c r="Q39" s="22"/>
      <c r="R39" s="22"/>
      <c r="S39" s="22"/>
      <c r="T39" s="22"/>
      <c r="U39" s="22"/>
      <c r="V39" s="22"/>
      <c r="W39" s="22"/>
      <c r="X39" s="22"/>
    </row>
    <row r="40" spans="1:32" x14ac:dyDescent="0.4">
      <c r="A40" s="12"/>
      <c r="B40" s="19"/>
      <c r="C40" s="21"/>
      <c r="D40" s="21"/>
      <c r="E40" s="21"/>
      <c r="F40" s="21"/>
      <c r="G40" s="21"/>
      <c r="H40" s="21"/>
      <c r="I40" s="23"/>
      <c r="J40" s="23"/>
      <c r="K40" s="21"/>
      <c r="L40" s="21"/>
      <c r="M40" s="21"/>
      <c r="N40" s="140"/>
      <c r="O40" s="22"/>
      <c r="P40" s="22"/>
      <c r="Q40" s="22"/>
      <c r="R40" s="22"/>
      <c r="S40" s="22"/>
      <c r="T40" s="22"/>
      <c r="U40" s="22"/>
      <c r="V40" s="22"/>
      <c r="W40" s="22"/>
      <c r="X40" s="22"/>
    </row>
    <row r="41" spans="1:32" x14ac:dyDescent="0.4">
      <c r="A41" s="8" t="s">
        <v>75</v>
      </c>
      <c r="B41" s="25" t="s">
        <v>131</v>
      </c>
      <c r="C41" s="18"/>
      <c r="D41" s="18"/>
      <c r="E41" s="18"/>
      <c r="F41" s="18"/>
      <c r="G41" s="18"/>
      <c r="H41" s="18"/>
      <c r="I41" s="18"/>
      <c r="J41" s="18"/>
      <c r="K41" s="18"/>
      <c r="L41" s="18"/>
      <c r="O41" s="6" t="s">
        <v>188</v>
      </c>
    </row>
    <row r="42" spans="1:32" x14ac:dyDescent="0.4">
      <c r="A42" s="12"/>
      <c r="B42" s="26" t="str">
        <f>Input!B46</f>
        <v>Calendar month sales forecasted for 2020, less % for LPL-Sec &gt; 500 kW Peak Load Share</v>
      </c>
      <c r="G42" s="154"/>
      <c r="L42" s="18" t="s">
        <v>302</v>
      </c>
      <c r="AB42" s="36" t="s">
        <v>19</v>
      </c>
      <c r="AD42" s="6" t="s">
        <v>301</v>
      </c>
    </row>
    <row r="43" spans="1:32" x14ac:dyDescent="0.4">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193</v>
      </c>
      <c r="AB43" s="36" t="s">
        <v>36</v>
      </c>
      <c r="AD43" s="109" t="s">
        <v>195</v>
      </c>
      <c r="AE43" s="109" t="s">
        <v>195</v>
      </c>
      <c r="AF43" s="36" t="s">
        <v>195</v>
      </c>
    </row>
    <row r="44" spans="1:32" x14ac:dyDescent="0.4">
      <c r="A44" s="12"/>
      <c r="C44" s="18"/>
      <c r="D44" s="18"/>
      <c r="E44" s="18"/>
      <c r="F44" s="18"/>
      <c r="G44" s="18"/>
      <c r="H44" s="18"/>
      <c r="I44" s="18"/>
      <c r="J44" s="18"/>
      <c r="K44" s="18"/>
      <c r="L44" s="18"/>
      <c r="Y44" s="92"/>
      <c r="AB44" s="36"/>
      <c r="AD44" s="36" t="s">
        <v>194</v>
      </c>
      <c r="AE44" s="36" t="s">
        <v>196</v>
      </c>
      <c r="AF44" s="36" t="s">
        <v>197</v>
      </c>
    </row>
    <row r="45" spans="1:32" x14ac:dyDescent="0.4">
      <c r="A45" s="12"/>
      <c r="B45" s="19" t="s">
        <v>7</v>
      </c>
      <c r="C45" s="161">
        <f>Input!C49</f>
        <v>1158782.9408249238</v>
      </c>
      <c r="D45" s="161">
        <f>Input!D49</f>
        <v>13581.145419587001</v>
      </c>
      <c r="E45" s="161">
        <f>Input!E49</f>
        <v>13959.307427872751</v>
      </c>
      <c r="F45" s="161">
        <f>Input!F49</f>
        <v>83</v>
      </c>
      <c r="G45" s="161">
        <f>Input!G49</f>
        <v>2</v>
      </c>
      <c r="H45" s="161">
        <f>Input!H49</f>
        <v>1504.1042452061643</v>
      </c>
      <c r="I45" s="161">
        <f>Input!I49</f>
        <v>15729</v>
      </c>
      <c r="J45" s="161">
        <f>Input!J49</f>
        <v>32396</v>
      </c>
      <c r="K45" s="161">
        <f>Input!K49</f>
        <v>545909.97467966552</v>
      </c>
      <c r="L45" s="146">
        <f>AB45*$M$45</f>
        <v>369481.54540010367</v>
      </c>
      <c r="M45" s="139">
        <f>(1-AD45)</f>
        <v>0.64188109363221502</v>
      </c>
      <c r="N45" s="28" t="s">
        <v>61</v>
      </c>
      <c r="O45" s="29">
        <f>SUM(C45:C49,C54:C56)</f>
        <v>7441969.3694402277</v>
      </c>
      <c r="P45" s="30">
        <f t="shared" ref="P45:X45" si="18">SUM(D45:D49,D54:D56)</f>
        <v>67942.459021489762</v>
      </c>
      <c r="Q45" s="30">
        <f t="shared" si="18"/>
        <v>91481.756479920907</v>
      </c>
      <c r="R45" s="30">
        <f t="shared" si="18"/>
        <v>598</v>
      </c>
      <c r="S45" s="30">
        <f t="shared" si="18"/>
        <v>10</v>
      </c>
      <c r="T45" s="30">
        <f t="shared" si="18"/>
        <v>7218.691475315889</v>
      </c>
      <c r="U45" s="30">
        <f t="shared" si="18"/>
        <v>105237</v>
      </c>
      <c r="V45" s="30">
        <f t="shared" si="18"/>
        <v>213955</v>
      </c>
      <c r="W45" s="30">
        <f t="shared" si="18"/>
        <v>4014550.6096786093</v>
      </c>
      <c r="X45" s="30">
        <f t="shared" si="18"/>
        <v>2786996.2640660838</v>
      </c>
      <c r="Y45" s="92">
        <f>SUM(O45:X45)</f>
        <v>14729959.150161648</v>
      </c>
      <c r="Z45" s="93">
        <f>+Y45/(Y45+Y49)</f>
        <v>0.60433732963671416</v>
      </c>
      <c r="AB45" s="157">
        <f>Input!L49</f>
        <v>575623.03838755714</v>
      </c>
      <c r="AD45" s="158">
        <f>Input!C65</f>
        <v>0.35811890636778504</v>
      </c>
      <c r="AE45" s="159">
        <f>Input!D65</f>
        <v>0.34084195127076689</v>
      </c>
      <c r="AF45" s="90">
        <f>AE45</f>
        <v>0.34084195127076689</v>
      </c>
    </row>
    <row r="46" spans="1:32" x14ac:dyDescent="0.4">
      <c r="A46" s="12"/>
      <c r="B46" s="19" t="s">
        <v>8</v>
      </c>
      <c r="C46" s="161">
        <f>Input!C50</f>
        <v>968636.16641473665</v>
      </c>
      <c r="D46" s="161">
        <f>Input!D50</f>
        <v>11629.520323348841</v>
      </c>
      <c r="E46" s="161">
        <f>Input!E50</f>
        <v>11728.526775786639</v>
      </c>
      <c r="F46" s="161">
        <f>Input!F50</f>
        <v>80</v>
      </c>
      <c r="G46" s="161">
        <f>Input!G50</f>
        <v>2</v>
      </c>
      <c r="H46" s="161">
        <f>Input!H50</f>
        <v>1297.2794020978824</v>
      </c>
      <c r="I46" s="161">
        <f>Input!I50</f>
        <v>12919</v>
      </c>
      <c r="J46" s="161">
        <f>Input!J50</f>
        <v>27002</v>
      </c>
      <c r="K46" s="161">
        <f>Input!K50</f>
        <v>502749.34791265207</v>
      </c>
      <c r="L46" s="146">
        <f t="shared" ref="L46:L56" si="19">AB46*$M$45</f>
        <v>337123.41218233266</v>
      </c>
      <c r="M46" s="27"/>
      <c r="N46" s="28" t="s">
        <v>119</v>
      </c>
      <c r="O46" s="30"/>
      <c r="P46" s="30"/>
      <c r="Q46" s="30">
        <f>SUMPRODUCT(E27:E31,E45:E49)+SUMPRODUCT(E36:E38,E54:E56)</f>
        <v>39393.132551169852</v>
      </c>
      <c r="R46" s="30"/>
      <c r="X46" s="30">
        <f>SUMPRODUCT(L27:L31,L45:L49)+SUMPRODUCT(L36:L38,L54:L56)</f>
        <v>1355112.9275102958</v>
      </c>
      <c r="Y46" s="92"/>
      <c r="Z46" s="93"/>
      <c r="AB46" s="157">
        <f>Input!L50</f>
        <v>525211.62490493548</v>
      </c>
      <c r="AD46" s="160"/>
    </row>
    <row r="47" spans="1:32" x14ac:dyDescent="0.4">
      <c r="A47" s="12"/>
      <c r="B47" s="19" t="s">
        <v>9</v>
      </c>
      <c r="C47" s="161">
        <f>Input!C51</f>
        <v>927889.04863921262</v>
      </c>
      <c r="D47" s="161">
        <f>Input!D51</f>
        <v>9396.6060230466355</v>
      </c>
      <c r="E47" s="161">
        <f>Input!E51</f>
        <v>11682.444038875921</v>
      </c>
      <c r="F47" s="161">
        <f>Input!F51</f>
        <v>89</v>
      </c>
      <c r="G47" s="161">
        <f>Input!G51</f>
        <v>1</v>
      </c>
      <c r="H47" s="161">
        <f>Input!H51</f>
        <v>1045.0539836731482</v>
      </c>
      <c r="I47" s="161">
        <f>Input!I51</f>
        <v>12905</v>
      </c>
      <c r="J47" s="161">
        <f>Input!J51</f>
        <v>27387</v>
      </c>
      <c r="K47" s="161">
        <f>Input!K51</f>
        <v>530255.17994208226</v>
      </c>
      <c r="L47" s="146">
        <f t="shared" si="19"/>
        <v>357958.60092997394</v>
      </c>
      <c r="M47" s="27"/>
      <c r="N47" s="28" t="s">
        <v>120</v>
      </c>
      <c r="O47" s="30">
        <f>+O45-O46</f>
        <v>7441969.3694402277</v>
      </c>
      <c r="P47" s="30">
        <f>+P45-P46</f>
        <v>67942.459021489762</v>
      </c>
      <c r="Q47" s="30">
        <f>+Q45-Q46</f>
        <v>52088.623928751054</v>
      </c>
      <c r="R47" s="30">
        <f>+R45-R46</f>
        <v>598</v>
      </c>
      <c r="X47" s="30">
        <f>+X45-X46</f>
        <v>1431883.3365557881</v>
      </c>
      <c r="Y47" s="92"/>
      <c r="Z47" s="94"/>
      <c r="AB47" s="157">
        <f>Input!L51</f>
        <v>557671.20184891601</v>
      </c>
    </row>
    <row r="48" spans="1:32" x14ac:dyDescent="0.4">
      <c r="A48" s="12"/>
      <c r="B48" s="19" t="s">
        <v>10</v>
      </c>
      <c r="C48" s="161">
        <f>Input!C52</f>
        <v>768432.3358304014</v>
      </c>
      <c r="D48" s="161">
        <f>Input!D52</f>
        <v>5786.2445894411239</v>
      </c>
      <c r="E48" s="161">
        <f>Input!E52</f>
        <v>9646.3394386371219</v>
      </c>
      <c r="F48" s="161">
        <f>Input!F52</f>
        <v>74</v>
      </c>
      <c r="G48" s="161">
        <f>Input!G52</f>
        <v>2</v>
      </c>
      <c r="H48" s="161">
        <f>Input!H52</f>
        <v>696.98290624701519</v>
      </c>
      <c r="I48" s="161">
        <f>Input!I52</f>
        <v>10619</v>
      </c>
      <c r="J48" s="161">
        <f>Input!J52</f>
        <v>23671</v>
      </c>
      <c r="K48" s="161">
        <f>Input!K52</f>
        <v>465334.98321957636</v>
      </c>
      <c r="L48" s="146">
        <f t="shared" si="19"/>
        <v>312046.93786594499</v>
      </c>
      <c r="M48" s="27"/>
      <c r="Y48" s="92"/>
      <c r="AB48" s="157">
        <f>Input!L52</f>
        <v>486144.46033947472</v>
      </c>
    </row>
    <row r="49" spans="1:28" x14ac:dyDescent="0.4">
      <c r="A49" s="12"/>
      <c r="B49" s="19" t="s">
        <v>11</v>
      </c>
      <c r="C49" s="161">
        <f>Input!C53</f>
        <v>921193.68524272216</v>
      </c>
      <c r="D49" s="161">
        <f>Input!D53</f>
        <v>4420.39701094458</v>
      </c>
      <c r="E49" s="161">
        <f>Input!E53</f>
        <v>12618.205737369042</v>
      </c>
      <c r="F49" s="161">
        <f>Input!F53</f>
        <v>94</v>
      </c>
      <c r="G49" s="161">
        <f>Input!G53</f>
        <v>1</v>
      </c>
      <c r="H49" s="161">
        <f>Input!H53</f>
        <v>348.07107742613306</v>
      </c>
      <c r="I49" s="161">
        <f>Input!I53</f>
        <v>10441</v>
      </c>
      <c r="J49" s="161">
        <f>Input!J53</f>
        <v>22013</v>
      </c>
      <c r="K49" s="161">
        <f>Input!K53</f>
        <v>509010.76321916579</v>
      </c>
      <c r="L49" s="146">
        <f t="shared" si="19"/>
        <v>371052.81597525557</v>
      </c>
      <c r="N49" s="28" t="s">
        <v>62</v>
      </c>
      <c r="O49" s="29">
        <f>SUM(C50:C53)</f>
        <v>5568874.5442893105</v>
      </c>
      <c r="P49" s="30">
        <f t="shared" ref="P49:X49" si="20">+SUM(D50:D53)</f>
        <v>21087.990638698222</v>
      </c>
      <c r="Q49" s="30">
        <f t="shared" si="20"/>
        <v>77452.854714672794</v>
      </c>
      <c r="R49" s="30">
        <f t="shared" si="20"/>
        <v>236</v>
      </c>
      <c r="S49" s="30">
        <f t="shared" si="20"/>
        <v>4</v>
      </c>
      <c r="T49" s="30">
        <f t="shared" si="20"/>
        <v>2034.618375292855</v>
      </c>
      <c r="U49" s="30">
        <f t="shared" si="20"/>
        <v>39848</v>
      </c>
      <c r="V49" s="30">
        <f t="shared" si="20"/>
        <v>77902</v>
      </c>
      <c r="W49" s="30">
        <f t="shared" si="20"/>
        <v>2311619.0393461389</v>
      </c>
      <c r="X49" s="30">
        <f t="shared" si="20"/>
        <v>1544718.8327786252</v>
      </c>
      <c r="Y49" s="92">
        <f>SUM(O49:X49)</f>
        <v>9643777.880142739</v>
      </c>
      <c r="Z49" s="94">
        <f>1-Z45</f>
        <v>0.39566267036328584</v>
      </c>
      <c r="AB49" s="157">
        <f>Input!L53</f>
        <v>578070.95372692402</v>
      </c>
    </row>
    <row r="50" spans="1:28" x14ac:dyDescent="0.4">
      <c r="A50" s="12"/>
      <c r="B50" s="19" t="s">
        <v>12</v>
      </c>
      <c r="C50" s="161">
        <f>Input!C54</f>
        <v>1231483.049911625</v>
      </c>
      <c r="D50" s="161">
        <f>Input!D54</f>
        <v>5157.9353707413693</v>
      </c>
      <c r="E50" s="161">
        <f>Input!E54</f>
        <v>17644.045452692895</v>
      </c>
      <c r="F50" s="161">
        <f>Input!F54</f>
        <v>66</v>
      </c>
      <c r="G50" s="161">
        <f>Input!G54</f>
        <v>1</v>
      </c>
      <c r="H50" s="161">
        <f>Input!H54</f>
        <v>469.98002966475451</v>
      </c>
      <c r="I50" s="161">
        <f>Input!I54</f>
        <v>8686</v>
      </c>
      <c r="J50" s="161">
        <f>Input!J54</f>
        <v>18965</v>
      </c>
      <c r="K50" s="161">
        <f>Input!K54</f>
        <v>529954.46447786305</v>
      </c>
      <c r="L50" s="146">
        <f t="shared" si="19"/>
        <v>367977.21236066462</v>
      </c>
      <c r="M50" s="27"/>
      <c r="N50" s="28" t="s">
        <v>119</v>
      </c>
      <c r="O50" s="29"/>
      <c r="Q50" s="30">
        <f>+SUMPRODUCT(E32:E35,E50:E53)</f>
        <v>37178.009402389973</v>
      </c>
      <c r="X50" s="30">
        <f>+SUMPRODUCT(L32:L35,L50:L53)</f>
        <v>775341.32934071834</v>
      </c>
      <c r="Y50" s="92"/>
      <c r="Z50" s="93"/>
      <c r="AB50" s="157">
        <f>Input!L54</f>
        <v>573279.40643708722</v>
      </c>
    </row>
    <row r="51" spans="1:28" x14ac:dyDescent="0.4">
      <c r="A51" s="12"/>
      <c r="B51" s="19" t="s">
        <v>13</v>
      </c>
      <c r="C51" s="161">
        <f>Input!C55</f>
        <v>1634450.3903467557</v>
      </c>
      <c r="D51" s="161">
        <f>Input!D55</f>
        <v>5632.5504882514915</v>
      </c>
      <c r="E51" s="161">
        <f>Input!E55</f>
        <v>23239.806363279899</v>
      </c>
      <c r="F51" s="161">
        <f>Input!F55</f>
        <v>51</v>
      </c>
      <c r="G51" s="161">
        <f>Input!G55</f>
        <v>1</v>
      </c>
      <c r="H51" s="161">
        <f>Input!H55</f>
        <v>517.06210777070487</v>
      </c>
      <c r="I51" s="161">
        <f>Input!I55</f>
        <v>9402</v>
      </c>
      <c r="J51" s="161">
        <f>Input!J55</f>
        <v>16483</v>
      </c>
      <c r="K51" s="161">
        <f>Input!K55</f>
        <v>608058.39571665251</v>
      </c>
      <c r="L51" s="146">
        <f t="shared" si="19"/>
        <v>394686.61024562374</v>
      </c>
      <c r="M51" s="27"/>
      <c r="N51" s="28" t="s">
        <v>120</v>
      </c>
      <c r="O51" s="29"/>
      <c r="Q51" s="30">
        <f>+Q49-Q50</f>
        <v>40274.845312282821</v>
      </c>
      <c r="X51" s="30">
        <f>+X49-X50</f>
        <v>769377.50343790685</v>
      </c>
      <c r="Y51" s="92"/>
      <c r="Z51" s="94"/>
      <c r="AB51" s="157">
        <f>Input!L55</f>
        <v>614890.53683168814</v>
      </c>
    </row>
    <row r="52" spans="1:28" x14ac:dyDescent="0.4">
      <c r="A52" s="12"/>
      <c r="B52" s="19" t="s">
        <v>14</v>
      </c>
      <c r="C52" s="161">
        <f>Input!C56</f>
        <v>1648641.1980882566</v>
      </c>
      <c r="D52" s="161">
        <f>Input!D56</f>
        <v>5820.0766242941872</v>
      </c>
      <c r="E52" s="161">
        <f>Input!E56</f>
        <v>22115.011397050981</v>
      </c>
      <c r="F52" s="161">
        <f>Input!F56</f>
        <v>58</v>
      </c>
      <c r="G52" s="161">
        <f>Input!G56</f>
        <v>1</v>
      </c>
      <c r="H52" s="161">
        <f>Input!H56</f>
        <v>615.4300209563512</v>
      </c>
      <c r="I52" s="161">
        <f>Input!I56</f>
        <v>10382</v>
      </c>
      <c r="J52" s="161">
        <f>Input!J56</f>
        <v>19112</v>
      </c>
      <c r="K52" s="161">
        <f>Input!K56</f>
        <v>639486.0934939218</v>
      </c>
      <c r="L52" s="146">
        <f t="shared" si="19"/>
        <v>425339.59781681735</v>
      </c>
      <c r="M52" s="27"/>
      <c r="AB52" s="157">
        <f>Input!L56</f>
        <v>662645.46819714934</v>
      </c>
    </row>
    <row r="53" spans="1:28" x14ac:dyDescent="0.4">
      <c r="A53" s="12"/>
      <c r="B53" s="19" t="s">
        <v>15</v>
      </c>
      <c r="C53" s="161">
        <f>Input!C57</f>
        <v>1054299.9059426726</v>
      </c>
      <c r="D53" s="161">
        <f>Input!D57</f>
        <v>4477.4281554111731</v>
      </c>
      <c r="E53" s="161">
        <f>Input!E57</f>
        <v>14453.991501649012</v>
      </c>
      <c r="F53" s="161">
        <f>Input!F57</f>
        <v>61</v>
      </c>
      <c r="G53" s="161">
        <f>Input!G57</f>
        <v>1</v>
      </c>
      <c r="H53" s="161">
        <f>Input!H57</f>
        <v>432.1462169010444</v>
      </c>
      <c r="I53" s="161">
        <f>Input!I57</f>
        <v>11378</v>
      </c>
      <c r="J53" s="161">
        <f>Input!J57</f>
        <v>23342</v>
      </c>
      <c r="K53" s="161">
        <f>Input!K57</f>
        <v>534120.08565770159</v>
      </c>
      <c r="L53" s="146">
        <f t="shared" si="19"/>
        <v>356715.41235551942</v>
      </c>
      <c r="M53" s="27"/>
      <c r="N53" s="28" t="s">
        <v>162</v>
      </c>
      <c r="O53" s="29">
        <f>+O49*C163</f>
        <v>3597492.9556108946</v>
      </c>
      <c r="P53" s="29">
        <f>+P49*D163</f>
        <v>13939.161812179525</v>
      </c>
      <c r="AB53" s="157">
        <f>Input!L57</f>
        <v>555734.41233012883</v>
      </c>
    </row>
    <row r="54" spans="1:28" x14ac:dyDescent="0.4">
      <c r="A54" s="12"/>
      <c r="B54" s="19" t="s">
        <v>16</v>
      </c>
      <c r="C54" s="161">
        <f>Input!C58</f>
        <v>822041.62450658716</v>
      </c>
      <c r="D54" s="161">
        <f>Input!D58</f>
        <v>4946.2434955179133</v>
      </c>
      <c r="E54" s="161">
        <f>Input!E58</f>
        <v>9887.0982273951504</v>
      </c>
      <c r="F54" s="161">
        <f>Input!F58</f>
        <v>29</v>
      </c>
      <c r="G54" s="161">
        <f>Input!G58</f>
        <v>0</v>
      </c>
      <c r="H54" s="161">
        <f>Input!H58</f>
        <v>469.98002966475451</v>
      </c>
      <c r="I54" s="161">
        <f>Input!I58</f>
        <v>13237</v>
      </c>
      <c r="J54" s="161">
        <f>Input!J58</f>
        <v>25275</v>
      </c>
      <c r="K54" s="161">
        <f>Input!K58</f>
        <v>493453.97324290191</v>
      </c>
      <c r="L54" s="146">
        <f t="shared" si="19"/>
        <v>351894.58864862839</v>
      </c>
      <c r="M54" s="27"/>
      <c r="N54" s="28" t="s">
        <v>163</v>
      </c>
      <c r="O54" s="30">
        <f>+O49-O53</f>
        <v>1971381.5886784159</v>
      </c>
      <c r="P54" s="30">
        <f>+P49-P53</f>
        <v>7148.8288265186966</v>
      </c>
      <c r="AB54" s="157">
        <f>Input!L58</f>
        <v>548223.95010477898</v>
      </c>
    </row>
    <row r="55" spans="1:28" x14ac:dyDescent="0.4">
      <c r="A55" s="12"/>
      <c r="B55" s="19" t="s">
        <v>17</v>
      </c>
      <c r="C55" s="161">
        <f>Input!C59</f>
        <v>817903.04153254058</v>
      </c>
      <c r="D55" s="161">
        <f>Input!D59</f>
        <v>7127.9264287569067</v>
      </c>
      <c r="E55" s="161">
        <f>Input!E59</f>
        <v>9473.294059217289</v>
      </c>
      <c r="F55" s="161">
        <f>Input!F59</f>
        <v>67</v>
      </c>
      <c r="G55" s="161">
        <f>Input!G59</f>
        <v>1</v>
      </c>
      <c r="H55" s="161">
        <f>Input!H59</f>
        <v>655.7860879043086</v>
      </c>
      <c r="I55" s="161">
        <f>Input!I59</f>
        <v>14087</v>
      </c>
      <c r="J55" s="161">
        <f>Input!J59</f>
        <v>24078</v>
      </c>
      <c r="K55" s="161">
        <f>Input!K59</f>
        <v>451146.07166412007</v>
      </c>
      <c r="L55" s="146">
        <f t="shared" si="19"/>
        <v>326866.996348452</v>
      </c>
      <c r="M55" s="27"/>
      <c r="AB55" s="157">
        <f>Input!L59</f>
        <v>509232.93985620991</v>
      </c>
    </row>
    <row r="56" spans="1:28" x14ac:dyDescent="0.4">
      <c r="A56" s="12"/>
      <c r="B56" s="19" t="s">
        <v>18</v>
      </c>
      <c r="C56" s="161">
        <f>Input!C60</f>
        <v>1057090.5264491043</v>
      </c>
      <c r="D56" s="161">
        <f>Input!D60</f>
        <v>11054.375730846758</v>
      </c>
      <c r="E56" s="161">
        <f>Input!E60</f>
        <v>12486.540774766994</v>
      </c>
      <c r="F56" s="161">
        <f>Input!F60</f>
        <v>82</v>
      </c>
      <c r="G56" s="161">
        <f>Input!G60</f>
        <v>1</v>
      </c>
      <c r="H56" s="161">
        <f>Input!H60</f>
        <v>1201.4337430964833</v>
      </c>
      <c r="I56" s="161">
        <f>Input!I60</f>
        <v>15300</v>
      </c>
      <c r="J56" s="161">
        <f>Input!J60</f>
        <v>32133</v>
      </c>
      <c r="K56" s="161">
        <f>Input!K60</f>
        <v>516690.31579844572</v>
      </c>
      <c r="L56" s="146">
        <f t="shared" si="19"/>
        <v>360571.3667153932</v>
      </c>
      <c r="M56" s="27"/>
      <c r="AB56" s="157">
        <f>Input!L60</f>
        <v>561741.68439052568</v>
      </c>
    </row>
    <row r="57" spans="1:28" x14ac:dyDescent="0.4">
      <c r="A57" s="12"/>
      <c r="B57" s="31" t="s">
        <v>19</v>
      </c>
      <c r="C57" s="30">
        <f>SUM(C45:C56)</f>
        <v>13010843.913729539</v>
      </c>
      <c r="D57" s="30">
        <f>SUM(D45:D56)</f>
        <v>89030.449660187995</v>
      </c>
      <c r="E57" s="30">
        <f t="shared" ref="E57:K57" si="21">SUM(E45:E56)</f>
        <v>168934.61119459369</v>
      </c>
      <c r="F57" s="30">
        <f t="shared" si="21"/>
        <v>834</v>
      </c>
      <c r="G57" s="30">
        <f t="shared" si="21"/>
        <v>14</v>
      </c>
      <c r="H57" s="30">
        <f>SUM(H45:H56)</f>
        <v>9253.3098506087445</v>
      </c>
      <c r="I57" s="30">
        <f>SUM(I45:I56)</f>
        <v>145085</v>
      </c>
      <c r="J57" s="30">
        <f>SUM(J45:J56)</f>
        <v>291857</v>
      </c>
      <c r="K57" s="30">
        <f t="shared" si="21"/>
        <v>6326169.6490247492</v>
      </c>
      <c r="L57" s="30">
        <f>SUM(L45:L56)</f>
        <v>4331715.0968447095</v>
      </c>
      <c r="M57" s="30"/>
      <c r="O57" s="6" t="s">
        <v>189</v>
      </c>
      <c r="AB57" s="30">
        <f>SUM(AB45:AB56)</f>
        <v>6748469.6773553751</v>
      </c>
    </row>
    <row r="58" spans="1:28" x14ac:dyDescent="0.4">
      <c r="A58" s="12"/>
      <c r="B58" s="19"/>
      <c r="C58" s="66"/>
      <c r="D58" s="66"/>
      <c r="E58" s="66"/>
      <c r="F58" s="66"/>
      <c r="G58" s="66"/>
      <c r="H58" s="66"/>
      <c r="I58" s="66"/>
      <c r="J58" s="66"/>
      <c r="K58" s="66"/>
      <c r="L58" s="66"/>
      <c r="O58" s="7" t="s">
        <v>190</v>
      </c>
      <c r="AB58" s="95"/>
    </row>
    <row r="59" spans="1:28" x14ac:dyDescent="0.4">
      <c r="A59" s="12"/>
      <c r="L59" s="30"/>
      <c r="Y59" s="18" t="s">
        <v>19</v>
      </c>
      <c r="Z59" s="18" t="s">
        <v>193</v>
      </c>
      <c r="AB59" s="95"/>
    </row>
    <row r="60" spans="1:28" x14ac:dyDescent="0.4">
      <c r="A60" s="8" t="s">
        <v>76</v>
      </c>
      <c r="B60" s="6" t="s">
        <v>39</v>
      </c>
      <c r="G60" s="32" t="s">
        <v>66</v>
      </c>
      <c r="H60" s="6" t="s">
        <v>178</v>
      </c>
      <c r="N60" s="36" t="s">
        <v>54</v>
      </c>
    </row>
    <row r="61" spans="1:28" s="33" customFormat="1" x14ac:dyDescent="0.4">
      <c r="A61" s="12"/>
      <c r="B61" s="7" t="s">
        <v>231</v>
      </c>
      <c r="D61" s="18" t="s">
        <v>177</v>
      </c>
      <c r="E61" s="18" t="s">
        <v>176</v>
      </c>
      <c r="G61" s="11"/>
      <c r="N61" s="28" t="s">
        <v>119</v>
      </c>
      <c r="O61" s="29">
        <f>SUMPRODUCT(C9:C13,C45:C49)+SUMPRODUCT(C18:C20,C54:C56)</f>
        <v>3624144.1837507118</v>
      </c>
      <c r="P61" s="29">
        <f t="shared" ref="P61:X61" si="22">SUMPRODUCT(D9:D13,D45:D49)+SUMPRODUCT(D18:D20,D54:D56)</f>
        <v>32711.08258543611</v>
      </c>
      <c r="Q61" s="29">
        <f t="shared" si="22"/>
        <v>45296.962294835503</v>
      </c>
      <c r="R61" s="29">
        <f t="shared" si="22"/>
        <v>290.68810000000008</v>
      </c>
      <c r="S61" s="29">
        <f t="shared" si="22"/>
        <v>4.8438000000000008</v>
      </c>
      <c r="T61" s="29">
        <f t="shared" si="22"/>
        <v>3562.7456623266039</v>
      </c>
      <c r="U61" s="29">
        <f t="shared" si="22"/>
        <v>29130.579600000001</v>
      </c>
      <c r="V61" s="29">
        <f t="shared" si="22"/>
        <v>58953.5671</v>
      </c>
      <c r="W61" s="29">
        <f t="shared" si="22"/>
        <v>2253148.2510821335</v>
      </c>
      <c r="X61" s="29">
        <f t="shared" si="22"/>
        <v>1511472.5956770792</v>
      </c>
      <c r="Y61" s="92">
        <f>SUM(O61:X61)</f>
        <v>7558715.4996525235</v>
      </c>
      <c r="Z61" s="93">
        <f>+Y61/(Y61+Y62)</f>
        <v>0.5131525092905348</v>
      </c>
    </row>
    <row r="62" spans="1:28" x14ac:dyDescent="0.4">
      <c r="A62" s="12"/>
      <c r="C62" s="18" t="s">
        <v>20</v>
      </c>
      <c r="D62" s="18" t="s">
        <v>175</v>
      </c>
      <c r="E62" s="18" t="s">
        <v>21</v>
      </c>
      <c r="G62" s="18"/>
      <c r="H62" s="18" t="s">
        <v>20</v>
      </c>
      <c r="I62" s="18" t="s">
        <v>21</v>
      </c>
      <c r="N62" s="28" t="s">
        <v>120</v>
      </c>
      <c r="O62" s="30">
        <f>+O45-O61</f>
        <v>3817825.1856895159</v>
      </c>
      <c r="P62" s="30">
        <f t="shared" ref="P62:X62" si="23">+P45-P61</f>
        <v>35231.376436053652</v>
      </c>
      <c r="Q62" s="30">
        <f t="shared" si="23"/>
        <v>46184.794185085404</v>
      </c>
      <c r="R62" s="30">
        <f t="shared" si="23"/>
        <v>307.31189999999992</v>
      </c>
      <c r="S62" s="30">
        <f t="shared" si="23"/>
        <v>5.1561999999999992</v>
      </c>
      <c r="T62" s="30">
        <f t="shared" si="23"/>
        <v>3655.9458129892851</v>
      </c>
      <c r="U62" s="30">
        <f t="shared" si="23"/>
        <v>76106.420400000003</v>
      </c>
      <c r="V62" s="30">
        <f t="shared" si="23"/>
        <v>155001.43290000001</v>
      </c>
      <c r="W62" s="30">
        <f t="shared" si="23"/>
        <v>1761402.3585964758</v>
      </c>
      <c r="X62" s="30">
        <f t="shared" si="23"/>
        <v>1275523.6683890047</v>
      </c>
      <c r="Y62" s="92">
        <f t="shared" ref="Y62:Y69" si="24">SUM(O62:X62)</f>
        <v>7171243.6505091256</v>
      </c>
      <c r="Z62" s="94">
        <f>1-Z61</f>
        <v>0.4868474907094652</v>
      </c>
    </row>
    <row r="63" spans="1:28" x14ac:dyDescent="0.4">
      <c r="A63" s="12"/>
      <c r="B63" s="19" t="s">
        <v>7</v>
      </c>
      <c r="C63" s="162">
        <f>Input!C72</f>
        <v>44.35</v>
      </c>
      <c r="D63" s="88">
        <f>Input!F73</f>
        <v>0.78959999999999997</v>
      </c>
      <c r="E63" s="77">
        <f>ROUND(+C63*D63,3)</f>
        <v>35.018999999999998</v>
      </c>
      <c r="H63" s="23">
        <f>Input!F80</f>
        <v>0.95</v>
      </c>
      <c r="I63" s="23">
        <f>Input!G80</f>
        <v>0.98</v>
      </c>
      <c r="J63" s="208" t="s">
        <v>429</v>
      </c>
      <c r="Y63" s="92"/>
    </row>
    <row r="64" spans="1:28" x14ac:dyDescent="0.4">
      <c r="A64" s="12"/>
      <c r="B64" s="19" t="s">
        <v>8</v>
      </c>
      <c r="C64" s="162">
        <f>Input!C73</f>
        <v>41.8</v>
      </c>
      <c r="D64" s="116">
        <f>+$D$63</f>
        <v>0.78959999999999997</v>
      </c>
      <c r="E64" s="77">
        <f>ROUND(+C64*D64,3)</f>
        <v>33.005000000000003</v>
      </c>
      <c r="H64" s="136">
        <f>+$H$63</f>
        <v>0.95</v>
      </c>
      <c r="I64" s="136">
        <f>+$I$63</f>
        <v>0.98</v>
      </c>
      <c r="J64" s="117"/>
      <c r="N64" s="36" t="s">
        <v>53</v>
      </c>
      <c r="Y64" s="92"/>
    </row>
    <row r="65" spans="1:26" x14ac:dyDescent="0.4">
      <c r="A65" s="12"/>
      <c r="B65" s="19" t="s">
        <v>9</v>
      </c>
      <c r="C65" s="162">
        <f>Input!C74</f>
        <v>33.9</v>
      </c>
      <c r="D65" s="116">
        <f>+$D$63</f>
        <v>0.78959999999999997</v>
      </c>
      <c r="E65" s="77">
        <f t="shared" ref="E65:E74" si="25">ROUND(+C65*D65,3)</f>
        <v>26.766999999999999</v>
      </c>
      <c r="H65" s="136">
        <f>+$H$63</f>
        <v>0.95</v>
      </c>
      <c r="I65" s="136">
        <f>+$I$63</f>
        <v>0.98</v>
      </c>
      <c r="J65" s="117" t="s">
        <v>315</v>
      </c>
      <c r="N65" s="28" t="s">
        <v>119</v>
      </c>
      <c r="O65" s="29">
        <f>SUMPRODUCT(C14:C17,C50:C53)</f>
        <v>2817065.8817634834</v>
      </c>
      <c r="P65" s="29">
        <f t="shared" ref="P65:X65" si="26">SUMPRODUCT(D14:D17,D50:D53)</f>
        <v>10841.937810923313</v>
      </c>
      <c r="Q65" s="29">
        <f t="shared" si="26"/>
        <v>40483.287970480596</v>
      </c>
      <c r="R65" s="29">
        <f t="shared" si="26"/>
        <v>118.746</v>
      </c>
      <c r="S65" s="29">
        <f t="shared" si="26"/>
        <v>2.0120999999999998</v>
      </c>
      <c r="T65" s="29">
        <f t="shared" si="26"/>
        <v>1237.4092430523795</v>
      </c>
      <c r="U65" s="29">
        <f t="shared" si="26"/>
        <v>8324.8592000000008</v>
      </c>
      <c r="V65" s="29">
        <f t="shared" si="26"/>
        <v>16288.872100000001</v>
      </c>
      <c r="W65" s="29">
        <f t="shared" si="26"/>
        <v>1338564.9058657703</v>
      </c>
      <c r="X65" s="29">
        <f t="shared" si="26"/>
        <v>852270.69204576989</v>
      </c>
      <c r="Y65" s="92">
        <f t="shared" si="24"/>
        <v>5085198.6040994795</v>
      </c>
      <c r="Z65" s="93">
        <f>+Y65/(Y65+Y66)</f>
        <v>0.52730358032926949</v>
      </c>
    </row>
    <row r="66" spans="1:26" x14ac:dyDescent="0.4">
      <c r="A66" s="12"/>
      <c r="B66" s="19" t="s">
        <v>10</v>
      </c>
      <c r="C66" s="162">
        <f>Input!C75</f>
        <v>29.75</v>
      </c>
      <c r="D66" s="116">
        <f>+$D$63</f>
        <v>0.78959999999999997</v>
      </c>
      <c r="E66" s="77">
        <f t="shared" si="25"/>
        <v>23.491</v>
      </c>
      <c r="H66" s="136">
        <f>+$H$63</f>
        <v>0.95</v>
      </c>
      <c r="I66" s="136">
        <f>+$I$63</f>
        <v>0.98</v>
      </c>
      <c r="J66" s="207" t="s">
        <v>419</v>
      </c>
      <c r="N66" s="28" t="s">
        <v>120</v>
      </c>
      <c r="O66" s="30">
        <f>+O49-O65</f>
        <v>2751808.6625258271</v>
      </c>
      <c r="P66" s="30">
        <f t="shared" ref="P66:X66" si="27">+P49-P65</f>
        <v>10246.052827774909</v>
      </c>
      <c r="Q66" s="30">
        <f t="shared" si="27"/>
        <v>36969.566744192198</v>
      </c>
      <c r="R66" s="30">
        <f t="shared" si="27"/>
        <v>117.254</v>
      </c>
      <c r="S66" s="30">
        <f t="shared" si="27"/>
        <v>1.9879000000000002</v>
      </c>
      <c r="T66" s="30">
        <f t="shared" si="27"/>
        <v>797.20913224047558</v>
      </c>
      <c r="U66" s="30">
        <f t="shared" si="27"/>
        <v>31523.140800000001</v>
      </c>
      <c r="V66" s="30">
        <f t="shared" si="27"/>
        <v>61613.127899999999</v>
      </c>
      <c r="W66" s="30">
        <f t="shared" si="27"/>
        <v>973054.13348036865</v>
      </c>
      <c r="X66" s="30">
        <f t="shared" si="27"/>
        <v>692448.1407328553</v>
      </c>
      <c r="Y66" s="92">
        <f t="shared" si="24"/>
        <v>4558579.2760432595</v>
      </c>
      <c r="Z66" s="94">
        <f>1-Z65</f>
        <v>0.47269641967073051</v>
      </c>
    </row>
    <row r="67" spans="1:26" x14ac:dyDescent="0.4">
      <c r="A67" s="12"/>
      <c r="B67" s="19" t="s">
        <v>11</v>
      </c>
      <c r="C67" s="162">
        <f>Input!C76</f>
        <v>30.25</v>
      </c>
      <c r="D67" s="116">
        <f>+$D$63</f>
        <v>0.78959999999999997</v>
      </c>
      <c r="E67" s="77">
        <f t="shared" si="25"/>
        <v>23.885000000000002</v>
      </c>
      <c r="H67" s="136">
        <f>+$H$63</f>
        <v>0.95</v>
      </c>
      <c r="I67" s="136">
        <f>+$I$63</f>
        <v>0.98</v>
      </c>
      <c r="J67" s="207" t="s">
        <v>420</v>
      </c>
      <c r="Y67" s="92"/>
    </row>
    <row r="68" spans="1:26" x14ac:dyDescent="0.4">
      <c r="A68" s="12"/>
      <c r="B68" s="19" t="s">
        <v>12</v>
      </c>
      <c r="C68" s="162">
        <f>Input!C77</f>
        <v>30.4</v>
      </c>
      <c r="D68" s="163">
        <f>Input!F72</f>
        <v>0.66969999999999996</v>
      </c>
      <c r="E68" s="77">
        <f t="shared" si="25"/>
        <v>20.359000000000002</v>
      </c>
      <c r="H68" s="164">
        <f>Input!F79</f>
        <v>0.9</v>
      </c>
      <c r="I68" s="164">
        <f>Input!G79</f>
        <v>0.89</v>
      </c>
      <c r="N68" s="28" t="s">
        <v>191</v>
      </c>
      <c r="O68" s="30">
        <f>+O61+O65</f>
        <v>6441210.0655141957</v>
      </c>
      <c r="P68" s="30">
        <f t="shared" ref="P68:X68" si="28">+P61+P65</f>
        <v>43553.020396359425</v>
      </c>
      <c r="Q68" s="30">
        <f t="shared" si="28"/>
        <v>85780.250265316106</v>
      </c>
      <c r="R68" s="30">
        <f t="shared" si="28"/>
        <v>409.43410000000006</v>
      </c>
      <c r="S68" s="30">
        <f t="shared" si="28"/>
        <v>6.8559000000000001</v>
      </c>
      <c r="T68" s="30">
        <f t="shared" si="28"/>
        <v>4800.1549053789831</v>
      </c>
      <c r="U68" s="30">
        <f t="shared" si="28"/>
        <v>37455.438800000004</v>
      </c>
      <c r="V68" s="30">
        <f t="shared" si="28"/>
        <v>75242.439199999993</v>
      </c>
      <c r="W68" s="30">
        <f t="shared" si="28"/>
        <v>3591713.1569479038</v>
      </c>
      <c r="X68" s="30">
        <f t="shared" si="28"/>
        <v>2363743.2877228493</v>
      </c>
      <c r="Y68" s="92">
        <f t="shared" si="24"/>
        <v>12643914.103752002</v>
      </c>
      <c r="Z68" s="93">
        <f>+Y68/(Y68+Y69)</f>
        <v>0.51875155984622112</v>
      </c>
    </row>
    <row r="69" spans="1:26" x14ac:dyDescent="0.4">
      <c r="A69" s="12"/>
      <c r="B69" s="19" t="s">
        <v>13</v>
      </c>
      <c r="C69" s="162">
        <f>Input!C78</f>
        <v>36.549999999999997</v>
      </c>
      <c r="D69" s="133">
        <f>+$D$68</f>
        <v>0.66969999999999996</v>
      </c>
      <c r="E69" s="77">
        <f t="shared" si="25"/>
        <v>24.478000000000002</v>
      </c>
      <c r="H69" s="137">
        <f>+$H$68</f>
        <v>0.9</v>
      </c>
      <c r="I69" s="137">
        <f>+$I$68</f>
        <v>0.89</v>
      </c>
      <c r="N69" s="28" t="s">
        <v>192</v>
      </c>
      <c r="O69" s="30">
        <f>+O62+O66</f>
        <v>6569633.8482153434</v>
      </c>
      <c r="P69" s="30">
        <f t="shared" ref="P69:X69" si="29">+P62+P66</f>
        <v>45477.429263828562</v>
      </c>
      <c r="Q69" s="30">
        <f t="shared" si="29"/>
        <v>83154.360929277609</v>
      </c>
      <c r="R69" s="30">
        <f t="shared" si="29"/>
        <v>424.56589999999994</v>
      </c>
      <c r="S69" s="30">
        <f t="shared" si="29"/>
        <v>7.1440999999999999</v>
      </c>
      <c r="T69" s="30">
        <f t="shared" si="29"/>
        <v>4453.1549452297604</v>
      </c>
      <c r="U69" s="30">
        <f t="shared" si="29"/>
        <v>107629.5612</v>
      </c>
      <c r="V69" s="30">
        <f t="shared" si="29"/>
        <v>216614.56080000001</v>
      </c>
      <c r="W69" s="30">
        <f t="shared" si="29"/>
        <v>2734456.4920768444</v>
      </c>
      <c r="X69" s="30">
        <f t="shared" si="29"/>
        <v>1967971.80912186</v>
      </c>
      <c r="Y69" s="92">
        <f t="shared" si="24"/>
        <v>11729822.926552385</v>
      </c>
      <c r="Z69" s="94">
        <f>1-Z68</f>
        <v>0.48124844015377888</v>
      </c>
    </row>
    <row r="70" spans="1:26" x14ac:dyDescent="0.4">
      <c r="A70" s="12"/>
      <c r="B70" s="19" t="s">
        <v>14</v>
      </c>
      <c r="C70" s="162">
        <f>Input!C79</f>
        <v>33.450000000000003</v>
      </c>
      <c r="D70" s="133">
        <f>+$D$68</f>
        <v>0.66969999999999996</v>
      </c>
      <c r="E70" s="77">
        <f t="shared" si="25"/>
        <v>22.401</v>
      </c>
      <c r="H70" s="137">
        <f>+$H$68</f>
        <v>0.9</v>
      </c>
      <c r="I70" s="137">
        <f>+$I$68</f>
        <v>0.89</v>
      </c>
    </row>
    <row r="71" spans="1:26" x14ac:dyDescent="0.4">
      <c r="A71" s="12"/>
      <c r="B71" s="19" t="s">
        <v>15</v>
      </c>
      <c r="C71" s="162">
        <f>Input!C80</f>
        <v>31.7</v>
      </c>
      <c r="D71" s="134">
        <f>+$D$68</f>
        <v>0.66969999999999996</v>
      </c>
      <c r="E71" s="77">
        <f t="shared" si="25"/>
        <v>21.228999999999999</v>
      </c>
      <c r="H71" s="138">
        <f>+$H$68</f>
        <v>0.9</v>
      </c>
      <c r="I71" s="138">
        <f>+$I$68</f>
        <v>0.89</v>
      </c>
    </row>
    <row r="72" spans="1:26" x14ac:dyDescent="0.4">
      <c r="A72" s="12"/>
      <c r="B72" s="19" t="s">
        <v>16</v>
      </c>
      <c r="C72" s="162">
        <f>Input!C81</f>
        <v>30.15</v>
      </c>
      <c r="D72" s="135">
        <f>+$D$63</f>
        <v>0.78959999999999997</v>
      </c>
      <c r="E72" s="77">
        <f t="shared" si="25"/>
        <v>23.806000000000001</v>
      </c>
      <c r="H72" s="136">
        <f>+$H$63</f>
        <v>0.95</v>
      </c>
      <c r="I72" s="136">
        <f>+$I$63</f>
        <v>0.98</v>
      </c>
    </row>
    <row r="73" spans="1:26" x14ac:dyDescent="0.4">
      <c r="A73" s="12"/>
      <c r="B73" s="19" t="s">
        <v>17</v>
      </c>
      <c r="C73" s="162">
        <f>Input!C82</f>
        <v>30.45</v>
      </c>
      <c r="D73" s="116">
        <f>+$D$63</f>
        <v>0.78959999999999997</v>
      </c>
      <c r="E73" s="77">
        <f t="shared" si="25"/>
        <v>24.042999999999999</v>
      </c>
      <c r="H73" s="136">
        <f>+$H$63</f>
        <v>0.95</v>
      </c>
      <c r="I73" s="136">
        <f>+$I$63</f>
        <v>0.98</v>
      </c>
    </row>
    <row r="74" spans="1:26" x14ac:dyDescent="0.4">
      <c r="A74" s="12"/>
      <c r="B74" s="19" t="s">
        <v>18</v>
      </c>
      <c r="C74" s="162">
        <f>Input!C83</f>
        <v>32.549999999999997</v>
      </c>
      <c r="D74" s="116">
        <f>+$D$63</f>
        <v>0.78959999999999997</v>
      </c>
      <c r="E74" s="77">
        <f t="shared" si="25"/>
        <v>25.701000000000001</v>
      </c>
      <c r="H74" s="136">
        <f>+$H$63</f>
        <v>0.95</v>
      </c>
      <c r="I74" s="136">
        <f>+$I$63</f>
        <v>0.98</v>
      </c>
    </row>
    <row r="75" spans="1:26" x14ac:dyDescent="0.4">
      <c r="A75" s="12"/>
      <c r="B75" s="19"/>
      <c r="C75" s="34"/>
      <c r="D75" s="34"/>
      <c r="G75" s="35"/>
      <c r="K75" s="35"/>
    </row>
    <row r="76" spans="1:26" x14ac:dyDescent="0.4">
      <c r="A76" s="12"/>
      <c r="B76" s="37"/>
      <c r="C76" s="37"/>
      <c r="D76" s="34"/>
      <c r="G76" s="35"/>
      <c r="K76" s="35"/>
    </row>
    <row r="77" spans="1:26" x14ac:dyDescent="0.4">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7" t="s">
        <v>295</v>
      </c>
      <c r="Q77" s="127" t="s">
        <v>296</v>
      </c>
      <c r="R77" s="127" t="s">
        <v>294</v>
      </c>
    </row>
    <row r="78" spans="1:26" x14ac:dyDescent="0.4">
      <c r="A78" s="12"/>
      <c r="B78" s="26" t="s">
        <v>277</v>
      </c>
      <c r="C78" s="105"/>
      <c r="D78" s="36"/>
      <c r="E78" s="36"/>
      <c r="F78" s="36"/>
      <c r="P78" s="1" t="s">
        <v>292</v>
      </c>
      <c r="Q78" s="205">
        <f>Input!C88</f>
        <v>5.8326999999999997E-2</v>
      </c>
      <c r="R78" s="172" t="s">
        <v>330</v>
      </c>
    </row>
    <row r="79" spans="1:26" x14ac:dyDescent="0.4">
      <c r="A79" s="12"/>
      <c r="B79" s="19" t="s">
        <v>261</v>
      </c>
      <c r="C79" s="185">
        <f>1-((1-$Q$78)*(1-$Q$79))</f>
        <v>6.2621028879999985E-2</v>
      </c>
      <c r="D79" s="141">
        <f>+$C79</f>
        <v>6.2621028879999985E-2</v>
      </c>
      <c r="E79" s="141">
        <f t="shared" ref="E79:L79" si="31">+$C79</f>
        <v>6.2621028879999985E-2</v>
      </c>
      <c r="F79" s="141">
        <f t="shared" si="31"/>
        <v>6.2621028879999985E-2</v>
      </c>
      <c r="G79" s="141">
        <f t="shared" si="31"/>
        <v>6.2621028879999985E-2</v>
      </c>
      <c r="H79" s="141">
        <f t="shared" si="31"/>
        <v>6.2621028879999985E-2</v>
      </c>
      <c r="I79" s="141">
        <f t="shared" si="31"/>
        <v>6.2621028879999985E-2</v>
      </c>
      <c r="J79" s="141">
        <f t="shared" si="31"/>
        <v>6.2621028879999985E-2</v>
      </c>
      <c r="K79" s="141">
        <f t="shared" si="31"/>
        <v>6.2621028879999985E-2</v>
      </c>
      <c r="L79" s="141">
        <f t="shared" si="31"/>
        <v>6.2621028879999985E-2</v>
      </c>
      <c r="M79" s="37"/>
      <c r="N79" s="53"/>
      <c r="P79" s="1" t="s">
        <v>293</v>
      </c>
      <c r="Q79" s="205">
        <f>Input!C89</f>
        <v>4.5599999999999998E-3</v>
      </c>
      <c r="R79" s="1" t="s">
        <v>297</v>
      </c>
    </row>
    <row r="80" spans="1:26" x14ac:dyDescent="0.4">
      <c r="A80" s="12"/>
      <c r="B80" s="1" t="s">
        <v>262</v>
      </c>
      <c r="C80" s="118">
        <f>ROUND(1/(1-C79),6)</f>
        <v>1.0668040000000001</v>
      </c>
      <c r="D80" s="118">
        <f t="shared" ref="D80:L80" si="32">ROUND(1/(1-D79),6)</f>
        <v>1.0668040000000001</v>
      </c>
      <c r="E80" s="118">
        <f t="shared" si="32"/>
        <v>1.0668040000000001</v>
      </c>
      <c r="F80" s="118">
        <f t="shared" si="32"/>
        <v>1.0668040000000001</v>
      </c>
      <c r="G80" s="118">
        <f t="shared" si="32"/>
        <v>1.0668040000000001</v>
      </c>
      <c r="H80" s="118">
        <f t="shared" si="32"/>
        <v>1.0668040000000001</v>
      </c>
      <c r="I80" s="118">
        <f t="shared" si="32"/>
        <v>1.0668040000000001</v>
      </c>
      <c r="J80" s="118">
        <f t="shared" si="32"/>
        <v>1.0668040000000001</v>
      </c>
      <c r="K80" s="118">
        <f t="shared" si="32"/>
        <v>1.0668040000000001</v>
      </c>
      <c r="L80" s="118">
        <f t="shared" si="32"/>
        <v>1.0668040000000001</v>
      </c>
      <c r="M80" s="38"/>
      <c r="P80" s="1" t="s">
        <v>299</v>
      </c>
      <c r="Q80" s="206">
        <f>+Input!C90</f>
        <v>1.1242E-2</v>
      </c>
      <c r="R80" s="1" t="s">
        <v>298</v>
      </c>
    </row>
    <row r="81" spans="1:17" x14ac:dyDescent="0.4">
      <c r="A81" s="12"/>
      <c r="B81" s="1" t="s">
        <v>263</v>
      </c>
      <c r="C81" s="118">
        <f>1/C80</f>
        <v>0.93737931241352668</v>
      </c>
      <c r="D81" s="118">
        <f t="shared" ref="D81:L81" si="33">1/D80</f>
        <v>0.93737931241352668</v>
      </c>
      <c r="E81" s="118">
        <f t="shared" si="33"/>
        <v>0.93737931241352668</v>
      </c>
      <c r="F81" s="118">
        <f t="shared" si="33"/>
        <v>0.93737931241352668</v>
      </c>
      <c r="G81" s="118">
        <f t="shared" si="33"/>
        <v>0.93737931241352668</v>
      </c>
      <c r="H81" s="118">
        <f t="shared" si="33"/>
        <v>0.93737931241352668</v>
      </c>
      <c r="I81" s="118">
        <f t="shared" si="33"/>
        <v>0.93737931241352668</v>
      </c>
      <c r="J81" s="118">
        <f t="shared" si="33"/>
        <v>0.93737931241352668</v>
      </c>
      <c r="K81" s="118">
        <f t="shared" si="33"/>
        <v>0.93737931241352668</v>
      </c>
      <c r="L81" s="118">
        <f t="shared" si="33"/>
        <v>0.93737931241352668</v>
      </c>
      <c r="M81" s="38"/>
      <c r="P81" s="1" t="s">
        <v>300</v>
      </c>
      <c r="Q81" s="148">
        <f>ROUND(1-((1-Q80)/(1-Q79)),7)</f>
        <v>6.7126E-3</v>
      </c>
    </row>
    <row r="82" spans="1:17" x14ac:dyDescent="0.4">
      <c r="A82" s="12"/>
      <c r="C82" s="38"/>
      <c r="D82" s="38"/>
      <c r="E82" s="38"/>
      <c r="F82" s="38"/>
      <c r="G82" s="38"/>
      <c r="H82" s="38"/>
      <c r="I82" s="38"/>
      <c r="J82" s="38"/>
      <c r="K82" s="38"/>
      <c r="L82" s="38"/>
      <c r="M82" s="38"/>
    </row>
    <row r="83" spans="1:17" x14ac:dyDescent="0.4">
      <c r="A83" s="12"/>
      <c r="B83" s="26" t="s">
        <v>276</v>
      </c>
      <c r="C83" s="38"/>
      <c r="D83" s="38"/>
      <c r="E83" s="38"/>
      <c r="F83" s="38"/>
      <c r="G83" s="38"/>
      <c r="H83" s="38"/>
      <c r="I83" s="38"/>
      <c r="J83" s="38"/>
      <c r="K83" s="38"/>
      <c r="L83" s="38"/>
      <c r="M83" s="38"/>
    </row>
    <row r="84" spans="1:17" x14ac:dyDescent="0.4">
      <c r="A84" s="12"/>
      <c r="B84" s="19" t="s">
        <v>261</v>
      </c>
      <c r="C84" s="185">
        <f>1-((1-$Q$78)/((1-$Q$80)/(1-$Q$79)))</f>
        <v>5.196319916501313E-2</v>
      </c>
      <c r="D84" s="141">
        <f>+$C84</f>
        <v>5.196319916501313E-2</v>
      </c>
      <c r="E84" s="141">
        <f t="shared" ref="E84:L84" si="34">+$C84</f>
        <v>5.196319916501313E-2</v>
      </c>
      <c r="F84" s="141">
        <f t="shared" si="34"/>
        <v>5.196319916501313E-2</v>
      </c>
      <c r="G84" s="141">
        <f t="shared" si="34"/>
        <v>5.196319916501313E-2</v>
      </c>
      <c r="H84" s="141">
        <f t="shared" si="34"/>
        <v>5.196319916501313E-2</v>
      </c>
      <c r="I84" s="141">
        <f t="shared" si="34"/>
        <v>5.196319916501313E-2</v>
      </c>
      <c r="J84" s="141">
        <f t="shared" si="34"/>
        <v>5.196319916501313E-2</v>
      </c>
      <c r="K84" s="141">
        <f t="shared" si="34"/>
        <v>5.196319916501313E-2</v>
      </c>
      <c r="L84" s="141">
        <f t="shared" si="34"/>
        <v>5.196319916501313E-2</v>
      </c>
      <c r="M84" s="38"/>
    </row>
    <row r="85" spans="1:17" x14ac:dyDescent="0.4">
      <c r="A85" s="12"/>
      <c r="B85" s="1" t="s">
        <v>262</v>
      </c>
      <c r="C85" s="118">
        <f>ROUND(1/(1-C84),6)</f>
        <v>1.0548109999999999</v>
      </c>
      <c r="D85" s="118">
        <f>+$C$85</f>
        <v>1.0548109999999999</v>
      </c>
      <c r="E85" s="118">
        <f t="shared" ref="E85:L85" si="35">+$C$85</f>
        <v>1.0548109999999999</v>
      </c>
      <c r="F85" s="118">
        <f t="shared" si="35"/>
        <v>1.0548109999999999</v>
      </c>
      <c r="G85" s="118">
        <f t="shared" si="35"/>
        <v>1.0548109999999999</v>
      </c>
      <c r="H85" s="118">
        <f t="shared" si="35"/>
        <v>1.0548109999999999</v>
      </c>
      <c r="I85" s="118">
        <f t="shared" si="35"/>
        <v>1.0548109999999999</v>
      </c>
      <c r="J85" s="118">
        <f t="shared" si="35"/>
        <v>1.0548109999999999</v>
      </c>
      <c r="K85" s="118">
        <f t="shared" si="35"/>
        <v>1.0548109999999999</v>
      </c>
      <c r="L85" s="118">
        <f t="shared" si="35"/>
        <v>1.0548109999999999</v>
      </c>
      <c r="M85" s="38"/>
    </row>
    <row r="86" spans="1:17" x14ac:dyDescent="0.4">
      <c r="A86" s="12"/>
      <c r="B86" s="1" t="s">
        <v>263</v>
      </c>
      <c r="C86" s="118">
        <f>1/C85</f>
        <v>0.94803713651071142</v>
      </c>
      <c r="D86" s="118">
        <f t="shared" ref="D86:L86" si="36">1/D85</f>
        <v>0.94803713651071142</v>
      </c>
      <c r="E86" s="118">
        <f t="shared" si="36"/>
        <v>0.94803713651071142</v>
      </c>
      <c r="F86" s="118">
        <f t="shared" si="36"/>
        <v>0.94803713651071142</v>
      </c>
      <c r="G86" s="118">
        <f t="shared" si="36"/>
        <v>0.94803713651071142</v>
      </c>
      <c r="H86" s="118">
        <f t="shared" si="36"/>
        <v>0.94803713651071142</v>
      </c>
      <c r="I86" s="118">
        <f t="shared" si="36"/>
        <v>0.94803713651071142</v>
      </c>
      <c r="J86" s="118">
        <f t="shared" si="36"/>
        <v>0.94803713651071142</v>
      </c>
      <c r="K86" s="118">
        <f t="shared" si="36"/>
        <v>0.94803713651071142</v>
      </c>
      <c r="L86" s="118">
        <f t="shared" si="36"/>
        <v>0.94803713651071142</v>
      </c>
      <c r="M86" s="38"/>
    </row>
    <row r="87" spans="1:17" x14ac:dyDescent="0.4">
      <c r="A87" s="12"/>
      <c r="C87" s="132"/>
      <c r="D87" s="38"/>
      <c r="E87" s="38"/>
      <c r="F87" s="38"/>
      <c r="G87" s="38"/>
      <c r="H87" s="38"/>
      <c r="I87" s="38"/>
      <c r="J87" s="38"/>
      <c r="K87" s="38"/>
      <c r="L87" s="38"/>
      <c r="M87" s="38"/>
    </row>
    <row r="88" spans="1:17" x14ac:dyDescent="0.4">
      <c r="A88" s="12"/>
    </row>
    <row r="89" spans="1:17" x14ac:dyDescent="0.4">
      <c r="A89" s="8" t="s">
        <v>68</v>
      </c>
      <c r="B89" s="6" t="s">
        <v>138</v>
      </c>
    </row>
    <row r="90" spans="1:17" x14ac:dyDescent="0.4">
      <c r="B90" s="7" t="s">
        <v>233</v>
      </c>
    </row>
    <row r="91" spans="1:17" x14ac:dyDescent="0.4">
      <c r="A91" s="12"/>
      <c r="B91" s="7" t="s">
        <v>40</v>
      </c>
    </row>
    <row r="92" spans="1:17" x14ac:dyDescent="0.4">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4">
      <c r="A93" s="12"/>
    </row>
    <row r="94" spans="1:17" x14ac:dyDescent="0.4">
      <c r="A94" s="12"/>
      <c r="B94" s="19" t="s">
        <v>23</v>
      </c>
      <c r="C94" s="3">
        <f t="shared" ref="C94:L94" si="38">(SUMPRODUCT(C14:C17,C50:C53,$C68:$C71,$H68:$H71)*C80+SUMPRODUCT(O14:O17,C50:C53,$E68:$E71,$I68:$I71)*C80)/SUM(C50:C53)</f>
        <v>26.678002481533738</v>
      </c>
      <c r="D94" s="3">
        <f t="shared" si="38"/>
        <v>26.613232979186638</v>
      </c>
      <c r="E94" s="3">
        <f t="shared" si="38"/>
        <v>26.863329665822157</v>
      </c>
      <c r="F94" s="3">
        <f t="shared" si="38"/>
        <v>26.219691669302293</v>
      </c>
      <c r="G94" s="3">
        <f t="shared" si="38"/>
        <v>26.385808427772048</v>
      </c>
      <c r="H94" s="3">
        <f t="shared" si="38"/>
        <v>27.622029726898067</v>
      </c>
      <c r="I94" s="3">
        <f t="shared" si="38"/>
        <v>23.226093575982993</v>
      </c>
      <c r="J94" s="3">
        <f t="shared" si="38"/>
        <v>23.103555956459694</v>
      </c>
      <c r="K94" s="3">
        <f t="shared" si="38"/>
        <v>27.311247171737925</v>
      </c>
      <c r="L94" s="3">
        <f t="shared" si="38"/>
        <v>26.974444710433822</v>
      </c>
      <c r="M94" s="3"/>
    </row>
    <row r="95" spans="1:17" x14ac:dyDescent="0.4">
      <c r="A95" s="12"/>
      <c r="B95" s="39" t="s">
        <v>80</v>
      </c>
      <c r="C95" s="3">
        <f t="shared" ref="C95:L95" si="39">(SUMPRODUCT(C14:C17,C50:C53,$C68:$C71,$H68:$H71)*C80)/SUMPRODUCT(C14:C17,C50:C53)</f>
        <v>32.015533073706457</v>
      </c>
      <c r="D95" s="3">
        <f t="shared" si="39"/>
        <v>31.836642489604866</v>
      </c>
      <c r="E95" s="3">
        <f t="shared" si="39"/>
        <v>32.017854391528992</v>
      </c>
      <c r="F95" s="3">
        <f t="shared" si="39"/>
        <v>31.508827054259367</v>
      </c>
      <c r="G95" s="3">
        <f t="shared" si="39"/>
        <v>31.707694185400335</v>
      </c>
      <c r="H95" s="3">
        <f t="shared" si="39"/>
        <v>31.821046987208447</v>
      </c>
      <c r="I95" s="3">
        <f t="shared" si="39"/>
        <v>31.638126011388795</v>
      </c>
      <c r="J95" s="3">
        <f t="shared" si="39"/>
        <v>31.477439727004818</v>
      </c>
      <c r="K95" s="3">
        <f t="shared" si="39"/>
        <v>31.831240207578354</v>
      </c>
      <c r="L95" s="3">
        <f t="shared" si="39"/>
        <v>31.77262078211853</v>
      </c>
      <c r="M95" s="3"/>
    </row>
    <row r="96" spans="1:17" x14ac:dyDescent="0.4">
      <c r="A96" s="12"/>
      <c r="B96" s="39" t="s">
        <v>81</v>
      </c>
      <c r="C96" s="3">
        <f t="shared" ref="C96:L96" si="40">(SUMPRODUCT(O14:O17,C50:C53,$E68:$E71,$I68:$I71)*C80)/SUMPRODUCT(O14:O17,C50:C53)</f>
        <v>21.213896081680634</v>
      </c>
      <c r="D96" s="3">
        <f t="shared" si="40"/>
        <v>21.086042945633164</v>
      </c>
      <c r="E96" s="3">
        <f t="shared" si="40"/>
        <v>21.218900282442</v>
      </c>
      <c r="F96" s="3">
        <f t="shared" si="40"/>
        <v>20.863254614514286</v>
      </c>
      <c r="G96" s="3">
        <f t="shared" si="40"/>
        <v>20.999135892471546</v>
      </c>
      <c r="H96" s="3">
        <f t="shared" si="40"/>
        <v>21.10441401037712</v>
      </c>
      <c r="I96" s="3">
        <f t="shared" si="40"/>
        <v>21.004583160669732</v>
      </c>
      <c r="J96" s="3">
        <f t="shared" si="40"/>
        <v>20.889723833863055</v>
      </c>
      <c r="K96" s="3">
        <f t="shared" si="40"/>
        <v>21.093397779440224</v>
      </c>
      <c r="L96" s="3">
        <f t="shared" si="40"/>
        <v>21.068811348714924</v>
      </c>
      <c r="M96" s="3"/>
    </row>
    <row r="97" spans="1:13" x14ac:dyDescent="0.4">
      <c r="A97" s="12"/>
      <c r="C97" s="40"/>
      <c r="D97" s="40"/>
      <c r="E97" s="40"/>
      <c r="F97" s="40"/>
      <c r="G97" s="40"/>
      <c r="H97" s="40"/>
      <c r="I97" s="40"/>
      <c r="J97" s="40"/>
      <c r="K97" s="40"/>
      <c r="L97" s="40"/>
      <c r="M97" s="40"/>
    </row>
    <row r="98" spans="1:13" x14ac:dyDescent="0.4">
      <c r="A98" s="12"/>
      <c r="B98" s="19" t="s">
        <v>24</v>
      </c>
      <c r="C98" s="3">
        <f t="shared" ref="C98:L98" si="41">(SUMPRODUCT(C9:C13,C45:C49,$C63:$C67,$H63:$H67)*C80+SUMPRODUCT(O9:O13,C45:C49,$E63:$E67,$I63:$I67)*C80+SUMPRODUCT(C18:C20,C54:C56,$C72:$C74,$H72:$H74)*C80+SUMPRODUCT(O18:O20,C54:C56,$E72:$E74,$I72:$I74)*C80)/SUM(C45:C49,C54:C56)</f>
        <v>31.809641970139413</v>
      </c>
      <c r="D98" s="3">
        <f t="shared" si="41"/>
        <v>32.877661045052918</v>
      </c>
      <c r="E98" s="3">
        <f t="shared" si="41"/>
        <v>31.797660536689246</v>
      </c>
      <c r="F98" s="3">
        <f t="shared" si="41"/>
        <v>31.691764924851149</v>
      </c>
      <c r="G98" s="3">
        <f t="shared" si="41"/>
        <v>32.900800136919003</v>
      </c>
      <c r="H98" s="3">
        <f t="shared" si="41"/>
        <v>33.165079023533025</v>
      </c>
      <c r="I98" s="3">
        <f t="shared" si="41"/>
        <v>30.311010826842708</v>
      </c>
      <c r="J98" s="3">
        <f t="shared" si="41"/>
        <v>30.382723589201618</v>
      </c>
      <c r="K98" s="3">
        <f t="shared" si="41"/>
        <v>31.968587187539811</v>
      </c>
      <c r="L98" s="3">
        <f t="shared" si="41"/>
        <v>31.746907027645413</v>
      </c>
      <c r="M98" s="3"/>
    </row>
    <row r="99" spans="1:13" x14ac:dyDescent="0.4">
      <c r="A99" s="12"/>
      <c r="B99" s="39" t="s">
        <v>80</v>
      </c>
      <c r="C99" s="3">
        <f t="shared" ref="C99:L99" si="42">(SUMPRODUCT(C9:C13,C45:C49,$C63:$C67,$H63:$H67)*C80+SUMPRODUCT(C18:C20,C54:C56,$C72:$C74,$H72:$H74)*C80)/(SUMPRODUCT(C9:C13,C45:C49)+SUMPRODUCT(C18:C20,C54:C56))</f>
        <v>35.132776986800486</v>
      </c>
      <c r="D99" s="3">
        <f t="shared" si="42"/>
        <v>36.351229580876975</v>
      </c>
      <c r="E99" s="3">
        <f t="shared" si="42"/>
        <v>35.056043641593831</v>
      </c>
      <c r="F99" s="3">
        <f t="shared" si="42"/>
        <v>35.019806553051659</v>
      </c>
      <c r="G99" s="3">
        <f t="shared" si="42"/>
        <v>36.393946826571494</v>
      </c>
      <c r="H99" s="3">
        <f t="shared" si="42"/>
        <v>36.41286293201248</v>
      </c>
      <c r="I99" s="3">
        <f t="shared" si="42"/>
        <v>35.334331495610968</v>
      </c>
      <c r="J99" s="3">
        <f t="shared" si="42"/>
        <v>35.45280482775749</v>
      </c>
      <c r="K99" s="3">
        <f t="shared" si="42"/>
        <v>34.753554620065792</v>
      </c>
      <c r="L99" s="3">
        <f t="shared" si="42"/>
        <v>34.635976044176111</v>
      </c>
      <c r="M99" s="3"/>
    </row>
    <row r="100" spans="1:13" x14ac:dyDescent="0.4">
      <c r="A100" s="12"/>
      <c r="B100" s="39" t="s">
        <v>81</v>
      </c>
      <c r="C100" s="3">
        <f t="shared" ref="C100:L100" si="43">(SUMPRODUCT(O9:O13,C45:C49,$E63:$E67,$I63:$I67)*C80+SUMPRODUCT(O18:O20,C54:C56,$E72:$E74,$I72:$I74)*C80)/(SUMPRODUCT(O9:O13,C45:C49)+SUMPRODUCT(O18:O20,C54:C56))</f>
        <v>28.655091969370979</v>
      </c>
      <c r="D100" s="3">
        <f t="shared" si="43"/>
        <v>29.652575943772671</v>
      </c>
      <c r="E100" s="3">
        <f t="shared" si="43"/>
        <v>28.601914853521187</v>
      </c>
      <c r="F100" s="3">
        <f t="shared" si="43"/>
        <v>28.543751139434722</v>
      </c>
      <c r="G100" s="3">
        <f t="shared" si="43"/>
        <v>29.619293613638533</v>
      </c>
      <c r="H100" s="3">
        <f t="shared" si="43"/>
        <v>30.000090092078295</v>
      </c>
      <c r="I100" s="3">
        <f t="shared" si="43"/>
        <v>28.388278922901019</v>
      </c>
      <c r="J100" s="3">
        <f t="shared" si="43"/>
        <v>28.45435835471703</v>
      </c>
      <c r="K100" s="3">
        <f t="shared" si="43"/>
        <v>28.406116370300381</v>
      </c>
      <c r="L100" s="3">
        <f t="shared" si="43"/>
        <v>28.32341222803803</v>
      </c>
      <c r="M100" s="3"/>
    </row>
    <row r="101" spans="1:13" x14ac:dyDescent="0.4">
      <c r="A101" s="12"/>
      <c r="C101" s="40"/>
      <c r="D101" s="40"/>
      <c r="E101" s="40"/>
      <c r="F101" s="40"/>
      <c r="G101" s="40"/>
      <c r="H101" s="40"/>
      <c r="I101" s="40"/>
      <c r="J101" s="40"/>
      <c r="K101" s="40"/>
      <c r="L101" s="40"/>
      <c r="M101" s="40"/>
    </row>
    <row r="102" spans="1:13" x14ac:dyDescent="0.4">
      <c r="A102" s="12"/>
      <c r="B102" s="1" t="s">
        <v>22</v>
      </c>
      <c r="C102" s="3">
        <f t="shared" ref="C102:L102" si="44">(C94*SUM(C50:C53)+C98*SUM(C45:C49,C54:C56))/C57</f>
        <v>29.613208233169438</v>
      </c>
      <c r="D102" s="41">
        <f t="shared" si="44"/>
        <v>31.393851843661672</v>
      </c>
      <c r="E102" s="41">
        <f t="shared" si="44"/>
        <v>29.535376867564938</v>
      </c>
      <c r="F102" s="41">
        <f t="shared" si="44"/>
        <v>30.143312540786965</v>
      </c>
      <c r="G102" s="41">
        <f t="shared" si="44"/>
        <v>31.039373934305587</v>
      </c>
      <c r="H102" s="41">
        <f t="shared" si="44"/>
        <v>31.946272981568946</v>
      </c>
      <c r="I102" s="41">
        <f t="shared" si="44"/>
        <v>28.365118538789098</v>
      </c>
      <c r="J102" s="41">
        <f t="shared" si="44"/>
        <v>28.439779897853249</v>
      </c>
      <c r="K102" s="41">
        <f t="shared" si="44"/>
        <v>30.266768164255158</v>
      </c>
      <c r="L102" s="41">
        <f t="shared" si="44"/>
        <v>30.045014762040726</v>
      </c>
      <c r="M102" s="41"/>
    </row>
    <row r="103" spans="1:13" x14ac:dyDescent="0.4">
      <c r="A103" s="12"/>
      <c r="C103" s="3"/>
      <c r="D103" s="41"/>
      <c r="E103" s="41"/>
      <c r="F103" s="41"/>
      <c r="G103" s="41"/>
      <c r="H103" s="41"/>
      <c r="I103" s="41"/>
      <c r="J103" s="41"/>
      <c r="K103" s="41"/>
      <c r="L103" s="41"/>
      <c r="M103" s="41"/>
    </row>
    <row r="104" spans="1:13" x14ac:dyDescent="0.4">
      <c r="A104" s="12"/>
      <c r="B104" s="1" t="s">
        <v>83</v>
      </c>
      <c r="C104" s="42">
        <f>SUMPRODUCT(C102:L102,C57:L57)/SUM(C57:L57)</f>
        <v>29.844968968917858</v>
      </c>
      <c r="D104" s="41"/>
      <c r="E104" s="41"/>
      <c r="F104" s="41"/>
      <c r="G104" s="41"/>
      <c r="H104" s="41"/>
      <c r="I104" s="41"/>
      <c r="J104" s="41"/>
      <c r="K104" s="41"/>
      <c r="L104" s="41"/>
      <c r="M104" s="41"/>
    </row>
    <row r="105" spans="1:13" x14ac:dyDescent="0.4">
      <c r="A105" s="12"/>
      <c r="C105" s="3"/>
      <c r="D105" s="41"/>
      <c r="E105" s="41"/>
      <c r="F105" s="41"/>
      <c r="G105" s="41"/>
      <c r="H105" s="41"/>
      <c r="I105" s="41"/>
      <c r="J105" s="41"/>
      <c r="K105" s="41"/>
      <c r="L105" s="41"/>
      <c r="M105" s="41"/>
    </row>
    <row r="106" spans="1:13" x14ac:dyDescent="0.4">
      <c r="A106" s="12"/>
      <c r="C106" s="41"/>
      <c r="D106" s="41"/>
      <c r="E106" s="41"/>
      <c r="F106" s="41"/>
      <c r="G106" s="41"/>
      <c r="H106" s="41"/>
      <c r="I106" s="41"/>
      <c r="J106" s="41"/>
      <c r="K106" s="41"/>
      <c r="L106" s="41"/>
      <c r="M106" s="41"/>
    </row>
    <row r="107" spans="1:13" x14ac:dyDescent="0.4">
      <c r="A107" s="8" t="s">
        <v>69</v>
      </c>
      <c r="B107" s="6" t="s">
        <v>132</v>
      </c>
      <c r="C107" s="41"/>
      <c r="D107" s="41"/>
      <c r="E107" s="41"/>
      <c r="F107" s="41"/>
      <c r="G107" s="41"/>
      <c r="H107" s="41"/>
      <c r="I107" s="41"/>
      <c r="J107" s="41"/>
      <c r="K107" s="41"/>
      <c r="L107" s="41"/>
      <c r="M107" s="41"/>
    </row>
    <row r="108" spans="1:13" x14ac:dyDescent="0.4">
      <c r="A108" s="12"/>
      <c r="B108" s="7" t="s">
        <v>234</v>
      </c>
      <c r="C108" s="41"/>
      <c r="D108" s="41"/>
      <c r="E108" s="41"/>
      <c r="F108" s="41"/>
      <c r="G108" s="41"/>
      <c r="H108" s="41"/>
      <c r="I108" s="41"/>
      <c r="J108" s="41"/>
      <c r="K108" s="41"/>
      <c r="L108" s="41"/>
      <c r="M108" s="41"/>
    </row>
    <row r="109" spans="1:13" x14ac:dyDescent="0.4">
      <c r="A109" s="12"/>
      <c r="B109" s="7" t="s">
        <v>82</v>
      </c>
      <c r="C109" s="41"/>
      <c r="D109" s="41"/>
      <c r="E109" s="41"/>
      <c r="F109" s="41"/>
      <c r="G109" s="41"/>
      <c r="H109" s="41"/>
      <c r="I109" s="41"/>
      <c r="J109" s="41"/>
      <c r="K109" s="41"/>
      <c r="L109" s="41"/>
      <c r="M109" s="41"/>
    </row>
    <row r="110" spans="1:13" x14ac:dyDescent="0.4">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4">
      <c r="A111" s="12"/>
      <c r="C111" s="2"/>
    </row>
    <row r="112" spans="1:13" x14ac:dyDescent="0.4">
      <c r="A112" s="12"/>
      <c r="B112" s="19" t="s">
        <v>23</v>
      </c>
      <c r="C112" s="43">
        <f t="shared" ref="C112:L112" si="46">SUM(C50:C53)*C94/1000</f>
        <v>148566.44891190028</v>
      </c>
      <c r="D112" s="43">
        <f t="shared" si="46"/>
        <v>561.21960793058258</v>
      </c>
      <c r="E112" s="43">
        <f t="shared" si="46"/>
        <v>2080.6415697592834</v>
      </c>
      <c r="F112" s="43">
        <f t="shared" si="46"/>
        <v>6.187847233955341</v>
      </c>
      <c r="G112" s="43">
        <f t="shared" si="46"/>
        <v>0.10554323371108819</v>
      </c>
      <c r="H112" s="43">
        <f t="shared" si="46"/>
        <v>56.200289245232284</v>
      </c>
      <c r="I112" s="43">
        <f t="shared" si="46"/>
        <v>925.51337681577024</v>
      </c>
      <c r="J112" s="43">
        <f t="shared" si="46"/>
        <v>1799.8132161201231</v>
      </c>
      <c r="K112" s="43">
        <f t="shared" si="46"/>
        <v>63133.198950477781</v>
      </c>
      <c r="L112" s="43">
        <f t="shared" si="46"/>
        <v>41667.932747952895</v>
      </c>
      <c r="M112" s="43"/>
    </row>
    <row r="113" spans="1:30" x14ac:dyDescent="0.4">
      <c r="A113" s="12"/>
      <c r="B113" s="39" t="s">
        <v>80</v>
      </c>
      <c r="C113" s="43">
        <f t="shared" ref="C113:L113" si="47">SUMPRODUCT(C50:C53,C14:C17)*C95/1000</f>
        <v>90189.865908408858</v>
      </c>
      <c r="D113" s="43">
        <f t="shared" si="47"/>
        <v>345.17089798089472</v>
      </c>
      <c r="E113" s="43">
        <f t="shared" si="47"/>
        <v>1296.1880195291851</v>
      </c>
      <c r="F113" s="43">
        <f t="shared" si="47"/>
        <v>3.7415471773850828</v>
      </c>
      <c r="G113" s="43">
        <f t="shared" si="47"/>
        <v>6.3799051470444013E-2</v>
      </c>
      <c r="H113" s="43">
        <f t="shared" si="47"/>
        <v>39.375657665575801</v>
      </c>
      <c r="I113" s="43">
        <f t="shared" si="47"/>
        <v>263.38294439666936</v>
      </c>
      <c r="J113" s="43">
        <f t="shared" si="47"/>
        <v>512.73198974864044</v>
      </c>
      <c r="K113" s="43">
        <f t="shared" si="47"/>
        <v>42608.181052047839</v>
      </c>
      <c r="L113" s="43">
        <f t="shared" si="47"/>
        <v>27078.873502083967</v>
      </c>
      <c r="M113" s="43"/>
    </row>
    <row r="114" spans="1:30" x14ac:dyDescent="0.4">
      <c r="A114" s="12"/>
      <c r="B114" s="39" t="s">
        <v>81</v>
      </c>
      <c r="C114" s="43">
        <f t="shared" ref="C114:L114" si="48">SUMPRODUCT(C50:C53,O14:O17)*C96/1000</f>
        <v>58376.58300349144</v>
      </c>
      <c r="D114" s="43">
        <f t="shared" si="48"/>
        <v>216.04870994968786</v>
      </c>
      <c r="E114" s="43">
        <f t="shared" si="48"/>
        <v>784.45355023009802</v>
      </c>
      <c r="F114" s="43">
        <f t="shared" si="48"/>
        <v>2.4463000565702582</v>
      </c>
      <c r="G114" s="43">
        <f t="shared" si="48"/>
        <v>4.174418224064419E-2</v>
      </c>
      <c r="H114" s="43">
        <f t="shared" si="48"/>
        <v>16.824631579656479</v>
      </c>
      <c r="I114" s="43">
        <f t="shared" si="48"/>
        <v>662.130432419101</v>
      </c>
      <c r="J114" s="43">
        <f t="shared" si="48"/>
        <v>1287.0812263714827</v>
      </c>
      <c r="K114" s="43">
        <f t="shared" si="48"/>
        <v>20525.017898429942</v>
      </c>
      <c r="L114" s="43">
        <f t="shared" si="48"/>
        <v>14589.059245868928</v>
      </c>
      <c r="M114" s="43"/>
    </row>
    <row r="115" spans="1:30" x14ac:dyDescent="0.4">
      <c r="A115" s="12"/>
      <c r="C115" s="44"/>
      <c r="D115" s="44"/>
      <c r="E115" s="44"/>
      <c r="F115" s="44"/>
      <c r="G115" s="44"/>
      <c r="H115" s="44"/>
      <c r="I115" s="44"/>
      <c r="J115" s="44"/>
      <c r="K115" s="44"/>
      <c r="L115" s="44"/>
      <c r="M115" s="44"/>
    </row>
    <row r="116" spans="1:30" x14ac:dyDescent="0.4">
      <c r="A116" s="12"/>
      <c r="B116" s="19" t="s">
        <v>24</v>
      </c>
      <c r="C116" s="44">
        <f t="shared" ref="C116:L116" si="49">SUM(C45:C49,C54:C56)*C98/1000</f>
        <v>236726.3811946378</v>
      </c>
      <c r="D116" s="44">
        <f t="shared" si="49"/>
        <v>2233.7891382759381</v>
      </c>
      <c r="E116" s="44">
        <f t="shared" si="49"/>
        <v>2908.9058378485965</v>
      </c>
      <c r="F116" s="44">
        <f t="shared" si="49"/>
        <v>18.951675425060987</v>
      </c>
      <c r="G116" s="44">
        <f t="shared" si="49"/>
        <v>0.32900800136919001</v>
      </c>
      <c r="H116" s="44">
        <f t="shared" si="49"/>
        <v>239.40847322535564</v>
      </c>
      <c r="I116" s="44">
        <f t="shared" si="49"/>
        <v>3189.839846384446</v>
      </c>
      <c r="J116" s="44">
        <f t="shared" si="49"/>
        <v>6500.5356255276329</v>
      </c>
      <c r="K116" s="44">
        <f t="shared" si="49"/>
        <v>128339.51118430172</v>
      </c>
      <c r="L116" s="44">
        <f t="shared" si="49"/>
        <v>88478.511281701067</v>
      </c>
      <c r="M116" s="44"/>
    </row>
    <row r="117" spans="1:30" x14ac:dyDescent="0.4">
      <c r="A117" s="12"/>
      <c r="B117" s="39" t="s">
        <v>80</v>
      </c>
      <c r="C117" s="43">
        <f t="shared" ref="C117:L117" si="50">(SUMPRODUCT(C45:C49,C9:C13)+SUMPRODUCT(C54:C56,C18:C20))*C99/1000</f>
        <v>127326.24937572384</v>
      </c>
      <c r="D117" s="43">
        <f t="shared" si="50"/>
        <v>1189.0880729022147</v>
      </c>
      <c r="E117" s="43">
        <f t="shared" si="50"/>
        <v>1587.9322870393835</v>
      </c>
      <c r="F117" s="43">
        <f t="shared" si="50"/>
        <v>10.179841029274138</v>
      </c>
      <c r="G117" s="43">
        <f t="shared" si="50"/>
        <v>0.17628499963854702</v>
      </c>
      <c r="H117" s="43">
        <f t="shared" si="50"/>
        <v>129.72976946392063</v>
      </c>
      <c r="I117" s="43">
        <f t="shared" si="50"/>
        <v>1029.3095562456824</v>
      </c>
      <c r="J117" s="43">
        <f t="shared" si="50"/>
        <v>2090.0693082964049</v>
      </c>
      <c r="K117" s="43">
        <f t="shared" si="50"/>
        <v>78304.91081108863</v>
      </c>
      <c r="L117" s="43">
        <f t="shared" si="50"/>
        <v>52351.328615300001</v>
      </c>
      <c r="M117" s="43"/>
    </row>
    <row r="118" spans="1:30" x14ac:dyDescent="0.4">
      <c r="A118" s="12"/>
      <c r="B118" s="39" t="s">
        <v>81</v>
      </c>
      <c r="C118" s="43">
        <f t="shared" ref="C118:L118" si="51">+(SUMPRODUCT(C45:C49,O9:O13)+SUMPRODUCT(C54:C56,O18:O20))*C100/1000</f>
        <v>109400.13181891394</v>
      </c>
      <c r="D118" s="43">
        <f t="shared" si="51"/>
        <v>1044.7010653737238</v>
      </c>
      <c r="E118" s="43">
        <f t="shared" si="51"/>
        <v>1320.9735508092133</v>
      </c>
      <c r="F118" s="43">
        <f t="shared" si="51"/>
        <v>8.7718343957868488</v>
      </c>
      <c r="G118" s="43">
        <f t="shared" si="51"/>
        <v>0.15272300173064302</v>
      </c>
      <c r="H118" s="43">
        <f t="shared" si="51"/>
        <v>109.678703761435</v>
      </c>
      <c r="I118" s="43">
        <f t="shared" si="51"/>
        <v>2160.5302901387645</v>
      </c>
      <c r="J118" s="43">
        <f t="shared" si="51"/>
        <v>4410.4663172312266</v>
      </c>
      <c r="K118" s="43">
        <f t="shared" si="51"/>
        <v>50034.60037321307</v>
      </c>
      <c r="L118" s="43">
        <f t="shared" si="51"/>
        <v>36127.18266640108</v>
      </c>
      <c r="M118" s="43"/>
    </row>
    <row r="119" spans="1:30" x14ac:dyDescent="0.4">
      <c r="A119" s="12"/>
      <c r="C119" s="40"/>
      <c r="D119" s="40"/>
      <c r="E119" s="40"/>
      <c r="F119" s="40"/>
      <c r="G119" s="40"/>
      <c r="H119" s="40"/>
      <c r="I119" s="40"/>
      <c r="J119" s="40"/>
      <c r="K119" s="40"/>
      <c r="L119" s="40"/>
      <c r="M119" s="40"/>
    </row>
    <row r="120" spans="1:30" x14ac:dyDescent="0.4">
      <c r="A120" s="12"/>
      <c r="B120" s="1" t="s">
        <v>22</v>
      </c>
      <c r="C120" s="44">
        <f>+C112+C116</f>
        <v>385292.83010653808</v>
      </c>
      <c r="D120" s="44">
        <f t="shared" ref="D120:L120" si="52">+D112+D116</f>
        <v>2795.0087462065208</v>
      </c>
      <c r="E120" s="44">
        <f t="shared" si="52"/>
        <v>4989.5474076078799</v>
      </c>
      <c r="F120" s="44">
        <f t="shared" si="52"/>
        <v>25.139522659016329</v>
      </c>
      <c r="G120" s="44">
        <f t="shared" si="52"/>
        <v>0.43455123508027821</v>
      </c>
      <c r="H120" s="44">
        <f t="shared" si="52"/>
        <v>295.60876247058792</v>
      </c>
      <c r="I120" s="44">
        <f t="shared" si="52"/>
        <v>4115.3532232002162</v>
      </c>
      <c r="J120" s="44">
        <f t="shared" si="52"/>
        <v>8300.3488416477558</v>
      </c>
      <c r="K120" s="44">
        <f t="shared" si="52"/>
        <v>191472.71013477951</v>
      </c>
      <c r="L120" s="44">
        <f t="shared" si="52"/>
        <v>130146.44402965397</v>
      </c>
      <c r="M120" s="44"/>
    </row>
    <row r="121" spans="1:30" x14ac:dyDescent="0.4">
      <c r="A121" s="12"/>
    </row>
    <row r="122" spans="1:30" x14ac:dyDescent="0.4">
      <c r="A122" s="12"/>
      <c r="B122" s="1" t="s">
        <v>83</v>
      </c>
      <c r="C122" s="43">
        <f>SUM(C120:L120)</f>
        <v>727433.42532599857</v>
      </c>
      <c r="E122" s="45"/>
      <c r="F122" s="3"/>
    </row>
    <row r="123" spans="1:30" x14ac:dyDescent="0.4">
      <c r="A123" s="12"/>
    </row>
    <row r="124" spans="1:30" x14ac:dyDescent="0.4">
      <c r="A124" s="12"/>
    </row>
    <row r="125" spans="1:30" x14ac:dyDescent="0.4">
      <c r="A125" s="8" t="s">
        <v>70</v>
      </c>
      <c r="B125" s="6" t="s">
        <v>133</v>
      </c>
      <c r="C125" s="41"/>
      <c r="Q125" s="1" t="s">
        <v>144</v>
      </c>
      <c r="T125" s="1" t="s">
        <v>143</v>
      </c>
      <c r="W125" s="1" t="s">
        <v>145</v>
      </c>
      <c r="Z125" s="1" t="s">
        <v>147</v>
      </c>
    </row>
    <row r="126" spans="1:30" x14ac:dyDescent="0.4">
      <c r="A126" s="12"/>
      <c r="B126" s="7" t="s">
        <v>235</v>
      </c>
      <c r="C126" s="41"/>
      <c r="W126" s="1" t="s">
        <v>146</v>
      </c>
      <c r="Z126" s="1" t="s">
        <v>148</v>
      </c>
      <c r="AC126" s="1" t="s">
        <v>149</v>
      </c>
    </row>
    <row r="127" spans="1:30" x14ac:dyDescent="0.4">
      <c r="A127" s="12"/>
      <c r="B127" s="7" t="s">
        <v>40</v>
      </c>
      <c r="C127" s="41"/>
    </row>
    <row r="128" spans="1:30" x14ac:dyDescent="0.4">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4">
      <c r="A129" s="12"/>
      <c r="C129" s="2"/>
    </row>
    <row r="130" spans="1:39" x14ac:dyDescent="0.4">
      <c r="A130" s="12"/>
      <c r="B130" s="19" t="s">
        <v>23</v>
      </c>
      <c r="C130" s="42">
        <f t="shared" ref="C130:L130" si="54">+C112/SUM(C50:C53)*1000</f>
        <v>26.678002481533735</v>
      </c>
      <c r="D130" s="42">
        <f t="shared" si="54"/>
        <v>26.613232979186634</v>
      </c>
      <c r="E130" s="42">
        <f t="shared" si="54"/>
        <v>26.86332966582216</v>
      </c>
      <c r="F130" s="42">
        <f t="shared" si="54"/>
        <v>26.219691669302293</v>
      </c>
      <c r="G130" s="42">
        <f t="shared" si="54"/>
        <v>26.385808427772048</v>
      </c>
      <c r="H130" s="42">
        <f t="shared" si="54"/>
        <v>27.622029726898067</v>
      </c>
      <c r="I130" s="42">
        <f t="shared" si="54"/>
        <v>23.22609357598299</v>
      </c>
      <c r="J130" s="42">
        <f t="shared" si="54"/>
        <v>23.103555956459694</v>
      </c>
      <c r="K130" s="42">
        <f t="shared" si="54"/>
        <v>27.311247171737925</v>
      </c>
      <c r="L130" s="42">
        <f t="shared" si="54"/>
        <v>26.974444710433822</v>
      </c>
      <c r="M130" s="42"/>
    </row>
    <row r="131" spans="1:39" x14ac:dyDescent="0.4">
      <c r="A131" s="12"/>
      <c r="B131" s="39" t="s">
        <v>84</v>
      </c>
      <c r="C131" s="43"/>
      <c r="E131" s="42">
        <f>+(E113*1000-W131*AVERAGE(E$95,E$96))/Q131</f>
        <v>32.497890199635826</v>
      </c>
      <c r="F131" s="42"/>
      <c r="G131" s="43"/>
      <c r="H131" s="43"/>
      <c r="I131" s="43"/>
      <c r="J131" s="43"/>
      <c r="K131" s="43"/>
      <c r="L131" s="42">
        <f>+(L113*1000-X131*AVERAGE(L$95,L$96))/R131</f>
        <v>32.303636740553401</v>
      </c>
      <c r="M131" s="42"/>
      <c r="N131" s="42"/>
      <c r="Q131" s="30">
        <f>SUMPRODUCT(E50:E53,E32:E35)</f>
        <v>37178.009402389973</v>
      </c>
      <c r="R131" s="30">
        <f>SUMPRODUCT(L50:L53,L32:L35)</f>
        <v>775341.32934071834</v>
      </c>
      <c r="T131" s="30">
        <f>SUMPRODUCT(E50:E53,E14:E17)</f>
        <v>40483.287970480596</v>
      </c>
      <c r="U131" s="30">
        <f>SUMPRODUCT(L50:L53,L14:L17)</f>
        <v>852270.69204576989</v>
      </c>
      <c r="W131" s="30">
        <f>+T131-Q131</f>
        <v>3305.2785680906236</v>
      </c>
      <c r="X131" s="30">
        <f>+U131-R131</f>
        <v>76929.36270505155</v>
      </c>
      <c r="Z131" s="47">
        <f>+E131*Q131/1000</f>
        <v>1208.2068673998976</v>
      </c>
      <c r="AA131" s="47">
        <f>+L131*R131/1000</f>
        <v>25046.344652960346</v>
      </c>
    </row>
    <row r="132" spans="1:39" ht="14.7" x14ac:dyDescent="0.7">
      <c r="A132" s="12"/>
      <c r="B132" s="39" t="s">
        <v>85</v>
      </c>
      <c r="C132" s="42"/>
      <c r="D132" s="42"/>
      <c r="E132" s="42">
        <f>+(E114*1000-W132*AVERAGE(E$95,E$96))/Q132</f>
        <v>21.662024908965069</v>
      </c>
      <c r="F132" s="43"/>
      <c r="G132" s="43"/>
      <c r="H132" s="43"/>
      <c r="I132" s="43"/>
      <c r="J132" s="43"/>
      <c r="K132" s="43"/>
      <c r="L132" s="42">
        <f>+(L114*1000-X132*AVERAGE(L$95,L$96))/R132</f>
        <v>21.603943474718474</v>
      </c>
      <c r="M132" s="42"/>
      <c r="N132" s="42"/>
      <c r="Q132" s="30">
        <f>SUMPRODUCT(E50:E53,Q32:Q35)</f>
        <v>40274.845312282814</v>
      </c>
      <c r="R132" s="30">
        <f>SUMPRODUCT(L50:L53,X32:X35)</f>
        <v>769377.50343790685</v>
      </c>
      <c r="T132" s="30">
        <f>SUMPRODUCT(E50:E53,Q14:Q17)</f>
        <v>36969.566744192191</v>
      </c>
      <c r="U132" s="30">
        <f>SUMPRODUCT(L50:L53,X14:X17)</f>
        <v>692448.14073285519</v>
      </c>
      <c r="W132" s="30">
        <f>+T132-Q132</f>
        <v>-3305.2785680906236</v>
      </c>
      <c r="X132" s="30">
        <f>+U132-R132</f>
        <v>-76929.362705051666</v>
      </c>
      <c r="Z132" s="48">
        <f>+E132*Q132/1000</f>
        <v>872.43470235938537</v>
      </c>
      <c r="AA132" s="48">
        <f>+L132*R132/1000</f>
        <v>16621.588094992556</v>
      </c>
    </row>
    <row r="133" spans="1:39" x14ac:dyDescent="0.4">
      <c r="A133" s="12"/>
      <c r="C133" s="42"/>
      <c r="D133" s="42"/>
      <c r="E133" s="44"/>
      <c r="F133" s="44"/>
      <c r="G133" s="44"/>
      <c r="H133" s="44"/>
      <c r="I133" s="44"/>
      <c r="J133" s="44"/>
      <c r="K133" s="44"/>
      <c r="L133" s="44"/>
      <c r="M133" s="44"/>
      <c r="Q133" s="30"/>
      <c r="R133" s="30"/>
      <c r="T133" s="30"/>
      <c r="U133" s="30"/>
      <c r="W133" s="30"/>
      <c r="X133" s="30"/>
      <c r="Z133" s="47">
        <f>+Z132+Z131</f>
        <v>2080.6415697592829</v>
      </c>
      <c r="AA133" s="47">
        <f>+AA132+AA131</f>
        <v>41667.932747952902</v>
      </c>
      <c r="AC133" s="2">
        <f>+E112</f>
        <v>2080.6415697592834</v>
      </c>
      <c r="AD133" s="2">
        <f>+L112</f>
        <v>41667.932747952895</v>
      </c>
    </row>
    <row r="134" spans="1:39" x14ac:dyDescent="0.4">
      <c r="A134" s="12"/>
      <c r="B134" s="19" t="s">
        <v>24</v>
      </c>
      <c r="C134" s="41">
        <f t="shared" ref="C134:L134" si="55">+C116/SUM(C45:C49,C54:C56)*1000</f>
        <v>31.809641970139413</v>
      </c>
      <c r="D134" s="41">
        <f t="shared" si="55"/>
        <v>32.877661045052918</v>
      </c>
      <c r="E134" s="41">
        <f t="shared" si="55"/>
        <v>31.797660536689246</v>
      </c>
      <c r="F134" s="41">
        <f t="shared" si="55"/>
        <v>31.691764924851149</v>
      </c>
      <c r="G134" s="41">
        <f t="shared" si="55"/>
        <v>32.900800136918996</v>
      </c>
      <c r="H134" s="41">
        <f t="shared" si="55"/>
        <v>33.165079023533025</v>
      </c>
      <c r="I134" s="41">
        <f t="shared" si="55"/>
        <v>30.311010826842708</v>
      </c>
      <c r="J134" s="41">
        <f t="shared" si="55"/>
        <v>30.382723589201621</v>
      </c>
      <c r="K134" s="41">
        <f t="shared" si="55"/>
        <v>31.968587187539811</v>
      </c>
      <c r="L134" s="41">
        <f t="shared" si="55"/>
        <v>31.746907027645413</v>
      </c>
      <c r="M134" s="41"/>
      <c r="Q134" s="30"/>
      <c r="R134" s="30"/>
      <c r="T134" s="30"/>
      <c r="U134" s="30"/>
      <c r="W134" s="30"/>
      <c r="X134" s="30"/>
      <c r="Z134" s="47"/>
      <c r="AA134" s="47"/>
      <c r="AC134" s="2"/>
    </row>
    <row r="135" spans="1:39" x14ac:dyDescent="0.4">
      <c r="A135" s="12"/>
      <c r="B135" s="39" t="s">
        <v>84</v>
      </c>
      <c r="C135" s="43"/>
      <c r="D135" s="43"/>
      <c r="E135" s="42">
        <f>+(E117*1000-W135*AVERAGE(E$99,E$100))/Q135</f>
        <v>35.539682223254943</v>
      </c>
      <c r="F135" s="42"/>
      <c r="G135" s="42"/>
      <c r="H135" s="43"/>
      <c r="I135" s="43"/>
      <c r="J135" s="43"/>
      <c r="K135" s="43"/>
      <c r="L135" s="42">
        <f>+(L117*1000-X135*AVERAGE(L$99,L$100))/R135</f>
        <v>35.000163546020119</v>
      </c>
      <c r="M135" s="42"/>
      <c r="N135" s="42"/>
      <c r="Q135" s="30">
        <f>SUMPRODUCT(E45:E49,E27:E31)+SUMPRODUCT(E54:E56,E36:E38)</f>
        <v>39393.132551169852</v>
      </c>
      <c r="R135" s="30">
        <f>SUMPRODUCT(L45:L49,L27:L31)+SUMPRODUCT(L54:L56,L36:L38)</f>
        <v>1355112.9275102958</v>
      </c>
      <c r="T135" s="30">
        <f>SUMPRODUCT(E45:E49,E9:E13)+SUMPRODUCT(E54:E56,E18:E20)</f>
        <v>45296.962294835503</v>
      </c>
      <c r="U135" s="30">
        <f>SUMPRODUCT(L45:L49,L9:L13)+SUMPRODUCT(L54:L56,L18:L20)</f>
        <v>1511472.5956770792</v>
      </c>
      <c r="W135" s="30">
        <f>+T135-Q135</f>
        <v>5903.8297436656503</v>
      </c>
      <c r="X135" s="30">
        <f>+U135-R135</f>
        <v>156359.66816678341</v>
      </c>
      <c r="Z135" s="47">
        <f>+E135*Q135/1000</f>
        <v>1400.0194126471367</v>
      </c>
      <c r="AA135" s="47">
        <f>+L135*R135/1000</f>
        <v>47429.174086186453</v>
      </c>
      <c r="AC135" s="2"/>
    </row>
    <row r="136" spans="1:39" ht="14.7" x14ac:dyDescent="0.7">
      <c r="A136" s="12"/>
      <c r="B136" s="39" t="s">
        <v>85</v>
      </c>
      <c r="C136" s="43"/>
      <c r="D136" s="43"/>
      <c r="E136" s="42">
        <f>+(E118*1000-W136*AVERAGE(E$99,E$100))/Q136</f>
        <v>28.967676843707302</v>
      </c>
      <c r="F136" s="42"/>
      <c r="G136" s="42"/>
      <c r="H136" s="43"/>
      <c r="I136" s="43"/>
      <c r="J136" s="43"/>
      <c r="K136" s="43"/>
      <c r="L136" s="42">
        <f>+(L118*1000-X136*AVERAGE(L$99,L$100))/R136</f>
        <v>28.668073821051316</v>
      </c>
      <c r="M136" s="42"/>
      <c r="N136" s="42"/>
      <c r="Q136" s="30">
        <f>SUMPRODUCT(E45:E49,Q27:Q31)+SUMPRODUCT(E54:E56,Q36:Q38)</f>
        <v>52088.623928751054</v>
      </c>
      <c r="R136" s="30">
        <f>SUMPRODUCT(L45:L49,X27:X31)+SUMPRODUCT(L54:L56,X36:X38)</f>
        <v>1431883.3365557888</v>
      </c>
      <c r="T136" s="30">
        <f>SUMPRODUCT(E45:E49,Q9:Q13)+SUMPRODUCT(E54:E56,Q18:Q20)</f>
        <v>46184.794185085404</v>
      </c>
      <c r="U136" s="30">
        <f>SUMPRODUCT(L45:L49,X9:X13)+SUMPRODUCT(L54:L56,X18:X20)</f>
        <v>1275523.6683890054</v>
      </c>
      <c r="W136" s="30">
        <f>+T136-Q136</f>
        <v>-5903.8297436656503</v>
      </c>
      <c r="X136" s="30">
        <f>+U136-R136</f>
        <v>-156359.66816678341</v>
      </c>
      <c r="Z136" s="48">
        <f>+E136*Q136/1000</f>
        <v>1508.88642520146</v>
      </c>
      <c r="AA136" s="48">
        <f>+L136*R136/1000</f>
        <v>41049.337195514621</v>
      </c>
      <c r="AC136" s="2"/>
    </row>
    <row r="137" spans="1:39" x14ac:dyDescent="0.4">
      <c r="A137" s="12"/>
      <c r="C137" s="40"/>
      <c r="D137" s="40"/>
      <c r="E137" s="40"/>
      <c r="F137" s="40"/>
      <c r="G137" s="40"/>
      <c r="H137" s="40"/>
      <c r="I137" s="40"/>
      <c r="J137" s="40"/>
      <c r="K137" s="40"/>
      <c r="L137" s="40"/>
      <c r="M137" s="40"/>
      <c r="Z137" s="47">
        <f>+Z136+Z135</f>
        <v>2908.905837848597</v>
      </c>
      <c r="AA137" s="47">
        <f>+AA136+AA135</f>
        <v>88478.511281701067</v>
      </c>
      <c r="AC137" s="2">
        <f>+E116</f>
        <v>2908.9058378485965</v>
      </c>
      <c r="AD137" s="2">
        <f>+L116</f>
        <v>88478.511281701067</v>
      </c>
    </row>
    <row r="138" spans="1:39" x14ac:dyDescent="0.4">
      <c r="A138" s="12"/>
      <c r="B138" s="1" t="s">
        <v>86</v>
      </c>
      <c r="C138" s="3">
        <f t="shared" ref="C138:L138" si="56">(C130*SUM(C50:C53)+C134*SUM(C45:C49,C54:C56))/C57</f>
        <v>29.613208233169438</v>
      </c>
      <c r="D138" s="3">
        <f t="shared" si="56"/>
        <v>31.393851843661672</v>
      </c>
      <c r="E138" s="3">
        <f t="shared" si="56"/>
        <v>29.535376867564946</v>
      </c>
      <c r="F138" s="3">
        <f t="shared" si="56"/>
        <v>30.143312540786965</v>
      </c>
      <c r="G138" s="3">
        <f t="shared" si="56"/>
        <v>31.039373934305583</v>
      </c>
      <c r="H138" s="3">
        <f t="shared" si="56"/>
        <v>31.946272981568946</v>
      </c>
      <c r="I138" s="3">
        <f t="shared" si="56"/>
        <v>28.365118538789098</v>
      </c>
      <c r="J138" s="3">
        <f t="shared" si="56"/>
        <v>28.439779897853249</v>
      </c>
      <c r="K138" s="3">
        <f t="shared" si="56"/>
        <v>30.266768164255158</v>
      </c>
      <c r="L138" s="3">
        <f t="shared" si="56"/>
        <v>30.045014762040726</v>
      </c>
      <c r="M138" s="3"/>
      <c r="AC138" s="2"/>
    </row>
    <row r="139" spans="1:39" x14ac:dyDescent="0.4">
      <c r="A139" s="12"/>
      <c r="B139" s="1" t="s">
        <v>87</v>
      </c>
      <c r="C139" s="42">
        <f>+C122/SUM(C57:L57)*1000</f>
        <v>29.844968968917858</v>
      </c>
      <c r="T139" s="30"/>
      <c r="U139" s="30"/>
    </row>
    <row r="140" spans="1:39" x14ac:dyDescent="0.4">
      <c r="A140" s="12"/>
      <c r="T140" s="30"/>
      <c r="U140" s="30"/>
    </row>
    <row r="141" spans="1:39" x14ac:dyDescent="0.4">
      <c r="A141" s="12"/>
      <c r="T141" s="30"/>
      <c r="U141" s="30"/>
    </row>
    <row r="142" spans="1:39" x14ac:dyDescent="0.4">
      <c r="A142" s="8" t="s">
        <v>71</v>
      </c>
      <c r="B142" s="6" t="s">
        <v>158</v>
      </c>
      <c r="L142" s="18" t="s">
        <v>198</v>
      </c>
      <c r="T142" s="30"/>
      <c r="U142" s="30"/>
    </row>
    <row r="143" spans="1:39" x14ac:dyDescent="0.4">
      <c r="A143" s="12"/>
      <c r="B143" s="7" t="str">
        <f>Input!B96</f>
        <v>Obligations - Peak Load shares eff 1/1/21, scaling factors eff 6/1/20, Transmission Loads eff 1/1/21; costs are market estimates</v>
      </c>
      <c r="L143" s="18" t="s">
        <v>303</v>
      </c>
      <c r="T143" s="30"/>
      <c r="U143" s="30"/>
    </row>
    <row r="144" spans="1:39" x14ac:dyDescent="0.4">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4">
      <c r="A145" s="12"/>
      <c r="B145" s="7"/>
      <c r="C145" s="18"/>
      <c r="D145" s="18"/>
      <c r="E145" s="18"/>
      <c r="F145" s="18"/>
      <c r="G145" s="18"/>
      <c r="H145" s="18"/>
      <c r="I145" s="18"/>
      <c r="J145" s="18"/>
      <c r="K145" s="18"/>
      <c r="M145" s="18"/>
      <c r="R145" s="462" t="s">
        <v>285</v>
      </c>
      <c r="S145" s="463"/>
      <c r="T145" s="463"/>
      <c r="U145" s="463"/>
      <c r="V145" s="463"/>
      <c r="AC145" s="171" t="s">
        <v>304</v>
      </c>
      <c r="AD145" s="167">
        <f>Input!C100</f>
        <v>4420.8580457335147</v>
      </c>
      <c r="AE145" s="167">
        <f>Input!D100</f>
        <v>19.232054315231025</v>
      </c>
      <c r="AF145" s="167">
        <f>Input!E100</f>
        <v>65.417800504333897</v>
      </c>
      <c r="AG145" s="167">
        <f>Input!F100</f>
        <v>0</v>
      </c>
      <c r="AH145" s="167">
        <f>Input!G100</f>
        <v>0</v>
      </c>
      <c r="AI145" s="167">
        <f>Input!H100</f>
        <v>2.7679390495108045</v>
      </c>
      <c r="AJ145" s="167">
        <f>Input!I100</f>
        <v>0</v>
      </c>
      <c r="AK145" s="167">
        <f>Input!J100</f>
        <v>0</v>
      </c>
      <c r="AL145" s="167">
        <f>Input!K100</f>
        <v>1507.5032902830221</v>
      </c>
      <c r="AM145" s="167">
        <f>Input!L100</f>
        <v>1270.5185877781889</v>
      </c>
    </row>
    <row r="146" spans="1:39" x14ac:dyDescent="0.4">
      <c r="A146" s="12"/>
      <c r="T146" s="11" t="s">
        <v>287</v>
      </c>
      <c r="U146" s="1" t="s">
        <v>286</v>
      </c>
      <c r="AC146" s="28" t="s">
        <v>288</v>
      </c>
      <c r="AD146" s="167">
        <f>Input!C101</f>
        <v>4459.7259198356678</v>
      </c>
      <c r="AE146" s="167">
        <f>Input!D101</f>
        <v>19.446342823740217</v>
      </c>
      <c r="AF146" s="167">
        <f>Input!E101</f>
        <v>66.033991271042851</v>
      </c>
      <c r="AG146" s="167">
        <f>Input!F101</f>
        <v>0</v>
      </c>
      <c r="AH146" s="167">
        <f>Input!G101</f>
        <v>0</v>
      </c>
      <c r="AI146" s="167">
        <f>Input!H101</f>
        <v>2.9486570290106227</v>
      </c>
      <c r="AJ146" s="167">
        <f>Input!I101</f>
        <v>0</v>
      </c>
      <c r="AK146" s="167">
        <f>Input!J101</f>
        <v>0</v>
      </c>
      <c r="AL146" s="167">
        <f>Input!K101</f>
        <v>1565.569245459986</v>
      </c>
      <c r="AM146" s="167">
        <f>Input!L101</f>
        <v>1260.9197948606477</v>
      </c>
    </row>
    <row r="147" spans="1:39" x14ac:dyDescent="0.4">
      <c r="A147" s="106"/>
      <c r="B147" s="1" t="s">
        <v>25</v>
      </c>
      <c r="C147" s="78">
        <f>ROUND(AD145*$AD$148*$AD$149,1)</f>
        <v>5278.8</v>
      </c>
      <c r="D147" s="78">
        <f t="shared" ref="D147:K147" si="58">ROUND(AE145*$AD$148*$AD$149,1)</f>
        <v>23</v>
      </c>
      <c r="E147" s="78">
        <f t="shared" si="58"/>
        <v>78.099999999999994</v>
      </c>
      <c r="F147" s="78">
        <f t="shared" si="58"/>
        <v>0</v>
      </c>
      <c r="G147" s="78">
        <f t="shared" si="58"/>
        <v>0</v>
      </c>
      <c r="H147" s="78">
        <f t="shared" si="58"/>
        <v>3.3</v>
      </c>
      <c r="I147" s="78">
        <f t="shared" si="58"/>
        <v>0</v>
      </c>
      <c r="J147" s="78">
        <f t="shared" si="58"/>
        <v>0</v>
      </c>
      <c r="K147" s="78">
        <f t="shared" si="58"/>
        <v>1800.1</v>
      </c>
      <c r="L147" s="78">
        <f>ROUND(AM145*$AD$148*$AD$149*(1-AE45),1)</f>
        <v>1000</v>
      </c>
      <c r="M147" s="50"/>
      <c r="R147" s="151">
        <f>Input!C107</f>
        <v>2019</v>
      </c>
      <c r="S147" s="171" t="s">
        <v>314</v>
      </c>
      <c r="T147" s="151">
        <f>Input!D107</f>
        <v>28</v>
      </c>
      <c r="U147" s="166">
        <f>Input!E107</f>
        <v>104709.15</v>
      </c>
      <c r="V147" s="144">
        <f>U147/$T$150*T147</f>
        <v>34492.425882352938</v>
      </c>
    </row>
    <row r="148" spans="1:39" x14ac:dyDescent="0.4">
      <c r="A148" s="1"/>
      <c r="C148" s="149"/>
      <c r="D148" s="11"/>
      <c r="E148" s="11"/>
      <c r="F148" s="11"/>
      <c r="G148" s="11"/>
      <c r="H148" s="11"/>
      <c r="I148" s="11"/>
      <c r="J148" s="11"/>
      <c r="K148" s="11"/>
      <c r="L148" s="11"/>
      <c r="R148" s="151">
        <f>Input!C108</f>
        <v>2020</v>
      </c>
      <c r="S148" s="171" t="s">
        <v>314</v>
      </c>
      <c r="T148" s="151">
        <f>Input!D108</f>
        <v>28</v>
      </c>
      <c r="U148" s="166">
        <f>Input!E108</f>
        <v>138497.08431889772</v>
      </c>
      <c r="V148" s="144">
        <f>U148/$T$150*T148</f>
        <v>45622.568952107482</v>
      </c>
      <c r="AC148" s="28" t="s">
        <v>289</v>
      </c>
      <c r="AD148" s="168">
        <f>Input!C103</f>
        <v>1.0972813634782548</v>
      </c>
    </row>
    <row r="149" spans="1:39" x14ac:dyDescent="0.4">
      <c r="A149" s="106"/>
      <c r="B149" s="1" t="s">
        <v>26</v>
      </c>
      <c r="C149" s="78">
        <f>ROUND(AD146,1)</f>
        <v>4459.7</v>
      </c>
      <c r="D149" s="78">
        <f t="shared" ref="D149:K149" si="59">ROUND(AE146,1)</f>
        <v>19.399999999999999</v>
      </c>
      <c r="E149" s="78">
        <f t="shared" si="59"/>
        <v>66</v>
      </c>
      <c r="F149" s="78">
        <f t="shared" si="59"/>
        <v>0</v>
      </c>
      <c r="G149" s="78">
        <f t="shared" si="59"/>
        <v>0</v>
      </c>
      <c r="H149" s="78">
        <f t="shared" si="59"/>
        <v>2.9</v>
      </c>
      <c r="I149" s="78">
        <f t="shared" si="59"/>
        <v>0</v>
      </c>
      <c r="J149" s="78">
        <f t="shared" si="59"/>
        <v>0</v>
      </c>
      <c r="K149" s="78">
        <f t="shared" si="59"/>
        <v>1565.6</v>
      </c>
      <c r="L149" s="78">
        <f>ROUND(AM146*(1-AF45),1)</f>
        <v>831.1</v>
      </c>
      <c r="M149" s="50"/>
      <c r="R149" s="151">
        <f>Input!C109</f>
        <v>2021</v>
      </c>
      <c r="S149" s="171" t="s">
        <v>314</v>
      </c>
      <c r="T149" s="151">
        <f>Input!D109</f>
        <v>29</v>
      </c>
      <c r="U149" s="166">
        <f>Input!E109</f>
        <v>144787.98000000001</v>
      </c>
      <c r="V149" s="145">
        <f>U149/$T$150*T149</f>
        <v>49398.252000000008</v>
      </c>
      <c r="X149" s="1" t="str">
        <f>+Input!B104</f>
        <v>PJM June 1, 2020 (through May 31, 2021) Forecast Pool Requirement</v>
      </c>
      <c r="AD149" s="168">
        <f>Input!C104</f>
        <v>1.0882000000000001</v>
      </c>
    </row>
    <row r="150" spans="1:39" x14ac:dyDescent="0.4">
      <c r="A150" s="1"/>
      <c r="C150" s="49"/>
      <c r="D150" s="49"/>
      <c r="E150" s="49"/>
      <c r="F150" s="49"/>
      <c r="G150" s="49"/>
      <c r="H150" s="49"/>
      <c r="I150" s="49"/>
      <c r="J150" s="49"/>
      <c r="K150" s="49"/>
      <c r="M150" s="49"/>
      <c r="T150" s="1">
        <f>SUM(T147:T149)</f>
        <v>85</v>
      </c>
      <c r="V150" s="144">
        <f>ROUND(SUM(V147:V149),2)</f>
        <v>129513.25</v>
      </c>
    </row>
    <row r="151" spans="1:39" x14ac:dyDescent="0.4">
      <c r="A151" s="12"/>
      <c r="B151" s="1" t="s">
        <v>110</v>
      </c>
      <c r="I151" s="49"/>
      <c r="K151" s="18"/>
      <c r="M151" s="49"/>
    </row>
    <row r="152" spans="1:39" x14ac:dyDescent="0.4">
      <c r="A152" s="12"/>
      <c r="D152" s="28" t="s">
        <v>103</v>
      </c>
      <c r="E152" s="169">
        <v>122</v>
      </c>
      <c r="G152" s="28" t="s">
        <v>105</v>
      </c>
      <c r="H152" s="11">
        <v>4</v>
      </c>
      <c r="I152" s="49"/>
      <c r="M152" s="49"/>
    </row>
    <row r="153" spans="1:39" x14ac:dyDescent="0.4">
      <c r="A153" s="12"/>
      <c r="D153" s="51" t="s">
        <v>104</v>
      </c>
      <c r="E153" s="97">
        <v>243</v>
      </c>
      <c r="G153" s="51" t="s">
        <v>106</v>
      </c>
      <c r="H153" s="11">
        <v>8</v>
      </c>
      <c r="I153" s="49"/>
      <c r="K153" s="80"/>
      <c r="L153" s="80"/>
      <c r="M153" s="49"/>
    </row>
    <row r="154" spans="1:39" x14ac:dyDescent="0.4">
      <c r="A154" s="12"/>
      <c r="G154" s="28" t="s">
        <v>111</v>
      </c>
      <c r="H154" s="1">
        <f>+H152+H153</f>
        <v>12</v>
      </c>
      <c r="I154" s="49"/>
      <c r="J154" s="79"/>
      <c r="K154" s="80"/>
      <c r="L154" s="80"/>
      <c r="M154" s="49"/>
    </row>
    <row r="155" spans="1:39" x14ac:dyDescent="0.4">
      <c r="A155" s="12"/>
      <c r="B155" s="11" t="s">
        <v>101</v>
      </c>
      <c r="C155" s="28" t="s">
        <v>179</v>
      </c>
      <c r="D155" s="152">
        <v>0</v>
      </c>
      <c r="E155" s="53" t="s">
        <v>30</v>
      </c>
      <c r="K155" s="81"/>
      <c r="L155" s="82"/>
    </row>
    <row r="156" spans="1:39" x14ac:dyDescent="0.4">
      <c r="A156" s="12"/>
      <c r="B156" s="11"/>
      <c r="C156" s="28"/>
      <c r="D156" s="152"/>
      <c r="E156" s="53"/>
      <c r="K156" s="81"/>
      <c r="L156" s="82"/>
    </row>
    <row r="157" spans="1:39" ht="38" x14ac:dyDescent="0.4">
      <c r="A157" s="12"/>
      <c r="B157" s="11"/>
      <c r="D157" s="176" t="s">
        <v>308</v>
      </c>
      <c r="E157" s="176" t="s">
        <v>421</v>
      </c>
      <c r="F157" s="1" t="s">
        <v>309</v>
      </c>
      <c r="I157" s="165"/>
      <c r="K157" s="81"/>
      <c r="L157" s="82"/>
    </row>
    <row r="158" spans="1:39" x14ac:dyDescent="0.4">
      <c r="A158" s="12"/>
      <c r="B158" s="11" t="s">
        <v>102</v>
      </c>
      <c r="C158" s="28" t="s">
        <v>150</v>
      </c>
      <c r="D158" s="165">
        <f>Input!E112</f>
        <v>172.26</v>
      </c>
      <c r="E158" s="165">
        <v>0</v>
      </c>
      <c r="F158" s="65">
        <f>SUM(D158:E158)</f>
        <v>172.26</v>
      </c>
      <c r="G158" s="53" t="s">
        <v>98</v>
      </c>
      <c r="K158" s="102"/>
    </row>
    <row r="159" spans="1:39" x14ac:dyDescent="0.4">
      <c r="A159" s="12"/>
      <c r="C159" s="28" t="s">
        <v>151</v>
      </c>
      <c r="D159" s="165">
        <f>Input!E113</f>
        <v>172.26</v>
      </c>
      <c r="E159" s="165">
        <v>0</v>
      </c>
      <c r="F159" s="65">
        <f>SUM(D159:E159)</f>
        <v>172.26</v>
      </c>
      <c r="G159" s="53" t="s">
        <v>98</v>
      </c>
      <c r="Q159" s="28" t="s">
        <v>100</v>
      </c>
    </row>
    <row r="160" spans="1:39" x14ac:dyDescent="0.4">
      <c r="A160" s="12"/>
      <c r="E160" s="83"/>
      <c r="F160" s="11"/>
      <c r="G160" s="11"/>
      <c r="H160" s="11"/>
      <c r="I160" s="11"/>
      <c r="J160" s="11"/>
      <c r="P160" s="28" t="s">
        <v>107</v>
      </c>
      <c r="Q160" s="54">
        <f>(F158*E152+F159*E153)/1000</f>
        <v>62.874899999999997</v>
      </c>
      <c r="R160" s="1" t="s">
        <v>99</v>
      </c>
    </row>
    <row r="161" spans="1:18" x14ac:dyDescent="0.4">
      <c r="A161" s="8"/>
      <c r="C161" s="18" t="str">
        <f>+C7</f>
        <v>RS</v>
      </c>
      <c r="D161" s="18" t="str">
        <f>+D7</f>
        <v>RHS</v>
      </c>
      <c r="F161" s="11"/>
      <c r="G161" s="11"/>
      <c r="H161" s="11"/>
      <c r="I161" s="11"/>
      <c r="J161" s="84"/>
    </row>
    <row r="162" spans="1:18" x14ac:dyDescent="0.4">
      <c r="A162" s="8"/>
      <c r="B162" s="87" t="s">
        <v>186</v>
      </c>
      <c r="C162" s="87"/>
      <c r="D162" s="87"/>
      <c r="F162" s="11"/>
      <c r="G162" s="11"/>
      <c r="H162" s="11"/>
      <c r="I162" s="11"/>
      <c r="J162" s="84"/>
      <c r="K162" s="40"/>
    </row>
    <row r="163" spans="1:18" x14ac:dyDescent="0.4">
      <c r="A163" s="8"/>
      <c r="B163" s="84" t="s">
        <v>160</v>
      </c>
      <c r="C163" s="90">
        <f>ROUND(Q165/Q167,3)</f>
        <v>0.64600000000000002</v>
      </c>
      <c r="D163" s="90">
        <f>ROUND(R165/R167,3)</f>
        <v>0.66100000000000003</v>
      </c>
      <c r="F163" s="7" t="s">
        <v>331</v>
      </c>
      <c r="G163" s="85"/>
      <c r="H163" s="86"/>
      <c r="I163" s="86"/>
      <c r="J163" s="84"/>
      <c r="K163" s="40"/>
      <c r="P163" s="209" t="s">
        <v>336</v>
      </c>
      <c r="Q163" s="33"/>
      <c r="R163" s="33"/>
    </row>
    <row r="164" spans="1:18" x14ac:dyDescent="0.4">
      <c r="A164" s="8"/>
      <c r="B164" s="84" t="s">
        <v>185</v>
      </c>
      <c r="C164" s="90">
        <f>1-C163</f>
        <v>0.35399999999999998</v>
      </c>
      <c r="D164" s="90">
        <f>1-D163</f>
        <v>0.33899999999999997</v>
      </c>
      <c r="F164" s="11"/>
      <c r="H164" s="11"/>
      <c r="I164" s="11"/>
      <c r="J164" s="84"/>
      <c r="K164" s="40"/>
      <c r="N164" s="151"/>
      <c r="Q164" s="1" t="s">
        <v>0</v>
      </c>
      <c r="R164" s="1" t="s">
        <v>1</v>
      </c>
    </row>
    <row r="165" spans="1:18" x14ac:dyDescent="0.4">
      <c r="A165" s="8"/>
      <c r="F165" s="11"/>
      <c r="H165" s="11"/>
      <c r="I165" s="11"/>
      <c r="J165" s="84"/>
      <c r="K165" s="40"/>
      <c r="P165" s="1" t="s">
        <v>282</v>
      </c>
      <c r="Q165" s="210">
        <v>3528124</v>
      </c>
      <c r="R165" s="210">
        <v>19973</v>
      </c>
    </row>
    <row r="166" spans="1:18" x14ac:dyDescent="0.4">
      <c r="A166" s="8"/>
      <c r="B166" s="84" t="s">
        <v>184</v>
      </c>
      <c r="C166" s="88">
        <f>Input!C118</f>
        <v>0.86519999999999975</v>
      </c>
      <c r="D166" s="88">
        <f>Input!D118</f>
        <v>1.1569000000000003</v>
      </c>
      <c r="E166" s="11" t="s">
        <v>161</v>
      </c>
      <c r="F166" s="15" t="s">
        <v>187</v>
      </c>
      <c r="I166" s="11"/>
      <c r="J166" s="84"/>
      <c r="K166" s="40"/>
      <c r="P166" s="1" t="s">
        <v>283</v>
      </c>
      <c r="Q166" s="211">
        <v>1931618</v>
      </c>
      <c r="R166" s="211">
        <v>10227</v>
      </c>
    </row>
    <row r="167" spans="1:18" x14ac:dyDescent="0.4">
      <c r="A167" s="8"/>
      <c r="F167" s="11"/>
      <c r="H167" s="11"/>
      <c r="I167" s="11"/>
      <c r="J167" s="84"/>
      <c r="K167" s="40"/>
      <c r="P167" s="1" t="s">
        <v>284</v>
      </c>
      <c r="Q167" s="143">
        <f>SUM(Q165:Q166)</f>
        <v>5459742</v>
      </c>
      <c r="R167" s="143">
        <f>SUM(R165:R166)</f>
        <v>30200</v>
      </c>
    </row>
    <row r="168" spans="1:18" x14ac:dyDescent="0.4">
      <c r="A168" s="8" t="s">
        <v>72</v>
      </c>
      <c r="B168" s="173" t="s">
        <v>319</v>
      </c>
      <c r="F168" s="11"/>
      <c r="H168" s="11"/>
      <c r="I168" s="11"/>
      <c r="J168" s="84"/>
      <c r="K168" s="40"/>
      <c r="Q168" s="143"/>
      <c r="R168" s="143"/>
    </row>
    <row r="169" spans="1:18" x14ac:dyDescent="0.4">
      <c r="A169" s="1"/>
      <c r="B169" s="89" t="s">
        <v>320</v>
      </c>
      <c r="C169" s="11"/>
      <c r="D169" s="80">
        <f>+Input!D122</f>
        <v>2</v>
      </c>
      <c r="E169" s="11"/>
      <c r="F169" s="11"/>
      <c r="G169" s="11"/>
      <c r="H169" s="11"/>
      <c r="I169" s="11"/>
      <c r="J169" s="11"/>
    </row>
    <row r="170" spans="1:18" x14ac:dyDescent="0.4">
      <c r="A170" s="8"/>
      <c r="B170" s="89" t="s">
        <v>321</v>
      </c>
      <c r="D170" s="80">
        <f>+Input!D123</f>
        <v>15.39</v>
      </c>
      <c r="I170" s="11"/>
      <c r="J170" s="11"/>
    </row>
    <row r="171" spans="1:18" x14ac:dyDescent="0.4">
      <c r="A171" s="12"/>
      <c r="B171" s="89" t="s">
        <v>322</v>
      </c>
      <c r="D171" s="184">
        <f>SUM(D169:D170)</f>
        <v>17.39</v>
      </c>
      <c r="E171" s="53" t="s">
        <v>142</v>
      </c>
    </row>
    <row r="172" spans="1:18" x14ac:dyDescent="0.4">
      <c r="A172" s="12"/>
      <c r="B172" s="7"/>
      <c r="F172" s="53"/>
    </row>
    <row r="173" spans="1:18" x14ac:dyDescent="0.4">
      <c r="A173" s="12"/>
      <c r="B173" s="6"/>
      <c r="E173" s="52"/>
      <c r="F173" s="53"/>
    </row>
    <row r="174" spans="1:18" x14ac:dyDescent="0.4">
      <c r="A174" s="8" t="s">
        <v>74</v>
      </c>
      <c r="B174" s="6" t="s">
        <v>139</v>
      </c>
    </row>
    <row r="175" spans="1:18" x14ac:dyDescent="0.4">
      <c r="A175" s="8"/>
      <c r="B175" s="6"/>
    </row>
    <row r="176" spans="1:18" x14ac:dyDescent="0.4">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4">
      <c r="A177" s="8"/>
      <c r="B177" s="6"/>
    </row>
    <row r="178" spans="1:13" x14ac:dyDescent="0.4">
      <c r="A178" s="12"/>
      <c r="B178" s="28" t="s">
        <v>118</v>
      </c>
      <c r="C178" s="54">
        <f>(+$D$155*C149*$H$154/12)/C57</f>
        <v>0</v>
      </c>
      <c r="D178" s="54">
        <f>(+$D$155*D149*$H$154/12)/D57</f>
        <v>0</v>
      </c>
      <c r="E178" s="54">
        <f>(+$D$155*E149*$H$154/12)/SUMPRODUCT(E27:E38,E45:E56)</f>
        <v>0</v>
      </c>
      <c r="F178" s="54">
        <f>(+$D$155*F149*$H$154/12)/F57</f>
        <v>0</v>
      </c>
      <c r="G178" s="54">
        <f>(+$D$155*G149*$H$154/12)/G57</f>
        <v>0</v>
      </c>
      <c r="H178" s="54">
        <f>(+$D$155*H149*$H$154/12)/H57</f>
        <v>0</v>
      </c>
      <c r="I178" s="54">
        <f>(+$D$155*I149*$H$154/12)/I57</f>
        <v>0</v>
      </c>
      <c r="J178" s="54">
        <f>(+$D$155*J149*$H$154/12)/J57</f>
        <v>0</v>
      </c>
      <c r="K178" s="54"/>
      <c r="L178" s="54"/>
      <c r="M178" s="54"/>
    </row>
    <row r="179" spans="1:13" x14ac:dyDescent="0.4">
      <c r="A179" s="12"/>
      <c r="B179" s="28"/>
      <c r="C179" s="54"/>
      <c r="D179" s="54"/>
      <c r="E179" s="54"/>
      <c r="F179" s="54"/>
      <c r="G179" s="54"/>
      <c r="H179" s="54"/>
      <c r="I179" s="54"/>
      <c r="J179" s="54"/>
      <c r="K179" s="54"/>
      <c r="L179" s="54"/>
      <c r="M179" s="54"/>
    </row>
    <row r="180" spans="1:13" x14ac:dyDescent="0.4">
      <c r="A180" s="12"/>
      <c r="B180" s="28" t="s">
        <v>152</v>
      </c>
      <c r="K180" s="54"/>
      <c r="L180" s="54"/>
      <c r="M180" s="54"/>
    </row>
    <row r="181" spans="1:13" x14ac:dyDescent="0.4">
      <c r="A181" s="8"/>
      <c r="B181" s="84" t="s">
        <v>153</v>
      </c>
      <c r="C181" s="3">
        <f>((+$Q$160*C147*1000)/C57)</f>
        <v>25.509799696371903</v>
      </c>
      <c r="D181" s="3">
        <f>((+$Q$160*D147*1000)/D57)</f>
        <v>16.243012424620684</v>
      </c>
      <c r="E181" s="3">
        <f>(+$Q$160*E147*1000)/SUMPRODUCT(E45:E56,E27:E38)</f>
        <v>64.130291970547106</v>
      </c>
      <c r="F181" s="3">
        <f>((+$Q$160*F147*1000)/F57)</f>
        <v>0</v>
      </c>
      <c r="G181" s="3">
        <f>((+$Q$160*G147*1000)/G57)</f>
        <v>0</v>
      </c>
      <c r="H181" s="3">
        <f>((+$Q$160*H147*1000)/H57)</f>
        <v>22.423021961849692</v>
      </c>
      <c r="I181" s="3">
        <f>((+$Q$160*I147*1000)/I57)</f>
        <v>0</v>
      </c>
      <c r="J181" s="3">
        <f>((+$Q$160*J147*1000)/J57)</f>
        <v>0</v>
      </c>
      <c r="K181" s="54"/>
      <c r="L181" s="54"/>
      <c r="M181" s="54"/>
    </row>
    <row r="182" spans="1:13" x14ac:dyDescent="0.4">
      <c r="A182" s="12"/>
      <c r="B182" s="28" t="s">
        <v>154</v>
      </c>
      <c r="C182" s="153">
        <f>(C147*$F$158*$E$152)/SUM(C50:C53)</f>
        <v>19.921041828777213</v>
      </c>
      <c r="D182" s="153">
        <f>(D147*$F$158*$E$152)/SUM(D50:D53)</f>
        <v>22.921176715290795</v>
      </c>
      <c r="E182" s="153">
        <f>(E147*$F$158*$E$152)/SUMPRODUCT(E50:E53,E32:E35)</f>
        <v>44.147810987817103</v>
      </c>
      <c r="F182" s="153">
        <f>(F147*$F$158*$E$152)/SUM(F50:F53)</f>
        <v>0</v>
      </c>
      <c r="G182" s="153">
        <f>(G147*$F$158*$E$152)/SUM(G50:G53)</f>
        <v>0</v>
      </c>
      <c r="H182" s="153">
        <f>(H147*$F$158*$E$152)/SUM(H50:H53)</f>
        <v>34.08593810130008</v>
      </c>
      <c r="I182" s="153">
        <f>(I147*$F$158*$E$152)/SUM(I50:I53)</f>
        <v>0</v>
      </c>
      <c r="J182" s="153">
        <f>(J147*$F$158*$E$152)/SUM(J50:J53)</f>
        <v>0</v>
      </c>
      <c r="K182" s="54"/>
      <c r="L182" s="54"/>
      <c r="M182" s="54"/>
    </row>
    <row r="183" spans="1:13" x14ac:dyDescent="0.4">
      <c r="A183" s="12"/>
      <c r="B183" s="28" t="s">
        <v>155</v>
      </c>
      <c r="C183" s="54">
        <f>(C147*$F$159*$E$153)/SUM(C45:C49,C54:C56)</f>
        <v>29.69190390535304</v>
      </c>
      <c r="D183" s="54">
        <f>(D147*$F$159*$E$153)/SUM(D45:D49,D54:D56)</f>
        <v>14.17024278876166</v>
      </c>
      <c r="E183" s="54">
        <f>(E147*$F$159*$E$153)/(SUMPRODUCT(E45:E49,E27:E31)+SUMPRODUCT(E54:E56,E36:E38))</f>
        <v>82.98913405156236</v>
      </c>
      <c r="F183" s="54">
        <f>(F147*$F$159*$E$153)/SUM(F45:F49,F54:F56)</f>
        <v>0</v>
      </c>
      <c r="G183" s="54">
        <f>(G147*$F$159*$E$153)/SUM(G45:G49,G54:G56)</f>
        <v>0</v>
      </c>
      <c r="H183" s="54">
        <f>(H147*$F$159*$E$153)/SUM(H45:H49,H54:H56)</f>
        <v>19.135780282666147</v>
      </c>
      <c r="I183" s="54">
        <f>(I147*$F$159*$E$153)/SUM(I45:I49,I54:I56)</f>
        <v>0</v>
      </c>
      <c r="J183" s="54">
        <f>(J147*$F$159*$E$153)/SUM(J45:J49,J54:J56)</f>
        <v>0</v>
      </c>
      <c r="K183" s="54"/>
      <c r="L183" s="54"/>
      <c r="M183" s="54"/>
    </row>
    <row r="184" spans="1:13" x14ac:dyDescent="0.4">
      <c r="A184" s="12"/>
      <c r="E184" s="55" t="s">
        <v>156</v>
      </c>
      <c r="F184" s="54"/>
      <c r="G184" s="54"/>
      <c r="H184" s="54"/>
      <c r="K184" s="54"/>
      <c r="L184" s="54"/>
      <c r="M184" s="54"/>
    </row>
    <row r="185" spans="1:13" x14ac:dyDescent="0.4">
      <c r="A185" s="12"/>
      <c r="E185" s="55" t="s">
        <v>157</v>
      </c>
      <c r="F185" s="54"/>
      <c r="G185" s="54"/>
      <c r="H185" s="54"/>
      <c r="K185" s="54"/>
      <c r="L185" s="54"/>
      <c r="M185" s="54"/>
    </row>
    <row r="186" spans="1:13" x14ac:dyDescent="0.4">
      <c r="A186" s="12"/>
    </row>
    <row r="187" spans="1:13" x14ac:dyDescent="0.4">
      <c r="A187" s="8" t="s">
        <v>73</v>
      </c>
      <c r="B187" s="6" t="s">
        <v>134</v>
      </c>
    </row>
    <row r="188" spans="1:13" x14ac:dyDescent="0.4">
      <c r="A188" s="12"/>
      <c r="B188" s="6"/>
      <c r="K188" s="131"/>
    </row>
    <row r="189" spans="1:13" x14ac:dyDescent="0.4">
      <c r="A189" s="12"/>
      <c r="B189" s="6" t="s">
        <v>41</v>
      </c>
    </row>
    <row r="190" spans="1:13" x14ac:dyDescent="0.4">
      <c r="A190" s="12"/>
      <c r="B190" s="7" t="s">
        <v>365</v>
      </c>
    </row>
    <row r="191" spans="1:13" x14ac:dyDescent="0.4">
      <c r="A191" s="12"/>
      <c r="B191" s="7" t="s">
        <v>40</v>
      </c>
    </row>
    <row r="192" spans="1:13" x14ac:dyDescent="0.4">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4">
      <c r="A193" s="12"/>
      <c r="C193" s="18"/>
      <c r="D193" s="18"/>
      <c r="E193" s="3"/>
      <c r="F193" s="18"/>
      <c r="G193" s="18"/>
    </row>
    <row r="194" spans="1:11" x14ac:dyDescent="0.4">
      <c r="A194" s="12"/>
      <c r="B194" s="19" t="s">
        <v>23</v>
      </c>
      <c r="C194" s="3">
        <f>+C130+($D$171*C80)+C$178+C181</f>
        <v>70.739523737905643</v>
      </c>
      <c r="D194" s="3">
        <f>+D130+($D$171*D80)+D$178+D181</f>
        <v>61.407966963807326</v>
      </c>
      <c r="E194" s="3"/>
      <c r="F194" s="3">
        <f>+F130+($D$171*F80)+F$178+F181</f>
        <v>44.771413229302297</v>
      </c>
      <c r="G194" s="3">
        <f>+G130+($D$171*G80)+G$178+G181</f>
        <v>44.937529987772052</v>
      </c>
      <c r="H194" s="3">
        <f>+H130+($D$171*H80)+H$178+H181</f>
        <v>68.596773248747752</v>
      </c>
      <c r="I194" s="3">
        <f>+I130+($D$171*I80)+I$178+I181</f>
        <v>41.777815135982991</v>
      </c>
      <c r="J194" s="3">
        <f>+J130+($D$171*J80)+J$178+J181</f>
        <v>41.655277516459691</v>
      </c>
      <c r="K194" s="3"/>
    </row>
    <row r="195" spans="1:11" x14ac:dyDescent="0.4">
      <c r="A195" s="12"/>
      <c r="B195" s="39" t="s">
        <v>84</v>
      </c>
      <c r="C195" s="3"/>
      <c r="D195" s="3"/>
      <c r="E195" s="3">
        <f>+E131+($D$171*E80)+E$178+E181</f>
        <v>115.17990373018293</v>
      </c>
      <c r="F195" s="3"/>
      <c r="G195" s="3"/>
      <c r="H195" s="3"/>
      <c r="I195" s="3"/>
      <c r="J195" s="3"/>
    </row>
    <row r="196" spans="1:11" x14ac:dyDescent="0.4">
      <c r="A196" s="12"/>
      <c r="B196" s="39" t="s">
        <v>85</v>
      </c>
      <c r="C196" s="3"/>
      <c r="D196" s="3"/>
      <c r="E196" s="3">
        <f>+E132+($D$171*E80)</f>
        <v>40.21374646896507</v>
      </c>
      <c r="F196" s="3"/>
      <c r="G196" s="3"/>
      <c r="H196" s="3"/>
      <c r="I196" s="3"/>
      <c r="J196" s="3"/>
    </row>
    <row r="197" spans="1:11" x14ac:dyDescent="0.4">
      <c r="A197" s="12"/>
      <c r="B197" s="84" t="s">
        <v>160</v>
      </c>
      <c r="C197" s="3">
        <f>(C194*SUM(C50:C53)-C166*10*C164*SUM(C50:C53))/SUM(C50:C53)</f>
        <v>67.676715737905639</v>
      </c>
      <c r="D197" s="3">
        <f>(D194*SUM(D50:D53)-D166*10*D164*SUM(D50:D53))/SUM(D50:D53)</f>
        <v>57.486075963807323</v>
      </c>
      <c r="E197" s="3"/>
      <c r="F197" s="3"/>
      <c r="G197" s="3"/>
      <c r="H197" s="3"/>
      <c r="I197" s="3"/>
      <c r="J197" s="3"/>
    </row>
    <row r="198" spans="1:11" x14ac:dyDescent="0.4">
      <c r="A198" s="12"/>
      <c r="B198" s="84" t="s">
        <v>159</v>
      </c>
      <c r="C198" s="3">
        <f>+C197+C166*10</f>
        <v>76.32871573790564</v>
      </c>
      <c r="D198" s="3">
        <f>+D197+D166*10</f>
        <v>69.055075963807326</v>
      </c>
      <c r="E198" s="3"/>
      <c r="F198" s="3"/>
      <c r="G198" s="3"/>
      <c r="H198" s="3"/>
      <c r="I198" s="3"/>
      <c r="J198" s="3"/>
    </row>
    <row r="199" spans="1:11" x14ac:dyDescent="0.4">
      <c r="A199" s="12"/>
      <c r="C199" s="3"/>
      <c r="D199" s="3"/>
      <c r="E199" s="3"/>
      <c r="F199" s="3"/>
      <c r="G199" s="3"/>
      <c r="H199" s="3"/>
      <c r="I199" s="3"/>
      <c r="J199" s="3"/>
    </row>
    <row r="200" spans="1:11" x14ac:dyDescent="0.4">
      <c r="A200" s="12"/>
      <c r="B200" s="19" t="s">
        <v>24</v>
      </c>
      <c r="C200" s="3">
        <f>+C134+($D$171*C80)+C$178+C181</f>
        <v>75.871163226511314</v>
      </c>
      <c r="D200" s="3">
        <f>+D134+($D$171*D80)+D$178+D181</f>
        <v>67.672395029673609</v>
      </c>
      <c r="E200" s="3"/>
      <c r="F200" s="3">
        <f>+F134+($D$171*F80)+F$178+F181</f>
        <v>50.243486484851147</v>
      </c>
      <c r="G200" s="3">
        <f>+G134+($D$171*G80)+G$178+G181</f>
        <v>51.452521696918993</v>
      </c>
      <c r="H200" s="3">
        <f>+H134+($D$171*H80)+H$178+H181</f>
        <v>74.139822545382714</v>
      </c>
      <c r="I200" s="3">
        <f>+I134+($D$171*I80)+I$178+I181</f>
        <v>48.862732386842708</v>
      </c>
      <c r="J200" s="3">
        <f>+J134+($D$171*J80)+J$178+J181</f>
        <v>48.934445149201622</v>
      </c>
      <c r="K200" s="3"/>
    </row>
    <row r="201" spans="1:11" x14ac:dyDescent="0.4">
      <c r="A201" s="12"/>
      <c r="B201" s="39" t="s">
        <v>84</v>
      </c>
      <c r="C201" s="3"/>
      <c r="D201" s="3"/>
      <c r="E201" s="3">
        <f>+E135+($D$171*E80)+E$178+E181</f>
        <v>118.22169575380205</v>
      </c>
      <c r="F201" s="3"/>
      <c r="G201" s="3"/>
      <c r="H201" s="3"/>
      <c r="I201" s="3"/>
      <c r="J201" s="3"/>
    </row>
    <row r="202" spans="1:11" x14ac:dyDescent="0.4">
      <c r="A202" s="12"/>
      <c r="B202" s="39" t="s">
        <v>85</v>
      </c>
      <c r="C202" s="3"/>
      <c r="D202" s="3"/>
      <c r="E202" s="3">
        <f>+E136+($D$171*E80)</f>
        <v>47.519398403707299</v>
      </c>
      <c r="F202" s="3"/>
      <c r="G202" s="3"/>
      <c r="H202" s="3"/>
      <c r="I202" s="3"/>
      <c r="J202" s="3"/>
    </row>
    <row r="203" spans="1:11" x14ac:dyDescent="0.4">
      <c r="A203" s="12"/>
      <c r="C203" s="3"/>
      <c r="D203" s="3"/>
      <c r="E203" s="3"/>
      <c r="F203" s="3"/>
      <c r="G203" s="3"/>
      <c r="H203" s="3"/>
      <c r="I203" s="3"/>
      <c r="J203" s="3"/>
    </row>
    <row r="204" spans="1:11" x14ac:dyDescent="0.4">
      <c r="A204" s="12"/>
      <c r="B204" s="1" t="s">
        <v>112</v>
      </c>
      <c r="C204" s="3">
        <f>+C138+($D$171*C80)+C$178+C181</f>
        <v>73.674729489541335</v>
      </c>
      <c r="D204" s="3">
        <f>+D138+($D$171*D80)+D$178+D181</f>
        <v>66.188585828282356</v>
      </c>
      <c r="E204" s="3">
        <f>((E195*SUMPRODUCT(E32:E35,E50:E53)+E196*SUMPRODUCT(Q32:Q35,E50:E53))+(E201*(SUMPRODUCT(E27:E31,E45:E49)+SUMPRODUCT(E36:E38,E54:E56))+E202*(SUMPRODUCT(Q27:Q31,E45:E49)+SUMPRODUCT(Q36:Q38,E54:E56))))/E57</f>
        <v>77.154733859262379</v>
      </c>
      <c r="F204" s="3">
        <f>+F138+($D$171*F80)+F$178+F181</f>
        <v>48.69503410078697</v>
      </c>
      <c r="G204" s="3">
        <f>+G138+($D$171*G80)+G$178+G181</f>
        <v>49.591095494305584</v>
      </c>
      <c r="H204" s="3">
        <f>+H138+($D$171*H80)+H$178+H181</f>
        <v>72.921016503418628</v>
      </c>
      <c r="I204" s="3">
        <f>+I138+($D$171*I80)+I$178+I181</f>
        <v>46.916840098789095</v>
      </c>
      <c r="J204" s="3">
        <f>+J138+($D$171*J80)+J$178+J181</f>
        <v>46.991501457853246</v>
      </c>
      <c r="K204" s="3"/>
    </row>
    <row r="205" spans="1:11" x14ac:dyDescent="0.4">
      <c r="A205" s="12"/>
      <c r="C205" s="3"/>
      <c r="D205" s="3"/>
      <c r="E205" s="3"/>
      <c r="F205" s="3"/>
      <c r="G205" s="3"/>
      <c r="H205" s="3"/>
      <c r="I205" s="3"/>
      <c r="J205" s="3"/>
      <c r="K205" s="3"/>
    </row>
    <row r="206" spans="1:11" x14ac:dyDescent="0.4">
      <c r="A206" s="12"/>
      <c r="B206" s="6" t="s">
        <v>32</v>
      </c>
    </row>
    <row r="207" spans="1:11" x14ac:dyDescent="0.4">
      <c r="A207" s="12"/>
      <c r="B207" s="7" t="s">
        <v>89</v>
      </c>
    </row>
    <row r="208" spans="1:11" x14ac:dyDescent="0.4">
      <c r="A208" s="12"/>
      <c r="B208" s="7" t="s">
        <v>40</v>
      </c>
    </row>
    <row r="209" spans="1:15" x14ac:dyDescent="0.4">
      <c r="A209" s="12"/>
      <c r="C209" s="18" t="str">
        <f>+K7</f>
        <v>GLP</v>
      </c>
      <c r="D209" s="18" t="str">
        <f>+L7</f>
        <v>LPL-S</v>
      </c>
      <c r="E209" s="18"/>
      <c r="H209" s="6" t="s">
        <v>31</v>
      </c>
      <c r="I209" s="18" t="str">
        <f>+C209</f>
        <v>GLP</v>
      </c>
      <c r="J209" s="18" t="str">
        <f>+D209</f>
        <v>LPL-S</v>
      </c>
    </row>
    <row r="210" spans="1:15" x14ac:dyDescent="0.4">
      <c r="A210" s="12"/>
      <c r="C210" s="18"/>
      <c r="D210" s="18"/>
      <c r="F210" s="6"/>
    </row>
    <row r="211" spans="1:15" x14ac:dyDescent="0.4">
      <c r="A211" s="12"/>
      <c r="B211" s="19" t="s">
        <v>23</v>
      </c>
      <c r="C211" s="3">
        <f>+K130+($D$171*K80)</f>
        <v>45.862968731737922</v>
      </c>
      <c r="D211" s="3">
        <f>+L130+($D$171*L$80)</f>
        <v>45.526166270433819</v>
      </c>
      <c r="E211" s="83"/>
      <c r="H211" s="56" t="s">
        <v>28</v>
      </c>
    </row>
    <row r="212" spans="1:15" x14ac:dyDescent="0.4">
      <c r="A212" s="12"/>
      <c r="B212" s="39" t="s">
        <v>84</v>
      </c>
      <c r="C212" s="3"/>
      <c r="D212" s="3">
        <f>+L131+($D$171*L$80)</f>
        <v>50.855358300553405</v>
      </c>
      <c r="H212" s="28" t="s">
        <v>47</v>
      </c>
      <c r="I212" s="103">
        <f>+$F158*$E152/$H152/1000</f>
        <v>5.2539299999999995</v>
      </c>
      <c r="J212" s="103">
        <f>+$F158*$E152/$H152/1000</f>
        <v>5.2539299999999995</v>
      </c>
      <c r="K212" s="53" t="s">
        <v>51</v>
      </c>
      <c r="O212" s="107"/>
    </row>
    <row r="213" spans="1:15" x14ac:dyDescent="0.4">
      <c r="A213" s="12"/>
      <c r="B213" s="39" t="s">
        <v>85</v>
      </c>
      <c r="C213" s="3"/>
      <c r="D213" s="3">
        <f>+L132+($D$171*L$80)</f>
        <v>40.155665034718474</v>
      </c>
      <c r="H213" s="28" t="s">
        <v>48</v>
      </c>
      <c r="I213" s="103">
        <f>+$F159*$E153/$H153/1000</f>
        <v>5.2323975000000003</v>
      </c>
      <c r="J213" s="103">
        <f>+$F159*$E153/$H153/1000</f>
        <v>5.2323975000000003</v>
      </c>
      <c r="K213" s="53" t="s">
        <v>51</v>
      </c>
    </row>
    <row r="214" spans="1:15" x14ac:dyDescent="0.4">
      <c r="A214" s="12"/>
      <c r="C214" s="3"/>
      <c r="D214" s="3"/>
      <c r="H214" s="28" t="s">
        <v>291</v>
      </c>
      <c r="I214" s="103">
        <f>($F$158*$E$152+$F$159*$E$153)/$H$154/1000</f>
        <v>5.2395749999999994</v>
      </c>
      <c r="J214" s="103">
        <f>($F$158*$E$152+$F$159*$E$153)/$H$154/1000</f>
        <v>5.2395749999999994</v>
      </c>
      <c r="K214" s="53" t="s">
        <v>51</v>
      </c>
    </row>
    <row r="215" spans="1:15" x14ac:dyDescent="0.4">
      <c r="A215" s="12"/>
      <c r="B215" s="19" t="s">
        <v>24</v>
      </c>
      <c r="C215" s="3">
        <f>+K134+($D$171*K80)</f>
        <v>50.520308747539815</v>
      </c>
      <c r="D215" s="3">
        <f>+L134+($D$171*L$80)</f>
        <v>50.29862858764541</v>
      </c>
    </row>
    <row r="216" spans="1:15" x14ac:dyDescent="0.4">
      <c r="A216" s="12"/>
      <c r="B216" s="39" t="s">
        <v>84</v>
      </c>
      <c r="C216" s="3"/>
      <c r="D216" s="3">
        <f>+L135+($D$171*L$80)</f>
        <v>53.551885106020123</v>
      </c>
      <c r="H216" s="56" t="s">
        <v>29</v>
      </c>
      <c r="I216" s="57"/>
      <c r="J216" s="57"/>
      <c r="K216" s="53"/>
    </row>
    <row r="217" spans="1:15" x14ac:dyDescent="0.4">
      <c r="A217" s="12"/>
      <c r="B217" s="39" t="s">
        <v>85</v>
      </c>
      <c r="C217" s="3"/>
      <c r="D217" s="3">
        <f>+L136+($D$171*L$80)</f>
        <v>47.219795381051313</v>
      </c>
      <c r="H217" s="28" t="s">
        <v>49</v>
      </c>
      <c r="I217" s="103">
        <f>+$D155/1000/12</f>
        <v>0</v>
      </c>
      <c r="J217" s="103">
        <f>+$D155/1000/12</f>
        <v>0</v>
      </c>
      <c r="K217" s="53" t="s">
        <v>52</v>
      </c>
    </row>
    <row r="218" spans="1:15" x14ac:dyDescent="0.4">
      <c r="A218" s="12"/>
      <c r="B218" s="39"/>
      <c r="C218" s="3"/>
      <c r="D218" s="3"/>
    </row>
    <row r="219" spans="1:15" x14ac:dyDescent="0.4">
      <c r="A219" s="12"/>
      <c r="B219" s="1" t="s">
        <v>114</v>
      </c>
      <c r="C219" s="3">
        <f>+K138+($D$171*K80)</f>
        <v>48.818489724255159</v>
      </c>
      <c r="D219" s="3">
        <f>+L138+($D$171*L$80)</f>
        <v>48.596736322040726</v>
      </c>
    </row>
    <row r="220" spans="1:15" x14ac:dyDescent="0.4">
      <c r="A220" s="12"/>
      <c r="C220" s="3"/>
      <c r="D220" s="3"/>
    </row>
    <row r="221" spans="1:15" x14ac:dyDescent="0.4">
      <c r="A221" s="12"/>
      <c r="B221" s="308" t="s">
        <v>366</v>
      </c>
      <c r="C221" s="3"/>
      <c r="D221" s="3"/>
    </row>
    <row r="222" spans="1:15" x14ac:dyDescent="0.4">
      <c r="A222" s="12"/>
      <c r="B222" s="19" t="s">
        <v>23</v>
      </c>
      <c r="C222" s="3">
        <f>(C211*W49+((I214*$H152)*K147*1000)+(I217*$H152*K149*1000))/W49</f>
        <v>62.183580038292746</v>
      </c>
      <c r="D222" s="3">
        <f>(D211*X49+((J214*$H152)*L147*1000)+(J217*$H152*L149*1000))/X49</f>
        <v>59.093878112400823</v>
      </c>
      <c r="F222" s="1" t="s">
        <v>121</v>
      </c>
    </row>
    <row r="223" spans="1:15" x14ac:dyDescent="0.4">
      <c r="A223" s="12"/>
      <c r="B223" s="39" t="s">
        <v>84</v>
      </c>
      <c r="C223" s="3"/>
      <c r="D223" s="3">
        <f>(D212*X50+((J214*$H152)*L147*1000)+(J217*$H152*L149*1000))/X50</f>
        <v>77.886420887944539</v>
      </c>
    </row>
    <row r="224" spans="1:15" x14ac:dyDescent="0.4">
      <c r="A224" s="12"/>
      <c r="B224" s="39" t="s">
        <v>85</v>
      </c>
      <c r="C224" s="3"/>
      <c r="D224" s="3">
        <f>+D213</f>
        <v>40.155665034718474</v>
      </c>
    </row>
    <row r="225" spans="1:7" x14ac:dyDescent="0.4">
      <c r="A225" s="12"/>
      <c r="C225" s="3"/>
      <c r="D225" s="3"/>
    </row>
    <row r="226" spans="1:7" x14ac:dyDescent="0.4">
      <c r="A226" s="12"/>
      <c r="B226" s="19" t="s">
        <v>24</v>
      </c>
      <c r="C226" s="3">
        <f>(C215*W45+((I214*$H153)*K147*1000)+(I217*$H153*K149*1000))/W45</f>
        <v>69.315456448029408</v>
      </c>
      <c r="D226" s="3">
        <f>(D215*X45+((J214*$H153)*L147*1000)+(J217*$H153*L149*1000))/X45</f>
        <v>65.338691805687134</v>
      </c>
    </row>
    <row r="227" spans="1:7" x14ac:dyDescent="0.4">
      <c r="A227" s="12"/>
      <c r="B227" s="39" t="s">
        <v>84</v>
      </c>
      <c r="C227" s="3"/>
      <c r="D227" s="3">
        <f>(D216*X46+((J214*$H153)*L147*1000)+(J217*$H153*L149*1000))/X46</f>
        <v>84.484067324229784</v>
      </c>
    </row>
    <row r="228" spans="1:7" x14ac:dyDescent="0.4">
      <c r="A228" s="12"/>
      <c r="B228" s="39" t="s">
        <v>85</v>
      </c>
      <c r="C228" s="3"/>
      <c r="D228" s="3">
        <f>+D217</f>
        <v>47.219795381051313</v>
      </c>
    </row>
    <row r="229" spans="1:7" x14ac:dyDescent="0.4">
      <c r="A229" s="12"/>
      <c r="B229" s="39"/>
      <c r="C229" s="3"/>
      <c r="D229" s="3"/>
    </row>
    <row r="230" spans="1:7" x14ac:dyDescent="0.4">
      <c r="A230" s="12"/>
      <c r="B230" s="172" t="s">
        <v>367</v>
      </c>
      <c r="C230" s="3">
        <f>(C219*K57+((I214*$H152+I214*$H153)*K147*1000)+(I217*$H154*K149*1000))/K57</f>
        <v>66.709427490593455</v>
      </c>
      <c r="D230" s="3">
        <f>(D219*L57+((J214*$H152+J214*$H153)*L147*1000)+(J217*$H154*L149*1000))/L57</f>
        <v>63.111749104344682</v>
      </c>
    </row>
    <row r="231" spans="1:7" x14ac:dyDescent="0.4">
      <c r="A231" s="12"/>
      <c r="C231" s="43"/>
      <c r="D231" s="43"/>
    </row>
    <row r="232" spans="1:7" x14ac:dyDescent="0.4">
      <c r="A232" s="12"/>
      <c r="B232" s="6" t="s">
        <v>108</v>
      </c>
      <c r="C232" s="3"/>
      <c r="D232" s="3"/>
    </row>
    <row r="233" spans="1:7" x14ac:dyDescent="0.4">
      <c r="A233" s="12"/>
      <c r="B233" s="28" t="s">
        <v>59</v>
      </c>
      <c r="C233" s="47">
        <f>(+SUMPRODUCT(C204:J204,C57:J57)+SUMPRODUCT(C230:D230,K57:L57))/1000</f>
        <v>1694132.3772588668</v>
      </c>
      <c r="G233" s="2"/>
    </row>
    <row r="234" spans="1:7" x14ac:dyDescent="0.4">
      <c r="A234" s="12"/>
      <c r="C234" s="28" t="s">
        <v>140</v>
      </c>
      <c r="D234" s="54">
        <f>+C233/SUM(C57:L57)*1000</f>
        <v>69.506468177305592</v>
      </c>
      <c r="E234" s="1" t="s">
        <v>44</v>
      </c>
    </row>
    <row r="235" spans="1:7" x14ac:dyDescent="0.4">
      <c r="A235" s="12"/>
      <c r="C235" s="28" t="s">
        <v>279</v>
      </c>
      <c r="D235" s="54">
        <f>+C233/SUMPRODUCT(C57:L57,C85:L85)*1000</f>
        <v>65.894713059785673</v>
      </c>
      <c r="E235" s="1" t="s">
        <v>264</v>
      </c>
    </row>
    <row r="236" spans="1:7" x14ac:dyDescent="0.4">
      <c r="A236" s="12"/>
    </row>
    <row r="237" spans="1:7" x14ac:dyDescent="0.4">
      <c r="A237" s="12"/>
      <c r="E237" s="57"/>
    </row>
    <row r="238" spans="1:7" x14ac:dyDescent="0.4">
      <c r="A238" s="8" t="s">
        <v>92</v>
      </c>
      <c r="B238" s="6" t="s">
        <v>265</v>
      </c>
    </row>
    <row r="239" spans="1:7" x14ac:dyDescent="0.4">
      <c r="A239" s="12"/>
      <c r="B239" s="6"/>
    </row>
    <row r="240" spans="1:7" x14ac:dyDescent="0.4">
      <c r="A240" s="12"/>
      <c r="B240" s="6" t="s">
        <v>41</v>
      </c>
    </row>
    <row r="241" spans="1:13" x14ac:dyDescent="0.4">
      <c r="A241" s="12"/>
      <c r="B241" s="7" t="s">
        <v>365</v>
      </c>
    </row>
    <row r="242" spans="1:13" x14ac:dyDescent="0.4">
      <c r="A242" s="12"/>
      <c r="B242" s="6"/>
    </row>
    <row r="243" spans="1:13" x14ac:dyDescent="0.4">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4">
      <c r="A244" s="12"/>
      <c r="C244" s="18"/>
      <c r="D244" s="18"/>
      <c r="E244" s="18"/>
      <c r="F244" s="18"/>
      <c r="G244" s="18"/>
    </row>
    <row r="245" spans="1:13" x14ac:dyDescent="0.4">
      <c r="A245" s="12"/>
      <c r="B245" s="19" t="s">
        <v>23</v>
      </c>
      <c r="E245" s="72"/>
      <c r="F245" s="71">
        <f>ROUND(+F194/$D$235,3)</f>
        <v>0.67900000000000005</v>
      </c>
      <c r="G245" s="71">
        <f>ROUND(+G194/$D$235,3)</f>
        <v>0.68200000000000005</v>
      </c>
      <c r="H245" s="71">
        <f>ROUND(+H194/$D$235,3)</f>
        <v>1.0409999999999999</v>
      </c>
      <c r="I245" s="72">
        <f>ROUND(+I194/$D$235,3)</f>
        <v>0.63400000000000001</v>
      </c>
      <c r="J245" s="72">
        <f>ROUND(+J194/$D$235,3)</f>
        <v>0.63200000000000001</v>
      </c>
      <c r="K245" s="60"/>
      <c r="L245" s="60"/>
      <c r="M245" s="60"/>
    </row>
    <row r="246" spans="1:13" x14ac:dyDescent="0.4">
      <c r="A246" s="12"/>
      <c r="B246" s="39" t="s">
        <v>84</v>
      </c>
      <c r="C246" s="59"/>
      <c r="D246" s="58"/>
      <c r="E246" s="71">
        <f>ROUND(+E195/$D$235,3)</f>
        <v>1.748</v>
      </c>
      <c r="F246" s="72"/>
      <c r="G246" s="72"/>
      <c r="H246" s="72"/>
      <c r="I246" s="11"/>
      <c r="J246" s="61" t="s">
        <v>167</v>
      </c>
      <c r="K246" s="60"/>
      <c r="L246" s="60"/>
      <c r="M246" s="60"/>
    </row>
    <row r="247" spans="1:13" x14ac:dyDescent="0.4">
      <c r="A247" s="12"/>
      <c r="B247" s="39" t="s">
        <v>85</v>
      </c>
      <c r="C247" s="59"/>
      <c r="D247" s="58"/>
      <c r="E247" s="71">
        <f>ROUND(+E196/$D$235,3)</f>
        <v>0.61</v>
      </c>
      <c r="F247" s="72"/>
      <c r="G247" s="72"/>
      <c r="H247" s="73"/>
      <c r="I247" s="11"/>
      <c r="J247" s="61" t="s">
        <v>168</v>
      </c>
      <c r="K247" s="74">
        <f>ROUND((I245*U49+J245*V49)/(U49+V49),3)</f>
        <v>0.63300000000000001</v>
      </c>
      <c r="L247" s="60"/>
      <c r="M247" s="60"/>
    </row>
    <row r="248" spans="1:13" x14ac:dyDescent="0.4">
      <c r="A248" s="12"/>
      <c r="E248" s="59"/>
      <c r="F248" s="58"/>
      <c r="G248" s="58"/>
      <c r="L248" s="60"/>
      <c r="M248" s="60"/>
    </row>
    <row r="249" spans="1:13" x14ac:dyDescent="0.4">
      <c r="A249" s="12"/>
      <c r="B249" s="301" t="s">
        <v>164</v>
      </c>
      <c r="C249" s="71">
        <f>ROUND(+C194/$D$235,3)</f>
        <v>1.0740000000000001</v>
      </c>
      <c r="D249" s="71">
        <f>ROUND(+D194/$D$235,3)</f>
        <v>0.93200000000000005</v>
      </c>
      <c r="E249" s="59"/>
      <c r="F249" s="58"/>
      <c r="G249" s="58"/>
      <c r="H249" s="58"/>
      <c r="I249" s="58"/>
      <c r="J249" s="58"/>
      <c r="K249" s="60"/>
      <c r="L249" s="60"/>
      <c r="M249" s="60"/>
    </row>
    <row r="250" spans="1:13" x14ac:dyDescent="0.4">
      <c r="A250" s="8"/>
      <c r="B250" s="301" t="s">
        <v>172</v>
      </c>
      <c r="C250" s="91">
        <f>ROUND(+C197-C194,3)</f>
        <v>-3.0630000000000002</v>
      </c>
      <c r="D250" s="91">
        <f>ROUND(D197-D194,3)</f>
        <v>-3.9220000000000002</v>
      </c>
      <c r="E250" s="89" t="s">
        <v>165</v>
      </c>
      <c r="F250" s="58"/>
      <c r="G250" s="58"/>
      <c r="H250" s="58"/>
      <c r="I250" s="58"/>
      <c r="J250" s="58"/>
      <c r="K250" s="60"/>
      <c r="L250" s="60"/>
      <c r="M250" s="60"/>
    </row>
    <row r="251" spans="1:13" x14ac:dyDescent="0.4">
      <c r="A251" s="8"/>
      <c r="B251" s="301" t="s">
        <v>172</v>
      </c>
      <c r="C251" s="91">
        <f>ROUND(+C198-C194,3)</f>
        <v>5.5890000000000004</v>
      </c>
      <c r="D251" s="91">
        <f>ROUND(D198-D194,3)</f>
        <v>7.6470000000000002</v>
      </c>
      <c r="E251" s="89" t="s">
        <v>166</v>
      </c>
      <c r="F251" s="58"/>
      <c r="G251" s="58"/>
      <c r="H251" s="58"/>
      <c r="I251" s="58"/>
      <c r="J251" s="58"/>
      <c r="K251" s="60"/>
      <c r="L251" s="60"/>
      <c r="M251" s="60"/>
    </row>
    <row r="252" spans="1:13" x14ac:dyDescent="0.4">
      <c r="A252" s="12"/>
      <c r="G252" s="58"/>
      <c r="H252" s="58"/>
      <c r="I252" s="58"/>
      <c r="J252" s="58"/>
      <c r="K252" s="60"/>
      <c r="L252" s="60"/>
      <c r="M252" s="60"/>
    </row>
    <row r="253" spans="1:13" x14ac:dyDescent="0.4">
      <c r="A253" s="12"/>
      <c r="H253" s="58"/>
      <c r="I253" s="58"/>
      <c r="J253" s="58"/>
      <c r="K253" s="60"/>
      <c r="L253" s="60"/>
      <c r="M253" s="60"/>
    </row>
    <row r="254" spans="1:13" x14ac:dyDescent="0.4">
      <c r="A254" s="12"/>
      <c r="C254" s="58"/>
      <c r="D254" s="58"/>
      <c r="E254" s="58"/>
      <c r="F254" s="58"/>
      <c r="G254" s="58"/>
      <c r="H254" s="58"/>
      <c r="I254" s="58"/>
      <c r="J254" s="58"/>
      <c r="K254" s="60"/>
      <c r="L254" s="60"/>
      <c r="M254" s="60"/>
    </row>
    <row r="255" spans="1:13" x14ac:dyDescent="0.4">
      <c r="A255" s="12"/>
      <c r="B255" s="19" t="s">
        <v>24</v>
      </c>
      <c r="C255" s="71">
        <f>ROUND(+C200/$D$235,3)</f>
        <v>1.151</v>
      </c>
      <c r="D255" s="71">
        <f>ROUND(+D200/$D$235,3)</f>
        <v>1.0269999999999999</v>
      </c>
      <c r="E255" s="72"/>
      <c r="F255" s="71">
        <f>ROUND(+F200/$D$235,3)</f>
        <v>0.76200000000000001</v>
      </c>
      <c r="G255" s="71">
        <f>ROUND(+G200/$D$235,3)</f>
        <v>0.78100000000000003</v>
      </c>
      <c r="H255" s="71">
        <f>ROUND(+H200/$D$235,3)</f>
        <v>1.125</v>
      </c>
      <c r="I255" s="72">
        <f>ROUND(+I200/$D$235,3)</f>
        <v>0.74199999999999999</v>
      </c>
      <c r="J255" s="72">
        <f>ROUND(+J200/$D$235,3)</f>
        <v>0.74299999999999999</v>
      </c>
      <c r="K255" s="60"/>
      <c r="L255" s="60"/>
      <c r="M255" s="60"/>
    </row>
    <row r="256" spans="1:13" x14ac:dyDescent="0.4">
      <c r="A256" s="12"/>
      <c r="B256" s="39" t="s">
        <v>84</v>
      </c>
      <c r="C256" s="58"/>
      <c r="D256" s="58"/>
      <c r="E256" s="71">
        <f>ROUND(+E201/$D$235,3)</f>
        <v>1.794</v>
      </c>
      <c r="F256" s="58"/>
      <c r="G256" s="58"/>
      <c r="H256" s="58"/>
      <c r="J256" s="61" t="s">
        <v>167</v>
      </c>
      <c r="K256" s="60"/>
      <c r="L256" s="60"/>
      <c r="M256" s="60"/>
    </row>
    <row r="257" spans="1:13" x14ac:dyDescent="0.4">
      <c r="A257" s="12"/>
      <c r="B257" s="39" t="s">
        <v>85</v>
      </c>
      <c r="C257" s="58"/>
      <c r="D257" s="58"/>
      <c r="E257" s="71">
        <f>ROUND(+E202/$D$235,3)</f>
        <v>0.72099999999999997</v>
      </c>
      <c r="F257" s="58"/>
      <c r="G257" s="58"/>
      <c r="J257" s="61" t="s">
        <v>168</v>
      </c>
      <c r="K257" s="74">
        <f>ROUND((I255*U45+J255*V45)/(U45+V45),3)</f>
        <v>0.74299999999999999</v>
      </c>
      <c r="L257" s="60"/>
      <c r="M257" s="60"/>
    </row>
    <row r="258" spans="1:13" x14ac:dyDescent="0.4">
      <c r="A258" s="12"/>
      <c r="C258" s="63"/>
      <c r="D258" s="63"/>
      <c r="E258" s="63"/>
      <c r="F258" s="63"/>
      <c r="G258" s="63"/>
      <c r="K258" s="60"/>
      <c r="L258" s="60"/>
      <c r="M258" s="60"/>
    </row>
    <row r="259" spans="1:13" x14ac:dyDescent="0.4">
      <c r="A259" s="12"/>
      <c r="B259" s="1" t="s">
        <v>113</v>
      </c>
      <c r="C259" s="75">
        <f>ROUND(+C204/$D$235,3)</f>
        <v>1.1180000000000001</v>
      </c>
      <c r="D259" s="75">
        <f t="shared" ref="D259:J259" si="63">ROUND(+D204/$D$235,3)</f>
        <v>1.004</v>
      </c>
      <c r="E259" s="75">
        <f t="shared" si="63"/>
        <v>1.171</v>
      </c>
      <c r="F259" s="75">
        <f t="shared" si="63"/>
        <v>0.73899999999999999</v>
      </c>
      <c r="G259" s="75">
        <f t="shared" si="63"/>
        <v>0.753</v>
      </c>
      <c r="H259" s="75">
        <f t="shared" si="63"/>
        <v>1.107</v>
      </c>
      <c r="I259" s="75">
        <f t="shared" si="63"/>
        <v>0.71199999999999997</v>
      </c>
      <c r="J259" s="75">
        <f t="shared" si="63"/>
        <v>0.71299999999999997</v>
      </c>
      <c r="K259" s="60"/>
      <c r="L259" s="60"/>
      <c r="M259" s="60"/>
    </row>
    <row r="260" spans="1:13" x14ac:dyDescent="0.4">
      <c r="A260" s="12"/>
    </row>
    <row r="261" spans="1:13" x14ac:dyDescent="0.4">
      <c r="A261" s="12"/>
    </row>
    <row r="262" spans="1:13" x14ac:dyDescent="0.4">
      <c r="A262" s="12"/>
      <c r="B262" s="6" t="s">
        <v>32</v>
      </c>
    </row>
    <row r="263" spans="1:13" x14ac:dyDescent="0.4">
      <c r="A263" s="12"/>
      <c r="B263" s="7" t="s">
        <v>89</v>
      </c>
    </row>
    <row r="264" spans="1:13" x14ac:dyDescent="0.4">
      <c r="A264" s="12"/>
      <c r="B264" s="11"/>
    </row>
    <row r="265" spans="1:13" x14ac:dyDescent="0.4">
      <c r="A265" s="12"/>
      <c r="C265" s="18" t="str">
        <f>+K7</f>
        <v>GLP</v>
      </c>
      <c r="D265" s="18" t="str">
        <f>+C265</f>
        <v>GLP</v>
      </c>
      <c r="E265" s="18" t="str">
        <f>+L7</f>
        <v>LPL-S</v>
      </c>
      <c r="F265" s="18" t="str">
        <f>+E265</f>
        <v>LPL-S</v>
      </c>
      <c r="H265" s="6" t="s">
        <v>31</v>
      </c>
    </row>
    <row r="266" spans="1:13" ht="25.35" x14ac:dyDescent="0.4">
      <c r="A266" s="12"/>
      <c r="C266" s="18" t="s">
        <v>122</v>
      </c>
      <c r="D266" s="69" t="s">
        <v>172</v>
      </c>
      <c r="E266" s="18" t="s">
        <v>122</v>
      </c>
      <c r="F266" s="69" t="s">
        <v>172</v>
      </c>
    </row>
    <row r="267" spans="1:13" x14ac:dyDescent="0.4">
      <c r="A267" s="12"/>
      <c r="B267" s="19" t="s">
        <v>23</v>
      </c>
      <c r="C267" s="71">
        <f>ROUND(+C222/$D$235,3)</f>
        <v>0.94399999999999995</v>
      </c>
      <c r="D267" s="74">
        <f>ROUND(+C211-C222,3)</f>
        <v>-16.321000000000002</v>
      </c>
      <c r="E267" s="73"/>
      <c r="F267" s="73"/>
      <c r="H267" s="56" t="s">
        <v>28</v>
      </c>
    </row>
    <row r="268" spans="1:13" x14ac:dyDescent="0.4">
      <c r="A268" s="12"/>
      <c r="B268" s="39" t="s">
        <v>84</v>
      </c>
      <c r="C268" s="72"/>
      <c r="D268" s="74"/>
      <c r="E268" s="71">
        <f>ROUND(D223/$D$235,3)</f>
        <v>1.1819999999999999</v>
      </c>
      <c r="F268" s="74">
        <f>ROUND(+D212-D223,3)</f>
        <v>-27.030999999999999</v>
      </c>
      <c r="H268" s="28" t="s">
        <v>47</v>
      </c>
      <c r="I268" s="101">
        <f t="shared" ref="I268:J270" si="64">ROUND(+I212,4)</f>
        <v>5.2538999999999998</v>
      </c>
      <c r="J268" s="101">
        <f t="shared" si="64"/>
        <v>5.2538999999999998</v>
      </c>
      <c r="K268" s="53" t="s">
        <v>51</v>
      </c>
    </row>
    <row r="269" spans="1:13" x14ac:dyDescent="0.4">
      <c r="A269" s="12"/>
      <c r="B269" s="39" t="s">
        <v>85</v>
      </c>
      <c r="C269" s="72"/>
      <c r="D269" s="74"/>
      <c r="E269" s="71">
        <f>ROUND(D224/$D$235,3)</f>
        <v>0.60899999999999999</v>
      </c>
      <c r="F269" s="74">
        <f>ROUND(+D213-D224,3)</f>
        <v>0</v>
      </c>
      <c r="H269" s="28" t="s">
        <v>48</v>
      </c>
      <c r="I269" s="101">
        <f t="shared" si="64"/>
        <v>5.2324000000000002</v>
      </c>
      <c r="J269" s="101">
        <f t="shared" si="64"/>
        <v>5.2324000000000002</v>
      </c>
      <c r="K269" s="53" t="s">
        <v>51</v>
      </c>
    </row>
    <row r="270" spans="1:13" x14ac:dyDescent="0.4">
      <c r="A270" s="12"/>
      <c r="C270" s="72"/>
      <c r="D270" s="74"/>
      <c r="E270" s="72"/>
      <c r="F270" s="74"/>
      <c r="H270" s="28" t="s">
        <v>291</v>
      </c>
      <c r="I270" s="101">
        <f t="shared" si="64"/>
        <v>5.2396000000000003</v>
      </c>
      <c r="J270" s="101">
        <f t="shared" si="64"/>
        <v>5.2396000000000003</v>
      </c>
      <c r="K270" s="53" t="s">
        <v>51</v>
      </c>
    </row>
    <row r="271" spans="1:13" x14ac:dyDescent="0.4">
      <c r="A271" s="12"/>
      <c r="B271" s="19" t="s">
        <v>24</v>
      </c>
      <c r="C271" s="71">
        <f>ROUND(+C226/$D$235,3)</f>
        <v>1.052</v>
      </c>
      <c r="D271" s="74">
        <f>ROUND(+C215-C226,3)</f>
        <v>-18.795000000000002</v>
      </c>
      <c r="E271" s="71"/>
      <c r="F271" s="74"/>
    </row>
    <row r="272" spans="1:13" x14ac:dyDescent="0.4">
      <c r="A272" s="12"/>
      <c r="B272" s="39" t="s">
        <v>84</v>
      </c>
      <c r="C272" s="72"/>
      <c r="D272" s="73"/>
      <c r="E272" s="71">
        <f>ROUND(D227/$D$235,3)</f>
        <v>1.282</v>
      </c>
      <c r="F272" s="74">
        <f>ROUND(+D216-D227,3)</f>
        <v>-30.931999999999999</v>
      </c>
      <c r="H272" s="56" t="s">
        <v>29</v>
      </c>
      <c r="I272" s="57"/>
      <c r="J272" s="57"/>
    </row>
    <row r="273" spans="1:11" x14ac:dyDescent="0.4">
      <c r="A273" s="12"/>
      <c r="B273" s="39" t="s">
        <v>85</v>
      </c>
      <c r="C273" s="72"/>
      <c r="D273" s="73"/>
      <c r="E273" s="71">
        <f>ROUND(D228/$D$235,3)</f>
        <v>0.71699999999999997</v>
      </c>
      <c r="F273" s="74">
        <f>ROUND(+D217-D228,3)</f>
        <v>0</v>
      </c>
      <c r="H273" s="28" t="s">
        <v>49</v>
      </c>
      <c r="I273" s="101">
        <f>ROUND(+I217,4)</f>
        <v>0</v>
      </c>
      <c r="J273" s="101">
        <f>ROUND(+J217,4)</f>
        <v>0</v>
      </c>
      <c r="K273" s="53" t="s">
        <v>52</v>
      </c>
    </row>
    <row r="274" spans="1:11" x14ac:dyDescent="0.4">
      <c r="A274" s="12"/>
      <c r="C274" s="75"/>
      <c r="D274" s="73"/>
      <c r="E274" s="75"/>
      <c r="F274" s="73"/>
    </row>
    <row r="275" spans="1:11" x14ac:dyDescent="0.4">
      <c r="A275" s="12"/>
      <c r="B275" s="172" t="s">
        <v>367</v>
      </c>
      <c r="C275" s="75">
        <f>ROUND(+C230/$D$235,3)</f>
        <v>1.012</v>
      </c>
      <c r="D275" s="73"/>
      <c r="E275" s="75">
        <f>ROUND(+D230/$D$235,3)</f>
        <v>0.95799999999999996</v>
      </c>
      <c r="F275" s="73"/>
    </row>
    <row r="276" spans="1:11" x14ac:dyDescent="0.4">
      <c r="A276" s="12"/>
      <c r="C276" s="60"/>
      <c r="E276" s="60"/>
    </row>
    <row r="277" spans="1:11" x14ac:dyDescent="0.4">
      <c r="A277" s="12"/>
      <c r="C277" s="60"/>
      <c r="E277" s="60"/>
    </row>
    <row r="279" spans="1:11" x14ac:dyDescent="0.4">
      <c r="A279" s="6" t="s">
        <v>27</v>
      </c>
      <c r="E279" s="40"/>
      <c r="G279" s="107"/>
    </row>
    <row r="280" spans="1:11" x14ac:dyDescent="0.4">
      <c r="A280" s="12"/>
      <c r="B280" s="28" t="s">
        <v>34</v>
      </c>
      <c r="C280" s="83">
        <f>+F158</f>
        <v>172.26</v>
      </c>
      <c r="D280" s="53" t="s">
        <v>180</v>
      </c>
      <c r="E280" s="4" t="s">
        <v>47</v>
      </c>
      <c r="G280" s="107"/>
    </row>
    <row r="281" spans="1:11" x14ac:dyDescent="0.4">
      <c r="A281" s="12"/>
      <c r="B281" s="28"/>
      <c r="C281" s="83">
        <f>+F159</f>
        <v>172.26</v>
      </c>
      <c r="D281" s="53" t="s">
        <v>180</v>
      </c>
      <c r="E281" s="4" t="s">
        <v>48</v>
      </c>
    </row>
    <row r="282" spans="1:11" x14ac:dyDescent="0.4">
      <c r="A282" s="12"/>
      <c r="B282" s="28"/>
    </row>
    <row r="283" spans="1:11" x14ac:dyDescent="0.4">
      <c r="A283" s="12"/>
      <c r="B283" s="28" t="s">
        <v>35</v>
      </c>
      <c r="C283" s="83">
        <f>+D155</f>
        <v>0</v>
      </c>
      <c r="D283" s="53" t="s">
        <v>30</v>
      </c>
      <c r="E283" s="52"/>
    </row>
    <row r="284" spans="1:11" x14ac:dyDescent="0.4">
      <c r="A284" s="12"/>
      <c r="B284" s="28" t="s">
        <v>115</v>
      </c>
      <c r="C284" s="64">
        <f>+H152</f>
        <v>4</v>
      </c>
      <c r="D284" s="1" t="s">
        <v>116</v>
      </c>
      <c r="E284" s="52"/>
    </row>
    <row r="285" spans="1:11" x14ac:dyDescent="0.4">
      <c r="A285" s="12"/>
      <c r="B285" s="28"/>
      <c r="C285" s="64">
        <f>+H153</f>
        <v>8</v>
      </c>
      <c r="D285" s="1" t="s">
        <v>117</v>
      </c>
      <c r="E285" s="52"/>
    </row>
    <row r="286" spans="1:11" x14ac:dyDescent="0.4">
      <c r="A286" s="12"/>
      <c r="B286" s="171" t="s">
        <v>324</v>
      </c>
      <c r="C286" s="65">
        <f>+D171</f>
        <v>17.39</v>
      </c>
      <c r="D286" s="1" t="s">
        <v>141</v>
      </c>
    </row>
    <row r="287" spans="1:11" x14ac:dyDescent="0.4">
      <c r="A287" s="12"/>
      <c r="B287" s="28" t="s">
        <v>137</v>
      </c>
      <c r="C287" s="11" t="s">
        <v>174</v>
      </c>
    </row>
    <row r="288" spans="1:11" x14ac:dyDescent="0.4">
      <c r="A288" s="12"/>
      <c r="B288" s="28" t="s">
        <v>33</v>
      </c>
      <c r="C288" s="170" t="s">
        <v>430</v>
      </c>
    </row>
    <row r="289" spans="1:13" x14ac:dyDescent="0.4">
      <c r="A289" s="12"/>
      <c r="B289" s="28"/>
      <c r="C289" s="4"/>
    </row>
    <row r="290" spans="1:13" x14ac:dyDescent="0.4">
      <c r="A290" s="12"/>
      <c r="B290" s="28" t="s">
        <v>45</v>
      </c>
      <c r="C290" s="1" t="s">
        <v>230</v>
      </c>
    </row>
    <row r="291" spans="1:13" x14ac:dyDescent="0.4">
      <c r="A291" s="12"/>
      <c r="B291" s="28" t="s">
        <v>46</v>
      </c>
      <c r="C291" s="1" t="s">
        <v>229</v>
      </c>
    </row>
    <row r="292" spans="1:13" x14ac:dyDescent="0.4">
      <c r="A292" s="12"/>
      <c r="B292" s="28" t="s">
        <v>63</v>
      </c>
      <c r="C292" s="1" t="s">
        <v>94</v>
      </c>
    </row>
    <row r="293" spans="1:13" x14ac:dyDescent="0.4">
      <c r="C293" s="1" t="s">
        <v>97</v>
      </c>
    </row>
    <row r="294" spans="1:13" x14ac:dyDescent="0.4">
      <c r="B294" s="28" t="s">
        <v>90</v>
      </c>
      <c r="C294" s="1" t="s">
        <v>95</v>
      </c>
    </row>
    <row r="295" spans="1:13" x14ac:dyDescent="0.4">
      <c r="A295" s="12"/>
      <c r="B295" s="171" t="s">
        <v>325</v>
      </c>
      <c r="C295" s="204" t="s">
        <v>326</v>
      </c>
      <c r="E295" s="60"/>
    </row>
    <row r="296" spans="1:13" x14ac:dyDescent="0.4">
      <c r="A296" s="12"/>
      <c r="C296" s="60"/>
      <c r="E296" s="60"/>
    </row>
    <row r="297" spans="1:13" x14ac:dyDescent="0.4">
      <c r="A297" s="12"/>
      <c r="C297" s="60"/>
      <c r="E297" s="60"/>
    </row>
    <row r="298" spans="1:13" x14ac:dyDescent="0.4">
      <c r="A298" s="8" t="s">
        <v>93</v>
      </c>
      <c r="B298" s="6" t="s">
        <v>135</v>
      </c>
    </row>
    <row r="299" spans="1:13" x14ac:dyDescent="0.4">
      <c r="A299" s="12"/>
      <c r="B299" s="6"/>
    </row>
    <row r="300" spans="1:13" x14ac:dyDescent="0.4">
      <c r="A300" s="12"/>
      <c r="C300" s="18" t="s">
        <v>0</v>
      </c>
      <c r="D300" s="18" t="s">
        <v>1</v>
      </c>
      <c r="E300" s="18" t="s">
        <v>2</v>
      </c>
      <c r="F300" s="18" t="s">
        <v>3</v>
      </c>
      <c r="G300" s="18" t="s">
        <v>4</v>
      </c>
      <c r="H300" s="18" t="s">
        <v>6</v>
      </c>
      <c r="I300" s="18" t="s">
        <v>37</v>
      </c>
      <c r="J300" s="18" t="s">
        <v>38</v>
      </c>
      <c r="K300" s="18" t="s">
        <v>5</v>
      </c>
      <c r="L300" s="18" t="s">
        <v>36</v>
      </c>
      <c r="M300" s="18"/>
    </row>
    <row r="301" spans="1:13" x14ac:dyDescent="0.4">
      <c r="A301" s="12"/>
      <c r="B301" s="1" t="s">
        <v>58</v>
      </c>
    </row>
    <row r="302" spans="1:13" x14ac:dyDescent="0.4">
      <c r="A302" s="12"/>
      <c r="B302" s="36" t="s">
        <v>53</v>
      </c>
      <c r="C302" s="44">
        <f>(+C197*SUM(C50:C53)*C163+C198*SUM(C50:C53)*C164)/1000</f>
        <v>393939.53301917209</v>
      </c>
      <c r="D302" s="44">
        <f>(+D197*SUM(D50:D53)*D163+D198*SUM(D50:D53)*D164)/1000</f>
        <v>1294.9706324742585</v>
      </c>
      <c r="E302" s="47">
        <f>(E195*SUMPRODUCT(E32:E35,E50:E53)+E196*SUMPRODUCT(Q32:Q35,E50:E53))/1000</f>
        <v>5901.7619623120409</v>
      </c>
      <c r="F302" s="47">
        <f>+F194*SUM(F50:F53)/1000</f>
        <v>10.566053522115343</v>
      </c>
      <c r="G302" s="47">
        <f>+G194*SUM(G50:G53)/1000</f>
        <v>0.17975011995108822</v>
      </c>
      <c r="H302" s="47">
        <f>+H194*SUM(H50:H53)/1000</f>
        <v>139.56825533769953</v>
      </c>
      <c r="I302" s="47">
        <f>+I194*SUM(I50:I53)/1000</f>
        <v>1664.7623775386503</v>
      </c>
      <c r="J302" s="47">
        <f>+J194*SUM(J50:J53)/1000</f>
        <v>3245.029429087243</v>
      </c>
      <c r="K302" s="47">
        <f>(C211*SUM(K50:K53)/1000)+(I212*$H152*K147)+(I217*$H152*K149)</f>
        <v>143848.10929322202</v>
      </c>
      <c r="L302" s="47">
        <f>(D211*SUM(L50:L53)/1000)+(J212*$H152*L147)+(J217*$H152*L149)</f>
        <v>91340.846422150149</v>
      </c>
      <c r="M302" s="47"/>
    </row>
    <row r="303" spans="1:13" x14ac:dyDescent="0.4">
      <c r="A303" s="12"/>
      <c r="B303" s="36" t="s">
        <v>54</v>
      </c>
      <c r="C303" s="47">
        <f>+C200*SUM(C45:C49,C54:C56)/1000</f>
        <v>564630.872755497</v>
      </c>
      <c r="D303" s="47">
        <f>+D200*SUM(D45:D49,D54:D56)/1000</f>
        <v>4597.8289261896662</v>
      </c>
      <c r="E303" s="47">
        <f>(E201*(SUMPRODUCT(E27:E31,E45:E49)+SUMPRODUCT(E36:E38,E54:E56))+E202*(SUMPRODUCT(Q27:Q31,E45:E49)+SUMPRODUCT(Q36:Q38,E54:E56)))/1000</f>
        <v>7132.3430040248004</v>
      </c>
      <c r="F303" s="47">
        <f>+F200*SUM(F45:F49,F54:F56)/1000</f>
        <v>30.045604917940985</v>
      </c>
      <c r="G303" s="47">
        <f>+G200*SUM(G45:G49,G54:G56)/1000</f>
        <v>0.51452521696918996</v>
      </c>
      <c r="H303" s="47">
        <f>+H200*SUM(H45:H49,H54:H56)/1000</f>
        <v>535.19250498978704</v>
      </c>
      <c r="I303" s="47">
        <f>+I200*SUM(I45:I49,I54:I56)/1000</f>
        <v>5142.1673681941656</v>
      </c>
      <c r="J303" s="47">
        <f>+J200*SUM(J45:J49,J54:J56)/1000</f>
        <v>10469.769211897434</v>
      </c>
      <c r="K303" s="47">
        <f>(C215*SUM(K45:K49,K54:K56)/1000)+(I213*$H153*K147)+(I217*$H153*K149)</f>
        <v>278167.04620158754</v>
      </c>
      <c r="L303" s="47">
        <f>(D215*SUM(L45:L49,L54:L56)/1000)+(J213*$H153*L147)+(J217*$H153*L149)</f>
        <v>182041.2699614153</v>
      </c>
      <c r="M303" s="47"/>
    </row>
    <row r="304" spans="1:13" x14ac:dyDescent="0.4">
      <c r="A304" s="12"/>
      <c r="B304" s="36" t="s">
        <v>19</v>
      </c>
      <c r="C304" s="2">
        <f>+C303+C302</f>
        <v>958570.40577466902</v>
      </c>
      <c r="D304" s="2">
        <f t="shared" ref="D304:J304" si="65">+D303+D302</f>
        <v>5892.7995586639245</v>
      </c>
      <c r="E304" s="2">
        <f t="shared" si="65"/>
        <v>13034.104966336841</v>
      </c>
      <c r="F304" s="2">
        <f t="shared" si="65"/>
        <v>40.611658440056331</v>
      </c>
      <c r="G304" s="2">
        <f t="shared" si="65"/>
        <v>0.69427533692027821</v>
      </c>
      <c r="H304" s="2">
        <f t="shared" si="65"/>
        <v>674.76076032748654</v>
      </c>
      <c r="I304" s="2">
        <f t="shared" si="65"/>
        <v>6806.9297457328157</v>
      </c>
      <c r="J304" s="47">
        <f t="shared" si="65"/>
        <v>13714.798640984676</v>
      </c>
      <c r="K304" s="47">
        <f>+K303+K302</f>
        <v>422015.15549480956</v>
      </c>
      <c r="L304" s="47">
        <f>+L303+L302</f>
        <v>273382.11638356547</v>
      </c>
      <c r="M304" s="47"/>
    </row>
    <row r="305" spans="1:13" x14ac:dyDescent="0.4">
      <c r="A305" s="12"/>
      <c r="B305" s="36"/>
    </row>
    <row r="306" spans="1:13" x14ac:dyDescent="0.4">
      <c r="A306" s="12"/>
      <c r="B306" s="1" t="s">
        <v>57</v>
      </c>
    </row>
    <row r="307" spans="1:13" x14ac:dyDescent="0.4">
      <c r="A307" s="12"/>
      <c r="B307" s="36" t="s">
        <v>53</v>
      </c>
      <c r="C307" s="66">
        <f>+C302/C304</f>
        <v>0.41096567413930302</v>
      </c>
      <c r="D307" s="66">
        <f t="shared" ref="D307:I307" si="66">+D302/D304</f>
        <v>0.21975473959067895</v>
      </c>
      <c r="E307" s="66">
        <f t="shared" si="66"/>
        <v>0.45279380345290376</v>
      </c>
      <c r="F307" s="66">
        <f t="shared" si="66"/>
        <v>0.2601729140835522</v>
      </c>
      <c r="G307" s="66">
        <f t="shared" si="66"/>
        <v>0.25890321950429368</v>
      </c>
      <c r="H307" s="66">
        <f t="shared" si="66"/>
        <v>0.20684109619824639</v>
      </c>
      <c r="I307" s="66">
        <f t="shared" si="66"/>
        <v>0.24456876150106738</v>
      </c>
      <c r="J307" s="66">
        <f>+J302/J304</f>
        <v>0.23660787985541001</v>
      </c>
      <c r="K307" s="66">
        <f>+K302/K304</f>
        <v>0.34086005542753839</v>
      </c>
      <c r="L307" s="66">
        <f>+L302/L304</f>
        <v>0.33411419748464993</v>
      </c>
      <c r="M307" s="66"/>
    </row>
    <row r="308" spans="1:13" x14ac:dyDescent="0.4">
      <c r="A308" s="12"/>
      <c r="B308" s="36" t="s">
        <v>54</v>
      </c>
      <c r="C308" s="66">
        <f>+C303/C304</f>
        <v>0.58903432586069704</v>
      </c>
      <c r="D308" s="66">
        <f t="shared" ref="D308:I308" si="67">+D303/D304</f>
        <v>0.78024526040932107</v>
      </c>
      <c r="E308" s="66">
        <f t="shared" si="67"/>
        <v>0.54720619654709624</v>
      </c>
      <c r="F308" s="66">
        <f t="shared" si="67"/>
        <v>0.73982708591644775</v>
      </c>
      <c r="G308" s="66">
        <f t="shared" si="67"/>
        <v>0.74109678049570626</v>
      </c>
      <c r="H308" s="66">
        <f t="shared" si="67"/>
        <v>0.79315890380175369</v>
      </c>
      <c r="I308" s="66">
        <f t="shared" si="67"/>
        <v>0.75543123849893268</v>
      </c>
      <c r="J308" s="66">
        <f>+J303/J304</f>
        <v>0.76339212014459001</v>
      </c>
      <c r="K308" s="66">
        <f>+K303/K304</f>
        <v>0.65913994457246161</v>
      </c>
      <c r="L308" s="66">
        <f>+L303/L304</f>
        <v>0.6658858025153499</v>
      </c>
      <c r="M308" s="66"/>
    </row>
    <row r="309" spans="1:13" x14ac:dyDescent="0.4">
      <c r="A309" s="12"/>
    </row>
    <row r="310" spans="1:13" x14ac:dyDescent="0.4">
      <c r="A310" s="12"/>
      <c r="B310" s="1" t="s">
        <v>55</v>
      </c>
    </row>
    <row r="311" spans="1:13" x14ac:dyDescent="0.4">
      <c r="A311" s="12"/>
      <c r="B311" s="36" t="s">
        <v>53</v>
      </c>
      <c r="C311" s="67">
        <f>+SUM(C302:L302)</f>
        <v>641385.32719493622</v>
      </c>
    </row>
    <row r="312" spans="1:13" x14ac:dyDescent="0.4">
      <c r="A312" s="12"/>
      <c r="B312" s="36" t="s">
        <v>54</v>
      </c>
      <c r="C312" s="67">
        <f>+SUM(C303:L303)</f>
        <v>1052747.0500639307</v>
      </c>
    </row>
    <row r="313" spans="1:13" x14ac:dyDescent="0.4">
      <c r="A313" s="12"/>
      <c r="B313" s="36" t="s">
        <v>19</v>
      </c>
      <c r="C313" s="2">
        <f>+C312+C311</f>
        <v>1694132.377258867</v>
      </c>
      <c r="D313" s="107"/>
    </row>
    <row r="314" spans="1:13" x14ac:dyDescent="0.4">
      <c r="A314" s="12"/>
      <c r="L314" s="76" t="s">
        <v>182</v>
      </c>
    </row>
    <row r="315" spans="1:13" x14ac:dyDescent="0.4">
      <c r="A315" s="12"/>
      <c r="B315" s="1" t="s">
        <v>56</v>
      </c>
      <c r="D315" s="1" t="s">
        <v>273</v>
      </c>
      <c r="K315" s="36" t="s">
        <v>280</v>
      </c>
    </row>
    <row r="316" spans="1:13" x14ac:dyDescent="0.4">
      <c r="A316" s="12"/>
      <c r="B316" s="36" t="s">
        <v>53</v>
      </c>
      <c r="C316" s="66">
        <f>+C311/C313</f>
        <v>0.37859221381076952</v>
      </c>
      <c r="E316" s="40">
        <f>+C311/SUMPRODUCT(O49:X49,C85:L85)*1000</f>
        <v>63.051753840775241</v>
      </c>
      <c r="F316" s="1" t="s">
        <v>274</v>
      </c>
      <c r="I316" s="1" t="s">
        <v>136</v>
      </c>
      <c r="K316" s="36" t="s">
        <v>53</v>
      </c>
      <c r="L316" s="135">
        <f>IF(ROUND(E316/$D$235,4)&lt;ROUND(E317/$D$235,4),1,ROUND(E316/$D$235,4))</f>
        <v>1</v>
      </c>
      <c r="M316" s="147"/>
    </row>
    <row r="317" spans="1:13" x14ac:dyDescent="0.4">
      <c r="A317" s="12"/>
      <c r="B317" s="36" t="s">
        <v>54</v>
      </c>
      <c r="C317" s="66">
        <f>+C312/C313</f>
        <v>0.62140778618923043</v>
      </c>
      <c r="E317" s="40">
        <f>+C312/SUMPRODUCT(O45:X45,C85:L85)*1000</f>
        <v>67.756012670391868</v>
      </c>
      <c r="F317" s="1" t="s">
        <v>274</v>
      </c>
      <c r="K317" s="36" t="s">
        <v>54</v>
      </c>
      <c r="L317" s="135">
        <f>IF(ROUND(E316/$D$235,4)&lt;ROUND(E317/$D$235,4),1,ROUND(E317/$D$235,4))</f>
        <v>1</v>
      </c>
      <c r="M317" s="147"/>
    </row>
    <row r="318" spans="1:13" x14ac:dyDescent="0.4">
      <c r="A318" s="12"/>
    </row>
    <row r="319" spans="1:13" x14ac:dyDescent="0.4">
      <c r="A319" s="12"/>
      <c r="C319" s="60"/>
      <c r="E319" s="60"/>
    </row>
    <row r="320" spans="1:13" x14ac:dyDescent="0.4">
      <c r="A320" s="8" t="s">
        <v>128</v>
      </c>
      <c r="B320" s="6" t="s">
        <v>220</v>
      </c>
      <c r="C320" s="60"/>
      <c r="E320" s="60"/>
    </row>
    <row r="321" spans="1:12" x14ac:dyDescent="0.4">
      <c r="A321" s="12"/>
      <c r="C321" s="60"/>
      <c r="E321" s="60"/>
    </row>
    <row r="322" spans="1:12" x14ac:dyDescent="0.4">
      <c r="A322" s="12"/>
      <c r="B322" s="28" t="s">
        <v>125</v>
      </c>
      <c r="C322" s="3">
        <f>D235</f>
        <v>65.894713059785673</v>
      </c>
      <c r="E322" s="129" t="s">
        <v>275</v>
      </c>
    </row>
    <row r="323" spans="1:12" x14ac:dyDescent="0.4">
      <c r="A323" s="12"/>
      <c r="B323" s="28" t="s">
        <v>127</v>
      </c>
      <c r="C323" s="70">
        <f>+L316</f>
        <v>1</v>
      </c>
      <c r="E323" s="60"/>
    </row>
    <row r="324" spans="1:12" x14ac:dyDescent="0.4">
      <c r="A324" s="12"/>
      <c r="B324" s="28" t="s">
        <v>126</v>
      </c>
      <c r="C324" s="70">
        <f>+L317</f>
        <v>1</v>
      </c>
      <c r="E324" s="60"/>
    </row>
    <row r="325" spans="1:12" x14ac:dyDescent="0.4">
      <c r="A325" s="12"/>
      <c r="C325" s="60"/>
      <c r="E325" s="60"/>
    </row>
    <row r="326" spans="1:12" x14ac:dyDescent="0.4">
      <c r="A326" s="12"/>
      <c r="C326" s="18" t="s">
        <v>0</v>
      </c>
      <c r="D326" s="18" t="s">
        <v>1</v>
      </c>
      <c r="E326" s="18" t="s">
        <v>2</v>
      </c>
      <c r="F326" s="18" t="s">
        <v>3</v>
      </c>
      <c r="G326" s="18" t="s">
        <v>4</v>
      </c>
      <c r="H326" s="18" t="s">
        <v>6</v>
      </c>
      <c r="I326" s="18" t="s">
        <v>37</v>
      </c>
      <c r="J326" s="18" t="s">
        <v>38</v>
      </c>
      <c r="K326" s="18" t="s">
        <v>5</v>
      </c>
      <c r="L326" s="18" t="s">
        <v>36</v>
      </c>
    </row>
    <row r="327" spans="1:12" x14ac:dyDescent="0.4">
      <c r="A327" s="12"/>
      <c r="B327" s="1" t="s">
        <v>123</v>
      </c>
    </row>
    <row r="328" spans="1:12" x14ac:dyDescent="0.4">
      <c r="A328" s="12"/>
      <c r="B328" s="36" t="s">
        <v>53</v>
      </c>
      <c r="C328" s="47">
        <f>+($C$322*C249*O49+C250*O53+C251*O54)/1000</f>
        <v>394113.31580995611</v>
      </c>
      <c r="D328" s="47">
        <f>+($C$322*D249*P49+D250*P53+D251*P54)/1000</f>
        <v>1295.0928712876623</v>
      </c>
      <c r="E328" s="68">
        <f>(($C$322*E246*Q50)+(C322*E247*Q51))/1000</f>
        <v>5901.1889084413478</v>
      </c>
      <c r="F328" s="47">
        <f>+$C$322*F245*R49/1000</f>
        <v>10.559232399552297</v>
      </c>
      <c r="G328" s="47">
        <f>+$C$322*G245*S49/1000</f>
        <v>0.17976077722709533</v>
      </c>
      <c r="H328" s="47">
        <f>+$C$322*H245*T49/1000</f>
        <v>139.56748838115971</v>
      </c>
      <c r="I328" s="47">
        <f>+$C$322*K247*U49/1000</f>
        <v>1662.1140089620128</v>
      </c>
      <c r="J328" s="47">
        <f>+$C$322*K247*V49/1000</f>
        <v>3249.3978499839068</v>
      </c>
      <c r="K328" s="68">
        <f>+($C$322*C267+D267)*W49/1000+(I268*H152*K147)+(I273*H152*K149)</f>
        <v>143895.60601521283</v>
      </c>
      <c r="L328" s="68">
        <f>(($C$322*E268+F268)*X50+(C322*E269*X51))/1000+(J268*$H$152*L147)+(J273*$H$152*L149)</f>
        <v>91321.812814015284</v>
      </c>
    </row>
    <row r="329" spans="1:12" x14ac:dyDescent="0.4">
      <c r="A329" s="12"/>
      <c r="B329" s="36" t="s">
        <v>54</v>
      </c>
      <c r="C329" s="47">
        <f>+$C$322*C255*O45/1000</f>
        <v>564434.7880650236</v>
      </c>
      <c r="D329" s="47">
        <f>+$C$322*D255*P45/1000</f>
        <v>4597.9291605258413</v>
      </c>
      <c r="E329" s="68">
        <f>(($C$322*E256*Q46)+(C322*E257*Q47))/1000</f>
        <v>7131.5988164795226</v>
      </c>
      <c r="F329" s="47">
        <f>+$C$322*F255*R45/1000</f>
        <v>30.026639268230898</v>
      </c>
      <c r="G329" s="47">
        <f>+$C$322*G255*S45/1000</f>
        <v>0.51463770899692607</v>
      </c>
      <c r="H329" s="47">
        <f>+$C$322*H255*T45/1000</f>
        <v>535.13280386219401</v>
      </c>
      <c r="I329" s="47">
        <f>+$C$322*K257*U45/1000</f>
        <v>5152.3795052765909</v>
      </c>
      <c r="J329" s="47">
        <f>+$C$322*K257*V45/1000</f>
        <v>10475.187976200888</v>
      </c>
      <c r="K329" s="68">
        <f>+($C$322*C271+D271)*W45/1000+(I269*H153*K147)+(I273*H153*K149)</f>
        <v>278190.88604526565</v>
      </c>
      <c r="L329" s="68">
        <f>(($C$322*E272+F272)*X46+C322*E273*X47)/1000+(J269*$H$153*L147)+(J273*$H$153*L149)</f>
        <v>182070.24103468246</v>
      </c>
    </row>
    <row r="330" spans="1:12" x14ac:dyDescent="0.4">
      <c r="A330" s="12"/>
      <c r="B330" s="36" t="s">
        <v>19</v>
      </c>
      <c r="C330" s="2">
        <f>+C329+C328</f>
        <v>958548.10387497977</v>
      </c>
      <c r="D330" s="2">
        <f t="shared" ref="D330:L330" si="68">+D329+D328</f>
        <v>5893.0220318135034</v>
      </c>
      <c r="E330" s="2">
        <f t="shared" si="68"/>
        <v>13032.78772492087</v>
      </c>
      <c r="F330" s="2">
        <f t="shared" si="68"/>
        <v>40.585871667783195</v>
      </c>
      <c r="G330" s="2">
        <f t="shared" si="68"/>
        <v>0.69439848622402134</v>
      </c>
      <c r="H330" s="2">
        <f t="shared" si="68"/>
        <v>674.70029224335372</v>
      </c>
      <c r="I330" s="2">
        <f t="shared" si="68"/>
        <v>6814.4935142386039</v>
      </c>
      <c r="J330" s="2">
        <f t="shared" si="68"/>
        <v>13724.585826184795</v>
      </c>
      <c r="K330" s="2">
        <f t="shared" si="68"/>
        <v>422086.49206047849</v>
      </c>
      <c r="L330" s="2">
        <f t="shared" si="68"/>
        <v>273392.05384869775</v>
      </c>
    </row>
    <row r="331" spans="1:12" x14ac:dyDescent="0.4">
      <c r="A331" s="12"/>
      <c r="B331" s="36"/>
      <c r="C331" s="2"/>
      <c r="D331" s="2"/>
      <c r="E331" s="2"/>
      <c r="F331" s="2"/>
      <c r="G331" s="2"/>
      <c r="H331" s="2"/>
      <c r="I331" s="2"/>
      <c r="J331" s="2"/>
      <c r="K331" s="2"/>
      <c r="L331" s="2"/>
    </row>
    <row r="332" spans="1:12" x14ac:dyDescent="0.4">
      <c r="A332" s="12"/>
      <c r="B332" s="36" t="s">
        <v>169</v>
      </c>
      <c r="C332" s="2">
        <f>SUM(C328:L328)</f>
        <v>641588.83475941711</v>
      </c>
      <c r="D332" s="2"/>
      <c r="E332" s="2"/>
      <c r="F332" s="2"/>
      <c r="G332" s="2"/>
      <c r="H332" s="2"/>
      <c r="I332" s="2"/>
      <c r="J332" s="2"/>
      <c r="K332" s="2"/>
      <c r="L332" s="2"/>
    </row>
    <row r="333" spans="1:12" x14ac:dyDescent="0.4">
      <c r="A333" s="12"/>
      <c r="B333" s="36" t="s">
        <v>170</v>
      </c>
      <c r="C333" s="2">
        <f>SUM(C329:L329)</f>
        <v>1052618.6846842938</v>
      </c>
      <c r="E333" s="60"/>
    </row>
    <row r="334" spans="1:12" x14ac:dyDescent="0.4">
      <c r="A334" s="12"/>
      <c r="B334" s="36" t="s">
        <v>171</v>
      </c>
      <c r="C334" s="2">
        <f>+C333+C332</f>
        <v>1694207.5194437108</v>
      </c>
      <c r="E334" s="60"/>
    </row>
    <row r="335" spans="1:12" x14ac:dyDescent="0.4">
      <c r="A335" s="12"/>
      <c r="B335" s="36"/>
      <c r="C335" s="60"/>
      <c r="E335" s="60"/>
    </row>
    <row r="336" spans="1:12" x14ac:dyDescent="0.4">
      <c r="A336" s="12"/>
      <c r="C336" s="18" t="s">
        <v>0</v>
      </c>
      <c r="D336" s="18" t="s">
        <v>1</v>
      </c>
      <c r="E336" s="18" t="s">
        <v>2</v>
      </c>
      <c r="F336" s="18" t="s">
        <v>3</v>
      </c>
      <c r="G336" s="18" t="s">
        <v>4</v>
      </c>
      <c r="H336" s="18" t="s">
        <v>6</v>
      </c>
      <c r="I336" s="18" t="s">
        <v>37</v>
      </c>
      <c r="J336" s="18" t="s">
        <v>38</v>
      </c>
      <c r="K336" s="18" t="s">
        <v>5</v>
      </c>
      <c r="L336" s="18" t="s">
        <v>36</v>
      </c>
    </row>
    <row r="337" spans="1:12" x14ac:dyDescent="0.4">
      <c r="A337" s="12"/>
      <c r="B337" s="1" t="s">
        <v>124</v>
      </c>
    </row>
    <row r="338" spans="1:12" x14ac:dyDescent="0.4">
      <c r="A338" s="12"/>
      <c r="B338" s="36" t="s">
        <v>53</v>
      </c>
      <c r="C338" s="47">
        <f t="shared" ref="C338:L338" si="69">+$C$322*$C$323*O49*C85/1000</f>
        <v>387072.80129605212</v>
      </c>
      <c r="D338" s="47">
        <f t="shared" si="69"/>
        <v>1465.7517502519961</v>
      </c>
      <c r="E338" s="47">
        <f t="shared" si="69"/>
        <v>5383.4743814668764</v>
      </c>
      <c r="F338" s="47">
        <f t="shared" si="69"/>
        <v>16.403526489844115</v>
      </c>
      <c r="G338" s="47">
        <f t="shared" si="69"/>
        <v>0.2780258727092223</v>
      </c>
      <c r="H338" s="47">
        <f t="shared" si="69"/>
        <v>141.41913735525401</v>
      </c>
      <c r="I338" s="47">
        <f t="shared" si="69"/>
        <v>2769.6937439292728</v>
      </c>
      <c r="J338" s="47">
        <f t="shared" si="69"/>
        <v>5414.692883948459</v>
      </c>
      <c r="K338" s="47">
        <f t="shared" si="69"/>
        <v>160672.47519636611</v>
      </c>
      <c r="L338" s="47">
        <f t="shared" si="69"/>
        <v>107367.95039341213</v>
      </c>
    </row>
    <row r="339" spans="1:12" x14ac:dyDescent="0.4">
      <c r="A339" s="12"/>
      <c r="B339" s="36" t="s">
        <v>54</v>
      </c>
      <c r="C339" s="47">
        <f t="shared" ref="C339:L339" si="70">+$C$322*$C$324*O45*C85/1000</f>
        <v>517265.00715348014</v>
      </c>
      <c r="D339" s="47">
        <f t="shared" si="70"/>
        <v>4722.4403658650663</v>
      </c>
      <c r="E339" s="47">
        <f t="shared" si="70"/>
        <v>6358.5737955756413</v>
      </c>
      <c r="F339" s="47">
        <f t="shared" si="70"/>
        <v>41.564867970028736</v>
      </c>
      <c r="G339" s="47">
        <f t="shared" si="70"/>
        <v>0.6950646817730558</v>
      </c>
      <c r="H339" s="47">
        <f t="shared" si="70"/>
        <v>501.74574931083089</v>
      </c>
      <c r="I339" s="47">
        <f t="shared" si="70"/>
        <v>7314.6521915751073</v>
      </c>
      <c r="J339" s="47">
        <f t="shared" si="70"/>
        <v>14871.256398875415</v>
      </c>
      <c r="K339" s="47">
        <f t="shared" si="70"/>
        <v>279037.23419780895</v>
      </c>
      <c r="L339" s="47">
        <f t="shared" si="70"/>
        <v>193714.26713857881</v>
      </c>
    </row>
    <row r="340" spans="1:12" x14ac:dyDescent="0.4">
      <c r="A340" s="12"/>
      <c r="B340" s="36" t="s">
        <v>19</v>
      </c>
      <c r="C340" s="2">
        <f t="shared" ref="C340:L340" si="71">+C339+C338</f>
        <v>904337.80844953225</v>
      </c>
      <c r="D340" s="2">
        <f t="shared" si="71"/>
        <v>6188.1921161170621</v>
      </c>
      <c r="E340" s="2">
        <f t="shared" si="71"/>
        <v>11742.048177042518</v>
      </c>
      <c r="F340" s="2">
        <f t="shared" si="71"/>
        <v>57.968394459872854</v>
      </c>
      <c r="G340" s="2">
        <f t="shared" si="71"/>
        <v>0.9730905544822781</v>
      </c>
      <c r="H340" s="2">
        <f t="shared" si="71"/>
        <v>643.16488666608484</v>
      </c>
      <c r="I340" s="2">
        <f t="shared" si="71"/>
        <v>10084.34593550438</v>
      </c>
      <c r="J340" s="47">
        <f t="shared" si="71"/>
        <v>20285.949282823873</v>
      </c>
      <c r="K340" s="47">
        <f t="shared" si="71"/>
        <v>439709.70939417509</v>
      </c>
      <c r="L340" s="47">
        <f t="shared" si="71"/>
        <v>301082.21753199096</v>
      </c>
    </row>
    <row r="341" spans="1:12" x14ac:dyDescent="0.4">
      <c r="A341" s="12"/>
      <c r="C341" s="60"/>
      <c r="D341" s="60"/>
      <c r="E341" s="60"/>
      <c r="F341" s="60"/>
      <c r="G341" s="60"/>
      <c r="H341" s="60"/>
      <c r="I341" s="60"/>
      <c r="J341" s="60"/>
      <c r="K341" s="60"/>
      <c r="L341" s="60"/>
    </row>
    <row r="342" spans="1:12" x14ac:dyDescent="0.4">
      <c r="A342" s="12"/>
      <c r="B342" s="36" t="s">
        <v>169</v>
      </c>
      <c r="C342" s="2">
        <f>SUM(C338:L338)</f>
        <v>670304.94033514475</v>
      </c>
    </row>
    <row r="343" spans="1:12" x14ac:dyDescent="0.4">
      <c r="A343" s="12"/>
      <c r="B343" s="36" t="s">
        <v>170</v>
      </c>
      <c r="C343" s="2">
        <f>SUM(C339:L339)</f>
        <v>1023827.4369237219</v>
      </c>
    </row>
    <row r="344" spans="1:12" x14ac:dyDescent="0.4">
      <c r="A344" s="12"/>
      <c r="B344" s="36" t="s">
        <v>171</v>
      </c>
      <c r="C344" s="2">
        <f>+C343+C342</f>
        <v>1694132.3772588666</v>
      </c>
    </row>
    <row r="345" spans="1:12" x14ac:dyDescent="0.4">
      <c r="A345" s="12"/>
      <c r="C345" s="60"/>
      <c r="E345" s="60"/>
    </row>
    <row r="346" spans="1:12" x14ac:dyDescent="0.4">
      <c r="B346" s="28" t="s">
        <v>181</v>
      </c>
      <c r="C346" s="2">
        <f>+C334-C344</f>
        <v>75.142184844240546</v>
      </c>
    </row>
    <row r="347" spans="1:12" x14ac:dyDescent="0.4">
      <c r="C347" s="1" t="s">
        <v>183</v>
      </c>
    </row>
    <row r="350" spans="1:12" x14ac:dyDescent="0.4">
      <c r="A350" s="8" t="s">
        <v>227</v>
      </c>
      <c r="B350" s="6" t="s">
        <v>226</v>
      </c>
      <c r="C350" s="15" t="s">
        <v>266</v>
      </c>
    </row>
    <row r="351" spans="1:12" x14ac:dyDescent="0.4">
      <c r="B351" s="7" t="s">
        <v>78</v>
      </c>
    </row>
    <row r="352" spans="1:12" x14ac:dyDescent="0.4">
      <c r="B352" s="36" t="s">
        <v>53</v>
      </c>
      <c r="C352" s="30">
        <f>SUMPRODUCT(O49:X49,C85:L85)</f>
        <v>10172362.989531239</v>
      </c>
    </row>
    <row r="353" spans="2:3" x14ac:dyDescent="0.4">
      <c r="B353" s="186" t="s">
        <v>54</v>
      </c>
      <c r="C353" s="130">
        <f>SUMPRODUCT(O45:X45,C85:L85)</f>
        <v>15537322.941141158</v>
      </c>
    </row>
    <row r="354" spans="2:3" x14ac:dyDescent="0.4">
      <c r="B354" s="186" t="s">
        <v>19</v>
      </c>
      <c r="C354" s="30">
        <f>+C353+C352</f>
        <v>25709685.9306724</v>
      </c>
    </row>
  </sheetData>
  <customSheetViews>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13"/>
  <sheetViews>
    <sheetView view="pageBreakPreview" zoomScale="60" zoomScaleNormal="85" workbookViewId="0"/>
  </sheetViews>
  <sheetFormatPr defaultColWidth="9.1171875" defaultRowHeight="12.7" x14ac:dyDescent="0.4"/>
  <cols>
    <col min="1" max="1" width="8.41015625" style="1" bestFit="1" customWidth="1"/>
    <col min="2" max="2" width="36.41015625" style="1" customWidth="1"/>
    <col min="3" max="3" width="13.87890625" style="1" customWidth="1"/>
    <col min="4" max="4" width="13.1171875" style="1" customWidth="1"/>
    <col min="5" max="5" width="14.41015625" style="1" customWidth="1"/>
    <col min="6" max="7" width="12.1171875" style="1" customWidth="1"/>
    <col min="8" max="8" width="11.87890625" style="1" customWidth="1"/>
    <col min="9" max="9" width="11" style="1" customWidth="1"/>
    <col min="10" max="10" width="13.1171875" style="1" customWidth="1"/>
    <col min="11" max="11" width="12.5859375" style="1" customWidth="1"/>
    <col min="12" max="12" width="12.5859375" style="1" bestFit="1" customWidth="1"/>
    <col min="13" max="13" width="14.29296875" style="1" bestFit="1" customWidth="1"/>
    <col min="14" max="14" width="24.1171875" style="1" bestFit="1" customWidth="1"/>
    <col min="15" max="16" width="10.87890625" style="1" bestFit="1" customWidth="1"/>
    <col min="17" max="17" width="14.41015625" style="1" bestFit="1" customWidth="1"/>
    <col min="18" max="16384" width="9.1171875" style="1"/>
  </cols>
  <sheetData>
    <row r="1" spans="1:17" ht="15.35" x14ac:dyDescent="0.5">
      <c r="B1" s="155" t="s">
        <v>435</v>
      </c>
    </row>
    <row r="2" spans="1:17" x14ac:dyDescent="0.4">
      <c r="B2" s="298" t="s">
        <v>416</v>
      </c>
    </row>
    <row r="3" spans="1:17" x14ac:dyDescent="0.4">
      <c r="B3" s="7" t="s">
        <v>327</v>
      </c>
    </row>
    <row r="4" spans="1:17" x14ac:dyDescent="0.4">
      <c r="M4" s="33"/>
      <c r="N4" s="33"/>
      <c r="O4" s="33"/>
      <c r="P4" s="33"/>
      <c r="Q4" s="33"/>
    </row>
    <row r="5" spans="1:17" x14ac:dyDescent="0.4">
      <c r="A5" s="8" t="s">
        <v>238</v>
      </c>
      <c r="B5" s="6" t="s">
        <v>260</v>
      </c>
      <c r="M5" s="33"/>
      <c r="N5" s="33"/>
      <c r="O5" s="33"/>
      <c r="P5" s="33"/>
      <c r="Q5" s="33"/>
    </row>
    <row r="6" spans="1:17" ht="51" customHeight="1" x14ac:dyDescent="0.4">
      <c r="A6" s="36" t="s">
        <v>200</v>
      </c>
      <c r="B6" s="6" t="s">
        <v>228</v>
      </c>
      <c r="C6" s="13" t="str">
        <f>Input!C134</f>
        <v>remaining portion of 36 month bid - 2019 auction</v>
      </c>
      <c r="D6" s="13" t="str">
        <f>Input!D134</f>
        <v>remaining portion of 36 month bid - 2020 auction</v>
      </c>
      <c r="E6" s="13" t="str">
        <f>Input!E134</f>
        <v>36 month bid - 2021 Auction</v>
      </c>
      <c r="G6" s="13" t="s">
        <v>201</v>
      </c>
      <c r="M6" s="33"/>
      <c r="N6" s="33"/>
      <c r="O6" s="33"/>
      <c r="P6" s="33"/>
      <c r="Q6" s="33"/>
    </row>
    <row r="7" spans="1:17" x14ac:dyDescent="0.4">
      <c r="M7" s="33"/>
      <c r="N7" s="33"/>
      <c r="O7" s="33"/>
      <c r="P7" s="33"/>
      <c r="Q7" s="33"/>
    </row>
    <row r="8" spans="1:17" x14ac:dyDescent="0.4">
      <c r="A8" s="302">
        <v>1</v>
      </c>
      <c r="B8" s="6" t="s">
        <v>202</v>
      </c>
      <c r="C8" s="80">
        <f>Input!C135</f>
        <v>98.04</v>
      </c>
      <c r="D8" s="80">
        <f>Input!D135</f>
        <v>102.16</v>
      </c>
      <c r="E8" s="80">
        <f>ROUND(IF(Input!E137="yes",D11,IF(LEFT(Input!#REF!,6)="Rebase",Input!E135,(bid_factors!D235*(1+0)*SUM(C21:C22)/1000-SUM(C27:D27))/(E$14/E$15/1000*(E17*$C21+E18*$C22)))),2)</f>
        <v>64.39</v>
      </c>
      <c r="G8" s="303" t="s">
        <v>418</v>
      </c>
      <c r="M8" s="33"/>
      <c r="N8" s="33"/>
      <c r="O8" s="33"/>
      <c r="P8" s="33"/>
      <c r="Q8" s="33"/>
    </row>
    <row r="9" spans="1:17" x14ac:dyDescent="0.4">
      <c r="A9" s="304" t="s">
        <v>337</v>
      </c>
      <c r="B9" s="1" t="s">
        <v>338</v>
      </c>
      <c r="C9" s="305"/>
      <c r="D9" s="80">
        <v>0</v>
      </c>
      <c r="E9" s="80">
        <v>0</v>
      </c>
      <c r="G9" s="172" t="s">
        <v>339</v>
      </c>
      <c r="M9" s="33"/>
      <c r="N9" s="33"/>
      <c r="O9" s="33"/>
      <c r="P9" s="33"/>
      <c r="Q9" s="33"/>
    </row>
    <row r="10" spans="1:17" x14ac:dyDescent="0.4">
      <c r="A10" s="304" t="s">
        <v>340</v>
      </c>
      <c r="B10" s="306" t="s">
        <v>341</v>
      </c>
      <c r="C10" s="80">
        <f>'Att 5'!C15</f>
        <v>28.28095302981022</v>
      </c>
      <c r="D10" s="80">
        <f>'Att 5'!D15</f>
        <v>37.773044729334877</v>
      </c>
      <c r="E10" s="305"/>
      <c r="F10" s="6"/>
      <c r="G10" s="172" t="s">
        <v>342</v>
      </c>
      <c r="M10" s="33"/>
      <c r="N10" s="33"/>
      <c r="O10" s="33"/>
      <c r="P10" s="33"/>
      <c r="Q10" s="33"/>
    </row>
    <row r="11" spans="1:17" x14ac:dyDescent="0.4">
      <c r="A11" s="304" t="s">
        <v>343</v>
      </c>
      <c r="B11" s="6" t="s">
        <v>307</v>
      </c>
      <c r="C11" s="307">
        <f>+C8+C9-C10</f>
        <v>69.759046970189786</v>
      </c>
      <c r="D11" s="307">
        <f t="shared" ref="D11:E11" si="0">+D8+D9-D10</f>
        <v>64.386955270665112</v>
      </c>
      <c r="E11" s="307">
        <f t="shared" si="0"/>
        <v>64.39</v>
      </c>
      <c r="G11" s="175" t="s">
        <v>344</v>
      </c>
      <c r="M11" s="33"/>
      <c r="N11" s="33"/>
      <c r="O11" s="33"/>
      <c r="P11" s="33"/>
      <c r="Q11" s="33"/>
    </row>
    <row r="12" spans="1:17" x14ac:dyDescent="0.4">
      <c r="A12" s="302"/>
      <c r="B12" s="6"/>
      <c r="C12" s="174"/>
      <c r="D12" s="174"/>
      <c r="E12" s="174"/>
      <c r="G12" s="175"/>
      <c r="M12" s="33"/>
      <c r="N12" s="33"/>
      <c r="O12" s="33"/>
      <c r="P12" s="33"/>
      <c r="Q12" s="33"/>
    </row>
    <row r="13" spans="1:17" x14ac:dyDescent="0.4">
      <c r="B13" s="7" t="s">
        <v>272</v>
      </c>
      <c r="M13" s="33"/>
      <c r="N13" s="33"/>
      <c r="O13" s="33"/>
      <c r="P13" s="33"/>
      <c r="Q13" s="33"/>
    </row>
    <row r="14" spans="1:17" x14ac:dyDescent="0.4">
      <c r="A14" s="302">
        <v>2</v>
      </c>
      <c r="B14" s="6" t="s">
        <v>305</v>
      </c>
      <c r="C14" s="151">
        <f>Input!C136</f>
        <v>28</v>
      </c>
      <c r="D14" s="151">
        <f>Input!D136</f>
        <v>28</v>
      </c>
      <c r="E14" s="151">
        <f>Input!E136</f>
        <v>29</v>
      </c>
      <c r="G14" s="1" t="s">
        <v>203</v>
      </c>
      <c r="M14" s="33"/>
      <c r="N14" s="33"/>
      <c r="O14" s="33"/>
      <c r="P14" s="33"/>
      <c r="Q14" s="33"/>
    </row>
    <row r="15" spans="1:17" x14ac:dyDescent="0.4">
      <c r="A15" s="302">
        <v>3</v>
      </c>
      <c r="B15" s="6" t="s">
        <v>306</v>
      </c>
      <c r="C15" s="151">
        <v>85</v>
      </c>
      <c r="D15" s="151">
        <v>85</v>
      </c>
      <c r="E15" s="151">
        <v>85</v>
      </c>
      <c r="G15" s="1" t="s">
        <v>203</v>
      </c>
      <c r="M15" s="33"/>
      <c r="N15" s="33"/>
      <c r="O15" s="33"/>
      <c r="P15" s="33"/>
      <c r="Q15" s="33"/>
    </row>
    <row r="16" spans="1:17" x14ac:dyDescent="0.4">
      <c r="A16" s="302"/>
      <c r="B16" s="6" t="s">
        <v>204</v>
      </c>
      <c r="M16" s="33"/>
      <c r="N16" s="33"/>
      <c r="O16" s="33"/>
      <c r="P16" s="33"/>
      <c r="Q16" s="33"/>
    </row>
    <row r="17" spans="1:17" x14ac:dyDescent="0.4">
      <c r="A17" s="302">
        <v>4</v>
      </c>
      <c r="B17" s="66" t="s">
        <v>205</v>
      </c>
      <c r="C17" s="88">
        <f>Input!C139</f>
        <v>1</v>
      </c>
      <c r="D17" s="88">
        <f>Input!D139</f>
        <v>1</v>
      </c>
      <c r="E17" s="88">
        <f>Input!E139</f>
        <v>1</v>
      </c>
      <c r="K17" s="88"/>
      <c r="M17" s="33"/>
      <c r="N17" s="33"/>
      <c r="O17" s="33"/>
      <c r="P17" s="33"/>
      <c r="Q17" s="33"/>
    </row>
    <row r="18" spans="1:17" ht="12.75" customHeight="1" x14ac:dyDescent="0.4">
      <c r="A18" s="302">
        <v>5</v>
      </c>
      <c r="B18" s="66" t="s">
        <v>206</v>
      </c>
      <c r="C18" s="88">
        <f>Input!C140</f>
        <v>1</v>
      </c>
      <c r="D18" s="88">
        <f>Input!D140</f>
        <v>1</v>
      </c>
      <c r="E18" s="88">
        <f>Input!E140</f>
        <v>1</v>
      </c>
      <c r="K18" s="88"/>
      <c r="M18" s="33"/>
      <c r="N18" s="33"/>
      <c r="O18" s="33"/>
      <c r="P18" s="33"/>
      <c r="Q18" s="33"/>
    </row>
    <row r="19" spans="1:17" x14ac:dyDescent="0.4">
      <c r="A19" s="302"/>
    </row>
    <row r="20" spans="1:17" x14ac:dyDescent="0.4">
      <c r="A20" s="302"/>
      <c r="B20" s="6" t="s">
        <v>267</v>
      </c>
    </row>
    <row r="21" spans="1:17" x14ac:dyDescent="0.4">
      <c r="A21" s="302">
        <v>6</v>
      </c>
      <c r="B21" s="1" t="s">
        <v>207</v>
      </c>
      <c r="C21" s="97">
        <f>+bid_factors!C352</f>
        <v>10172362.989531239</v>
      </c>
      <c r="D21" s="27"/>
      <c r="E21" s="27"/>
      <c r="G21" s="1" t="s">
        <v>278</v>
      </c>
    </row>
    <row r="22" spans="1:17" x14ac:dyDescent="0.4">
      <c r="A22" s="302">
        <v>7</v>
      </c>
      <c r="B22" s="1" t="s">
        <v>208</v>
      </c>
      <c r="C22" s="97">
        <f>+bid_factors!C353</f>
        <v>15537322.941141158</v>
      </c>
      <c r="D22" s="27"/>
      <c r="E22" s="27"/>
    </row>
    <row r="23" spans="1:17" x14ac:dyDescent="0.4">
      <c r="A23" s="302"/>
    </row>
    <row r="24" spans="1:17" x14ac:dyDescent="0.4">
      <c r="A24" s="302"/>
      <c r="B24" s="6" t="s">
        <v>268</v>
      </c>
    </row>
    <row r="25" spans="1:17" x14ac:dyDescent="0.4">
      <c r="A25" s="302">
        <v>8</v>
      </c>
      <c r="B25" s="66" t="s">
        <v>205</v>
      </c>
      <c r="C25" s="188">
        <f>((+C$8-C$10)*C$14/C$15*C17*$C21/1000) + (+C$9*C$14/C$15*$C21/1000)</f>
        <v>233755.31449843338</v>
      </c>
      <c r="D25" s="188">
        <f t="shared" ref="D25:E25" si="1">((+D$8-D$10)*D$14/D$15*D17*$C21/1000) + (+D$9*D$14/D$15*$C21/1000)</f>
        <v>215753.99367658448</v>
      </c>
      <c r="E25" s="188">
        <f t="shared" si="1"/>
        <v>223470.06039978328</v>
      </c>
      <c r="F25" s="189"/>
      <c r="G25" s="175" t="s">
        <v>345</v>
      </c>
      <c r="J25" s="2"/>
      <c r="L25" s="2"/>
    </row>
    <row r="26" spans="1:17" x14ac:dyDescent="0.4">
      <c r="A26" s="302">
        <v>9</v>
      </c>
      <c r="B26" s="66" t="s">
        <v>206</v>
      </c>
      <c r="C26" s="214">
        <f>((+C$8-C$10)*C$14/C$15*C18*$C22/1000) + (+C$9*C$14/C$15*$C22/1000)</f>
        <v>357039.14757150656</v>
      </c>
      <c r="D26" s="214">
        <f>((+D$8-D$10)*D$14/D$15*D18*$C22/1000) + (+D$9*D$14/D$15*$C22/1000)</f>
        <v>329543.83156046789</v>
      </c>
      <c r="E26" s="214">
        <f>((+E$8-E$10)*E$14/E$15*E18*$C22/1000) + (+E$9*E$14/E$15*$C22/1000)</f>
        <v>341329.394132027</v>
      </c>
      <c r="F26" s="189"/>
      <c r="G26" s="175" t="s">
        <v>346</v>
      </c>
    </row>
    <row r="27" spans="1:17" x14ac:dyDescent="0.4">
      <c r="A27" s="302">
        <v>10</v>
      </c>
      <c r="B27" s="1" t="s">
        <v>209</v>
      </c>
      <c r="C27" s="2">
        <f>+C26+C25</f>
        <v>590794.46206993994</v>
      </c>
      <c r="D27" s="2">
        <f>+D26+D25</f>
        <v>545297.8252370524</v>
      </c>
      <c r="E27" s="2">
        <f>+E26+E25</f>
        <v>564799.45453181025</v>
      </c>
      <c r="G27" s="1" t="s">
        <v>271</v>
      </c>
      <c r="J27" s="2"/>
      <c r="L27" s="2"/>
    </row>
    <row r="28" spans="1:17" x14ac:dyDescent="0.4">
      <c r="A28" s="36"/>
    </row>
    <row r="29" spans="1:17" x14ac:dyDescent="0.4">
      <c r="A29" s="36"/>
      <c r="B29" s="6" t="s">
        <v>269</v>
      </c>
    </row>
    <row r="30" spans="1:17" x14ac:dyDescent="0.4">
      <c r="A30" s="36">
        <v>11</v>
      </c>
      <c r="B30" s="66" t="s">
        <v>205</v>
      </c>
      <c r="C30" s="119">
        <f>ROUND(+SUM(C25:E25)/C21*1000,3)</f>
        <v>66.158000000000001</v>
      </c>
      <c r="D30" s="57"/>
      <c r="G30" s="53" t="s">
        <v>258</v>
      </c>
    </row>
    <row r="31" spans="1:17" x14ac:dyDescent="0.4">
      <c r="A31" s="36">
        <v>12</v>
      </c>
      <c r="B31" s="66" t="s">
        <v>206</v>
      </c>
      <c r="C31" s="120">
        <f>ROUND(+SUM(C26:E26)/C22*1000,3)</f>
        <v>66.158000000000001</v>
      </c>
      <c r="G31" s="53" t="s">
        <v>259</v>
      </c>
    </row>
    <row r="32" spans="1:17" x14ac:dyDescent="0.4">
      <c r="A32" s="36"/>
      <c r="B32" s="66"/>
      <c r="C32" s="103"/>
      <c r="G32" s="53"/>
    </row>
    <row r="33" spans="1:10" x14ac:dyDescent="0.4">
      <c r="A33" s="36">
        <v>13</v>
      </c>
      <c r="B33" s="1" t="s">
        <v>213</v>
      </c>
      <c r="C33" s="121">
        <f>ROUND(+SUM(C27:E27)/(C21+C22)*1000,3)</f>
        <v>66.158000000000001</v>
      </c>
      <c r="D33" s="1" t="s">
        <v>211</v>
      </c>
      <c r="G33" s="53" t="s">
        <v>210</v>
      </c>
    </row>
    <row r="34" spans="1:10" x14ac:dyDescent="0.4">
      <c r="D34" s="1" t="s">
        <v>212</v>
      </c>
      <c r="G34" s="1" t="s">
        <v>257</v>
      </c>
    </row>
    <row r="35" spans="1:10" x14ac:dyDescent="0.4">
      <c r="C35" s="57"/>
    </row>
    <row r="36" spans="1:10" x14ac:dyDescent="0.4">
      <c r="B36" s="96" t="s">
        <v>236</v>
      </c>
      <c r="D36" s="57"/>
    </row>
    <row r="37" spans="1:10" x14ac:dyDescent="0.4">
      <c r="A37" s="36">
        <v>14</v>
      </c>
      <c r="B37" s="28" t="s">
        <v>237</v>
      </c>
      <c r="C37" s="2">
        <f>(C33*(C22+C21))/1000</f>
        <v>1700901.4018014248</v>
      </c>
      <c r="D37" s="57"/>
      <c r="G37" s="53" t="s">
        <v>218</v>
      </c>
    </row>
    <row r="38" spans="1:10" ht="14.7" x14ac:dyDescent="0.7">
      <c r="A38" s="36">
        <v>15</v>
      </c>
      <c r="B38" s="28" t="s">
        <v>215</v>
      </c>
      <c r="C38" s="98">
        <f>SUM(C27:E27)</f>
        <v>1700891.7418388026</v>
      </c>
      <c r="D38" s="57"/>
      <c r="G38" s="53" t="s">
        <v>216</v>
      </c>
    </row>
    <row r="39" spans="1:10" x14ac:dyDescent="0.4">
      <c r="A39" s="36">
        <v>16</v>
      </c>
      <c r="B39" s="28" t="s">
        <v>214</v>
      </c>
      <c r="C39" s="47">
        <f>+C37-C38</f>
        <v>9.6599626222159714</v>
      </c>
      <c r="D39" s="57"/>
      <c r="G39" s="53" t="s">
        <v>217</v>
      </c>
    </row>
    <row r="40" spans="1:10" x14ac:dyDescent="0.4">
      <c r="B40" s="28"/>
      <c r="D40" s="57"/>
    </row>
    <row r="42" spans="1:10" x14ac:dyDescent="0.4">
      <c r="A42" s="8" t="s">
        <v>239</v>
      </c>
      <c r="B42" s="6" t="s">
        <v>270</v>
      </c>
      <c r="G42" s="7" t="s">
        <v>199</v>
      </c>
    </row>
    <row r="43" spans="1:10" x14ac:dyDescent="0.4">
      <c r="A43" s="8"/>
      <c r="B43" s="6"/>
      <c r="G43" s="7" t="s">
        <v>281</v>
      </c>
    </row>
    <row r="44" spans="1:10" x14ac:dyDescent="0.4">
      <c r="B44" s="6" t="s">
        <v>41</v>
      </c>
    </row>
    <row r="45" spans="1:10" x14ac:dyDescent="0.4">
      <c r="B45" s="7" t="s">
        <v>88</v>
      </c>
    </row>
    <row r="46" spans="1:10" x14ac:dyDescent="0.4">
      <c r="B46" s="6"/>
    </row>
    <row r="47" spans="1:10" x14ac:dyDescent="0.4">
      <c r="C47" s="18" t="str">
        <f>+bid_factors!C243</f>
        <v>RS</v>
      </c>
      <c r="D47" s="18" t="str">
        <f>+bid_factors!D243</f>
        <v>RHS</v>
      </c>
      <c r="E47" s="18" t="str">
        <f>+bid_factors!E243</f>
        <v>RLM</v>
      </c>
      <c r="F47" s="18" t="str">
        <f>+bid_factors!F243</f>
        <v>WH</v>
      </c>
      <c r="G47" s="18" t="str">
        <f>+bid_factors!G243</f>
        <v>WHS</v>
      </c>
      <c r="H47" s="18" t="str">
        <f>+bid_factors!H243</f>
        <v>HS</v>
      </c>
      <c r="I47" s="18" t="str">
        <f>+bid_factors!I243</f>
        <v>PSAL</v>
      </c>
      <c r="J47" s="18" t="str">
        <f>+bid_factors!J243</f>
        <v>BPL</v>
      </c>
    </row>
    <row r="48" spans="1:10" x14ac:dyDescent="0.4">
      <c r="C48" s="18"/>
      <c r="D48" s="18"/>
      <c r="E48" s="18"/>
      <c r="F48" s="18"/>
      <c r="G48" s="18"/>
    </row>
    <row r="49" spans="2:13" x14ac:dyDescent="0.4">
      <c r="B49" s="19" t="s">
        <v>23</v>
      </c>
      <c r="E49" s="72"/>
      <c r="F49" s="71">
        <f>+bid_factors!F245</f>
        <v>0.67900000000000005</v>
      </c>
      <c r="G49" s="71">
        <f>+bid_factors!G245</f>
        <v>0.68200000000000005</v>
      </c>
      <c r="H49" s="71">
        <f>+bid_factors!H245</f>
        <v>1.0409999999999999</v>
      </c>
      <c r="I49" s="72">
        <f>+bid_factors!I245</f>
        <v>0.63400000000000001</v>
      </c>
      <c r="J49" s="72">
        <f>+bid_factors!J245</f>
        <v>0.63200000000000001</v>
      </c>
      <c r="K49" s="60"/>
      <c r="L49" s="60"/>
      <c r="M49" s="60"/>
    </row>
    <row r="50" spans="2:13" x14ac:dyDescent="0.4">
      <c r="B50" s="39" t="s">
        <v>84</v>
      </c>
      <c r="C50" s="59"/>
      <c r="D50" s="58"/>
      <c r="E50" s="71">
        <f>+bid_factors!E246</f>
        <v>1.748</v>
      </c>
      <c r="F50" s="72"/>
      <c r="G50" s="72"/>
      <c r="H50" s="72"/>
      <c r="I50" s="11"/>
      <c r="J50" s="61" t="s">
        <v>167</v>
      </c>
      <c r="K50" s="60"/>
      <c r="L50" s="60"/>
      <c r="M50" s="60"/>
    </row>
    <row r="51" spans="2:13" x14ac:dyDescent="0.4">
      <c r="B51" s="39" t="s">
        <v>85</v>
      </c>
      <c r="C51" s="59"/>
      <c r="D51" s="58"/>
      <c r="E51" s="71">
        <f>+bid_factors!E247</f>
        <v>0.61</v>
      </c>
      <c r="F51" s="72"/>
      <c r="G51" s="72"/>
      <c r="H51" s="73"/>
      <c r="I51" s="11"/>
      <c r="J51" s="61" t="s">
        <v>168</v>
      </c>
      <c r="K51" s="74">
        <f>+bid_factors!K247</f>
        <v>0.63300000000000001</v>
      </c>
      <c r="L51" s="60"/>
      <c r="M51" s="60"/>
    </row>
    <row r="52" spans="2:13" x14ac:dyDescent="0.4">
      <c r="E52" s="59"/>
      <c r="F52" s="58"/>
      <c r="G52" s="58"/>
      <c r="L52" s="60"/>
      <c r="M52" s="60"/>
    </row>
    <row r="53" spans="2:13" x14ac:dyDescent="0.4">
      <c r="B53" s="62" t="s">
        <v>164</v>
      </c>
      <c r="C53" s="71">
        <f>+bid_factors!C249</f>
        <v>1.0740000000000001</v>
      </c>
      <c r="D53" s="71">
        <f>+bid_factors!D249</f>
        <v>0.93200000000000005</v>
      </c>
      <c r="E53" s="59"/>
      <c r="F53" s="58"/>
      <c r="G53" s="58"/>
      <c r="H53" s="58"/>
      <c r="I53" s="58"/>
      <c r="J53" s="58"/>
      <c r="K53" s="60"/>
      <c r="L53" s="60"/>
      <c r="M53" s="60"/>
    </row>
    <row r="54" spans="2:13" x14ac:dyDescent="0.4">
      <c r="B54" s="62" t="s">
        <v>172</v>
      </c>
      <c r="C54" s="91">
        <f>+bid_factors!C250</f>
        <v>-3.0630000000000002</v>
      </c>
      <c r="D54" s="91">
        <f>+bid_factors!D250</f>
        <v>-3.9220000000000002</v>
      </c>
      <c r="E54" s="89" t="s">
        <v>165</v>
      </c>
      <c r="F54" s="58"/>
      <c r="G54" s="58"/>
      <c r="H54" s="58"/>
      <c r="I54" s="58"/>
      <c r="J54" s="58"/>
      <c r="K54" s="60"/>
      <c r="L54" s="60"/>
      <c r="M54" s="60"/>
    </row>
    <row r="55" spans="2:13" x14ac:dyDescent="0.4">
      <c r="B55" s="62" t="s">
        <v>172</v>
      </c>
      <c r="C55" s="91">
        <f>+bid_factors!C251</f>
        <v>5.5890000000000004</v>
      </c>
      <c r="D55" s="91">
        <f>+bid_factors!D251</f>
        <v>7.6470000000000002</v>
      </c>
      <c r="E55" s="89" t="s">
        <v>166</v>
      </c>
      <c r="F55" s="58"/>
      <c r="G55" s="58"/>
      <c r="H55" s="58"/>
      <c r="I55" s="58"/>
      <c r="J55" s="58"/>
      <c r="K55" s="60"/>
      <c r="L55" s="60"/>
      <c r="M55" s="60"/>
    </row>
    <row r="56" spans="2:13" x14ac:dyDescent="0.4">
      <c r="G56" s="58"/>
      <c r="H56" s="58"/>
      <c r="I56" s="58"/>
      <c r="J56" s="58"/>
      <c r="K56" s="60"/>
      <c r="L56" s="60"/>
      <c r="M56" s="60"/>
    </row>
    <row r="57" spans="2:13" x14ac:dyDescent="0.4">
      <c r="H57" s="58"/>
      <c r="I57" s="58"/>
      <c r="J57" s="58"/>
      <c r="K57" s="60"/>
      <c r="L57" s="60"/>
      <c r="M57" s="60"/>
    </row>
    <row r="58" spans="2:13" x14ac:dyDescent="0.4">
      <c r="C58" s="58"/>
      <c r="D58" s="58"/>
      <c r="E58" s="58"/>
      <c r="F58" s="58"/>
      <c r="G58" s="58"/>
      <c r="H58" s="58"/>
      <c r="I58" s="58"/>
      <c r="J58" s="58"/>
      <c r="K58" s="60"/>
      <c r="L58" s="60"/>
      <c r="M58" s="60"/>
    </row>
    <row r="59" spans="2:13" x14ac:dyDescent="0.4">
      <c r="B59" s="19" t="s">
        <v>24</v>
      </c>
      <c r="C59" s="71">
        <f>+bid_factors!C255</f>
        <v>1.151</v>
      </c>
      <c r="D59" s="71">
        <f>+bid_factors!D255</f>
        <v>1.0269999999999999</v>
      </c>
      <c r="E59" s="72"/>
      <c r="F59" s="71">
        <f>+bid_factors!F255</f>
        <v>0.76200000000000001</v>
      </c>
      <c r="G59" s="71">
        <f>+bid_factors!G255</f>
        <v>0.78100000000000003</v>
      </c>
      <c r="H59" s="71">
        <f>+bid_factors!H255</f>
        <v>1.125</v>
      </c>
      <c r="I59" s="72">
        <f>+bid_factors!I255</f>
        <v>0.74199999999999999</v>
      </c>
      <c r="J59" s="72">
        <f>+bid_factors!J255</f>
        <v>0.74299999999999999</v>
      </c>
      <c r="K59" s="60"/>
      <c r="L59" s="60"/>
      <c r="M59" s="60"/>
    </row>
    <row r="60" spans="2:13" x14ac:dyDescent="0.4">
      <c r="B60" s="39" t="s">
        <v>84</v>
      </c>
      <c r="C60" s="58"/>
      <c r="D60" s="58"/>
      <c r="E60" s="71">
        <f>+bid_factors!E256</f>
        <v>1.794</v>
      </c>
      <c r="F60" s="58"/>
      <c r="G60" s="58"/>
      <c r="H60" s="58"/>
      <c r="J60" s="61" t="s">
        <v>167</v>
      </c>
      <c r="K60" s="60"/>
      <c r="L60" s="60"/>
      <c r="M60" s="60"/>
    </row>
    <row r="61" spans="2:13" x14ac:dyDescent="0.4">
      <c r="B61" s="39" t="s">
        <v>85</v>
      </c>
      <c r="C61" s="58"/>
      <c r="D61" s="58"/>
      <c r="E61" s="71">
        <f>+bid_factors!E257</f>
        <v>0.72099999999999997</v>
      </c>
      <c r="F61" s="58"/>
      <c r="G61" s="58"/>
      <c r="J61" s="61" t="s">
        <v>168</v>
      </c>
      <c r="K61" s="74">
        <f>+bid_factors!K257</f>
        <v>0.74299999999999999</v>
      </c>
      <c r="L61" s="60"/>
      <c r="M61" s="60"/>
    </row>
    <row r="62" spans="2:13" x14ac:dyDescent="0.4">
      <c r="C62" s="63"/>
      <c r="D62" s="63"/>
      <c r="E62" s="63"/>
      <c r="F62" s="63"/>
      <c r="G62" s="63"/>
      <c r="K62" s="60"/>
      <c r="L62" s="60"/>
      <c r="M62" s="60"/>
    </row>
    <row r="63" spans="2:13" x14ac:dyDescent="0.4">
      <c r="B63" s="1" t="s">
        <v>113</v>
      </c>
      <c r="C63" s="75">
        <f>+bid_factors!C259</f>
        <v>1.1180000000000001</v>
      </c>
      <c r="D63" s="75">
        <f>+bid_factors!D259</f>
        <v>1.004</v>
      </c>
      <c r="E63" s="75">
        <f>+bid_factors!E259</f>
        <v>1.171</v>
      </c>
      <c r="F63" s="75">
        <f>+bid_factors!F259</f>
        <v>0.73899999999999999</v>
      </c>
      <c r="G63" s="75">
        <f>+bid_factors!G259</f>
        <v>0.753</v>
      </c>
      <c r="H63" s="75">
        <f>+bid_factors!H259</f>
        <v>1.107</v>
      </c>
      <c r="I63" s="75">
        <f>+bid_factors!I259</f>
        <v>0.71199999999999997</v>
      </c>
      <c r="J63" s="75">
        <f>+bid_factors!J259</f>
        <v>0.71299999999999997</v>
      </c>
      <c r="K63" s="60"/>
      <c r="L63" s="60"/>
      <c r="M63" s="60"/>
    </row>
    <row r="66" spans="2:11" x14ac:dyDescent="0.4">
      <c r="B66" s="6" t="s">
        <v>32</v>
      </c>
    </row>
    <row r="67" spans="2:11" x14ac:dyDescent="0.4">
      <c r="B67" s="7" t="s">
        <v>89</v>
      </c>
    </row>
    <row r="68" spans="2:11" x14ac:dyDescent="0.4">
      <c r="B68" s="11"/>
    </row>
    <row r="69" spans="2:11" x14ac:dyDescent="0.4">
      <c r="C69" s="18" t="str">
        <f>+bid_factors!C265</f>
        <v>GLP</v>
      </c>
      <c r="D69" s="18" t="str">
        <f>+bid_factors!D265</f>
        <v>GLP</v>
      </c>
      <c r="E69" s="18" t="str">
        <f>+bid_factors!E265</f>
        <v>LPL-S</v>
      </c>
      <c r="F69" s="18" t="str">
        <f>+bid_factors!F265</f>
        <v>LPL-S</v>
      </c>
      <c r="H69" s="6" t="s">
        <v>31</v>
      </c>
      <c r="I69" s="18" t="str">
        <f>+C69</f>
        <v>GLP</v>
      </c>
      <c r="J69" s="18" t="str">
        <f>+E69</f>
        <v>LPL-S</v>
      </c>
    </row>
    <row r="70" spans="2:11" ht="25.35" x14ac:dyDescent="0.4">
      <c r="C70" s="18" t="s">
        <v>122</v>
      </c>
      <c r="D70" s="69" t="s">
        <v>172</v>
      </c>
      <c r="E70" s="18" t="s">
        <v>122</v>
      </c>
      <c r="F70" s="69" t="s">
        <v>172</v>
      </c>
    </row>
    <row r="71" spans="2:11" x14ac:dyDescent="0.4">
      <c r="B71" s="19" t="s">
        <v>23</v>
      </c>
      <c r="C71" s="71">
        <f>+bid_factors!C267</f>
        <v>0.94399999999999995</v>
      </c>
      <c r="D71" s="74">
        <f>+bid_factors!D267</f>
        <v>-16.321000000000002</v>
      </c>
      <c r="E71" s="73"/>
      <c r="F71" s="73"/>
      <c r="H71" s="56" t="s">
        <v>28</v>
      </c>
    </row>
    <row r="72" spans="2:11" x14ac:dyDescent="0.4">
      <c r="B72" s="39" t="s">
        <v>84</v>
      </c>
      <c r="C72" s="72"/>
      <c r="D72" s="74"/>
      <c r="E72" s="71">
        <f>+bid_factors!E268</f>
        <v>1.1819999999999999</v>
      </c>
      <c r="F72" s="74">
        <f>+bid_factors!F268</f>
        <v>-27.030999999999999</v>
      </c>
      <c r="H72" s="28" t="s">
        <v>47</v>
      </c>
      <c r="I72" s="101">
        <f>+bid_factors!I$270</f>
        <v>5.2396000000000003</v>
      </c>
      <c r="J72" s="101">
        <f>+bid_factors!J$270</f>
        <v>5.2396000000000003</v>
      </c>
      <c r="K72" s="53" t="s">
        <v>51</v>
      </c>
    </row>
    <row r="73" spans="2:11" x14ac:dyDescent="0.4">
      <c r="B73" s="39" t="s">
        <v>85</v>
      </c>
      <c r="C73" s="72"/>
      <c r="D73" s="74"/>
      <c r="E73" s="71">
        <f>+bid_factors!E269</f>
        <v>0.60899999999999999</v>
      </c>
      <c r="F73" s="74">
        <f>+bid_factors!F269</f>
        <v>0</v>
      </c>
      <c r="H73" s="28" t="s">
        <v>48</v>
      </c>
      <c r="I73" s="101">
        <f>+bid_factors!I$270</f>
        <v>5.2396000000000003</v>
      </c>
      <c r="J73" s="101">
        <f>+bid_factors!J$270</f>
        <v>5.2396000000000003</v>
      </c>
      <c r="K73" s="53" t="s">
        <v>51</v>
      </c>
    </row>
    <row r="74" spans="2:11" x14ac:dyDescent="0.4">
      <c r="C74" s="72"/>
      <c r="D74" s="74"/>
      <c r="E74" s="72"/>
      <c r="F74" s="74"/>
      <c r="H74" s="28"/>
      <c r="I74" s="101"/>
      <c r="J74" s="101"/>
      <c r="K74" s="53"/>
    </row>
    <row r="75" spans="2:11" x14ac:dyDescent="0.4">
      <c r="B75" s="19" t="s">
        <v>24</v>
      </c>
      <c r="C75" s="71">
        <f>+bid_factors!C271</f>
        <v>1.052</v>
      </c>
      <c r="D75" s="74">
        <f>+bid_factors!D271</f>
        <v>-18.795000000000002</v>
      </c>
      <c r="E75" s="71"/>
      <c r="F75" s="74"/>
      <c r="H75" s="56" t="s">
        <v>29</v>
      </c>
      <c r="I75" s="57"/>
      <c r="J75" s="57"/>
    </row>
    <row r="76" spans="2:11" x14ac:dyDescent="0.4">
      <c r="B76" s="39" t="s">
        <v>84</v>
      </c>
      <c r="C76" s="72"/>
      <c r="D76" s="73"/>
      <c r="E76" s="71">
        <f>+bid_factors!E272</f>
        <v>1.282</v>
      </c>
      <c r="F76" s="74">
        <f>+bid_factors!F272</f>
        <v>-30.931999999999999</v>
      </c>
      <c r="H76" s="28" t="s">
        <v>49</v>
      </c>
      <c r="I76" s="101">
        <f>+bid_factors!I273</f>
        <v>0</v>
      </c>
      <c r="J76" s="101">
        <f>+bid_factors!J273</f>
        <v>0</v>
      </c>
      <c r="K76" s="53" t="s">
        <v>52</v>
      </c>
    </row>
    <row r="77" spans="2:11" x14ac:dyDescent="0.4">
      <c r="B77" s="39" t="s">
        <v>85</v>
      </c>
      <c r="C77" s="72"/>
      <c r="D77" s="73"/>
      <c r="E77" s="71">
        <f>+bid_factors!E273</f>
        <v>0.71699999999999997</v>
      </c>
      <c r="F77" s="74">
        <f>+bid_factors!F273</f>
        <v>0</v>
      </c>
    </row>
    <row r="78" spans="2:11" x14ac:dyDescent="0.4">
      <c r="C78" s="75"/>
      <c r="D78" s="73"/>
      <c r="E78" s="75"/>
      <c r="F78" s="73"/>
    </row>
    <row r="79" spans="2:11" x14ac:dyDescent="0.4">
      <c r="B79" s="1" t="s">
        <v>109</v>
      </c>
      <c r="C79" s="75">
        <f>+bid_factors!C275</f>
        <v>1.012</v>
      </c>
      <c r="D79" s="73"/>
      <c r="E79" s="75">
        <f>+bid_factors!E275</f>
        <v>0.95799999999999996</v>
      </c>
      <c r="F79" s="73"/>
    </row>
    <row r="80" spans="2:11" x14ac:dyDescent="0.4">
      <c r="C80" s="75"/>
      <c r="D80" s="73"/>
      <c r="E80" s="75"/>
      <c r="F80" s="73"/>
    </row>
    <row r="81" spans="1:13" x14ac:dyDescent="0.4">
      <c r="C81" s="60"/>
      <c r="E81" s="60"/>
      <c r="I81" s="107"/>
    </row>
    <row r="82" spans="1:13" x14ac:dyDescent="0.4">
      <c r="A82" s="122" t="s">
        <v>240</v>
      </c>
      <c r="B82" s="96" t="s">
        <v>255</v>
      </c>
      <c r="C82" s="60"/>
      <c r="E82" s="60"/>
    </row>
    <row r="83" spans="1:13" x14ac:dyDescent="0.4">
      <c r="A83" s="122"/>
      <c r="B83" s="7" t="s">
        <v>222</v>
      </c>
    </row>
    <row r="85" spans="1:13" x14ac:dyDescent="0.4">
      <c r="B85" s="6" t="s">
        <v>436</v>
      </c>
    </row>
    <row r="86" spans="1:13" x14ac:dyDescent="0.4">
      <c r="B86" s="7" t="s">
        <v>88</v>
      </c>
    </row>
    <row r="87" spans="1:13" x14ac:dyDescent="0.4">
      <c r="B87" s="6"/>
    </row>
    <row r="88" spans="1:13" x14ac:dyDescent="0.4">
      <c r="C88" s="18" t="str">
        <f>+C47</f>
        <v>RS</v>
      </c>
      <c r="D88" s="18" t="str">
        <f t="shared" ref="D88:J88" si="2">+D47</f>
        <v>RHS</v>
      </c>
      <c r="E88" s="18" t="str">
        <f t="shared" si="2"/>
        <v>RLM</v>
      </c>
      <c r="F88" s="18" t="str">
        <f t="shared" si="2"/>
        <v>WH</v>
      </c>
      <c r="G88" s="18" t="str">
        <f t="shared" si="2"/>
        <v>WHS</v>
      </c>
      <c r="H88" s="18" t="str">
        <f t="shared" si="2"/>
        <v>HS</v>
      </c>
      <c r="I88" s="18" t="str">
        <f t="shared" si="2"/>
        <v>PSAL</v>
      </c>
      <c r="J88" s="18" t="str">
        <f t="shared" si="2"/>
        <v>BPL</v>
      </c>
    </row>
    <row r="89" spans="1:13" x14ac:dyDescent="0.4">
      <c r="C89" s="122"/>
      <c r="D89" s="122"/>
      <c r="E89" s="122"/>
      <c r="F89" s="123"/>
      <c r="G89" s="123"/>
      <c r="H89" s="123"/>
      <c r="I89" s="123"/>
      <c r="J89" s="123"/>
    </row>
    <row r="90" spans="1:13" x14ac:dyDescent="0.4">
      <c r="B90" s="19" t="s">
        <v>23</v>
      </c>
      <c r="C90" s="122"/>
      <c r="D90" s="122"/>
      <c r="E90" s="122"/>
      <c r="F90" s="123">
        <f>ROUND(($C$33*F49)/10,4)</f>
        <v>4.4920999999999998</v>
      </c>
      <c r="G90" s="123">
        <f>ROUND(($C$33*G49)/10,4)</f>
        <v>4.5119999999999996</v>
      </c>
      <c r="H90" s="123">
        <f>ROUND(($C$33*H49)/10,4)</f>
        <v>6.8869999999999996</v>
      </c>
      <c r="I90" s="123">
        <f>ROUND(($C$33*K51)/10,4)</f>
        <v>4.1878000000000002</v>
      </c>
      <c r="J90" s="123">
        <f>+I90</f>
        <v>4.1878000000000002</v>
      </c>
      <c r="L90" s="60"/>
      <c r="M90" s="60"/>
    </row>
    <row r="91" spans="1:13" x14ac:dyDescent="0.4">
      <c r="B91" s="39" t="s">
        <v>84</v>
      </c>
      <c r="C91" s="122"/>
      <c r="D91" s="122"/>
      <c r="E91" s="123">
        <f>ROUND(($C$33*E50)/10,4)</f>
        <v>11.564399999999999</v>
      </c>
      <c r="F91" s="122"/>
      <c r="G91" s="123"/>
      <c r="H91" s="123"/>
      <c r="I91" s="123"/>
      <c r="J91" s="122"/>
      <c r="L91" s="60"/>
      <c r="M91" s="60"/>
    </row>
    <row r="92" spans="1:13" x14ac:dyDescent="0.4">
      <c r="B92" s="39" t="s">
        <v>85</v>
      </c>
      <c r="C92" s="122"/>
      <c r="D92" s="122"/>
      <c r="E92" s="123">
        <f>ROUND(($C$33*E51/10),4)</f>
        <v>4.0355999999999996</v>
      </c>
      <c r="F92" s="122"/>
      <c r="G92" s="122"/>
      <c r="H92" s="122"/>
      <c r="I92" s="122"/>
      <c r="J92" s="122"/>
      <c r="L92" s="60"/>
      <c r="M92" s="60"/>
    </row>
    <row r="93" spans="1:13" x14ac:dyDescent="0.4">
      <c r="B93" s="62"/>
      <c r="C93" s="122"/>
      <c r="D93" s="122"/>
      <c r="E93" s="122"/>
      <c r="F93" s="122"/>
      <c r="G93" s="122"/>
      <c r="H93" s="122"/>
      <c r="I93" s="122"/>
      <c r="J93" s="122"/>
      <c r="L93" s="60"/>
      <c r="M93" s="60"/>
    </row>
    <row r="94" spans="1:13" x14ac:dyDescent="0.4">
      <c r="B94" s="89" t="s">
        <v>165</v>
      </c>
      <c r="C94" s="123">
        <f>ROUND((+$C$33*C53+C54)/10,4)</f>
        <v>6.7991000000000001</v>
      </c>
      <c r="D94" s="123">
        <f>ROUND((+$C$33*D53+D54)/10,4)</f>
        <v>5.7736999999999998</v>
      </c>
      <c r="E94" s="122"/>
      <c r="F94" s="122"/>
      <c r="G94" s="122"/>
      <c r="H94" s="122"/>
      <c r="I94" s="122"/>
      <c r="J94" s="122"/>
      <c r="L94" s="60"/>
      <c r="M94" s="60"/>
    </row>
    <row r="95" spans="1:13" x14ac:dyDescent="0.4">
      <c r="B95" s="89" t="s">
        <v>166</v>
      </c>
      <c r="C95" s="123">
        <f>ROUND((+$C$33*C53+C55)/10,4)</f>
        <v>7.6642999999999999</v>
      </c>
      <c r="D95" s="123">
        <f>ROUND((+$C$33*D53+D55)/10,4)</f>
        <v>6.9306000000000001</v>
      </c>
      <c r="E95" s="122"/>
      <c r="F95" s="122"/>
      <c r="G95" s="122"/>
      <c r="H95" s="122"/>
      <c r="I95" s="122"/>
      <c r="J95" s="122"/>
      <c r="L95" s="60"/>
      <c r="M95" s="60"/>
    </row>
    <row r="96" spans="1:13" x14ac:dyDescent="0.4">
      <c r="C96" s="123"/>
      <c r="D96" s="123"/>
      <c r="E96" s="122"/>
      <c r="F96" s="122"/>
      <c r="G96" s="122"/>
      <c r="H96" s="122"/>
      <c r="I96" s="122"/>
      <c r="J96" s="122"/>
      <c r="L96" s="60"/>
      <c r="M96" s="60"/>
    </row>
    <row r="97" spans="2:13" x14ac:dyDescent="0.4">
      <c r="B97" s="19" t="s">
        <v>24</v>
      </c>
      <c r="C97" s="123">
        <f>ROUND(($C$33*C59)/10,4)</f>
        <v>7.6147999999999998</v>
      </c>
      <c r="D97" s="123">
        <f>ROUND(($C$33*D59)/10,4)</f>
        <v>6.7944000000000004</v>
      </c>
      <c r="E97" s="122"/>
      <c r="F97" s="123">
        <f>ROUND(($C$33*F59)/10,4)</f>
        <v>5.0411999999999999</v>
      </c>
      <c r="G97" s="123">
        <f>ROUND(($C$33*G59)/10,4)</f>
        <v>5.1669</v>
      </c>
      <c r="H97" s="123">
        <f>ROUND(($C$33*H59)/10,4)</f>
        <v>7.4428000000000001</v>
      </c>
      <c r="I97" s="123">
        <f>ROUND(($C$33*K61)/10,4)</f>
        <v>4.9154999999999998</v>
      </c>
      <c r="J97" s="123">
        <f>+I97</f>
        <v>4.9154999999999998</v>
      </c>
      <c r="L97" s="60"/>
      <c r="M97" s="60"/>
    </row>
    <row r="98" spans="2:13" x14ac:dyDescent="0.4">
      <c r="B98" s="39" t="s">
        <v>84</v>
      </c>
      <c r="C98" s="122"/>
      <c r="D98" s="122"/>
      <c r="E98" s="123">
        <f>ROUND(($C$33*E60)/10,4)</f>
        <v>11.8687</v>
      </c>
      <c r="F98" s="122"/>
      <c r="G98" s="122"/>
      <c r="H98" s="122"/>
      <c r="I98" s="122"/>
      <c r="J98" s="122"/>
      <c r="L98" s="60"/>
      <c r="M98" s="60"/>
    </row>
    <row r="99" spans="2:13" x14ac:dyDescent="0.4">
      <c r="B99" s="39" t="s">
        <v>85</v>
      </c>
      <c r="C99" s="122"/>
      <c r="D99" s="122"/>
      <c r="E99" s="123">
        <f>ROUND(($C$33*E61)/10,4)</f>
        <v>4.7699999999999996</v>
      </c>
      <c r="F99" s="122"/>
      <c r="G99" s="122"/>
      <c r="H99" s="122"/>
      <c r="I99" s="122"/>
      <c r="J99" s="122"/>
      <c r="L99" s="60"/>
      <c r="M99" s="60"/>
    </row>
    <row r="100" spans="2:13" x14ac:dyDescent="0.4">
      <c r="C100" s="122"/>
      <c r="D100" s="122"/>
      <c r="E100" s="123"/>
      <c r="F100" s="122"/>
      <c r="G100" s="122"/>
      <c r="H100" s="122"/>
      <c r="I100" s="122"/>
      <c r="J100" s="122"/>
      <c r="L100" s="60"/>
      <c r="M100" s="60"/>
    </row>
    <row r="103" spans="2:13" x14ac:dyDescent="0.4">
      <c r="B103" s="6" t="s">
        <v>437</v>
      </c>
    </row>
    <row r="104" spans="2:13" x14ac:dyDescent="0.4">
      <c r="B104" s="7" t="s">
        <v>89</v>
      </c>
    </row>
    <row r="105" spans="2:13" x14ac:dyDescent="0.4">
      <c r="B105" s="11"/>
    </row>
    <row r="106" spans="2:13" x14ac:dyDescent="0.4">
      <c r="C106" s="18" t="str">
        <f>+C69</f>
        <v>GLP</v>
      </c>
      <c r="D106" s="18"/>
      <c r="E106" s="18" t="str">
        <f>+E69</f>
        <v>LPL-S</v>
      </c>
      <c r="F106" s="18"/>
      <c r="H106" s="6" t="s">
        <v>31</v>
      </c>
      <c r="I106" s="18" t="str">
        <f>+C106</f>
        <v>GLP</v>
      </c>
      <c r="J106" s="18" t="str">
        <f>+E106</f>
        <v>LPL-S</v>
      </c>
    </row>
    <row r="107" spans="2:13" x14ac:dyDescent="0.4">
      <c r="F107" s="69"/>
    </row>
    <row r="108" spans="2:13" x14ac:dyDescent="0.4">
      <c r="B108" s="19" t="s">
        <v>23</v>
      </c>
      <c r="C108" s="123">
        <f>ROUND(($C$33*C71+D71)/10,4)</f>
        <v>4.6132</v>
      </c>
      <c r="D108" s="123"/>
      <c r="E108" s="123"/>
      <c r="F108" s="73"/>
      <c r="H108" s="56" t="s">
        <v>28</v>
      </c>
    </row>
    <row r="109" spans="2:13" x14ac:dyDescent="0.4">
      <c r="B109" s="39" t="s">
        <v>84</v>
      </c>
      <c r="C109" s="123"/>
      <c r="D109" s="123"/>
      <c r="E109" s="123">
        <f>ROUND(($C$33*E72+F72)/10,4)</f>
        <v>5.1167999999999996</v>
      </c>
      <c r="F109" s="74"/>
      <c r="H109" s="28" t="s">
        <v>47</v>
      </c>
      <c r="I109" s="100">
        <f>+I72</f>
        <v>5.2396000000000003</v>
      </c>
      <c r="J109" s="100">
        <f>+J72</f>
        <v>5.2396000000000003</v>
      </c>
      <c r="K109" s="53" t="s">
        <v>51</v>
      </c>
    </row>
    <row r="110" spans="2:13" x14ac:dyDescent="0.4">
      <c r="B110" s="39" t="s">
        <v>85</v>
      </c>
      <c r="C110" s="123"/>
      <c r="D110" s="123"/>
      <c r="E110" s="123">
        <f>ROUND(($C$33*E73+F73)/10,4)</f>
        <v>4.0289999999999999</v>
      </c>
      <c r="F110" s="74"/>
      <c r="H110" s="28" t="s">
        <v>48</v>
      </c>
      <c r="I110" s="100">
        <f>+I73</f>
        <v>5.2396000000000003</v>
      </c>
      <c r="J110" s="100">
        <f>+J73</f>
        <v>5.2396000000000003</v>
      </c>
      <c r="K110" s="53" t="s">
        <v>51</v>
      </c>
    </row>
    <row r="111" spans="2:13" x14ac:dyDescent="0.4">
      <c r="C111" s="123"/>
      <c r="D111" s="123"/>
      <c r="E111" s="123"/>
      <c r="F111" s="74"/>
      <c r="H111" s="28"/>
      <c r="I111" s="101"/>
      <c r="J111" s="101"/>
      <c r="K111" s="53"/>
    </row>
    <row r="112" spans="2:13" x14ac:dyDescent="0.4">
      <c r="B112" s="19" t="s">
        <v>24</v>
      </c>
      <c r="C112" s="123">
        <f>ROUND(($C$33*C75+D75)/10,4)</f>
        <v>5.0803000000000003</v>
      </c>
      <c r="D112" s="123"/>
      <c r="E112" s="123"/>
      <c r="F112" s="74"/>
      <c r="H112" s="56" t="s">
        <v>29</v>
      </c>
      <c r="I112" s="57"/>
      <c r="J112" s="57"/>
    </row>
    <row r="113" spans="1:12" x14ac:dyDescent="0.4">
      <c r="B113" s="39" t="s">
        <v>84</v>
      </c>
      <c r="C113" s="123"/>
      <c r="D113" s="123"/>
      <c r="E113" s="123">
        <f>ROUND(($C$33*E76+F76)/10,4)</f>
        <v>5.3883000000000001</v>
      </c>
      <c r="F113" s="74"/>
      <c r="H113" s="28" t="s">
        <v>49</v>
      </c>
      <c r="I113" s="100">
        <f>+I76</f>
        <v>0</v>
      </c>
      <c r="J113" s="100">
        <f>+J76</f>
        <v>0</v>
      </c>
      <c r="K113" s="53" t="s">
        <v>52</v>
      </c>
    </row>
    <row r="114" spans="1:12" x14ac:dyDescent="0.4">
      <c r="B114" s="39" t="s">
        <v>85</v>
      </c>
      <c r="C114" s="123"/>
      <c r="D114" s="123"/>
      <c r="E114" s="123">
        <f>ROUND(($C$33*E77+F77)/10,4)</f>
        <v>4.7435</v>
      </c>
      <c r="F114" s="74"/>
    </row>
    <row r="115" spans="1:12" x14ac:dyDescent="0.4">
      <c r="C115" s="75"/>
      <c r="D115" s="73"/>
      <c r="E115" s="75"/>
      <c r="F115" s="73"/>
    </row>
    <row r="116" spans="1:12" x14ac:dyDescent="0.4">
      <c r="C116" s="75"/>
      <c r="D116" s="73"/>
      <c r="E116" s="75"/>
      <c r="F116" s="73"/>
    </row>
    <row r="118" spans="1:12" x14ac:dyDescent="0.4">
      <c r="A118" s="122" t="s">
        <v>241</v>
      </c>
      <c r="B118" s="6" t="s">
        <v>242</v>
      </c>
      <c r="C118" s="60"/>
      <c r="E118" s="60"/>
    </row>
    <row r="119" spans="1:12" x14ac:dyDescent="0.4">
      <c r="C119" s="60"/>
      <c r="E119" s="60"/>
    </row>
    <row r="120" spans="1:12" x14ac:dyDescent="0.4">
      <c r="C120" s="18" t="s">
        <v>0</v>
      </c>
      <c r="D120" s="18" t="s">
        <v>1</v>
      </c>
      <c r="E120" s="18" t="s">
        <v>2</v>
      </c>
      <c r="F120" s="18" t="s">
        <v>3</v>
      </c>
      <c r="G120" s="18" t="s">
        <v>4</v>
      </c>
      <c r="H120" s="18" t="s">
        <v>6</v>
      </c>
      <c r="I120" s="18" t="s">
        <v>37</v>
      </c>
      <c r="J120" s="18" t="s">
        <v>38</v>
      </c>
    </row>
    <row r="121" spans="1:12" x14ac:dyDescent="0.4">
      <c r="B121" s="1" t="s">
        <v>243</v>
      </c>
    </row>
    <row r="122" spans="1:12" x14ac:dyDescent="0.4">
      <c r="B122" s="36" t="s">
        <v>53</v>
      </c>
      <c r="C122" s="47">
        <f>+C94/100*bid_factors!O53+auction_results_and_rates!C95/100*bid_factors!O54</f>
        <v>395689.74264602014</v>
      </c>
      <c r="D122" s="47">
        <f>+D94/100*bid_factors!P53+auction_results_and_rates!D95/100*bid_factors!P54</f>
        <v>1300.2621162005141</v>
      </c>
      <c r="E122" s="68">
        <f>+E91/100*bid_factors!Q50+E92/100*bid_factors!Q51</f>
        <v>5924.7453767524712</v>
      </c>
      <c r="F122" s="47">
        <f>+F90/100*bid_factors!R49</f>
        <v>10.601355999999999</v>
      </c>
      <c r="G122" s="47">
        <f>+G90/100*bid_factors!S49</f>
        <v>0.18047999999999997</v>
      </c>
      <c r="H122" s="47">
        <f>+H90/100*bid_factors!T49</f>
        <v>140.12416750641893</v>
      </c>
      <c r="I122" s="47">
        <f>+I90/100*bid_factors!U49</f>
        <v>1668.7545439999999</v>
      </c>
      <c r="J122" s="47">
        <f>+J90/100*bid_factors!V49</f>
        <v>3262.3799559999998</v>
      </c>
    </row>
    <row r="123" spans="1:12" ht="14.7" x14ac:dyDescent="0.7">
      <c r="B123" s="36" t="s">
        <v>54</v>
      </c>
      <c r="C123" s="48">
        <f>+C97/100*bid_factors!O45</f>
        <v>566691.0835441344</v>
      </c>
      <c r="D123" s="48">
        <f>+D97/100*bid_factors!P45</f>
        <v>4616.2824357561003</v>
      </c>
      <c r="E123" s="48">
        <f>+E98/100*bid_factors!Q46+auction_results_and_rates!E99/100*bid_factors!Q47</f>
        <v>7160.0800845021204</v>
      </c>
      <c r="F123" s="48">
        <f>+F97/100*bid_factors!R45</f>
        <v>30.146376</v>
      </c>
      <c r="G123" s="48">
        <f>+G97/100*bid_factors!S45</f>
        <v>0.51668999999999998</v>
      </c>
      <c r="H123" s="48">
        <f>+H97/100*bid_factors!T45</f>
        <v>537.27276912481091</v>
      </c>
      <c r="I123" s="48">
        <f>+I97/100*bid_factors!U45</f>
        <v>5172.9247349999996</v>
      </c>
      <c r="J123" s="48">
        <f>+J97/100*bid_factors!V45</f>
        <v>10516.958025</v>
      </c>
    </row>
    <row r="124" spans="1:12" x14ac:dyDescent="0.4">
      <c r="B124" s="36" t="s">
        <v>19</v>
      </c>
      <c r="C124" s="2">
        <f>+C123+C122</f>
        <v>962380.82619015453</v>
      </c>
      <c r="D124" s="2">
        <f t="shared" ref="D124:J124" si="3">+D123+D122</f>
        <v>5916.5445519566147</v>
      </c>
      <c r="E124" s="2">
        <f t="shared" si="3"/>
        <v>13084.825461254592</v>
      </c>
      <c r="F124" s="2">
        <f t="shared" si="3"/>
        <v>40.747731999999999</v>
      </c>
      <c r="G124" s="2">
        <f t="shared" si="3"/>
        <v>0.69716999999999996</v>
      </c>
      <c r="H124" s="2">
        <f t="shared" si="3"/>
        <v>677.39693663122989</v>
      </c>
      <c r="I124" s="2">
        <f t="shared" si="3"/>
        <v>6841.679279</v>
      </c>
      <c r="J124" s="2">
        <f t="shared" si="3"/>
        <v>13779.337981000001</v>
      </c>
    </row>
    <row r="125" spans="1:12" x14ac:dyDescent="0.4">
      <c r="B125" s="36"/>
      <c r="C125" s="2"/>
      <c r="D125" s="2"/>
      <c r="E125" s="2"/>
      <c r="F125" s="2"/>
      <c r="G125" s="2"/>
      <c r="H125" s="2"/>
      <c r="I125" s="2"/>
      <c r="J125" s="2"/>
      <c r="K125" s="2"/>
      <c r="L125" s="2"/>
    </row>
    <row r="126" spans="1:12" x14ac:dyDescent="0.4">
      <c r="B126" s="36"/>
      <c r="C126" s="2"/>
      <c r="D126" s="2"/>
      <c r="E126" s="2"/>
      <c r="F126" s="2"/>
      <c r="G126" s="2"/>
      <c r="H126" s="2"/>
      <c r="I126" s="2"/>
      <c r="J126" s="2"/>
      <c r="K126" s="2"/>
      <c r="L126" s="2"/>
    </row>
    <row r="127" spans="1:12" x14ac:dyDescent="0.4">
      <c r="B127" s="36"/>
      <c r="C127" s="18" t="s">
        <v>5</v>
      </c>
      <c r="D127" s="18" t="s">
        <v>5</v>
      </c>
      <c r="F127" s="18" t="s">
        <v>36</v>
      </c>
      <c r="G127" s="18" t="s">
        <v>36</v>
      </c>
      <c r="H127" s="2"/>
      <c r="I127" s="2"/>
      <c r="J127" s="2"/>
      <c r="K127" s="2"/>
      <c r="L127" s="2"/>
    </row>
    <row r="128" spans="1:12" x14ac:dyDescent="0.4">
      <c r="B128" s="36"/>
      <c r="C128" s="18" t="s">
        <v>249</v>
      </c>
      <c r="D128" s="18" t="s">
        <v>250</v>
      </c>
      <c r="F128" s="18" t="s">
        <v>249</v>
      </c>
      <c r="G128" s="18" t="s">
        <v>250</v>
      </c>
      <c r="H128" s="2"/>
      <c r="I128" s="2"/>
      <c r="J128" s="2"/>
      <c r="K128" s="2"/>
      <c r="L128" s="2"/>
    </row>
    <row r="129" spans="2:12" x14ac:dyDescent="0.4">
      <c r="B129" s="36"/>
      <c r="G129" s="2"/>
      <c r="H129" s="2"/>
      <c r="I129" s="2"/>
      <c r="J129" s="2"/>
      <c r="K129" s="2"/>
      <c r="L129" s="2"/>
    </row>
    <row r="130" spans="2:12" x14ac:dyDescent="0.4">
      <c r="B130" s="36" t="s">
        <v>53</v>
      </c>
      <c r="C130" s="68">
        <f>+C108/100*bid_factors!W49</f>
        <v>106639.60952311609</v>
      </c>
      <c r="D130" s="68">
        <f>I109*bid_factors!K147*4+auction_results_and_rates!I113*bid_factors!K149*4</f>
        <v>37727.215839999997</v>
      </c>
      <c r="F130" s="68">
        <f>+E109/100*bid_factors!X50+auction_results_and_rates!E110/100*bid_factors!X51</f>
        <v>70670.884753219143</v>
      </c>
      <c r="G130" s="68">
        <f>auction_results_and_rates!J109*bid_factors!L147*4+auction_results_and_rates!J113*bid_factors!L149*4</f>
        <v>20958.400000000001</v>
      </c>
      <c r="H130" s="2"/>
      <c r="I130" s="2"/>
      <c r="J130" s="2"/>
      <c r="K130" s="2"/>
      <c r="L130" s="2"/>
    </row>
    <row r="131" spans="2:12" ht="14.7" x14ac:dyDescent="0.7">
      <c r="B131" s="36" t="s">
        <v>54</v>
      </c>
      <c r="C131" s="99">
        <f>+C112/100*bid_factors!W45</f>
        <v>203951.2146235024</v>
      </c>
      <c r="D131" s="99">
        <f>auction_results_and_rates!I110*bid_factors!K147*8+auction_results_and_rates!I113*bid_factors!K149*8</f>
        <v>75454.431679999994</v>
      </c>
      <c r="F131" s="99">
        <f>+E113/100*bid_factors!X46+auction_results_and_rates!E114/100*bid_factors!X47</f>
        <v>140938.93594256107</v>
      </c>
      <c r="G131" s="99">
        <f>auction_results_and_rates!J110*bid_factors!L147*8+auction_results_and_rates!J113*bid_factors!L149*8</f>
        <v>41916.800000000003</v>
      </c>
      <c r="H131" s="2"/>
      <c r="I131" s="2"/>
      <c r="J131" s="2"/>
      <c r="K131" s="2"/>
      <c r="L131" s="2"/>
    </row>
    <row r="132" spans="2:12" x14ac:dyDescent="0.4">
      <c r="B132" s="36" t="s">
        <v>19</v>
      </c>
      <c r="C132" s="2">
        <f>+C131+C130</f>
        <v>310590.82414661848</v>
      </c>
      <c r="D132" s="2">
        <f>+D131+D130</f>
        <v>113181.64752</v>
      </c>
      <c r="F132" s="2">
        <f>+F131+F130</f>
        <v>211609.82069578022</v>
      </c>
      <c r="G132" s="2">
        <f>+G131+G130</f>
        <v>62875.200000000004</v>
      </c>
      <c r="H132" s="2"/>
      <c r="I132" s="2"/>
      <c r="J132" s="2"/>
      <c r="K132" s="2"/>
      <c r="L132" s="2"/>
    </row>
    <row r="133" spans="2:12" x14ac:dyDescent="0.4">
      <c r="B133" s="36"/>
      <c r="C133" s="2"/>
      <c r="F133" s="2"/>
      <c r="G133" s="2"/>
      <c r="H133" s="2"/>
      <c r="I133" s="2"/>
      <c r="J133" s="2"/>
      <c r="K133" s="2"/>
      <c r="L133" s="2"/>
    </row>
    <row r="134" spans="2:12" x14ac:dyDescent="0.4">
      <c r="B134" s="36"/>
      <c r="C134" s="2"/>
      <c r="D134" s="2"/>
      <c r="E134" s="2"/>
      <c r="F134" s="2"/>
      <c r="G134" s="2"/>
      <c r="H134" s="2"/>
      <c r="I134" s="2"/>
      <c r="J134" s="2"/>
      <c r="K134" s="2"/>
      <c r="L134" s="2"/>
    </row>
    <row r="135" spans="2:12" x14ac:dyDescent="0.4">
      <c r="B135" s="36"/>
      <c r="C135" s="18" t="s">
        <v>249</v>
      </c>
      <c r="D135" s="18" t="s">
        <v>250</v>
      </c>
      <c r="E135" s="18" t="s">
        <v>251</v>
      </c>
      <c r="F135" s="2"/>
      <c r="G135" s="2"/>
      <c r="H135" s="2"/>
      <c r="I135" s="2"/>
      <c r="J135" s="2"/>
      <c r="K135" s="2"/>
      <c r="L135" s="2"/>
    </row>
    <row r="136" spans="2:12" x14ac:dyDescent="0.4">
      <c r="B136" s="36" t="s">
        <v>169</v>
      </c>
      <c r="C136" s="2">
        <f>SUM(C122:J122)+C130+F130</f>
        <v>585307.28491881478</v>
      </c>
      <c r="D136" s="2">
        <f>+D130+G130</f>
        <v>58685.615839999999</v>
      </c>
      <c r="E136" s="2">
        <f>+C136+D136</f>
        <v>643992.90075881477</v>
      </c>
      <c r="F136" s="2"/>
      <c r="G136" s="2"/>
      <c r="H136" s="2"/>
      <c r="I136" s="2"/>
      <c r="J136" s="2"/>
      <c r="K136" s="2"/>
      <c r="L136" s="2"/>
    </row>
    <row r="137" spans="2:12" ht="14.7" x14ac:dyDescent="0.7">
      <c r="B137" s="36" t="s">
        <v>170</v>
      </c>
      <c r="C137" s="98">
        <f>SUM(C123:J123)+C131+F131</f>
        <v>939615.41522558103</v>
      </c>
      <c r="D137" s="98">
        <f>+D131+G131</f>
        <v>117371.23168</v>
      </c>
      <c r="E137" s="98">
        <f>+C137+D137</f>
        <v>1056986.646905581</v>
      </c>
    </row>
    <row r="138" spans="2:12" x14ac:dyDescent="0.4">
      <c r="B138" s="36" t="s">
        <v>171</v>
      </c>
      <c r="C138" s="2">
        <f>+C137+C136</f>
        <v>1524922.7001443957</v>
      </c>
      <c r="D138" s="2">
        <f>+D132+G132</f>
        <v>176056.84752000001</v>
      </c>
      <c r="E138" s="177">
        <f>+C138+D138</f>
        <v>1700979.5476643958</v>
      </c>
    </row>
    <row r="139" spans="2:12" x14ac:dyDescent="0.4">
      <c r="B139" s="36"/>
      <c r="C139" s="60"/>
      <c r="E139" s="60"/>
    </row>
    <row r="140" spans="2:12" x14ac:dyDescent="0.4">
      <c r="C140" s="18"/>
      <c r="D140" s="18"/>
      <c r="E140" s="18"/>
      <c r="F140" s="18"/>
      <c r="G140" s="18"/>
      <c r="H140" s="18"/>
      <c r="I140" s="18"/>
      <c r="J140" s="18"/>
      <c r="K140" s="18"/>
      <c r="L140" s="18"/>
    </row>
    <row r="141" spans="2:12" x14ac:dyDescent="0.4">
      <c r="B141" s="1" t="s">
        <v>124</v>
      </c>
    </row>
    <row r="142" spans="2:12" x14ac:dyDescent="0.4">
      <c r="B142" s="36" t="s">
        <v>53</v>
      </c>
      <c r="C142" s="2">
        <f>+C25+D25+E25</f>
        <v>672979.36857480113</v>
      </c>
    </row>
    <row r="143" spans="2:12" ht="14.7" x14ac:dyDescent="0.7">
      <c r="B143" s="36" t="s">
        <v>54</v>
      </c>
      <c r="C143" s="98">
        <f>+C26+D26+E26</f>
        <v>1027912.3732640014</v>
      </c>
      <c r="E143" s="110"/>
      <c r="F143" s="111"/>
      <c r="G143" s="111"/>
      <c r="H143" s="112"/>
    </row>
    <row r="144" spans="2:12" x14ac:dyDescent="0.4">
      <c r="B144" s="36" t="s">
        <v>19</v>
      </c>
      <c r="C144" s="2">
        <f>+C143+C142</f>
        <v>1700891.7418388026</v>
      </c>
      <c r="E144" s="113" t="s">
        <v>252</v>
      </c>
      <c r="F144" s="114"/>
      <c r="G144" s="114"/>
      <c r="H144" s="124"/>
    </row>
    <row r="145" spans="1:10" x14ac:dyDescent="0.4">
      <c r="C145" s="60"/>
      <c r="E145" s="113" t="s">
        <v>244</v>
      </c>
      <c r="F145" s="115" t="s">
        <v>248</v>
      </c>
      <c r="G145" s="114"/>
      <c r="H145" s="124"/>
    </row>
    <row r="146" spans="1:10" x14ac:dyDescent="0.4">
      <c r="B146" s="4" t="s">
        <v>221</v>
      </c>
      <c r="C146" s="109"/>
      <c r="D146" s="109"/>
      <c r="E146" s="125" t="s">
        <v>245</v>
      </c>
      <c r="F146" s="114"/>
      <c r="G146" s="114"/>
      <c r="H146" s="124"/>
    </row>
    <row r="147" spans="1:10" x14ac:dyDescent="0.4">
      <c r="B147" s="36" t="s">
        <v>53</v>
      </c>
      <c r="C147" s="2">
        <f>+C142-E136</f>
        <v>28986.467815986369</v>
      </c>
      <c r="D147" s="104"/>
      <c r="E147" s="178">
        <f>ROUND(1+(C147/C136),5)</f>
        <v>1.04952</v>
      </c>
      <c r="F147" s="114"/>
      <c r="G147" s="114"/>
      <c r="H147" s="124"/>
    </row>
    <row r="148" spans="1:10" ht="14.7" x14ac:dyDescent="0.7">
      <c r="B148" s="36" t="s">
        <v>54</v>
      </c>
      <c r="C148" s="98">
        <f>+C143-E137</f>
        <v>-29074.273641579552</v>
      </c>
      <c r="D148" s="104"/>
      <c r="E148" s="178">
        <f>ROUND(1+(C148/C137),5)</f>
        <v>0.96906000000000003</v>
      </c>
      <c r="F148" s="114"/>
      <c r="G148" s="114"/>
      <c r="H148" s="124"/>
    </row>
    <row r="149" spans="1:10" x14ac:dyDescent="0.4">
      <c r="B149" s="36" t="s">
        <v>19</v>
      </c>
      <c r="C149" s="2">
        <f>+C144-E138</f>
        <v>-87.805825593182817</v>
      </c>
      <c r="D149" s="104"/>
      <c r="E149" s="126"/>
      <c r="F149" s="127"/>
      <c r="G149" s="127"/>
      <c r="H149" s="128"/>
    </row>
    <row r="151" spans="1:10" x14ac:dyDescent="0.4">
      <c r="C151" s="1" t="s">
        <v>223</v>
      </c>
    </row>
    <row r="152" spans="1:10" x14ac:dyDescent="0.4">
      <c r="C152" s="1" t="s">
        <v>224</v>
      </c>
    </row>
    <row r="154" spans="1:10" x14ac:dyDescent="0.4">
      <c r="A154" s="122" t="s">
        <v>253</v>
      </c>
      <c r="B154" s="96" t="s">
        <v>290</v>
      </c>
      <c r="C154" s="60"/>
      <c r="E154" s="60"/>
    </row>
    <row r="155" spans="1:10" x14ac:dyDescent="0.4">
      <c r="B155" s="7" t="s">
        <v>222</v>
      </c>
    </row>
    <row r="157" spans="1:10" x14ac:dyDescent="0.4">
      <c r="B157" s="6" t="s">
        <v>436</v>
      </c>
    </row>
    <row r="158" spans="1:10" x14ac:dyDescent="0.4">
      <c r="B158" s="7" t="s">
        <v>246</v>
      </c>
    </row>
    <row r="159" spans="1:10" x14ac:dyDescent="0.4">
      <c r="B159" s="6"/>
    </row>
    <row r="160" spans="1:10" x14ac:dyDescent="0.4">
      <c r="C160" s="18" t="str">
        <f>+C120</f>
        <v>RS</v>
      </c>
      <c r="D160" s="18" t="str">
        <f t="shared" ref="D160:J160" si="4">+D120</f>
        <v>RHS</v>
      </c>
      <c r="E160" s="18" t="str">
        <f t="shared" si="4"/>
        <v>RLM</v>
      </c>
      <c r="F160" s="18" t="str">
        <f t="shared" si="4"/>
        <v>WH</v>
      </c>
      <c r="G160" s="18" t="str">
        <f t="shared" si="4"/>
        <v>WHS</v>
      </c>
      <c r="H160" s="18" t="str">
        <f t="shared" si="4"/>
        <v>HS</v>
      </c>
      <c r="I160" s="18" t="str">
        <f t="shared" si="4"/>
        <v>PSAL</v>
      </c>
      <c r="J160" s="18" t="str">
        <f t="shared" si="4"/>
        <v>BPL</v>
      </c>
    </row>
    <row r="161" spans="2:10" x14ac:dyDescent="0.4">
      <c r="C161" s="122"/>
      <c r="D161" s="122"/>
      <c r="E161" s="122"/>
      <c r="F161" s="123"/>
      <c r="G161" s="123"/>
      <c r="H161" s="123"/>
      <c r="I161" s="123"/>
      <c r="J161" s="123"/>
    </row>
    <row r="162" spans="2:10" x14ac:dyDescent="0.4">
      <c r="B162" s="19" t="s">
        <v>23</v>
      </c>
      <c r="C162" s="122"/>
      <c r="D162" s="122"/>
      <c r="E162" s="122"/>
      <c r="F162" s="123">
        <f>ROUND(+F90*$E$147,4)</f>
        <v>4.7145000000000001</v>
      </c>
      <c r="G162" s="123">
        <f>ROUND(+G90*$E$147,4)</f>
        <v>4.7354000000000003</v>
      </c>
      <c r="H162" s="123">
        <f>ROUND(+H90*$E$147,4)</f>
        <v>7.2279999999999998</v>
      </c>
      <c r="I162" s="123">
        <f>ROUND(+I90*$E$147,4)</f>
        <v>4.3952</v>
      </c>
      <c r="J162" s="123">
        <f>ROUND(+J90*$E$147,4)</f>
        <v>4.3952</v>
      </c>
    </row>
    <row r="163" spans="2:10" x14ac:dyDescent="0.4">
      <c r="B163" s="39" t="s">
        <v>84</v>
      </c>
      <c r="C163" s="122"/>
      <c r="D163" s="122"/>
      <c r="E163" s="123">
        <f>ROUND(+E91*$E$147,4)</f>
        <v>12.1371</v>
      </c>
      <c r="G163" s="123"/>
      <c r="H163" s="123"/>
      <c r="I163" s="123"/>
      <c r="J163" s="122"/>
    </row>
    <row r="164" spans="2:10" x14ac:dyDescent="0.4">
      <c r="B164" s="39" t="s">
        <v>85</v>
      </c>
      <c r="C164" s="122"/>
      <c r="D164" s="122"/>
      <c r="E164" s="123">
        <f>ROUND(+E92*$E$147,4)</f>
        <v>4.2354000000000003</v>
      </c>
      <c r="F164" s="122"/>
      <c r="G164" s="122"/>
      <c r="H164" s="122"/>
      <c r="I164" s="122"/>
      <c r="J164" s="122"/>
    </row>
    <row r="165" spans="2:10" x14ac:dyDescent="0.4">
      <c r="B165" s="62"/>
      <c r="C165" s="122"/>
      <c r="D165" s="122"/>
      <c r="E165" s="122"/>
      <c r="F165" s="122"/>
      <c r="G165" s="122"/>
      <c r="H165" s="122"/>
      <c r="I165" s="122"/>
      <c r="J165" s="122"/>
    </row>
    <row r="166" spans="2:10" x14ac:dyDescent="0.4">
      <c r="B166" s="89" t="s">
        <v>165</v>
      </c>
      <c r="C166" s="123">
        <f>ROUND(+C94*$E$147,4)</f>
        <v>7.1357999999999997</v>
      </c>
      <c r="D166" s="123">
        <f>ROUND(+D94*$E$147,4)</f>
        <v>6.0595999999999997</v>
      </c>
      <c r="E166" s="122"/>
      <c r="F166" s="122"/>
      <c r="G166" s="122"/>
      <c r="H166" s="122"/>
      <c r="I166" s="122"/>
      <c r="J166" s="122"/>
    </row>
    <row r="167" spans="2:10" x14ac:dyDescent="0.4">
      <c r="B167" s="89" t="s">
        <v>166</v>
      </c>
      <c r="C167" s="123">
        <f>ROUND(+C95*$E$147,4)</f>
        <v>8.0437999999999992</v>
      </c>
      <c r="D167" s="123">
        <f>ROUND(+D95*$E$147,4)</f>
        <v>7.2737999999999996</v>
      </c>
      <c r="E167" s="122"/>
      <c r="F167" s="122"/>
      <c r="G167" s="122"/>
      <c r="H167" s="122"/>
      <c r="I167" s="122"/>
      <c r="J167" s="122"/>
    </row>
    <row r="168" spans="2:10" x14ac:dyDescent="0.4">
      <c r="C168" s="123"/>
      <c r="D168" s="123"/>
      <c r="E168" s="122"/>
      <c r="F168" s="122"/>
      <c r="G168" s="122"/>
      <c r="H168" s="122"/>
      <c r="I168" s="122"/>
      <c r="J168" s="122"/>
    </row>
    <row r="169" spans="2:10" x14ac:dyDescent="0.4">
      <c r="B169" s="19" t="s">
        <v>24</v>
      </c>
      <c r="C169" s="123">
        <f>ROUND(+C97*$E$148,4)</f>
        <v>7.3792</v>
      </c>
      <c r="D169" s="123">
        <f>ROUND(+D97*$E$148,4)</f>
        <v>6.5842000000000001</v>
      </c>
      <c r="E169" s="122"/>
      <c r="F169" s="123">
        <f>ROUND(+F97*$E$148,4)</f>
        <v>4.8852000000000002</v>
      </c>
      <c r="G169" s="123">
        <f>ROUND(+G97*$E$148,4)</f>
        <v>5.0069999999999997</v>
      </c>
      <c r="H169" s="123">
        <f>ROUND(+H97*$E$148,4)</f>
        <v>7.2125000000000004</v>
      </c>
      <c r="I169" s="123">
        <f>ROUND(+I97*$E$148,4)</f>
        <v>4.7633999999999999</v>
      </c>
      <c r="J169" s="123">
        <f>ROUND(+J97*$E$148,4)</f>
        <v>4.7633999999999999</v>
      </c>
    </row>
    <row r="170" spans="2:10" x14ac:dyDescent="0.4">
      <c r="B170" s="39" t="s">
        <v>84</v>
      </c>
      <c r="C170" s="122"/>
      <c r="D170" s="122"/>
      <c r="E170" s="123">
        <f>ROUND(+E98*$E$148,4)</f>
        <v>11.5015</v>
      </c>
      <c r="F170" s="122"/>
      <c r="G170" s="122"/>
      <c r="H170" s="122"/>
      <c r="I170" s="122"/>
      <c r="J170" s="122"/>
    </row>
    <row r="171" spans="2:10" x14ac:dyDescent="0.4">
      <c r="B171" s="39" t="s">
        <v>85</v>
      </c>
      <c r="C171" s="122"/>
      <c r="D171" s="122"/>
      <c r="E171" s="123">
        <f>ROUND(+E99*$E$148,4)</f>
        <v>4.6223999999999998</v>
      </c>
      <c r="F171" s="122"/>
      <c r="G171" s="122"/>
      <c r="H171" s="122"/>
      <c r="I171" s="122"/>
      <c r="J171" s="122"/>
    </row>
    <row r="172" spans="2:10" x14ac:dyDescent="0.4">
      <c r="C172" s="122"/>
      <c r="D172" s="122"/>
      <c r="E172" s="123"/>
      <c r="F172" s="122"/>
      <c r="G172" s="122"/>
      <c r="H172" s="122"/>
      <c r="I172" s="122"/>
      <c r="J172" s="122"/>
    </row>
    <row r="175" spans="2:10" x14ac:dyDescent="0.4">
      <c r="B175" s="6" t="s">
        <v>437</v>
      </c>
    </row>
    <row r="176" spans="2:10" x14ac:dyDescent="0.4">
      <c r="B176" s="7" t="s">
        <v>247</v>
      </c>
    </row>
    <row r="177" spans="1:12" x14ac:dyDescent="0.4">
      <c r="B177" s="11"/>
    </row>
    <row r="178" spans="1:12" x14ac:dyDescent="0.4">
      <c r="C178" s="18" t="str">
        <f>+C106</f>
        <v>GLP</v>
      </c>
      <c r="D178" s="18"/>
      <c r="E178" s="18" t="str">
        <f>+E106</f>
        <v>LPL-S</v>
      </c>
      <c r="F178" s="18"/>
      <c r="H178" s="6" t="s">
        <v>31</v>
      </c>
      <c r="I178" s="18" t="str">
        <f>+C178</f>
        <v>GLP</v>
      </c>
      <c r="J178" s="18" t="str">
        <f>+E178</f>
        <v>LPL-S</v>
      </c>
    </row>
    <row r="179" spans="1:12" x14ac:dyDescent="0.4">
      <c r="F179" s="69"/>
    </row>
    <row r="180" spans="1:12" x14ac:dyDescent="0.4">
      <c r="B180" s="19" t="s">
        <v>23</v>
      </c>
      <c r="C180" s="123">
        <f>ROUND(+C108*$E$147,4)</f>
        <v>4.8415999999999997</v>
      </c>
      <c r="D180" s="123"/>
      <c r="E180" s="123"/>
      <c r="F180" s="73"/>
      <c r="H180" s="56" t="s">
        <v>28</v>
      </c>
    </row>
    <row r="181" spans="1:12" x14ac:dyDescent="0.4">
      <c r="B181" s="39" t="s">
        <v>84</v>
      </c>
      <c r="C181" s="123"/>
      <c r="D181" s="123"/>
      <c r="E181" s="123">
        <f>ROUND(+E109*$E$147,4)</f>
        <v>5.3701999999999996</v>
      </c>
      <c r="F181" s="74"/>
      <c r="H181" s="28" t="s">
        <v>47</v>
      </c>
      <c r="I181" s="142">
        <f>+I109</f>
        <v>5.2396000000000003</v>
      </c>
      <c r="J181" s="142">
        <f>+J109</f>
        <v>5.2396000000000003</v>
      </c>
    </row>
    <row r="182" spans="1:12" x14ac:dyDescent="0.4">
      <c r="B182" s="39" t="s">
        <v>85</v>
      </c>
      <c r="C182" s="123"/>
      <c r="D182" s="123"/>
      <c r="E182" s="123">
        <f>ROUND(+E110*$E$147,4)</f>
        <v>4.2285000000000004</v>
      </c>
      <c r="F182" s="74"/>
      <c r="H182" s="28" t="s">
        <v>48</v>
      </c>
      <c r="I182" s="142">
        <f>+I110</f>
        <v>5.2396000000000003</v>
      </c>
      <c r="J182" s="142">
        <f>+J110</f>
        <v>5.2396000000000003</v>
      </c>
    </row>
    <row r="183" spans="1:12" x14ac:dyDescent="0.4">
      <c r="C183" s="123"/>
      <c r="D183" s="123"/>
      <c r="E183" s="123"/>
      <c r="F183" s="74"/>
      <c r="H183" s="28"/>
      <c r="I183" s="101"/>
      <c r="J183" s="101"/>
    </row>
    <row r="184" spans="1:12" x14ac:dyDescent="0.4">
      <c r="B184" s="19" t="s">
        <v>24</v>
      </c>
      <c r="C184" s="123">
        <f>ROUND(+C112*$E$148,4)</f>
        <v>4.9230999999999998</v>
      </c>
      <c r="D184" s="123"/>
      <c r="E184" s="123"/>
      <c r="F184" s="74"/>
      <c r="H184" s="56" t="s">
        <v>29</v>
      </c>
      <c r="I184" s="57"/>
      <c r="J184" s="57"/>
    </row>
    <row r="185" spans="1:12" x14ac:dyDescent="0.4">
      <c r="B185" s="39" t="s">
        <v>84</v>
      </c>
      <c r="C185" s="123"/>
      <c r="D185" s="123"/>
      <c r="E185" s="123">
        <f>ROUND(+E113*$E$148,4)</f>
        <v>5.2215999999999996</v>
      </c>
      <c r="F185" s="74"/>
      <c r="H185" s="28" t="s">
        <v>49</v>
      </c>
      <c r="I185" s="142">
        <f>+I113</f>
        <v>0</v>
      </c>
      <c r="J185" s="142">
        <f>+J113</f>
        <v>0</v>
      </c>
    </row>
    <row r="186" spans="1:12" x14ac:dyDescent="0.4">
      <c r="B186" s="39" t="s">
        <v>85</v>
      </c>
      <c r="C186" s="123"/>
      <c r="D186" s="123"/>
      <c r="E186" s="123">
        <f>ROUND(+E114*$E$148,4)</f>
        <v>4.5967000000000002</v>
      </c>
      <c r="F186" s="74"/>
    </row>
    <row r="190" spans="1:12" x14ac:dyDescent="0.4">
      <c r="A190" s="122" t="s">
        <v>256</v>
      </c>
      <c r="B190" s="6" t="s">
        <v>254</v>
      </c>
      <c r="C190" s="60"/>
      <c r="E190" s="60"/>
    </row>
    <row r="191" spans="1:12" x14ac:dyDescent="0.4">
      <c r="C191" s="60"/>
      <c r="E191" s="60"/>
    </row>
    <row r="192" spans="1:12" x14ac:dyDescent="0.4">
      <c r="C192" s="18" t="s">
        <v>0</v>
      </c>
      <c r="D192" s="18" t="s">
        <v>1</v>
      </c>
      <c r="E192" s="18" t="s">
        <v>2</v>
      </c>
      <c r="F192" s="18" t="s">
        <v>3</v>
      </c>
      <c r="G192" s="18" t="s">
        <v>4</v>
      </c>
      <c r="H192" s="18" t="s">
        <v>6</v>
      </c>
      <c r="I192" s="18" t="s">
        <v>37</v>
      </c>
      <c r="J192" s="18" t="s">
        <v>38</v>
      </c>
      <c r="K192" s="18" t="s">
        <v>5</v>
      </c>
      <c r="L192" s="18" t="s">
        <v>36</v>
      </c>
    </row>
    <row r="193" spans="2:12" x14ac:dyDescent="0.4">
      <c r="B193" s="1" t="s">
        <v>123</v>
      </c>
    </row>
    <row r="194" spans="2:12" x14ac:dyDescent="0.4">
      <c r="B194" s="36" t="s">
        <v>53</v>
      </c>
      <c r="C194" s="47">
        <f>+C166/100*bid_factors!O53+auction_results_and_rates!C167/100*bid_factors!O54</f>
        <v>415283.89455659658</v>
      </c>
      <c r="D194" s="47">
        <f>+D166/100*bid_factors!P53+auction_results_and_rates!D167/100*bid_factors!P54</f>
        <v>1364.6489603541472</v>
      </c>
      <c r="E194" s="68">
        <f>+E163/100*bid_factors!Q50+E164/100*bid_factors!Q51</f>
        <v>6218.1329775339</v>
      </c>
      <c r="F194" s="47">
        <f>+F162/100*bid_factors!R49</f>
        <v>11.12622</v>
      </c>
      <c r="G194" s="47">
        <f>+G162/100*bid_factors!S49</f>
        <v>0.189416</v>
      </c>
      <c r="H194" s="47">
        <f>+H162/100*bid_factors!T49</f>
        <v>147.06221616616756</v>
      </c>
      <c r="I194" s="47">
        <f>+I162/100*bid_factors!U49</f>
        <v>1751.3992959999998</v>
      </c>
      <c r="J194" s="47">
        <f>+J162/100*bid_factors!V49</f>
        <v>3423.9487039999999</v>
      </c>
      <c r="K194" s="68">
        <f>+C180/100*bid_factors!W49+I181*bid_factors!K147*4+auction_results_and_rates!I185*bid_factors!K149*4</f>
        <v>149646.56324898265</v>
      </c>
      <c r="L194" s="68">
        <f>+E181/100*bid_factors!X50+auction_results_and_rates!E182/100*bid_factors!X51+auction_results_and_rates!J181*bid_factors!L147*4+auction_results_and_rates!J185*bid_factors!L149*4</f>
        <v>95128.907801127149</v>
      </c>
    </row>
    <row r="195" spans="2:12" ht="14.7" x14ac:dyDescent="0.7">
      <c r="B195" s="36" t="s">
        <v>54</v>
      </c>
      <c r="C195" s="48">
        <f>+C169/100*bid_factors!O45</f>
        <v>549157.8037097333</v>
      </c>
      <c r="D195" s="48">
        <f>+D169/100*bid_factors!P45</f>
        <v>4473.4673868929285</v>
      </c>
      <c r="E195" s="48">
        <f>+E170/100*bid_factors!Q46+auction_results_and_rates!E171/100*bid_factors!Q47</f>
        <v>6938.5456928553895</v>
      </c>
      <c r="F195" s="48">
        <f>+F169/100*bid_factors!R45</f>
        <v>29.213495999999999</v>
      </c>
      <c r="G195" s="48">
        <f>+G169/100*bid_factors!S45</f>
        <v>0.50069999999999992</v>
      </c>
      <c r="H195" s="48">
        <f>+H169/100*bid_factors!T45</f>
        <v>520.64812265715852</v>
      </c>
      <c r="I195" s="48">
        <f>+I169/100*bid_factors!U45</f>
        <v>5012.8592579999995</v>
      </c>
      <c r="J195" s="48">
        <f>+J169/100*bid_factors!V45</f>
        <v>10191.532469999998</v>
      </c>
      <c r="K195" s="99">
        <f>+C184/100*bid_factors!W45+auction_results_and_rates!I182*bid_factors!K147*8+auction_results_and_rates!I185*bid_factors!K149*8</f>
        <v>273094.77274508757</v>
      </c>
      <c r="L195" s="99">
        <f>+E185/100*bid_factors!X46+auction_results_and_rates!E186/100*bid_factors!X47+auction_results_and_rates!J182*bid_factors!L147*8+auction_results_and_rates!J185*bid_factors!L149*8</f>
        <v>178494.75795433752</v>
      </c>
    </row>
    <row r="196" spans="2:12" x14ac:dyDescent="0.4">
      <c r="B196" s="36" t="s">
        <v>19</v>
      </c>
      <c r="C196" s="2">
        <f t="shared" ref="C196:L196" si="5">+C195+C194</f>
        <v>964441.69826632994</v>
      </c>
      <c r="D196" s="2">
        <f t="shared" si="5"/>
        <v>5838.1163472470762</v>
      </c>
      <c r="E196" s="2">
        <f t="shared" si="5"/>
        <v>13156.67867038929</v>
      </c>
      <c r="F196" s="2">
        <f t="shared" si="5"/>
        <v>40.339715999999996</v>
      </c>
      <c r="G196" s="2">
        <f t="shared" si="5"/>
        <v>0.69011599999999995</v>
      </c>
      <c r="H196" s="2">
        <f t="shared" si="5"/>
        <v>667.71033882332608</v>
      </c>
      <c r="I196" s="2">
        <f t="shared" si="5"/>
        <v>6764.2585539999991</v>
      </c>
      <c r="J196" s="2">
        <f t="shared" si="5"/>
        <v>13615.481173999999</v>
      </c>
      <c r="K196" s="2">
        <f t="shared" si="5"/>
        <v>422741.33599407022</v>
      </c>
      <c r="L196" s="2">
        <f t="shared" si="5"/>
        <v>273623.6657554647</v>
      </c>
    </row>
    <row r="197" spans="2:12" x14ac:dyDescent="0.4">
      <c r="B197" s="36"/>
      <c r="C197" s="2"/>
      <c r="D197" s="2"/>
      <c r="E197" s="2"/>
      <c r="F197" s="2"/>
      <c r="G197" s="2"/>
      <c r="H197" s="2"/>
      <c r="I197" s="2"/>
      <c r="J197" s="2"/>
      <c r="K197" s="2"/>
      <c r="L197" s="2"/>
    </row>
    <row r="198" spans="2:12" x14ac:dyDescent="0.4">
      <c r="B198" s="36" t="s">
        <v>169</v>
      </c>
      <c r="C198" s="2">
        <f>SUM(C194:L194)</f>
        <v>672975.87339676067</v>
      </c>
      <c r="D198" s="2"/>
      <c r="E198" s="2"/>
      <c r="F198" s="2"/>
      <c r="G198" s="2"/>
      <c r="H198" s="2"/>
      <c r="I198" s="2"/>
      <c r="J198" s="2"/>
      <c r="K198" s="2"/>
      <c r="L198" s="2"/>
    </row>
    <row r="199" spans="2:12" ht="14.7" x14ac:dyDescent="0.7">
      <c r="B199" s="36" t="s">
        <v>170</v>
      </c>
      <c r="C199" s="98">
        <f>SUM(C195:L195)</f>
        <v>1027914.1015355639</v>
      </c>
      <c r="E199" s="60"/>
    </row>
    <row r="200" spans="2:12" x14ac:dyDescent="0.4">
      <c r="B200" s="36" t="s">
        <v>171</v>
      </c>
      <c r="C200" s="2">
        <f>+C199+C198</f>
        <v>1700889.9749323246</v>
      </c>
      <c r="E200" s="60"/>
    </row>
    <row r="201" spans="2:12" x14ac:dyDescent="0.4">
      <c r="B201" s="36"/>
      <c r="C201" s="60"/>
      <c r="E201" s="60"/>
    </row>
    <row r="202" spans="2:12" x14ac:dyDescent="0.4">
      <c r="C202" s="18"/>
      <c r="D202" s="18"/>
      <c r="E202" s="18"/>
      <c r="F202" s="18"/>
      <c r="G202" s="18"/>
      <c r="H202" s="18"/>
      <c r="I202" s="18"/>
      <c r="J202" s="18"/>
      <c r="K202" s="18"/>
      <c r="L202" s="18"/>
    </row>
    <row r="203" spans="2:12" x14ac:dyDescent="0.4">
      <c r="B203" s="1" t="s">
        <v>124</v>
      </c>
    </row>
    <row r="204" spans="2:12" x14ac:dyDescent="0.4">
      <c r="B204" s="36" t="s">
        <v>53</v>
      </c>
      <c r="C204" s="2">
        <f>+C25+D25+E25</f>
        <v>672979.36857480113</v>
      </c>
    </row>
    <row r="205" spans="2:12" ht="14.7" x14ac:dyDescent="0.7">
      <c r="B205" s="36" t="s">
        <v>54</v>
      </c>
      <c r="C205" s="98">
        <f>+C26+D26+E26</f>
        <v>1027912.3732640014</v>
      </c>
    </row>
    <row r="206" spans="2:12" x14ac:dyDescent="0.4">
      <c r="B206" s="36" t="s">
        <v>19</v>
      </c>
      <c r="C206" s="2">
        <f>+C205+C204</f>
        <v>1700891.7418388026</v>
      </c>
      <c r="D206" s="2"/>
      <c r="G206" s="36"/>
    </row>
    <row r="207" spans="2:12" x14ac:dyDescent="0.4">
      <c r="C207" s="60"/>
      <c r="E207" s="60"/>
      <c r="G207" s="36"/>
    </row>
    <row r="208" spans="2:12" x14ac:dyDescent="0.4">
      <c r="B208" s="4" t="s">
        <v>221</v>
      </c>
      <c r="C208" s="2"/>
      <c r="E208" s="87" t="s">
        <v>225</v>
      </c>
      <c r="G208" s="87"/>
    </row>
    <row r="209" spans="2:5" x14ac:dyDescent="0.4">
      <c r="B209" s="36" t="s">
        <v>53</v>
      </c>
      <c r="C209" s="2">
        <f>+C198-C204</f>
        <v>-3.4951780404662713</v>
      </c>
      <c r="E209" s="104">
        <f>+C209/C198</f>
        <v>-5.1936156683073969E-6</v>
      </c>
    </row>
    <row r="210" spans="2:5" ht="14.7" x14ac:dyDescent="0.7">
      <c r="B210" s="36" t="s">
        <v>54</v>
      </c>
      <c r="C210" s="98">
        <f>+C199-C205</f>
        <v>1.7282715624896809</v>
      </c>
      <c r="E210" s="108">
        <f>+C210/C199</f>
        <v>1.6813385086437457E-6</v>
      </c>
    </row>
    <row r="211" spans="2:5" x14ac:dyDescent="0.4">
      <c r="B211" s="36" t="s">
        <v>19</v>
      </c>
      <c r="C211" s="2">
        <f>+C200-C206</f>
        <v>-1.7669064779765904</v>
      </c>
      <c r="E211" s="104">
        <f>+C211/C200</f>
        <v>-1.0388129179530807E-6</v>
      </c>
    </row>
    <row r="213" spans="2:5" x14ac:dyDescent="0.4">
      <c r="C213" s="83"/>
    </row>
  </sheetData>
  <customSheetViews>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72" fitToHeight="0" orientation="landscape" r:id="rId5"/>
  <headerFooter alignWithMargins="0">
    <oddHeader>&amp;CPublic Service Electric and Gas Company Specific Addendum
Attachment 3</oddHeader>
    <oddFooter>&amp;CPage &amp;P of &amp;N</oddFooter>
  </headerFooter>
  <rowBreaks count="7" manualBreakCount="7">
    <brk id="41" max="11" man="1"/>
    <brk id="80" max="11" man="1"/>
    <brk id="116" max="11" man="1"/>
    <brk id="152" max="11" man="1"/>
    <brk id="188" max="11" man="1"/>
    <brk id="213" max="11" man="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8"/>
  <sheetViews>
    <sheetView view="pageBreakPreview" zoomScaleNormal="100" zoomScaleSheetLayoutView="100" workbookViewId="0"/>
  </sheetViews>
  <sheetFormatPr defaultColWidth="9.1171875" defaultRowHeight="12.7" x14ac:dyDescent="0.4"/>
  <cols>
    <col min="1" max="1" width="3.29296875" style="187" bestFit="1" customWidth="1"/>
    <col min="2" max="2" width="62.5859375" style="187" bestFit="1" customWidth="1"/>
    <col min="3" max="3" width="11.87890625" style="187" bestFit="1" customWidth="1"/>
    <col min="4" max="8" width="9.1171875" style="187"/>
    <col min="9" max="9" width="12.41015625" style="187" customWidth="1"/>
    <col min="10" max="16384" width="9.1171875" style="187"/>
  </cols>
  <sheetData>
    <row r="1" spans="1:8" ht="15.35" x14ac:dyDescent="0.5">
      <c r="B1" s="182" t="s">
        <v>368</v>
      </c>
    </row>
    <row r="2" spans="1:8" ht="15.35" x14ac:dyDescent="0.5">
      <c r="B2" s="229" t="s">
        <v>369</v>
      </c>
    </row>
    <row r="3" spans="1:8" ht="25.35" x14ac:dyDescent="0.4">
      <c r="C3" s="230" t="s">
        <v>370</v>
      </c>
      <c r="E3" s="181" t="s">
        <v>201</v>
      </c>
    </row>
    <row r="4" spans="1:8" x14ac:dyDescent="0.4">
      <c r="A4" s="187">
        <v>1</v>
      </c>
      <c r="B4" s="190" t="s">
        <v>423</v>
      </c>
      <c r="C4" s="299">
        <f>Input!E112</f>
        <v>172.26</v>
      </c>
      <c r="D4" s="231"/>
      <c r="E4" s="256" t="s">
        <v>422</v>
      </c>
      <c r="F4" s="179"/>
      <c r="G4" s="179"/>
      <c r="H4" s="179"/>
    </row>
    <row r="5" spans="1:8" x14ac:dyDescent="0.4">
      <c r="A5" s="187">
        <v>2</v>
      </c>
      <c r="B5" s="190" t="s">
        <v>371</v>
      </c>
      <c r="C5" s="232" t="s">
        <v>79</v>
      </c>
      <c r="E5" s="218"/>
      <c r="F5" s="218"/>
      <c r="G5" s="218"/>
      <c r="H5" s="218"/>
    </row>
    <row r="6" spans="1:8" x14ac:dyDescent="0.4">
      <c r="C6" s="230"/>
      <c r="E6" s="181"/>
    </row>
    <row r="7" spans="1:8" x14ac:dyDescent="0.4">
      <c r="A7" s="187">
        <v>3</v>
      </c>
      <c r="B7" s="190" t="s">
        <v>372</v>
      </c>
      <c r="C7" s="233" t="s">
        <v>79</v>
      </c>
      <c r="E7" s="218" t="s">
        <v>373</v>
      </c>
    </row>
    <row r="8" spans="1:8" x14ac:dyDescent="0.4">
      <c r="A8" s="187">
        <v>4</v>
      </c>
      <c r="B8" s="190" t="s">
        <v>374</v>
      </c>
      <c r="C8" s="234">
        <f>SUM(bid_factors!C147:L147)</f>
        <v>8183.3000000000011</v>
      </c>
      <c r="E8" s="183"/>
    </row>
    <row r="9" spans="1:8" x14ac:dyDescent="0.4">
      <c r="A9" s="187">
        <v>5</v>
      </c>
      <c r="B9" s="190" t="s">
        <v>375</v>
      </c>
      <c r="C9" s="235">
        <v>365</v>
      </c>
    </row>
    <row r="10" spans="1:8" x14ac:dyDescent="0.4">
      <c r="A10" s="187">
        <v>6</v>
      </c>
      <c r="B10" s="190" t="s">
        <v>376</v>
      </c>
      <c r="C10" s="236" t="s">
        <v>79</v>
      </c>
      <c r="E10" s="218" t="s">
        <v>377</v>
      </c>
    </row>
    <row r="11" spans="1:8" x14ac:dyDescent="0.4">
      <c r="B11" s="190"/>
      <c r="C11" s="237"/>
      <c r="E11" s="218"/>
    </row>
    <row r="12" spans="1:8" x14ac:dyDescent="0.4">
      <c r="A12" s="187">
        <v>7</v>
      </c>
      <c r="B12" s="238" t="s">
        <v>349</v>
      </c>
      <c r="C12" s="239">
        <f>auction_results_and_rates!E14</f>
        <v>29</v>
      </c>
      <c r="E12" s="218" t="s">
        <v>378</v>
      </c>
    </row>
    <row r="13" spans="1:8" x14ac:dyDescent="0.4">
      <c r="A13" s="187">
        <v>8</v>
      </c>
      <c r="B13" s="190" t="s">
        <v>316</v>
      </c>
      <c r="C13" s="240">
        <f>auction_results_and_rates!E15</f>
        <v>85</v>
      </c>
      <c r="E13" s="218" t="s">
        <v>378</v>
      </c>
    </row>
    <row r="14" spans="1:8" x14ac:dyDescent="0.4">
      <c r="A14" s="187">
        <v>9</v>
      </c>
      <c r="B14" s="190" t="s">
        <v>379</v>
      </c>
      <c r="C14" s="241">
        <f>+C12/C13</f>
        <v>0.3411764705882353</v>
      </c>
      <c r="E14" s="218" t="s">
        <v>380</v>
      </c>
    </row>
    <row r="15" spans="1:8" x14ac:dyDescent="0.4">
      <c r="B15" s="190"/>
      <c r="C15" s="237"/>
      <c r="E15" s="218"/>
    </row>
    <row r="16" spans="1:8" x14ac:dyDescent="0.4">
      <c r="A16" s="187">
        <v>10</v>
      </c>
      <c r="B16" s="190" t="s">
        <v>381</v>
      </c>
      <c r="C16" s="237">
        <v>0</v>
      </c>
      <c r="E16" s="218" t="s">
        <v>382</v>
      </c>
    </row>
    <row r="17" spans="1:5" x14ac:dyDescent="0.4">
      <c r="B17" s="190"/>
      <c r="C17" s="237"/>
      <c r="E17" s="218"/>
    </row>
    <row r="18" spans="1:5" x14ac:dyDescent="0.4">
      <c r="A18" s="187">
        <v>11</v>
      </c>
      <c r="B18" s="6" t="s">
        <v>383</v>
      </c>
      <c r="C18" s="242">
        <f>bid_factors!C354</f>
        <v>25709685.9306724</v>
      </c>
      <c r="E18" s="179"/>
    </row>
    <row r="19" spans="1:5" x14ac:dyDescent="0.4">
      <c r="A19" s="187">
        <v>12</v>
      </c>
      <c r="B19" s="190" t="s">
        <v>384</v>
      </c>
      <c r="C19" s="243">
        <f>+C14*C18</f>
        <v>8771539.9057588186</v>
      </c>
      <c r="E19" s="218" t="s">
        <v>385</v>
      </c>
    </row>
    <row r="20" spans="1:5" x14ac:dyDescent="0.4">
      <c r="B20" s="190"/>
      <c r="C20" s="244"/>
      <c r="E20" s="218"/>
    </row>
    <row r="21" spans="1:5" ht="13" thickBot="1" x14ac:dyDescent="0.45">
      <c r="A21" s="187">
        <v>13</v>
      </c>
      <c r="B21" s="190" t="s">
        <v>386</v>
      </c>
      <c r="C21" s="245">
        <f>ROUND(+C16/C19,2)</f>
        <v>0</v>
      </c>
      <c r="E21" s="246" t="s">
        <v>387</v>
      </c>
    </row>
    <row r="22" spans="1:5" ht="13" thickTop="1" x14ac:dyDescent="0.4">
      <c r="B22" s="190"/>
      <c r="C22" s="244"/>
      <c r="E22" s="218"/>
    </row>
    <row r="23" spans="1:5" x14ac:dyDescent="0.4">
      <c r="B23" s="190"/>
      <c r="C23" s="244"/>
      <c r="E23" s="218"/>
    </row>
    <row r="24" spans="1:5" x14ac:dyDescent="0.4">
      <c r="B24" s="190"/>
      <c r="C24" s="244"/>
      <c r="E24" s="218"/>
    </row>
    <row r="25" spans="1:5" x14ac:dyDescent="0.4">
      <c r="B25" s="183"/>
    </row>
    <row r="26" spans="1:5" x14ac:dyDescent="0.4">
      <c r="B26" s="183"/>
      <c r="C26" s="247"/>
      <c r="E26" s="179"/>
    </row>
    <row r="27" spans="1:5" x14ac:dyDescent="0.4">
      <c r="B27" s="183"/>
    </row>
    <row r="28" spans="1:5" x14ac:dyDescent="0.4">
      <c r="B28" s="190"/>
      <c r="C28" s="248"/>
      <c r="E28" s="218"/>
    </row>
  </sheetData>
  <pageMargins left="0.7" right="0.7" top="1" bottom="0.75" header="0.3" footer="0.3"/>
  <pageSetup scale="91" fitToHeight="0" orientation="landscape" r:id="rId1"/>
  <headerFooter>
    <oddHeader>&amp;C&amp;"Arial,Bold"Public Service Electric and Gas Company Specific Addendum
Attachment 4</oddHeader>
    <oddFooter>&amp;C&amp;"Arial,Bold"Page 1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8"/>
  <sheetViews>
    <sheetView view="pageBreakPreview" zoomScaleNormal="100" zoomScaleSheetLayoutView="100" workbookViewId="0"/>
  </sheetViews>
  <sheetFormatPr defaultColWidth="9.1171875" defaultRowHeight="12.7" x14ac:dyDescent="0.4"/>
  <cols>
    <col min="1" max="1" width="3.29296875" style="187" bestFit="1" customWidth="1"/>
    <col min="2" max="2" width="62.5859375" style="187" bestFit="1" customWidth="1"/>
    <col min="3" max="3" width="11.87890625" style="187" bestFit="1" customWidth="1"/>
    <col min="4" max="8" width="9.1171875" style="187"/>
    <col min="9" max="9" width="12.41015625" style="187" customWidth="1"/>
    <col min="10" max="16384" width="9.1171875" style="187"/>
  </cols>
  <sheetData>
    <row r="1" spans="1:9" ht="15.35" x14ac:dyDescent="0.5">
      <c r="B1" s="182" t="s">
        <v>368</v>
      </c>
    </row>
    <row r="2" spans="1:9" ht="15.35" x14ac:dyDescent="0.5">
      <c r="B2" s="229" t="s">
        <v>415</v>
      </c>
    </row>
    <row r="3" spans="1:9" ht="25.35" x14ac:dyDescent="0.4">
      <c r="C3" s="230" t="s">
        <v>388</v>
      </c>
      <c r="E3" s="181" t="s">
        <v>201</v>
      </c>
    </row>
    <row r="4" spans="1:9" x14ac:dyDescent="0.4">
      <c r="A4" s="187">
        <v>1</v>
      </c>
      <c r="B4" s="190" t="s">
        <v>423</v>
      </c>
      <c r="C4" s="299">
        <v>165</v>
      </c>
      <c r="D4" s="231"/>
      <c r="E4" s="256" t="s">
        <v>422</v>
      </c>
      <c r="F4" s="179"/>
      <c r="G4" s="179"/>
      <c r="H4" s="179"/>
      <c r="I4" s="179"/>
    </row>
    <row r="5" spans="1:9" x14ac:dyDescent="0.4">
      <c r="A5" s="187">
        <v>2</v>
      </c>
      <c r="B5" s="190" t="s">
        <v>371</v>
      </c>
      <c r="C5" s="300">
        <v>162.13</v>
      </c>
      <c r="E5" s="218" t="s">
        <v>389</v>
      </c>
      <c r="F5" s="218"/>
      <c r="G5" s="218"/>
      <c r="H5" s="218"/>
    </row>
    <row r="6" spans="1:9" x14ac:dyDescent="0.4">
      <c r="C6" s="230"/>
      <c r="E6" s="181"/>
    </row>
    <row r="7" spans="1:9" x14ac:dyDescent="0.4">
      <c r="A7" s="187">
        <v>3</v>
      </c>
      <c r="B7" s="190" t="s">
        <v>372</v>
      </c>
      <c r="C7" s="233">
        <f>C4-C5</f>
        <v>2.8700000000000045</v>
      </c>
      <c r="E7" s="218" t="s">
        <v>373</v>
      </c>
    </row>
    <row r="8" spans="1:9" x14ac:dyDescent="0.4">
      <c r="A8" s="187">
        <v>4</v>
      </c>
      <c r="B8" s="190" t="s">
        <v>374</v>
      </c>
      <c r="C8" s="234">
        <f>'Att 4-1'!C8</f>
        <v>8183.3000000000011</v>
      </c>
      <c r="E8" s="183"/>
    </row>
    <row r="9" spans="1:9" x14ac:dyDescent="0.4">
      <c r="A9" s="187">
        <v>5</v>
      </c>
      <c r="B9" s="190" t="s">
        <v>375</v>
      </c>
      <c r="C9" s="235">
        <v>365</v>
      </c>
    </row>
    <row r="10" spans="1:9" x14ac:dyDescent="0.4">
      <c r="A10" s="187">
        <v>6</v>
      </c>
      <c r="B10" s="190" t="s">
        <v>376</v>
      </c>
      <c r="C10" s="236">
        <f>C7*C8*C9</f>
        <v>8572415.915000014</v>
      </c>
      <c r="E10" s="218" t="s">
        <v>377</v>
      </c>
    </row>
    <row r="11" spans="1:9" x14ac:dyDescent="0.4">
      <c r="B11" s="190"/>
      <c r="C11" s="237"/>
      <c r="E11" s="218"/>
    </row>
    <row r="12" spans="1:9" x14ac:dyDescent="0.4">
      <c r="A12" s="187">
        <v>7</v>
      </c>
      <c r="B12" s="238" t="s">
        <v>349</v>
      </c>
      <c r="C12" s="239">
        <f>'Att 4-1'!C12+auction_results_and_rates!C14</f>
        <v>57</v>
      </c>
      <c r="E12" s="218" t="s">
        <v>378</v>
      </c>
    </row>
    <row r="13" spans="1:9" x14ac:dyDescent="0.4">
      <c r="A13" s="187">
        <v>8</v>
      </c>
      <c r="B13" s="190" t="s">
        <v>316</v>
      </c>
      <c r="C13" s="240">
        <f>'Att 4-1'!C13</f>
        <v>85</v>
      </c>
      <c r="E13" s="218" t="s">
        <v>378</v>
      </c>
    </row>
    <row r="14" spans="1:9" x14ac:dyDescent="0.4">
      <c r="A14" s="187">
        <v>9</v>
      </c>
      <c r="B14" s="190" t="s">
        <v>379</v>
      </c>
      <c r="C14" s="241">
        <f>+C12/C13</f>
        <v>0.6705882352941176</v>
      </c>
      <c r="E14" s="218" t="s">
        <v>380</v>
      </c>
    </row>
    <row r="15" spans="1:9" x14ac:dyDescent="0.4">
      <c r="B15" s="190"/>
      <c r="C15" s="237"/>
      <c r="E15" s="218"/>
    </row>
    <row r="16" spans="1:9" x14ac:dyDescent="0.4">
      <c r="A16" s="187">
        <v>10</v>
      </c>
      <c r="B16" s="190" t="s">
        <v>381</v>
      </c>
      <c r="C16" s="237">
        <f>C10*C14</f>
        <v>5748561.2606470678</v>
      </c>
      <c r="E16" s="218" t="s">
        <v>382</v>
      </c>
    </row>
    <row r="17" spans="1:5" x14ac:dyDescent="0.4">
      <c r="B17" s="190"/>
      <c r="C17" s="237"/>
      <c r="E17" s="218"/>
    </row>
    <row r="18" spans="1:5" x14ac:dyDescent="0.4">
      <c r="A18" s="187">
        <v>11</v>
      </c>
      <c r="B18" s="6" t="s">
        <v>383</v>
      </c>
      <c r="C18" s="242">
        <f>'Att 4-1'!C18</f>
        <v>25709685.9306724</v>
      </c>
      <c r="E18" s="179"/>
    </row>
    <row r="19" spans="1:5" x14ac:dyDescent="0.4">
      <c r="A19" s="187">
        <v>12</v>
      </c>
      <c r="B19" s="190" t="s">
        <v>384</v>
      </c>
      <c r="C19" s="243">
        <f>+C14*C18</f>
        <v>17240612.918215606</v>
      </c>
      <c r="E19" s="218" t="s">
        <v>385</v>
      </c>
    </row>
    <row r="20" spans="1:5" x14ac:dyDescent="0.4">
      <c r="B20" s="190"/>
      <c r="C20" s="244"/>
      <c r="E20" s="218"/>
    </row>
    <row r="21" spans="1:5" ht="13" thickBot="1" x14ac:dyDescent="0.45">
      <c r="A21" s="187">
        <v>13</v>
      </c>
      <c r="B21" s="190" t="s">
        <v>386</v>
      </c>
      <c r="C21" s="245">
        <f>ROUND(+C16/C19,2)</f>
        <v>0.33</v>
      </c>
      <c r="E21" s="246" t="s">
        <v>387</v>
      </c>
    </row>
    <row r="22" spans="1:5" ht="13" thickTop="1" x14ac:dyDescent="0.4">
      <c r="B22" s="190"/>
      <c r="C22" s="244"/>
      <c r="E22" s="218"/>
    </row>
    <row r="23" spans="1:5" x14ac:dyDescent="0.4">
      <c r="B23" s="190"/>
      <c r="C23" s="244"/>
      <c r="E23" s="218"/>
    </row>
    <row r="24" spans="1:5" x14ac:dyDescent="0.4">
      <c r="B24" s="190"/>
      <c r="C24" s="244"/>
      <c r="E24" s="218"/>
    </row>
    <row r="25" spans="1:5" x14ac:dyDescent="0.4">
      <c r="B25" s="183"/>
    </row>
    <row r="26" spans="1:5" x14ac:dyDescent="0.4">
      <c r="B26" s="183"/>
      <c r="C26" s="247"/>
      <c r="E26" s="179"/>
    </row>
    <row r="27" spans="1:5" x14ac:dyDescent="0.4">
      <c r="B27" s="183"/>
    </row>
    <row r="28" spans="1:5" x14ac:dyDescent="0.4">
      <c r="B28" s="190"/>
      <c r="C28" s="248"/>
      <c r="E28" s="218"/>
    </row>
  </sheetData>
  <pageMargins left="0.7" right="0.7" top="1" bottom="0.75" header="0.3" footer="0.3"/>
  <pageSetup scale="85" fitToHeight="0" orientation="landscape" r:id="rId1"/>
  <headerFooter>
    <oddHeader>&amp;C&amp;"Arial,Bold"Public Service Electric and Gas Company Specific Addendum
Attachment 4</oddHeader>
    <oddFooter>&amp;C&amp;"Arial,Bold"Page 2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8"/>
  <sheetViews>
    <sheetView view="pageBreakPreview" zoomScaleNormal="100" zoomScaleSheetLayoutView="100" workbookViewId="0"/>
  </sheetViews>
  <sheetFormatPr defaultColWidth="9.1171875" defaultRowHeight="12.7" x14ac:dyDescent="0.4"/>
  <cols>
    <col min="1" max="1" width="3.29296875" style="187" bestFit="1" customWidth="1"/>
    <col min="2" max="2" width="62.5859375" style="187" bestFit="1" customWidth="1"/>
    <col min="3" max="3" width="11.87890625" style="187" bestFit="1" customWidth="1"/>
    <col min="4" max="8" width="9.1171875" style="187"/>
    <col min="9" max="9" width="12.41015625" style="187" customWidth="1"/>
    <col min="10" max="16384" width="9.1171875" style="187"/>
  </cols>
  <sheetData>
    <row r="1" spans="1:10" ht="15.35" x14ac:dyDescent="0.5">
      <c r="B1" s="182" t="s">
        <v>368</v>
      </c>
    </row>
    <row r="2" spans="1:10" ht="15.35" x14ac:dyDescent="0.5">
      <c r="B2" s="229" t="s">
        <v>414</v>
      </c>
    </row>
    <row r="3" spans="1:10" ht="25.35" x14ac:dyDescent="0.4">
      <c r="C3" s="230" t="s">
        <v>390</v>
      </c>
      <c r="E3" s="181" t="s">
        <v>201</v>
      </c>
    </row>
    <row r="4" spans="1:10" x14ac:dyDescent="0.4">
      <c r="A4" s="187">
        <v>1</v>
      </c>
      <c r="B4" s="190" t="s">
        <v>423</v>
      </c>
      <c r="C4" s="299">
        <v>170</v>
      </c>
      <c r="D4" s="231"/>
      <c r="E4" s="256" t="s">
        <v>422</v>
      </c>
      <c r="F4" s="179"/>
      <c r="G4" s="179"/>
      <c r="H4" s="179"/>
      <c r="I4" s="179"/>
      <c r="J4" s="179"/>
    </row>
    <row r="5" spans="1:10" x14ac:dyDescent="0.4">
      <c r="A5" s="187">
        <v>2</v>
      </c>
      <c r="B5" s="190" t="s">
        <v>371</v>
      </c>
      <c r="C5" s="300">
        <v>166.64</v>
      </c>
      <c r="E5" s="218" t="s">
        <v>424</v>
      </c>
      <c r="F5" s="256"/>
      <c r="G5" s="256"/>
      <c r="H5" s="256"/>
      <c r="I5" s="179"/>
      <c r="J5" s="179"/>
    </row>
    <row r="6" spans="1:10" x14ac:dyDescent="0.4">
      <c r="C6" s="230"/>
      <c r="E6" s="181"/>
    </row>
    <row r="7" spans="1:10" x14ac:dyDescent="0.4">
      <c r="A7" s="187">
        <v>3</v>
      </c>
      <c r="B7" s="190" t="s">
        <v>372</v>
      </c>
      <c r="C7" s="233">
        <f>C4-C5</f>
        <v>3.3600000000000136</v>
      </c>
      <c r="E7" s="218" t="s">
        <v>373</v>
      </c>
    </row>
    <row r="8" spans="1:10" x14ac:dyDescent="0.4">
      <c r="A8" s="187">
        <v>4</v>
      </c>
      <c r="B8" s="190" t="s">
        <v>374</v>
      </c>
      <c r="C8" s="234">
        <f>'Att 4-2'!C8</f>
        <v>8183.3000000000011</v>
      </c>
      <c r="E8" s="183"/>
    </row>
    <row r="9" spans="1:10" x14ac:dyDescent="0.4">
      <c r="A9" s="187">
        <v>5</v>
      </c>
      <c r="B9" s="190" t="s">
        <v>375</v>
      </c>
      <c r="C9" s="235">
        <v>365</v>
      </c>
    </row>
    <row r="10" spans="1:10" x14ac:dyDescent="0.4">
      <c r="A10" s="187">
        <v>6</v>
      </c>
      <c r="B10" s="190" t="s">
        <v>376</v>
      </c>
      <c r="C10" s="236">
        <f>C7*C8*C9</f>
        <v>10035999.120000042</v>
      </c>
      <c r="E10" s="218" t="s">
        <v>377</v>
      </c>
    </row>
    <row r="11" spans="1:10" x14ac:dyDescent="0.4">
      <c r="B11" s="190"/>
      <c r="C11" s="237"/>
      <c r="E11" s="218"/>
    </row>
    <row r="12" spans="1:10" x14ac:dyDescent="0.4">
      <c r="A12" s="187">
        <v>7</v>
      </c>
      <c r="B12" s="238" t="s">
        <v>349</v>
      </c>
      <c r="C12" s="239">
        <f>auction_results_and_rates!D14</f>
        <v>28</v>
      </c>
      <c r="E12" s="218" t="s">
        <v>378</v>
      </c>
    </row>
    <row r="13" spans="1:10" x14ac:dyDescent="0.4">
      <c r="A13" s="187">
        <v>8</v>
      </c>
      <c r="B13" s="190" t="s">
        <v>316</v>
      </c>
      <c r="C13" s="240">
        <f>'Att 4-2'!C13</f>
        <v>85</v>
      </c>
      <c r="E13" s="218" t="s">
        <v>378</v>
      </c>
    </row>
    <row r="14" spans="1:10" x14ac:dyDescent="0.4">
      <c r="A14" s="187">
        <v>9</v>
      </c>
      <c r="B14" s="190" t="s">
        <v>379</v>
      </c>
      <c r="C14" s="241">
        <f>+C12/C13</f>
        <v>0.32941176470588235</v>
      </c>
      <c r="E14" s="218" t="s">
        <v>380</v>
      </c>
    </row>
    <row r="15" spans="1:10" x14ac:dyDescent="0.4">
      <c r="B15" s="190"/>
      <c r="C15" s="237"/>
      <c r="E15" s="218"/>
    </row>
    <row r="16" spans="1:10" x14ac:dyDescent="0.4">
      <c r="A16" s="187">
        <v>10</v>
      </c>
      <c r="B16" s="190" t="s">
        <v>381</v>
      </c>
      <c r="C16" s="237">
        <f>C10*C14</f>
        <v>3305976.1807058961</v>
      </c>
      <c r="E16" s="218" t="s">
        <v>382</v>
      </c>
    </row>
    <row r="17" spans="1:5" x14ac:dyDescent="0.4">
      <c r="B17" s="190"/>
      <c r="C17" s="237"/>
      <c r="E17" s="218"/>
    </row>
    <row r="18" spans="1:5" x14ac:dyDescent="0.4">
      <c r="A18" s="187">
        <v>11</v>
      </c>
      <c r="B18" s="6" t="s">
        <v>383</v>
      </c>
      <c r="C18" s="242">
        <f>'Att 4-2'!C18</f>
        <v>25709685.9306724</v>
      </c>
      <c r="E18" s="179"/>
    </row>
    <row r="19" spans="1:5" x14ac:dyDescent="0.4">
      <c r="A19" s="187">
        <v>12</v>
      </c>
      <c r="B19" s="190" t="s">
        <v>384</v>
      </c>
      <c r="C19" s="243">
        <f>+C14*C18</f>
        <v>8469073.0124567896</v>
      </c>
      <c r="E19" s="218" t="s">
        <v>385</v>
      </c>
    </row>
    <row r="20" spans="1:5" x14ac:dyDescent="0.4">
      <c r="B20" s="190"/>
      <c r="C20" s="244"/>
      <c r="E20" s="218"/>
    </row>
    <row r="21" spans="1:5" ht="13" thickBot="1" x14ac:dyDescent="0.45">
      <c r="A21" s="187">
        <v>13</v>
      </c>
      <c r="B21" s="190" t="s">
        <v>386</v>
      </c>
      <c r="C21" s="245">
        <f>ROUND(+C16/C19,2)</f>
        <v>0.39</v>
      </c>
      <c r="E21" s="246" t="s">
        <v>387</v>
      </c>
    </row>
    <row r="22" spans="1:5" ht="13" thickTop="1" x14ac:dyDescent="0.4">
      <c r="B22" s="190"/>
      <c r="C22" s="244"/>
      <c r="E22" s="218"/>
    </row>
    <row r="23" spans="1:5" x14ac:dyDescent="0.4">
      <c r="B23" s="190"/>
      <c r="C23" s="244"/>
      <c r="E23" s="218"/>
    </row>
    <row r="24" spans="1:5" x14ac:dyDescent="0.4">
      <c r="B24" s="190"/>
      <c r="C24" s="244"/>
      <c r="E24" s="218"/>
    </row>
    <row r="25" spans="1:5" x14ac:dyDescent="0.4">
      <c r="B25" s="183"/>
    </row>
    <row r="26" spans="1:5" x14ac:dyDescent="0.4">
      <c r="B26" s="183"/>
      <c r="C26" s="247"/>
      <c r="E26" s="179"/>
    </row>
    <row r="27" spans="1:5" x14ac:dyDescent="0.4">
      <c r="B27" s="183"/>
    </row>
    <row r="28" spans="1:5" x14ac:dyDescent="0.4">
      <c r="B28" s="190"/>
      <c r="C28" s="248"/>
      <c r="E28" s="218"/>
    </row>
  </sheetData>
  <pageMargins left="0.7" right="0.7" top="1" bottom="0.75" header="0.3" footer="0.3"/>
  <pageSetup scale="85" fitToHeight="0" orientation="landscape" r:id="rId1"/>
  <headerFooter>
    <oddHeader>&amp;C&amp;"Arial,Bold"Public Service Electric and Gas Company Specific Addendum
Attachment 4</oddHeader>
    <oddFooter>&amp;C&amp;"Arial,Bold"Page 3 of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5"/>
  <sheetViews>
    <sheetView view="pageBreakPreview" zoomScale="80" zoomScaleNormal="100" zoomScaleSheetLayoutView="80" workbookViewId="0"/>
  </sheetViews>
  <sheetFormatPr defaultColWidth="9.1171875" defaultRowHeight="12.7" outlineLevelRow="1" x14ac:dyDescent="0.4"/>
  <cols>
    <col min="1" max="1" width="12.29296875" style="179" bestFit="1" customWidth="1"/>
    <col min="2" max="2" width="46" style="179" customWidth="1"/>
    <col min="3" max="3" width="17.87890625" style="179" customWidth="1"/>
    <col min="4" max="5" width="13.1171875" style="179" customWidth="1"/>
    <col min="6" max="7" width="12.1171875" style="179" customWidth="1"/>
    <col min="8" max="8" width="11.87890625" style="179" customWidth="1"/>
    <col min="9" max="9" width="11" style="179" customWidth="1"/>
    <col min="10" max="10" width="13.1171875" style="179" customWidth="1"/>
    <col min="11" max="11" width="12.5859375" style="179" customWidth="1"/>
    <col min="12" max="12" width="21" style="179" customWidth="1"/>
    <col min="13" max="13" width="14.29296875" style="179" bestFit="1" customWidth="1"/>
    <col min="14" max="14" width="24.1171875" style="179" bestFit="1" customWidth="1"/>
    <col min="15" max="16" width="10.87890625" style="179" bestFit="1" customWidth="1"/>
    <col min="17" max="17" width="14.41015625" style="179" bestFit="1" customWidth="1"/>
    <col min="18" max="16384" width="9.1171875" style="179"/>
  </cols>
  <sheetData>
    <row r="1" spans="1:7" ht="20" x14ac:dyDescent="0.6">
      <c r="A1" s="249" t="s">
        <v>391</v>
      </c>
    </row>
    <row r="2" spans="1:7" ht="15.35" x14ac:dyDescent="0.5">
      <c r="A2" s="180" t="s">
        <v>392</v>
      </c>
    </row>
    <row r="3" spans="1:7" x14ac:dyDescent="0.4">
      <c r="A3" s="250" t="s">
        <v>417</v>
      </c>
    </row>
    <row r="5" spans="1:7" x14ac:dyDescent="0.4">
      <c r="A5" s="251" t="s">
        <v>238</v>
      </c>
      <c r="B5" s="190" t="s">
        <v>260</v>
      </c>
    </row>
    <row r="6" spans="1:7" ht="51" customHeight="1" x14ac:dyDescent="0.4">
      <c r="A6" s="198" t="s">
        <v>200</v>
      </c>
      <c r="B6" s="190" t="s">
        <v>393</v>
      </c>
      <c r="C6" s="181" t="s">
        <v>335</v>
      </c>
      <c r="D6" s="181" t="s">
        <v>394</v>
      </c>
      <c r="E6" s="181" t="s">
        <v>395</v>
      </c>
      <c r="G6" s="181" t="s">
        <v>201</v>
      </c>
    </row>
    <row r="8" spans="1:7" x14ac:dyDescent="0.4">
      <c r="A8" s="198">
        <v>1</v>
      </c>
      <c r="B8" s="190" t="s">
        <v>202</v>
      </c>
      <c r="C8" s="80">
        <f>auction_results_and_rates!D8</f>
        <v>102.16</v>
      </c>
      <c r="D8" s="80">
        <f>auction_results_and_rates!E8</f>
        <v>64.39</v>
      </c>
      <c r="E8" s="80">
        <f>D8</f>
        <v>64.39</v>
      </c>
      <c r="G8" s="1" t="s">
        <v>396</v>
      </c>
    </row>
    <row r="9" spans="1:7" x14ac:dyDescent="0.4">
      <c r="A9" s="252" t="s">
        <v>337</v>
      </c>
      <c r="B9" s="190" t="s">
        <v>397</v>
      </c>
      <c r="C9" s="253">
        <f>'Att 4-2'!C21</f>
        <v>0.33</v>
      </c>
      <c r="D9" s="253">
        <f>'Att 4-2'!C21</f>
        <v>0.33</v>
      </c>
      <c r="E9" s="254"/>
      <c r="G9" s="172" t="s">
        <v>398</v>
      </c>
    </row>
    <row r="10" spans="1:7" x14ac:dyDescent="0.4">
      <c r="A10" s="198" t="s">
        <v>340</v>
      </c>
      <c r="B10" s="190" t="s">
        <v>399</v>
      </c>
      <c r="C10" s="80">
        <f>auction_results_and_rates!D10</f>
        <v>37.773044729334877</v>
      </c>
      <c r="D10" s="254"/>
      <c r="E10" s="254"/>
      <c r="G10" s="172" t="s">
        <v>342</v>
      </c>
    </row>
    <row r="11" spans="1:7" x14ac:dyDescent="0.4">
      <c r="A11" s="198" t="s">
        <v>343</v>
      </c>
      <c r="B11" s="190" t="s">
        <v>307</v>
      </c>
      <c r="C11" s="255">
        <f>C8+C9-C10</f>
        <v>64.716955270665125</v>
      </c>
      <c r="D11" s="255">
        <f t="shared" ref="D11:E11" si="0">D8+D9-D10</f>
        <v>64.72</v>
      </c>
      <c r="E11" s="255">
        <f t="shared" si="0"/>
        <v>64.39</v>
      </c>
      <c r="G11" s="175" t="s">
        <v>344</v>
      </c>
    </row>
    <row r="12" spans="1:7" x14ac:dyDescent="0.4">
      <c r="A12" s="198"/>
      <c r="B12" s="190"/>
      <c r="C12" s="255"/>
      <c r="D12" s="255"/>
      <c r="E12" s="255"/>
      <c r="G12" s="256"/>
    </row>
    <row r="13" spans="1:7" x14ac:dyDescent="0.4">
      <c r="A13" s="198">
        <v>2</v>
      </c>
      <c r="B13" s="238" t="s">
        <v>305</v>
      </c>
      <c r="C13" s="257">
        <f>auction_results_and_rates!D14</f>
        <v>28</v>
      </c>
      <c r="D13" s="257">
        <f>auction_results_and_rates!E14</f>
        <v>29</v>
      </c>
      <c r="E13" s="257">
        <f>C13</f>
        <v>28</v>
      </c>
      <c r="G13" s="1" t="s">
        <v>203</v>
      </c>
    </row>
    <row r="14" spans="1:7" x14ac:dyDescent="0.4">
      <c r="A14" s="198">
        <v>3</v>
      </c>
      <c r="B14" s="190" t="s">
        <v>306</v>
      </c>
      <c r="C14" s="257">
        <v>85</v>
      </c>
      <c r="D14" s="257">
        <v>85</v>
      </c>
      <c r="E14" s="257">
        <v>85</v>
      </c>
      <c r="G14" s="1" t="s">
        <v>203</v>
      </c>
    </row>
    <row r="15" spans="1:7" x14ac:dyDescent="0.4">
      <c r="A15" s="198"/>
      <c r="B15" s="190"/>
      <c r="C15" s="257"/>
      <c r="D15" s="257"/>
      <c r="E15" s="257"/>
      <c r="G15" s="1"/>
    </row>
    <row r="16" spans="1:7" x14ac:dyDescent="0.4">
      <c r="A16" s="198"/>
      <c r="B16" s="190" t="s">
        <v>204</v>
      </c>
    </row>
    <row r="17" spans="1:12" x14ac:dyDescent="0.4">
      <c r="A17" s="198">
        <v>4</v>
      </c>
      <c r="B17" s="66" t="s">
        <v>205</v>
      </c>
      <c r="C17" s="88">
        <v>1</v>
      </c>
      <c r="D17" s="88">
        <v>1</v>
      </c>
      <c r="E17" s="88">
        <v>1</v>
      </c>
      <c r="G17" s="1" t="s">
        <v>400</v>
      </c>
      <c r="K17" s="258"/>
    </row>
    <row r="18" spans="1:12" x14ac:dyDescent="0.4">
      <c r="A18" s="198">
        <v>5</v>
      </c>
      <c r="B18" s="66" t="s">
        <v>206</v>
      </c>
      <c r="C18" s="88">
        <v>1</v>
      </c>
      <c r="D18" s="88">
        <v>1</v>
      </c>
      <c r="E18" s="88">
        <v>1</v>
      </c>
      <c r="G18" s="1" t="s">
        <v>400</v>
      </c>
      <c r="K18" s="258"/>
    </row>
    <row r="19" spans="1:12" x14ac:dyDescent="0.4">
      <c r="A19" s="198"/>
    </row>
    <row r="20" spans="1:12" x14ac:dyDescent="0.4">
      <c r="A20" s="198"/>
      <c r="B20" s="6" t="s">
        <v>401</v>
      </c>
    </row>
    <row r="21" spans="1:12" x14ac:dyDescent="0.4">
      <c r="A21" s="198">
        <v>6</v>
      </c>
      <c r="B21" s="179" t="s">
        <v>207</v>
      </c>
      <c r="C21" s="199">
        <f>auction_results_and_rates!C21</f>
        <v>10172362.989531239</v>
      </c>
      <c r="D21" s="196"/>
      <c r="E21" s="196"/>
      <c r="G21" s="1" t="s">
        <v>402</v>
      </c>
    </row>
    <row r="22" spans="1:12" x14ac:dyDescent="0.4">
      <c r="A22" s="198">
        <v>7</v>
      </c>
      <c r="B22" s="179" t="s">
        <v>208</v>
      </c>
      <c r="C22" s="199">
        <f>auction_results_and_rates!C22</f>
        <v>15537322.941141158</v>
      </c>
      <c r="D22" s="196"/>
      <c r="E22" s="196"/>
    </row>
    <row r="23" spans="1:12" x14ac:dyDescent="0.4">
      <c r="A23" s="198"/>
    </row>
    <row r="24" spans="1:12" x14ac:dyDescent="0.4">
      <c r="A24" s="198"/>
      <c r="B24" s="190" t="s">
        <v>268</v>
      </c>
    </row>
    <row r="25" spans="1:12" x14ac:dyDescent="0.4">
      <c r="A25" s="198">
        <v>8</v>
      </c>
      <c r="B25" s="66" t="s">
        <v>205</v>
      </c>
      <c r="C25" s="259">
        <f>((+C$8-C$10)*C$13/C$14*C17*$C21/1000) + (+C$9*C$13/C$14*$C21/1000)</f>
        <v>216859.78937097586</v>
      </c>
      <c r="D25" s="259">
        <f t="shared" ref="D25:E26" si="1">((+D$8-D$10)*D$13/D$14*D17*$C21/1000) + (+D$9*D$13/D$14*$C21/1000)</f>
        <v>224615.3487975458</v>
      </c>
      <c r="E25" s="259">
        <f t="shared" si="1"/>
        <v>215764.19624806664</v>
      </c>
      <c r="F25" s="260"/>
      <c r="G25" s="175" t="s">
        <v>345</v>
      </c>
      <c r="J25" s="200"/>
      <c r="L25" s="200"/>
    </row>
    <row r="26" spans="1:12" ht="14.7" x14ac:dyDescent="0.7">
      <c r="A26" s="198">
        <v>9</v>
      </c>
      <c r="B26" s="66" t="s">
        <v>206</v>
      </c>
      <c r="C26" s="261">
        <f>((+C$8-C$10)*C$13/C$14*C18*$C22/1000) + (+C$9*C$13/C$14*$C22/1000)</f>
        <v>331232.82996018726</v>
      </c>
      <c r="D26" s="261">
        <f t="shared" si="1"/>
        <v>343078.7139031649</v>
      </c>
      <c r="E26" s="261">
        <f t="shared" si="1"/>
        <v>329559.41502402612</v>
      </c>
      <c r="F26" s="260"/>
      <c r="G26" s="175" t="s">
        <v>346</v>
      </c>
    </row>
    <row r="27" spans="1:12" x14ac:dyDescent="0.4">
      <c r="A27" s="198">
        <v>10</v>
      </c>
      <c r="B27" s="179" t="s">
        <v>209</v>
      </c>
      <c r="C27" s="200">
        <f>+C26+C25</f>
        <v>548092.61933116312</v>
      </c>
      <c r="D27" s="200">
        <f>+D26+D25</f>
        <v>567694.06270071073</v>
      </c>
      <c r="E27" s="200">
        <f>+E26+E25</f>
        <v>545323.61127209279</v>
      </c>
      <c r="J27" s="200"/>
      <c r="L27" s="200"/>
    </row>
    <row r="28" spans="1:12" x14ac:dyDescent="0.4">
      <c r="A28" s="198"/>
    </row>
    <row r="29" spans="1:12" x14ac:dyDescent="0.4">
      <c r="A29" s="198"/>
      <c r="B29" s="190" t="s">
        <v>269</v>
      </c>
    </row>
    <row r="30" spans="1:12" x14ac:dyDescent="0.4">
      <c r="A30" s="198">
        <v>11</v>
      </c>
      <c r="B30" s="66" t="s">
        <v>205</v>
      </c>
      <c r="C30" s="262">
        <f>ROUND(+SUM(C25:E25)/C21*1000,3)</f>
        <v>64.61</v>
      </c>
      <c r="D30" s="263"/>
      <c r="G30" s="175" t="s">
        <v>403</v>
      </c>
    </row>
    <row r="31" spans="1:12" x14ac:dyDescent="0.4">
      <c r="A31" s="198">
        <v>12</v>
      </c>
      <c r="B31" s="66" t="s">
        <v>206</v>
      </c>
      <c r="C31" s="192">
        <f>ROUND(+SUM(C26:E26)/C22*1000,3)</f>
        <v>64.61</v>
      </c>
      <c r="G31" s="175" t="s">
        <v>404</v>
      </c>
    </row>
    <row r="32" spans="1:12" x14ac:dyDescent="0.4">
      <c r="A32" s="198"/>
      <c r="B32" s="66"/>
      <c r="C32" s="264"/>
      <c r="G32" s="193"/>
    </row>
    <row r="33" spans="1:10" x14ac:dyDescent="0.4">
      <c r="A33" s="198">
        <v>13</v>
      </c>
      <c r="B33" s="179" t="s">
        <v>213</v>
      </c>
      <c r="C33" s="265">
        <f>ROUND(+SUM(C27:E27)/(C21+C22)*1000,3)</f>
        <v>64.61</v>
      </c>
      <c r="D33" s="179" t="s">
        <v>211</v>
      </c>
      <c r="G33" s="175" t="s">
        <v>210</v>
      </c>
    </row>
    <row r="34" spans="1:10" x14ac:dyDescent="0.4">
      <c r="D34" s="179" t="s">
        <v>212</v>
      </c>
      <c r="G34" s="1" t="s">
        <v>405</v>
      </c>
    </row>
    <row r="35" spans="1:10" x14ac:dyDescent="0.4">
      <c r="C35" s="263"/>
    </row>
    <row r="36" spans="1:10" x14ac:dyDescent="0.4">
      <c r="B36" s="266"/>
      <c r="D36" s="263"/>
    </row>
    <row r="37" spans="1:10" x14ac:dyDescent="0.4">
      <c r="A37" s="198"/>
      <c r="B37" s="191"/>
      <c r="C37" s="200"/>
      <c r="D37" s="263"/>
      <c r="G37" s="193"/>
    </row>
    <row r="38" spans="1:10" ht="14.7" x14ac:dyDescent="0.7">
      <c r="A38" s="198"/>
      <c r="B38" s="191"/>
      <c r="C38" s="267"/>
      <c r="D38" s="263"/>
      <c r="G38" s="193"/>
    </row>
    <row r="39" spans="1:10" x14ac:dyDescent="0.4">
      <c r="A39" s="198"/>
      <c r="B39" s="191"/>
      <c r="C39" s="268"/>
      <c r="D39" s="263"/>
      <c r="G39" s="193"/>
    </row>
    <row r="40" spans="1:10" x14ac:dyDescent="0.4">
      <c r="B40" s="191"/>
      <c r="D40" s="263"/>
    </row>
    <row r="42" spans="1:10" x14ac:dyDescent="0.4">
      <c r="A42" s="269"/>
      <c r="B42" s="190"/>
      <c r="G42" s="197"/>
    </row>
    <row r="43" spans="1:10" x14ac:dyDescent="0.4">
      <c r="A43" s="269"/>
      <c r="B43" s="190"/>
      <c r="G43" s="197"/>
    </row>
    <row r="44" spans="1:10" x14ac:dyDescent="0.4">
      <c r="B44" s="190"/>
    </row>
    <row r="45" spans="1:10" x14ac:dyDescent="0.4">
      <c r="B45" s="197"/>
    </row>
    <row r="46" spans="1:10" x14ac:dyDescent="0.4">
      <c r="B46" s="190"/>
    </row>
    <row r="47" spans="1:10" x14ac:dyDescent="0.4">
      <c r="C47" s="195"/>
      <c r="D47" s="195"/>
      <c r="E47" s="195"/>
      <c r="F47" s="195"/>
      <c r="G47" s="195"/>
      <c r="H47" s="195"/>
      <c r="I47" s="195"/>
      <c r="J47" s="195"/>
    </row>
    <row r="48" spans="1:10" x14ac:dyDescent="0.4">
      <c r="C48" s="195"/>
      <c r="D48" s="195"/>
      <c r="E48" s="195"/>
      <c r="F48" s="195"/>
      <c r="G48" s="195"/>
    </row>
    <row r="49" spans="2:13" x14ac:dyDescent="0.4">
      <c r="B49" s="201"/>
      <c r="E49" s="270"/>
      <c r="F49" s="71"/>
      <c r="G49" s="71"/>
      <c r="H49" s="71"/>
      <c r="I49" s="270"/>
      <c r="J49" s="270"/>
      <c r="K49" s="204"/>
      <c r="L49" s="204"/>
      <c r="M49" s="204"/>
    </row>
    <row r="50" spans="2:13" x14ac:dyDescent="0.4">
      <c r="B50" s="271"/>
      <c r="C50" s="59"/>
      <c r="D50" s="272"/>
      <c r="E50" s="71"/>
      <c r="F50" s="270"/>
      <c r="G50" s="270"/>
      <c r="H50" s="270"/>
      <c r="I50" s="183"/>
      <c r="J50" s="273"/>
      <c r="K50" s="204"/>
      <c r="L50" s="204"/>
      <c r="M50" s="204"/>
    </row>
    <row r="51" spans="2:13" x14ac:dyDescent="0.4">
      <c r="B51" s="271"/>
      <c r="C51" s="59"/>
      <c r="D51" s="272"/>
      <c r="E51" s="71"/>
      <c r="F51" s="270"/>
      <c r="G51" s="270"/>
      <c r="H51" s="274"/>
      <c r="I51" s="183"/>
      <c r="J51" s="273"/>
      <c r="K51" s="275"/>
      <c r="L51" s="204"/>
      <c r="M51" s="204"/>
    </row>
    <row r="52" spans="2:13" x14ac:dyDescent="0.4">
      <c r="E52" s="59"/>
      <c r="F52" s="272"/>
      <c r="G52" s="272"/>
      <c r="L52" s="204"/>
      <c r="M52" s="204"/>
    </row>
    <row r="53" spans="2:13" x14ac:dyDescent="0.4">
      <c r="B53" s="276"/>
      <c r="C53" s="71"/>
      <c r="D53" s="71"/>
      <c r="E53" s="59"/>
      <c r="F53" s="272"/>
      <c r="G53" s="272"/>
      <c r="H53" s="272"/>
      <c r="I53" s="272"/>
      <c r="J53" s="272"/>
      <c r="K53" s="204"/>
      <c r="L53" s="204"/>
      <c r="M53" s="204"/>
    </row>
    <row r="54" spans="2:13" x14ac:dyDescent="0.4">
      <c r="B54" s="276"/>
      <c r="C54" s="277"/>
      <c r="D54" s="277"/>
      <c r="E54" s="278"/>
      <c r="F54" s="272"/>
      <c r="G54" s="272"/>
      <c r="H54" s="272"/>
      <c r="I54" s="272"/>
      <c r="J54" s="272"/>
      <c r="K54" s="204"/>
      <c r="L54" s="204"/>
      <c r="M54" s="204"/>
    </row>
    <row r="55" spans="2:13" x14ac:dyDescent="0.4">
      <c r="B55" s="276"/>
      <c r="C55" s="277"/>
      <c r="D55" s="277"/>
      <c r="E55" s="278"/>
      <c r="F55" s="272"/>
      <c r="G55" s="272"/>
      <c r="H55" s="272"/>
      <c r="I55" s="272"/>
      <c r="J55" s="272"/>
      <c r="K55" s="204"/>
      <c r="L55" s="204"/>
      <c r="M55" s="204"/>
    </row>
    <row r="56" spans="2:13" x14ac:dyDescent="0.4">
      <c r="G56" s="272"/>
      <c r="H56" s="272"/>
      <c r="I56" s="272"/>
      <c r="J56" s="272"/>
      <c r="K56" s="204"/>
      <c r="L56" s="204"/>
      <c r="M56" s="204"/>
    </row>
    <row r="57" spans="2:13" x14ac:dyDescent="0.4">
      <c r="H57" s="272"/>
      <c r="I57" s="272"/>
      <c r="J57" s="272"/>
      <c r="K57" s="204"/>
      <c r="L57" s="204"/>
      <c r="M57" s="204"/>
    </row>
    <row r="58" spans="2:13" x14ac:dyDescent="0.4">
      <c r="C58" s="272"/>
      <c r="D58" s="272"/>
      <c r="E58" s="272"/>
      <c r="F58" s="272"/>
      <c r="G58" s="272"/>
      <c r="H58" s="272"/>
      <c r="I58" s="272"/>
      <c r="J58" s="272"/>
      <c r="K58" s="204"/>
      <c r="L58" s="204"/>
      <c r="M58" s="204"/>
    </row>
    <row r="59" spans="2:13" x14ac:dyDescent="0.4">
      <c r="B59" s="201"/>
      <c r="C59" s="71"/>
      <c r="D59" s="71"/>
      <c r="E59" s="270"/>
      <c r="F59" s="71"/>
      <c r="G59" s="71"/>
      <c r="H59" s="71"/>
      <c r="I59" s="270"/>
      <c r="J59" s="270"/>
      <c r="K59" s="204"/>
      <c r="L59" s="204"/>
      <c r="M59" s="204"/>
    </row>
    <row r="60" spans="2:13" x14ac:dyDescent="0.4">
      <c r="B60" s="271"/>
      <c r="C60" s="272"/>
      <c r="D60" s="272"/>
      <c r="E60" s="71"/>
      <c r="F60" s="272"/>
      <c r="G60" s="272"/>
      <c r="H60" s="272"/>
      <c r="J60" s="273"/>
      <c r="K60" s="204"/>
      <c r="L60" s="204"/>
      <c r="M60" s="204"/>
    </row>
    <row r="61" spans="2:13" x14ac:dyDescent="0.4">
      <c r="B61" s="271"/>
      <c r="C61" s="272"/>
      <c r="D61" s="272"/>
      <c r="E61" s="71"/>
      <c r="F61" s="272"/>
      <c r="G61" s="272"/>
      <c r="J61" s="273"/>
      <c r="K61" s="275"/>
      <c r="L61" s="204"/>
      <c r="M61" s="204"/>
    </row>
    <row r="62" spans="2:13" x14ac:dyDescent="0.4">
      <c r="C62" s="279"/>
      <c r="D62" s="279"/>
      <c r="E62" s="279"/>
      <c r="F62" s="279"/>
      <c r="G62" s="279"/>
      <c r="K62" s="204"/>
      <c r="L62" s="204"/>
      <c r="M62" s="204"/>
    </row>
    <row r="63" spans="2:13" x14ac:dyDescent="0.4">
      <c r="C63" s="280"/>
      <c r="D63" s="280"/>
      <c r="E63" s="280"/>
      <c r="F63" s="280"/>
      <c r="G63" s="280"/>
      <c r="H63" s="280"/>
      <c r="I63" s="280"/>
      <c r="J63" s="280"/>
      <c r="K63" s="204"/>
      <c r="L63" s="204"/>
      <c r="M63" s="204"/>
    </row>
    <row r="66" spans="2:11" x14ac:dyDescent="0.4">
      <c r="B66" s="190"/>
    </row>
    <row r="67" spans="2:11" x14ac:dyDescent="0.4">
      <c r="B67" s="197"/>
    </row>
    <row r="68" spans="2:11" x14ac:dyDescent="0.4">
      <c r="B68" s="183"/>
    </row>
    <row r="69" spans="2:11" x14ac:dyDescent="0.4">
      <c r="C69" s="195"/>
      <c r="D69" s="195"/>
      <c r="E69" s="195"/>
      <c r="F69" s="195"/>
      <c r="H69" s="190"/>
      <c r="I69" s="195"/>
      <c r="J69" s="195"/>
    </row>
    <row r="70" spans="2:11" x14ac:dyDescent="0.4">
      <c r="C70" s="195"/>
      <c r="D70" s="281"/>
      <c r="E70" s="195"/>
      <c r="F70" s="281"/>
    </row>
    <row r="71" spans="2:11" x14ac:dyDescent="0.4">
      <c r="B71" s="201"/>
      <c r="C71" s="71"/>
      <c r="D71" s="275"/>
      <c r="E71" s="274"/>
      <c r="F71" s="274"/>
      <c r="H71" s="282"/>
    </row>
    <row r="72" spans="2:11" x14ac:dyDescent="0.4">
      <c r="B72" s="271"/>
      <c r="C72" s="270"/>
      <c r="D72" s="275"/>
      <c r="E72" s="71"/>
      <c r="F72" s="275"/>
      <c r="H72" s="191"/>
      <c r="I72" s="283"/>
      <c r="J72" s="283"/>
      <c r="K72" s="193"/>
    </row>
    <row r="73" spans="2:11" x14ac:dyDescent="0.4">
      <c r="B73" s="271"/>
      <c r="C73" s="270"/>
      <c r="D73" s="275"/>
      <c r="E73" s="71"/>
      <c r="F73" s="275"/>
      <c r="H73" s="191"/>
      <c r="I73" s="283"/>
      <c r="J73" s="283"/>
      <c r="K73" s="193"/>
    </row>
    <row r="74" spans="2:11" x14ac:dyDescent="0.4">
      <c r="C74" s="270"/>
      <c r="D74" s="275"/>
      <c r="E74" s="270"/>
      <c r="F74" s="275"/>
      <c r="H74" s="191"/>
      <c r="I74" s="283"/>
      <c r="J74" s="283"/>
      <c r="K74" s="193"/>
    </row>
    <row r="75" spans="2:11" x14ac:dyDescent="0.4">
      <c r="B75" s="201"/>
      <c r="C75" s="71"/>
      <c r="D75" s="275"/>
      <c r="E75" s="71"/>
      <c r="F75" s="275"/>
      <c r="H75" s="282"/>
      <c r="I75" s="263"/>
      <c r="J75" s="263"/>
    </row>
    <row r="76" spans="2:11" x14ac:dyDescent="0.4">
      <c r="B76" s="271"/>
      <c r="C76" s="270"/>
      <c r="D76" s="274"/>
      <c r="E76" s="71"/>
      <c r="F76" s="275"/>
      <c r="H76" s="191"/>
      <c r="I76" s="283"/>
      <c r="J76" s="283"/>
      <c r="K76" s="193"/>
    </row>
    <row r="77" spans="2:11" x14ac:dyDescent="0.4">
      <c r="B77" s="271"/>
      <c r="C77" s="270"/>
      <c r="D77" s="274"/>
      <c r="E77" s="71"/>
      <c r="F77" s="275"/>
    </row>
    <row r="78" spans="2:11" x14ac:dyDescent="0.4">
      <c r="C78" s="280"/>
      <c r="D78" s="274"/>
      <c r="E78" s="280"/>
      <c r="F78" s="274"/>
    </row>
    <row r="79" spans="2:11" x14ac:dyDescent="0.4">
      <c r="C79" s="280"/>
      <c r="D79" s="274"/>
      <c r="E79" s="280"/>
      <c r="F79" s="274"/>
    </row>
    <row r="80" spans="2:11" x14ac:dyDescent="0.4">
      <c r="C80" s="280"/>
      <c r="D80" s="274"/>
      <c r="E80" s="280"/>
      <c r="F80" s="274"/>
    </row>
    <row r="81" spans="1:13" x14ac:dyDescent="0.4">
      <c r="C81" s="204"/>
      <c r="E81" s="204"/>
    </row>
    <row r="82" spans="1:13" x14ac:dyDescent="0.4">
      <c r="A82" s="284"/>
      <c r="B82" s="266"/>
      <c r="C82" s="204"/>
      <c r="E82" s="204"/>
    </row>
    <row r="83" spans="1:13" x14ac:dyDescent="0.4">
      <c r="A83" s="284"/>
      <c r="B83" s="197"/>
    </row>
    <row r="85" spans="1:13" x14ac:dyDescent="0.4">
      <c r="B85" s="190"/>
    </row>
    <row r="86" spans="1:13" x14ac:dyDescent="0.4">
      <c r="B86" s="197"/>
    </row>
    <row r="87" spans="1:13" x14ac:dyDescent="0.4">
      <c r="B87" s="190"/>
    </row>
    <row r="88" spans="1:13" x14ac:dyDescent="0.4">
      <c r="C88" s="195"/>
      <c r="D88" s="195"/>
      <c r="E88" s="195"/>
      <c r="F88" s="195"/>
      <c r="G88" s="195"/>
      <c r="H88" s="195"/>
      <c r="I88" s="195"/>
      <c r="J88" s="195"/>
    </row>
    <row r="89" spans="1:13" x14ac:dyDescent="0.4">
      <c r="C89" s="284"/>
      <c r="D89" s="284"/>
      <c r="E89" s="284"/>
      <c r="F89" s="285"/>
      <c r="G89" s="285"/>
      <c r="H89" s="285"/>
      <c r="I89" s="285"/>
      <c r="J89" s="285"/>
    </row>
    <row r="90" spans="1:13" x14ac:dyDescent="0.4">
      <c r="B90" s="201"/>
      <c r="C90" s="284"/>
      <c r="D90" s="284"/>
      <c r="E90" s="284"/>
      <c r="F90" s="285"/>
      <c r="G90" s="285"/>
      <c r="H90" s="285"/>
      <c r="I90" s="285"/>
      <c r="J90" s="285"/>
      <c r="L90" s="204"/>
      <c r="M90" s="204"/>
    </row>
    <row r="91" spans="1:13" x14ac:dyDescent="0.4">
      <c r="B91" s="271"/>
      <c r="C91" s="284"/>
      <c r="D91" s="284"/>
      <c r="E91" s="285"/>
      <c r="F91" s="284"/>
      <c r="G91" s="285"/>
      <c r="H91" s="285"/>
      <c r="I91" s="285"/>
      <c r="J91" s="284"/>
      <c r="L91" s="204"/>
      <c r="M91" s="204"/>
    </row>
    <row r="92" spans="1:13" x14ac:dyDescent="0.4">
      <c r="B92" s="271"/>
      <c r="C92" s="284"/>
      <c r="D92" s="284"/>
      <c r="E92" s="285"/>
      <c r="F92" s="284"/>
      <c r="G92" s="284"/>
      <c r="H92" s="284"/>
      <c r="I92" s="284"/>
      <c r="J92" s="284"/>
      <c r="L92" s="204"/>
      <c r="M92" s="204"/>
    </row>
    <row r="93" spans="1:13" x14ac:dyDescent="0.4">
      <c r="B93" s="276"/>
      <c r="C93" s="284"/>
      <c r="D93" s="284"/>
      <c r="E93" s="284"/>
      <c r="F93" s="284"/>
      <c r="G93" s="284"/>
      <c r="H93" s="284"/>
      <c r="I93" s="284"/>
      <c r="J93" s="284"/>
      <c r="L93" s="204"/>
      <c r="M93" s="204"/>
    </row>
    <row r="94" spans="1:13" x14ac:dyDescent="0.4">
      <c r="B94" s="278"/>
      <c r="C94" s="285"/>
      <c r="D94" s="285"/>
      <c r="E94" s="284"/>
      <c r="F94" s="284"/>
      <c r="G94" s="284"/>
      <c r="H94" s="284"/>
      <c r="I94" s="284"/>
      <c r="J94" s="284"/>
      <c r="L94" s="204"/>
      <c r="M94" s="204"/>
    </row>
    <row r="95" spans="1:13" x14ac:dyDescent="0.4">
      <c r="B95" s="278"/>
      <c r="C95" s="285"/>
      <c r="D95" s="285"/>
      <c r="E95" s="284"/>
      <c r="F95" s="284"/>
      <c r="G95" s="284"/>
      <c r="H95" s="284"/>
      <c r="I95" s="284"/>
      <c r="J95" s="284"/>
      <c r="L95" s="204"/>
      <c r="M95" s="204"/>
    </row>
    <row r="96" spans="1:13" x14ac:dyDescent="0.4">
      <c r="C96" s="285"/>
      <c r="D96" s="285"/>
      <c r="E96" s="284"/>
      <c r="F96" s="284"/>
      <c r="G96" s="284"/>
      <c r="H96" s="284"/>
      <c r="I96" s="284"/>
      <c r="J96" s="284"/>
      <c r="L96" s="204"/>
      <c r="M96" s="204"/>
    </row>
    <row r="97" spans="2:13" x14ac:dyDescent="0.4">
      <c r="B97" s="201"/>
      <c r="C97" s="285"/>
      <c r="D97" s="285"/>
      <c r="E97" s="284"/>
      <c r="F97" s="285"/>
      <c r="G97" s="285"/>
      <c r="H97" s="285"/>
      <c r="I97" s="285"/>
      <c r="J97" s="285"/>
      <c r="L97" s="204"/>
      <c r="M97" s="204"/>
    </row>
    <row r="98" spans="2:13" x14ac:dyDescent="0.4">
      <c r="B98" s="271"/>
      <c r="C98" s="284"/>
      <c r="D98" s="284"/>
      <c r="E98" s="285"/>
      <c r="F98" s="284"/>
      <c r="G98" s="284"/>
      <c r="H98" s="284"/>
      <c r="I98" s="284"/>
      <c r="J98" s="284"/>
      <c r="L98" s="204"/>
      <c r="M98" s="204"/>
    </row>
    <row r="99" spans="2:13" x14ac:dyDescent="0.4">
      <c r="B99" s="271"/>
      <c r="C99" s="284"/>
      <c r="D99" s="284"/>
      <c r="E99" s="285"/>
      <c r="F99" s="284"/>
      <c r="G99" s="284"/>
      <c r="H99" s="284"/>
      <c r="I99" s="284"/>
      <c r="J99" s="284"/>
      <c r="L99" s="204"/>
      <c r="M99" s="204"/>
    </row>
    <row r="100" spans="2:13" x14ac:dyDescent="0.4">
      <c r="C100" s="284"/>
      <c r="D100" s="284"/>
      <c r="E100" s="285"/>
      <c r="F100" s="284"/>
      <c r="G100" s="284"/>
      <c r="H100" s="284"/>
      <c r="I100" s="284"/>
      <c r="J100" s="284"/>
      <c r="L100" s="204"/>
      <c r="M100" s="204"/>
    </row>
    <row r="103" spans="2:13" x14ac:dyDescent="0.4">
      <c r="B103" s="190"/>
    </row>
    <row r="104" spans="2:13" x14ac:dyDescent="0.4">
      <c r="B104" s="197"/>
    </row>
    <row r="105" spans="2:13" x14ac:dyDescent="0.4">
      <c r="B105" s="183"/>
    </row>
    <row r="106" spans="2:13" x14ac:dyDescent="0.4">
      <c r="C106" s="195"/>
      <c r="D106" s="195"/>
      <c r="E106" s="195"/>
      <c r="F106" s="195"/>
      <c r="H106" s="190"/>
      <c r="I106" s="195"/>
      <c r="J106" s="195"/>
    </row>
    <row r="107" spans="2:13" x14ac:dyDescent="0.4">
      <c r="F107" s="281"/>
    </row>
    <row r="108" spans="2:13" x14ac:dyDescent="0.4">
      <c r="B108" s="201"/>
      <c r="C108" s="285"/>
      <c r="D108" s="285"/>
      <c r="E108" s="285"/>
      <c r="F108" s="274"/>
      <c r="H108" s="282"/>
    </row>
    <row r="109" spans="2:13" x14ac:dyDescent="0.4">
      <c r="B109" s="271"/>
      <c r="C109" s="285"/>
      <c r="D109" s="285"/>
      <c r="E109" s="285"/>
      <c r="F109" s="275"/>
      <c r="H109" s="191"/>
      <c r="I109" s="286"/>
      <c r="J109" s="286"/>
      <c r="K109" s="193"/>
    </row>
    <row r="110" spans="2:13" x14ac:dyDescent="0.4">
      <c r="B110" s="271"/>
      <c r="C110" s="285"/>
      <c r="D110" s="285"/>
      <c r="E110" s="285"/>
      <c r="F110" s="275"/>
      <c r="H110" s="191"/>
      <c r="I110" s="286"/>
      <c r="J110" s="286"/>
      <c r="K110" s="193"/>
    </row>
    <row r="111" spans="2:13" x14ac:dyDescent="0.4">
      <c r="C111" s="285"/>
      <c r="D111" s="285"/>
      <c r="E111" s="285"/>
      <c r="F111" s="275"/>
      <c r="H111" s="191"/>
      <c r="I111" s="283"/>
      <c r="J111" s="283"/>
      <c r="K111" s="193"/>
    </row>
    <row r="112" spans="2:13" x14ac:dyDescent="0.4">
      <c r="B112" s="201"/>
      <c r="C112" s="285"/>
      <c r="D112" s="285"/>
      <c r="E112" s="285"/>
      <c r="F112" s="275"/>
      <c r="H112" s="282"/>
      <c r="I112" s="263"/>
      <c r="J112" s="263"/>
    </row>
    <row r="113" spans="1:12" x14ac:dyDescent="0.4">
      <c r="B113" s="271"/>
      <c r="C113" s="285"/>
      <c r="D113" s="285"/>
      <c r="E113" s="285"/>
      <c r="F113" s="275"/>
      <c r="H113" s="191"/>
      <c r="I113" s="286"/>
      <c r="J113" s="286"/>
      <c r="K113" s="193"/>
    </row>
    <row r="114" spans="1:12" x14ac:dyDescent="0.4">
      <c r="B114" s="271"/>
      <c r="C114" s="285"/>
      <c r="D114" s="285"/>
      <c r="E114" s="285"/>
      <c r="F114" s="275"/>
    </row>
    <row r="115" spans="1:12" x14ac:dyDescent="0.4">
      <c r="C115" s="280"/>
      <c r="D115" s="274"/>
      <c r="E115" s="280"/>
      <c r="F115" s="274"/>
    </row>
    <row r="116" spans="1:12" x14ac:dyDescent="0.4">
      <c r="C116" s="280"/>
      <c r="D116" s="274"/>
      <c r="E116" s="280"/>
      <c r="F116" s="274"/>
    </row>
    <row r="118" spans="1:12" x14ac:dyDescent="0.4">
      <c r="A118" s="284"/>
      <c r="B118" s="190"/>
      <c r="C118" s="204"/>
      <c r="E118" s="204"/>
    </row>
    <row r="119" spans="1:12" x14ac:dyDescent="0.4">
      <c r="C119" s="204"/>
      <c r="E119" s="204"/>
    </row>
    <row r="120" spans="1:12" x14ac:dyDescent="0.4">
      <c r="C120" s="195"/>
      <c r="D120" s="195"/>
      <c r="E120" s="195"/>
      <c r="F120" s="195"/>
      <c r="G120" s="195"/>
      <c r="H120" s="195"/>
      <c r="I120" s="195"/>
      <c r="J120" s="195"/>
    </row>
    <row r="122" spans="1:12" x14ac:dyDescent="0.4">
      <c r="B122" s="198"/>
      <c r="C122" s="268"/>
      <c r="D122" s="268"/>
      <c r="E122" s="287"/>
      <c r="F122" s="268"/>
      <c r="G122" s="268"/>
      <c r="H122" s="268"/>
      <c r="I122" s="268"/>
      <c r="J122" s="268"/>
    </row>
    <row r="123" spans="1:12" ht="14.7" x14ac:dyDescent="0.7">
      <c r="B123" s="198"/>
      <c r="C123" s="288"/>
      <c r="D123" s="288"/>
      <c r="E123" s="288"/>
      <c r="F123" s="288"/>
      <c r="G123" s="288"/>
      <c r="H123" s="288"/>
      <c r="I123" s="288"/>
      <c r="J123" s="288"/>
    </row>
    <row r="124" spans="1:12" x14ac:dyDescent="0.4">
      <c r="B124" s="198"/>
      <c r="C124" s="200"/>
      <c r="D124" s="200"/>
      <c r="E124" s="200"/>
      <c r="F124" s="200"/>
      <c r="G124" s="200"/>
      <c r="H124" s="200"/>
      <c r="I124" s="200"/>
      <c r="J124" s="200"/>
    </row>
    <row r="125" spans="1:12" x14ac:dyDescent="0.4">
      <c r="B125" s="198"/>
      <c r="C125" s="200"/>
      <c r="D125" s="200"/>
      <c r="E125" s="200"/>
      <c r="F125" s="200"/>
      <c r="G125" s="200"/>
      <c r="H125" s="200"/>
      <c r="I125" s="200"/>
      <c r="J125" s="200"/>
      <c r="K125" s="200"/>
      <c r="L125" s="200"/>
    </row>
    <row r="126" spans="1:12" x14ac:dyDescent="0.4">
      <c r="B126" s="198"/>
      <c r="C126" s="200"/>
      <c r="D126" s="200"/>
      <c r="E126" s="200"/>
      <c r="F126" s="200"/>
      <c r="G126" s="200"/>
      <c r="H126" s="200"/>
      <c r="I126" s="200"/>
      <c r="J126" s="200"/>
      <c r="K126" s="200"/>
      <c r="L126" s="200"/>
    </row>
    <row r="127" spans="1:12" x14ac:dyDescent="0.4">
      <c r="B127" s="198"/>
      <c r="C127" s="195"/>
      <c r="D127" s="195"/>
      <c r="F127" s="195"/>
      <c r="G127" s="195"/>
      <c r="H127" s="200"/>
      <c r="I127" s="200"/>
      <c r="J127" s="200"/>
      <c r="K127" s="200"/>
      <c r="L127" s="200"/>
    </row>
    <row r="128" spans="1:12" x14ac:dyDescent="0.4">
      <c r="B128" s="198"/>
      <c r="C128" s="195"/>
      <c r="D128" s="195"/>
      <c r="F128" s="195"/>
      <c r="G128" s="195"/>
      <c r="H128" s="200"/>
      <c r="I128" s="200"/>
      <c r="J128" s="200"/>
      <c r="K128" s="200"/>
      <c r="L128" s="200"/>
    </row>
    <row r="129" spans="2:12" x14ac:dyDescent="0.4">
      <c r="B129" s="198"/>
      <c r="G129" s="200"/>
      <c r="H129" s="200"/>
      <c r="I129" s="200"/>
      <c r="J129" s="200"/>
      <c r="K129" s="200"/>
      <c r="L129" s="200"/>
    </row>
    <row r="130" spans="2:12" x14ac:dyDescent="0.4">
      <c r="B130" s="198"/>
      <c r="C130" s="287"/>
      <c r="D130" s="287"/>
      <c r="F130" s="287"/>
      <c r="G130" s="287"/>
      <c r="H130" s="200"/>
      <c r="I130" s="200"/>
      <c r="J130" s="200"/>
      <c r="K130" s="200"/>
      <c r="L130" s="200"/>
    </row>
    <row r="131" spans="2:12" ht="14.7" x14ac:dyDescent="0.7">
      <c r="B131" s="198"/>
      <c r="C131" s="289"/>
      <c r="D131" s="289"/>
      <c r="F131" s="289"/>
      <c r="G131" s="289"/>
      <c r="H131" s="200"/>
      <c r="I131" s="200"/>
      <c r="J131" s="200"/>
      <c r="K131" s="200"/>
      <c r="L131" s="200"/>
    </row>
    <row r="132" spans="2:12" x14ac:dyDescent="0.4">
      <c r="B132" s="198"/>
      <c r="C132" s="200"/>
      <c r="D132" s="200"/>
      <c r="F132" s="200"/>
      <c r="G132" s="200"/>
      <c r="H132" s="200"/>
      <c r="I132" s="200"/>
      <c r="J132" s="200"/>
      <c r="K132" s="200"/>
      <c r="L132" s="200"/>
    </row>
    <row r="133" spans="2:12" x14ac:dyDescent="0.4">
      <c r="B133" s="198"/>
      <c r="C133" s="200"/>
      <c r="F133" s="200"/>
      <c r="G133" s="200"/>
      <c r="H133" s="200"/>
      <c r="I133" s="200"/>
      <c r="J133" s="200"/>
      <c r="K133" s="200"/>
      <c r="L133" s="200"/>
    </row>
    <row r="134" spans="2:12" x14ac:dyDescent="0.4">
      <c r="B134" s="198"/>
      <c r="C134" s="200"/>
      <c r="D134" s="200"/>
      <c r="E134" s="200"/>
      <c r="F134" s="200"/>
      <c r="G134" s="200"/>
      <c r="H134" s="200"/>
      <c r="I134" s="200"/>
      <c r="J134" s="200"/>
      <c r="K134" s="200"/>
      <c r="L134" s="200"/>
    </row>
    <row r="135" spans="2:12" x14ac:dyDescent="0.4">
      <c r="B135" s="198"/>
      <c r="C135" s="195"/>
      <c r="D135" s="195"/>
      <c r="E135" s="195"/>
      <c r="F135" s="200"/>
      <c r="G135" s="200"/>
      <c r="H135" s="200"/>
      <c r="I135" s="200"/>
      <c r="J135" s="200"/>
      <c r="K135" s="200"/>
      <c r="L135" s="200"/>
    </row>
    <row r="136" spans="2:12" x14ac:dyDescent="0.4">
      <c r="B136" s="198"/>
      <c r="C136" s="200"/>
      <c r="D136" s="200"/>
      <c r="E136" s="200"/>
      <c r="F136" s="200"/>
      <c r="G136" s="200"/>
      <c r="H136" s="200"/>
      <c r="I136" s="200"/>
      <c r="J136" s="200"/>
      <c r="K136" s="200"/>
      <c r="L136" s="200"/>
    </row>
    <row r="137" spans="2:12" ht="14.7" x14ac:dyDescent="0.7">
      <c r="B137" s="198"/>
      <c r="C137" s="267"/>
      <c r="D137" s="267"/>
      <c r="E137" s="267"/>
    </row>
    <row r="138" spans="2:12" x14ac:dyDescent="0.4">
      <c r="B138" s="198"/>
      <c r="C138" s="200"/>
      <c r="D138" s="200"/>
      <c r="E138" s="290"/>
    </row>
    <row r="139" spans="2:12" x14ac:dyDescent="0.4">
      <c r="B139" s="198"/>
      <c r="C139" s="204"/>
      <c r="E139" s="204"/>
    </row>
    <row r="140" spans="2:12" x14ac:dyDescent="0.4">
      <c r="C140" s="195"/>
      <c r="D140" s="195"/>
      <c r="E140" s="195"/>
      <c r="F140" s="195"/>
      <c r="G140" s="195"/>
      <c r="H140" s="195"/>
      <c r="I140" s="195"/>
      <c r="J140" s="195"/>
      <c r="K140" s="195"/>
      <c r="L140" s="195"/>
    </row>
    <row r="142" spans="2:12" x14ac:dyDescent="0.4">
      <c r="B142" s="198"/>
      <c r="C142" s="200"/>
    </row>
    <row r="143" spans="2:12" ht="14.7" x14ac:dyDescent="0.7">
      <c r="B143" s="198"/>
      <c r="C143" s="267"/>
    </row>
    <row r="144" spans="2:12" x14ac:dyDescent="0.4">
      <c r="B144" s="198"/>
      <c r="C144" s="200"/>
    </row>
    <row r="145" spans="1:10" x14ac:dyDescent="0.4">
      <c r="C145" s="204"/>
    </row>
    <row r="146" spans="1:10" x14ac:dyDescent="0.4">
      <c r="B146" s="291"/>
      <c r="C146" s="252"/>
    </row>
    <row r="147" spans="1:10" x14ac:dyDescent="0.4">
      <c r="B147" s="198"/>
      <c r="C147" s="200"/>
    </row>
    <row r="148" spans="1:10" ht="14.7" x14ac:dyDescent="0.7">
      <c r="B148" s="198"/>
      <c r="C148" s="267"/>
    </row>
    <row r="149" spans="1:10" x14ac:dyDescent="0.4">
      <c r="B149" s="198"/>
      <c r="C149" s="200"/>
    </row>
    <row r="152" spans="1:10" x14ac:dyDescent="0.4">
      <c r="D152" s="213"/>
      <c r="E152" s="213"/>
      <c r="F152" s="213"/>
      <c r="G152" s="213"/>
      <c r="H152" s="213"/>
      <c r="I152" s="213"/>
    </row>
    <row r="153" spans="1:10" x14ac:dyDescent="0.4">
      <c r="D153" s="213"/>
      <c r="E153" s="213"/>
      <c r="F153" s="213"/>
      <c r="G153" s="213"/>
      <c r="H153" s="213"/>
      <c r="I153" s="213"/>
    </row>
    <row r="154" spans="1:10" x14ac:dyDescent="0.4">
      <c r="A154" s="284"/>
      <c r="B154" s="266"/>
      <c r="C154" s="204"/>
      <c r="E154" s="204"/>
    </row>
    <row r="155" spans="1:10" x14ac:dyDescent="0.4">
      <c r="B155" s="197"/>
    </row>
    <row r="157" spans="1:10" x14ac:dyDescent="0.4">
      <c r="B157" s="190"/>
    </row>
    <row r="158" spans="1:10" x14ac:dyDescent="0.4">
      <c r="B158" s="197"/>
    </row>
    <row r="159" spans="1:10" x14ac:dyDescent="0.4">
      <c r="B159" s="190"/>
    </row>
    <row r="160" spans="1:10" x14ac:dyDescent="0.4">
      <c r="C160" s="195"/>
      <c r="D160" s="195"/>
      <c r="E160" s="195"/>
      <c r="F160" s="195"/>
      <c r="G160" s="195"/>
      <c r="H160" s="195"/>
      <c r="I160" s="195"/>
      <c r="J160" s="195"/>
    </row>
    <row r="161" spans="2:10" x14ac:dyDescent="0.4">
      <c r="C161" s="284"/>
      <c r="D161" s="284"/>
      <c r="E161" s="284"/>
      <c r="F161" s="285"/>
      <c r="G161" s="285"/>
      <c r="H161" s="285"/>
      <c r="I161" s="285"/>
      <c r="J161" s="285"/>
    </row>
    <row r="162" spans="2:10" x14ac:dyDescent="0.4">
      <c r="B162" s="201"/>
      <c r="C162" s="284"/>
      <c r="D162" s="284"/>
      <c r="E162" s="284"/>
      <c r="F162" s="285"/>
      <c r="G162" s="285"/>
      <c r="H162" s="285"/>
      <c r="I162" s="285"/>
      <c r="J162" s="285"/>
    </row>
    <row r="163" spans="2:10" x14ac:dyDescent="0.4">
      <c r="B163" s="271"/>
      <c r="C163" s="284"/>
      <c r="D163" s="284"/>
      <c r="E163" s="285"/>
      <c r="G163" s="285"/>
      <c r="H163" s="285"/>
      <c r="I163" s="285"/>
      <c r="J163" s="284"/>
    </row>
    <row r="164" spans="2:10" x14ac:dyDescent="0.4">
      <c r="B164" s="271"/>
      <c r="C164" s="284"/>
      <c r="D164" s="284"/>
      <c r="E164" s="285"/>
      <c r="F164" s="284"/>
      <c r="G164" s="284"/>
      <c r="H164" s="284"/>
      <c r="I164" s="284"/>
      <c r="J164" s="284"/>
    </row>
    <row r="165" spans="2:10" x14ac:dyDescent="0.4">
      <c r="B165" s="276"/>
      <c r="C165" s="284"/>
      <c r="D165" s="284"/>
      <c r="E165" s="284"/>
      <c r="F165" s="284"/>
      <c r="G165" s="284"/>
      <c r="H165" s="284"/>
      <c r="I165" s="284"/>
      <c r="J165" s="284"/>
    </row>
    <row r="166" spans="2:10" x14ac:dyDescent="0.4">
      <c r="B166" s="278"/>
      <c r="C166" s="285"/>
      <c r="D166" s="285"/>
      <c r="E166" s="284"/>
      <c r="F166" s="284"/>
      <c r="G166" s="284"/>
      <c r="H166" s="284"/>
      <c r="I166" s="284"/>
      <c r="J166" s="284"/>
    </row>
    <row r="167" spans="2:10" x14ac:dyDescent="0.4">
      <c r="B167" s="278"/>
      <c r="C167" s="285"/>
      <c r="D167" s="285"/>
      <c r="E167" s="284"/>
      <c r="F167" s="284"/>
      <c r="G167" s="284"/>
      <c r="H167" s="284"/>
      <c r="I167" s="284"/>
      <c r="J167" s="284"/>
    </row>
    <row r="168" spans="2:10" x14ac:dyDescent="0.4">
      <c r="C168" s="285"/>
      <c r="D168" s="285"/>
      <c r="E168" s="284"/>
      <c r="F168" s="284"/>
      <c r="G168" s="284"/>
      <c r="H168" s="284"/>
      <c r="I168" s="284"/>
      <c r="J168" s="284"/>
    </row>
    <row r="169" spans="2:10" x14ac:dyDescent="0.4">
      <c r="B169" s="201"/>
      <c r="C169" s="285"/>
      <c r="D169" s="285"/>
      <c r="E169" s="284"/>
      <c r="F169" s="285"/>
      <c r="G169" s="285"/>
      <c r="H169" s="285"/>
      <c r="I169" s="285"/>
      <c r="J169" s="285"/>
    </row>
    <row r="170" spans="2:10" x14ac:dyDescent="0.4">
      <c r="B170" s="271"/>
      <c r="C170" s="284"/>
      <c r="D170" s="284"/>
      <c r="E170" s="285"/>
      <c r="F170" s="284"/>
      <c r="G170" s="284"/>
      <c r="H170" s="284"/>
      <c r="I170" s="284"/>
      <c r="J170" s="284"/>
    </row>
    <row r="171" spans="2:10" x14ac:dyDescent="0.4">
      <c r="B171" s="271"/>
      <c r="C171" s="284"/>
      <c r="D171" s="284"/>
      <c r="E171" s="285"/>
      <c r="F171" s="284"/>
      <c r="G171" s="284"/>
      <c r="H171" s="284"/>
      <c r="I171" s="284"/>
      <c r="J171" s="284"/>
    </row>
    <row r="172" spans="2:10" x14ac:dyDescent="0.4">
      <c r="C172" s="284"/>
      <c r="D172" s="284"/>
      <c r="E172" s="285"/>
      <c r="F172" s="284"/>
      <c r="G172" s="284"/>
      <c r="H172" s="284"/>
      <c r="I172" s="284"/>
      <c r="J172" s="284"/>
    </row>
    <row r="175" spans="2:10" x14ac:dyDescent="0.4">
      <c r="B175" s="190"/>
    </row>
    <row r="176" spans="2:10" x14ac:dyDescent="0.4">
      <c r="B176" s="197"/>
    </row>
    <row r="177" spans="1:12" x14ac:dyDescent="0.4">
      <c r="B177" s="183"/>
    </row>
    <row r="178" spans="1:12" x14ac:dyDescent="0.4">
      <c r="C178" s="195"/>
      <c r="D178" s="195"/>
      <c r="E178" s="195"/>
      <c r="F178" s="195"/>
      <c r="H178" s="190"/>
      <c r="I178" s="195"/>
      <c r="J178" s="195"/>
    </row>
    <row r="179" spans="1:12" x14ac:dyDescent="0.4">
      <c r="F179" s="281"/>
    </row>
    <row r="180" spans="1:12" x14ac:dyDescent="0.4">
      <c r="B180" s="201"/>
      <c r="C180" s="285"/>
      <c r="D180" s="285"/>
      <c r="E180" s="285"/>
      <c r="F180" s="274"/>
      <c r="H180" s="282"/>
    </row>
    <row r="181" spans="1:12" x14ac:dyDescent="0.4">
      <c r="B181" s="271"/>
      <c r="C181" s="285"/>
      <c r="D181" s="285"/>
      <c r="E181" s="285"/>
      <c r="F181" s="275"/>
      <c r="H181" s="191"/>
      <c r="I181" s="292"/>
      <c r="J181" s="292"/>
    </row>
    <row r="182" spans="1:12" x14ac:dyDescent="0.4">
      <c r="B182" s="271"/>
      <c r="C182" s="285"/>
      <c r="D182" s="285"/>
      <c r="E182" s="285"/>
      <c r="F182" s="275"/>
      <c r="H182" s="191"/>
      <c r="I182" s="292"/>
      <c r="J182" s="292"/>
    </row>
    <row r="183" spans="1:12" x14ac:dyDescent="0.4">
      <c r="C183" s="285"/>
      <c r="D183" s="285"/>
      <c r="E183" s="285"/>
      <c r="F183" s="275"/>
      <c r="H183" s="191"/>
      <c r="I183" s="283"/>
      <c r="J183" s="283"/>
    </row>
    <row r="184" spans="1:12" x14ac:dyDescent="0.4">
      <c r="B184" s="201"/>
      <c r="C184" s="285"/>
      <c r="D184" s="285"/>
      <c r="E184" s="285"/>
      <c r="F184" s="275"/>
      <c r="H184" s="282"/>
      <c r="I184" s="263"/>
      <c r="J184" s="263"/>
    </row>
    <row r="185" spans="1:12" x14ac:dyDescent="0.4">
      <c r="B185" s="271"/>
      <c r="C185" s="285"/>
      <c r="D185" s="285"/>
      <c r="E185" s="285"/>
      <c r="F185" s="275"/>
      <c r="H185" s="191"/>
      <c r="I185" s="292"/>
      <c r="J185" s="292"/>
    </row>
    <row r="186" spans="1:12" x14ac:dyDescent="0.4">
      <c r="B186" s="271"/>
      <c r="C186" s="285"/>
      <c r="D186" s="285"/>
      <c r="E186" s="285"/>
      <c r="F186" s="275"/>
    </row>
    <row r="190" spans="1:12" x14ac:dyDescent="0.4">
      <c r="A190" s="284"/>
      <c r="B190" s="190"/>
      <c r="C190" s="204"/>
      <c r="E190" s="204"/>
    </row>
    <row r="191" spans="1:12" x14ac:dyDescent="0.4">
      <c r="C191" s="204"/>
      <c r="E191" s="204"/>
    </row>
    <row r="192" spans="1:12" x14ac:dyDescent="0.4">
      <c r="C192" s="195"/>
      <c r="D192" s="195"/>
      <c r="E192" s="195"/>
      <c r="F192" s="195"/>
      <c r="G192" s="195"/>
      <c r="H192" s="195"/>
      <c r="I192" s="195"/>
      <c r="J192" s="195"/>
      <c r="K192" s="195"/>
      <c r="L192" s="195"/>
    </row>
    <row r="194" spans="2:12" x14ac:dyDescent="0.4">
      <c r="B194" s="198"/>
      <c r="C194" s="268"/>
      <c r="D194" s="268"/>
      <c r="E194" s="287"/>
      <c r="F194" s="268"/>
      <c r="G194" s="268"/>
      <c r="H194" s="268"/>
      <c r="I194" s="268"/>
      <c r="J194" s="268"/>
      <c r="K194" s="287"/>
      <c r="L194" s="287"/>
    </row>
    <row r="195" spans="2:12" ht="14.7" x14ac:dyDescent="0.7">
      <c r="B195" s="198"/>
      <c r="C195" s="288"/>
      <c r="D195" s="288"/>
      <c r="E195" s="288"/>
      <c r="F195" s="288"/>
      <c r="G195" s="288"/>
      <c r="H195" s="288"/>
      <c r="I195" s="288"/>
      <c r="J195" s="288"/>
      <c r="K195" s="289"/>
      <c r="L195" s="289"/>
    </row>
    <row r="196" spans="2:12" x14ac:dyDescent="0.4">
      <c r="B196" s="198"/>
      <c r="C196" s="200"/>
      <c r="D196" s="200"/>
      <c r="E196" s="200"/>
      <c r="F196" s="200"/>
      <c r="G196" s="200"/>
      <c r="H196" s="200"/>
      <c r="I196" s="200"/>
      <c r="J196" s="200"/>
      <c r="K196" s="200"/>
      <c r="L196" s="200"/>
    </row>
    <row r="197" spans="2:12" x14ac:dyDescent="0.4">
      <c r="B197" s="198"/>
      <c r="C197" s="200"/>
      <c r="D197" s="200"/>
      <c r="E197" s="200"/>
      <c r="F197" s="200"/>
      <c r="G197" s="200"/>
      <c r="H197" s="200"/>
      <c r="I197" s="200"/>
      <c r="J197" s="200"/>
      <c r="K197" s="200"/>
      <c r="L197" s="200"/>
    </row>
    <row r="198" spans="2:12" x14ac:dyDescent="0.4">
      <c r="B198" s="198"/>
      <c r="C198" s="200"/>
      <c r="D198" s="200"/>
      <c r="E198" s="200"/>
      <c r="F198" s="200"/>
      <c r="G198" s="200"/>
      <c r="H198" s="200"/>
      <c r="I198" s="200"/>
      <c r="J198" s="200"/>
      <c r="K198" s="200"/>
      <c r="L198" s="200"/>
    </row>
    <row r="199" spans="2:12" ht="14.7" x14ac:dyDescent="0.7">
      <c r="B199" s="198"/>
      <c r="C199" s="267"/>
      <c r="E199" s="204"/>
    </row>
    <row r="200" spans="2:12" x14ac:dyDescent="0.4">
      <c r="B200" s="198"/>
      <c r="C200" s="200"/>
      <c r="E200" s="204"/>
    </row>
    <row r="201" spans="2:12" x14ac:dyDescent="0.4">
      <c r="B201" s="198"/>
      <c r="C201" s="204"/>
      <c r="E201" s="204"/>
    </row>
    <row r="202" spans="2:12" x14ac:dyDescent="0.4">
      <c r="C202" s="195"/>
      <c r="D202" s="195"/>
      <c r="E202" s="195"/>
      <c r="F202" s="195"/>
      <c r="G202" s="195"/>
      <c r="H202" s="195"/>
      <c r="I202" s="195"/>
      <c r="J202" s="195"/>
      <c r="K202" s="195"/>
      <c r="L202" s="195"/>
    </row>
    <row r="204" spans="2:12" x14ac:dyDescent="0.4">
      <c r="B204" s="198"/>
      <c r="C204" s="200"/>
    </row>
    <row r="205" spans="2:12" ht="14.7" x14ac:dyDescent="0.7">
      <c r="B205" s="198"/>
      <c r="C205" s="267"/>
    </row>
    <row r="206" spans="2:12" x14ac:dyDescent="0.4">
      <c r="B206" s="198"/>
      <c r="C206" s="200"/>
      <c r="D206" s="200"/>
      <c r="G206" s="198"/>
    </row>
    <row r="207" spans="2:12" x14ac:dyDescent="0.4">
      <c r="C207" s="204"/>
      <c r="E207" s="204"/>
      <c r="G207" s="198"/>
    </row>
    <row r="208" spans="2:12" x14ac:dyDescent="0.4">
      <c r="B208" s="291"/>
      <c r="C208" s="200"/>
      <c r="E208" s="293"/>
      <c r="G208" s="293"/>
    </row>
    <row r="209" spans="1:10" x14ac:dyDescent="0.4">
      <c r="B209" s="198"/>
      <c r="C209" s="200"/>
      <c r="E209" s="104"/>
    </row>
    <row r="210" spans="1:10" ht="14.7" x14ac:dyDescent="0.7">
      <c r="B210" s="198"/>
      <c r="C210" s="267"/>
      <c r="E210" s="108"/>
    </row>
    <row r="211" spans="1:10" x14ac:dyDescent="0.4">
      <c r="B211" s="198"/>
      <c r="C211" s="200"/>
      <c r="E211" s="104"/>
    </row>
    <row r="213" spans="1:10" x14ac:dyDescent="0.4">
      <c r="C213" s="194"/>
    </row>
    <row r="214" spans="1:10" outlineLevel="1" x14ac:dyDescent="0.4">
      <c r="A214" s="190"/>
    </row>
    <row r="215" spans="1:10" outlineLevel="1" x14ac:dyDescent="0.4">
      <c r="A215" s="284"/>
      <c r="B215" s="266"/>
      <c r="C215" s="204"/>
      <c r="E215" s="204"/>
    </row>
    <row r="216" spans="1:10" outlineLevel="1" x14ac:dyDescent="0.4">
      <c r="B216" s="197"/>
    </row>
    <row r="217" spans="1:10" outlineLevel="1" x14ac:dyDescent="0.4">
      <c r="A217" s="284"/>
    </row>
    <row r="218" spans="1:10" outlineLevel="1" x14ac:dyDescent="0.4">
      <c r="B218" s="190"/>
    </row>
    <row r="219" spans="1:10" outlineLevel="1" x14ac:dyDescent="0.4">
      <c r="B219" s="197"/>
    </row>
    <row r="220" spans="1:10" outlineLevel="1" x14ac:dyDescent="0.4">
      <c r="B220" s="190"/>
    </row>
    <row r="221" spans="1:10" outlineLevel="1" x14ac:dyDescent="0.4">
      <c r="C221" s="195"/>
      <c r="D221" s="195"/>
      <c r="E221" s="195"/>
      <c r="F221" s="195"/>
      <c r="G221" s="195"/>
      <c r="H221" s="195"/>
      <c r="I221" s="195"/>
      <c r="J221" s="195"/>
    </row>
    <row r="222" spans="1:10" outlineLevel="1" x14ac:dyDescent="0.4">
      <c r="C222" s="284"/>
      <c r="D222" s="284"/>
      <c r="E222" s="284"/>
      <c r="F222" s="285"/>
      <c r="G222" s="285"/>
      <c r="H222" s="285"/>
      <c r="I222" s="285"/>
      <c r="J222" s="285"/>
    </row>
    <row r="223" spans="1:10" outlineLevel="1" x14ac:dyDescent="0.4">
      <c r="B223" s="201"/>
      <c r="C223" s="284"/>
      <c r="D223" s="284"/>
      <c r="E223" s="284"/>
      <c r="F223" s="285"/>
      <c r="G223" s="285"/>
      <c r="H223" s="285"/>
      <c r="I223" s="285"/>
      <c r="J223" s="285"/>
    </row>
    <row r="224" spans="1:10" outlineLevel="1" x14ac:dyDescent="0.4">
      <c r="B224" s="271"/>
      <c r="C224" s="284"/>
      <c r="D224" s="284"/>
      <c r="E224" s="285"/>
    </row>
    <row r="225" spans="2:10" outlineLevel="1" x14ac:dyDescent="0.4">
      <c r="B225" s="271"/>
      <c r="C225" s="284"/>
      <c r="D225" s="284"/>
      <c r="E225" s="285"/>
      <c r="F225" s="284"/>
      <c r="G225" s="284"/>
      <c r="H225" s="284"/>
      <c r="I225" s="284"/>
      <c r="J225" s="284"/>
    </row>
    <row r="226" spans="2:10" outlineLevel="1" x14ac:dyDescent="0.4">
      <c r="B226" s="276"/>
      <c r="C226" s="284"/>
      <c r="D226" s="284"/>
      <c r="E226" s="284"/>
      <c r="F226" s="284"/>
      <c r="G226" s="284"/>
      <c r="H226" s="284"/>
      <c r="I226" s="284"/>
      <c r="J226" s="284"/>
    </row>
    <row r="227" spans="2:10" outlineLevel="1" x14ac:dyDescent="0.4">
      <c r="B227" s="278"/>
      <c r="C227" s="285"/>
      <c r="D227" s="285"/>
      <c r="E227" s="284"/>
      <c r="F227" s="284"/>
      <c r="G227" s="284"/>
      <c r="H227" s="284"/>
      <c r="I227" s="284"/>
      <c r="J227" s="284"/>
    </row>
    <row r="228" spans="2:10" outlineLevel="1" x14ac:dyDescent="0.4">
      <c r="B228" s="278"/>
      <c r="C228" s="285"/>
      <c r="D228" s="285"/>
      <c r="E228" s="284"/>
      <c r="F228" s="284"/>
      <c r="G228" s="284"/>
      <c r="H228" s="284"/>
      <c r="I228" s="284"/>
      <c r="J228" s="284"/>
    </row>
    <row r="229" spans="2:10" outlineLevel="1" x14ac:dyDescent="0.4">
      <c r="C229" s="285"/>
      <c r="D229" s="285"/>
      <c r="E229" s="284"/>
      <c r="F229" s="284"/>
      <c r="G229" s="284"/>
      <c r="H229" s="284"/>
      <c r="I229" s="284"/>
      <c r="J229" s="284"/>
    </row>
    <row r="230" spans="2:10" outlineLevel="1" x14ac:dyDescent="0.4">
      <c r="B230" s="201"/>
      <c r="C230" s="285"/>
      <c r="D230" s="285"/>
      <c r="E230" s="284"/>
      <c r="F230" s="285"/>
      <c r="G230" s="285"/>
      <c r="H230" s="285"/>
      <c r="I230" s="285"/>
      <c r="J230" s="285"/>
    </row>
    <row r="231" spans="2:10" outlineLevel="1" x14ac:dyDescent="0.4">
      <c r="B231" s="271"/>
      <c r="C231" s="284"/>
      <c r="D231" s="284"/>
      <c r="E231" s="285"/>
      <c r="F231" s="284"/>
      <c r="G231" s="284"/>
      <c r="H231" s="284"/>
      <c r="I231" s="284"/>
      <c r="J231" s="284"/>
    </row>
    <row r="232" spans="2:10" outlineLevel="1" x14ac:dyDescent="0.4">
      <c r="B232" s="271"/>
      <c r="C232" s="284"/>
      <c r="D232" s="284"/>
      <c r="E232" s="285"/>
      <c r="F232" s="284"/>
      <c r="G232" s="284"/>
      <c r="H232" s="284"/>
      <c r="I232" s="284"/>
      <c r="J232" s="284"/>
    </row>
    <row r="233" spans="2:10" outlineLevel="1" x14ac:dyDescent="0.4">
      <c r="C233" s="284"/>
      <c r="D233" s="284"/>
      <c r="E233" s="285"/>
      <c r="F233" s="284"/>
      <c r="G233" s="284"/>
      <c r="H233" s="284"/>
      <c r="I233" s="284"/>
      <c r="J233" s="284"/>
    </row>
    <row r="234" spans="2:10" outlineLevel="1" x14ac:dyDescent="0.4"/>
    <row r="235" spans="2:10" outlineLevel="1" x14ac:dyDescent="0.4"/>
    <row r="236" spans="2:10" outlineLevel="1" x14ac:dyDescent="0.4">
      <c r="B236" s="190"/>
    </row>
    <row r="237" spans="2:10" outlineLevel="1" x14ac:dyDescent="0.4">
      <c r="B237" s="197"/>
    </row>
    <row r="238" spans="2:10" outlineLevel="1" x14ac:dyDescent="0.4">
      <c r="B238" s="183"/>
    </row>
    <row r="239" spans="2:10" outlineLevel="1" x14ac:dyDescent="0.4">
      <c r="C239" s="195"/>
      <c r="D239" s="195"/>
      <c r="E239" s="195"/>
      <c r="F239" s="195"/>
      <c r="H239" s="190"/>
      <c r="I239" s="195"/>
      <c r="J239" s="195"/>
    </row>
    <row r="240" spans="2:10" outlineLevel="1" x14ac:dyDescent="0.4">
      <c r="F240" s="281"/>
    </row>
    <row r="241" spans="1:12" outlineLevel="1" x14ac:dyDescent="0.4">
      <c r="B241" s="201"/>
      <c r="C241" s="285"/>
      <c r="D241" s="285"/>
      <c r="E241" s="285"/>
      <c r="F241" s="274"/>
      <c r="H241" s="282"/>
    </row>
    <row r="242" spans="1:12" outlineLevel="1" x14ac:dyDescent="0.4">
      <c r="B242" s="271"/>
      <c r="C242" s="285"/>
      <c r="D242" s="285"/>
      <c r="E242" s="285"/>
      <c r="F242" s="275"/>
      <c r="H242" s="191"/>
      <c r="I242" s="292"/>
      <c r="J242" s="292"/>
    </row>
    <row r="243" spans="1:12" outlineLevel="1" x14ac:dyDescent="0.4">
      <c r="B243" s="271"/>
      <c r="C243" s="285"/>
      <c r="D243" s="285"/>
      <c r="E243" s="285"/>
      <c r="F243" s="275"/>
      <c r="H243" s="191"/>
      <c r="I243" s="292"/>
      <c r="J243" s="292"/>
    </row>
    <row r="244" spans="1:12" outlineLevel="1" x14ac:dyDescent="0.4">
      <c r="C244" s="285"/>
      <c r="D244" s="285"/>
      <c r="E244" s="285"/>
      <c r="F244" s="275"/>
      <c r="H244" s="191"/>
      <c r="I244" s="283"/>
      <c r="J244" s="283"/>
    </row>
    <row r="245" spans="1:12" outlineLevel="1" x14ac:dyDescent="0.4">
      <c r="B245" s="201"/>
      <c r="C245" s="285"/>
      <c r="D245" s="285"/>
      <c r="E245" s="285"/>
      <c r="F245" s="275"/>
      <c r="H245" s="282"/>
      <c r="I245" s="263"/>
      <c r="J245" s="263"/>
    </row>
    <row r="246" spans="1:12" outlineLevel="1" x14ac:dyDescent="0.4">
      <c r="B246" s="271"/>
      <c r="C246" s="285"/>
      <c r="D246" s="285"/>
      <c r="E246" s="285"/>
      <c r="F246" s="275"/>
      <c r="H246" s="191"/>
      <c r="I246" s="292"/>
      <c r="J246" s="292"/>
    </row>
    <row r="247" spans="1:12" outlineLevel="1" x14ac:dyDescent="0.4">
      <c r="B247" s="271"/>
      <c r="C247" s="285"/>
      <c r="D247" s="285"/>
      <c r="E247" s="285"/>
      <c r="F247" s="275"/>
    </row>
    <row r="248" spans="1:12" outlineLevel="1" x14ac:dyDescent="0.4"/>
    <row r="249" spans="1:12" outlineLevel="1" x14ac:dyDescent="0.4"/>
    <row r="250" spans="1:12" outlineLevel="1" x14ac:dyDescent="0.4"/>
    <row r="251" spans="1:12" outlineLevel="1" x14ac:dyDescent="0.4"/>
    <row r="252" spans="1:12" outlineLevel="1" x14ac:dyDescent="0.4">
      <c r="A252" s="284"/>
      <c r="B252" s="190"/>
      <c r="C252" s="204"/>
      <c r="E252" s="204"/>
    </row>
    <row r="253" spans="1:12" outlineLevel="1" x14ac:dyDescent="0.4">
      <c r="C253" s="204"/>
      <c r="E253" s="204"/>
    </row>
    <row r="254" spans="1:12" outlineLevel="1" x14ac:dyDescent="0.4">
      <c r="C254" s="195"/>
      <c r="D254" s="195"/>
      <c r="E254" s="195"/>
      <c r="F254" s="195"/>
      <c r="G254" s="195"/>
      <c r="H254" s="195"/>
      <c r="I254" s="195"/>
      <c r="J254" s="195"/>
      <c r="K254" s="195"/>
      <c r="L254" s="195"/>
    </row>
    <row r="255" spans="1:12" outlineLevel="1" x14ac:dyDescent="0.4"/>
    <row r="256" spans="1:12" outlineLevel="1" x14ac:dyDescent="0.4">
      <c r="B256" s="198"/>
      <c r="C256" s="268"/>
      <c r="D256" s="268"/>
      <c r="E256" s="287"/>
      <c r="F256" s="268"/>
      <c r="G256" s="268"/>
      <c r="H256" s="268"/>
      <c r="I256" s="268"/>
      <c r="J256" s="268"/>
      <c r="K256" s="287"/>
      <c r="L256" s="287"/>
    </row>
    <row r="257" spans="2:12" ht="14.7" outlineLevel="1" x14ac:dyDescent="0.7">
      <c r="B257" s="198"/>
      <c r="C257" s="288"/>
      <c r="D257" s="288"/>
      <c r="E257" s="288"/>
      <c r="F257" s="294"/>
      <c r="G257" s="294"/>
      <c r="H257" s="294"/>
      <c r="I257" s="294"/>
      <c r="J257" s="294"/>
      <c r="K257" s="289"/>
      <c r="L257" s="289"/>
    </row>
    <row r="258" spans="2:12" outlineLevel="1" x14ac:dyDescent="0.4">
      <c r="B258" s="198"/>
      <c r="C258" s="200"/>
      <c r="D258" s="200"/>
      <c r="E258" s="200"/>
      <c r="F258" s="200"/>
      <c r="G258" s="200"/>
      <c r="H258" s="200"/>
      <c r="I258" s="200"/>
      <c r="J258" s="200"/>
      <c r="K258" s="200"/>
      <c r="L258" s="200"/>
    </row>
    <row r="259" spans="2:12" outlineLevel="1" x14ac:dyDescent="0.4">
      <c r="B259" s="198"/>
      <c r="C259" s="200"/>
      <c r="D259" s="200"/>
      <c r="E259" s="200"/>
      <c r="F259" s="200"/>
      <c r="G259" s="200"/>
      <c r="H259" s="200"/>
      <c r="I259" s="200"/>
      <c r="J259" s="200"/>
      <c r="K259" s="200"/>
      <c r="L259" s="200"/>
    </row>
    <row r="260" spans="2:12" outlineLevel="1" x14ac:dyDescent="0.4">
      <c r="B260" s="198"/>
      <c r="C260" s="200"/>
      <c r="D260" s="200"/>
      <c r="E260" s="200"/>
      <c r="F260" s="200"/>
      <c r="G260" s="200"/>
      <c r="H260" s="200"/>
      <c r="I260" s="200"/>
      <c r="J260" s="200"/>
      <c r="K260" s="200"/>
      <c r="L260" s="200"/>
    </row>
    <row r="261" spans="2:12" ht="14.7" outlineLevel="1" x14ac:dyDescent="0.7">
      <c r="B261" s="198"/>
      <c r="C261" s="267"/>
      <c r="E261" s="204"/>
    </row>
    <row r="262" spans="2:12" outlineLevel="1" x14ac:dyDescent="0.4">
      <c r="B262" s="198"/>
      <c r="C262" s="200"/>
      <c r="E262" s="204"/>
    </row>
    <row r="263" spans="2:12" outlineLevel="1" x14ac:dyDescent="0.4">
      <c r="B263" s="198"/>
      <c r="C263" s="204"/>
      <c r="E263" s="204"/>
    </row>
    <row r="264" spans="2:12" outlineLevel="1" x14ac:dyDescent="0.4">
      <c r="C264" s="195"/>
      <c r="D264" s="195"/>
      <c r="E264" s="195"/>
      <c r="F264" s="195"/>
      <c r="G264" s="195"/>
      <c r="H264" s="195"/>
      <c r="I264" s="195"/>
      <c r="J264" s="195"/>
      <c r="K264" s="195"/>
      <c r="L264" s="195"/>
    </row>
    <row r="265" spans="2:12" outlineLevel="1" x14ac:dyDescent="0.4"/>
    <row r="266" spans="2:12" outlineLevel="1" x14ac:dyDescent="0.4">
      <c r="C266" s="295"/>
      <c r="D266" s="295"/>
      <c r="E266" s="295"/>
    </row>
    <row r="267" spans="2:12" outlineLevel="1" x14ac:dyDescent="0.4">
      <c r="B267" s="198"/>
      <c r="C267" s="200"/>
      <c r="D267" s="194"/>
      <c r="E267" s="200"/>
    </row>
    <row r="268" spans="2:12" outlineLevel="1" x14ac:dyDescent="0.4">
      <c r="B268" s="198"/>
      <c r="C268" s="296"/>
      <c r="D268" s="202"/>
      <c r="E268" s="296"/>
    </row>
    <row r="269" spans="2:12" outlineLevel="1" x14ac:dyDescent="0.4">
      <c r="B269" s="198"/>
      <c r="C269" s="200"/>
      <c r="D269" s="200"/>
      <c r="E269" s="200"/>
      <c r="G269" s="198"/>
    </row>
    <row r="270" spans="2:12" outlineLevel="1" x14ac:dyDescent="0.4">
      <c r="C270" s="204"/>
      <c r="E270" s="204"/>
      <c r="G270" s="198"/>
    </row>
    <row r="271" spans="2:12" outlineLevel="1" x14ac:dyDescent="0.4">
      <c r="B271" s="291"/>
      <c r="C271" s="200"/>
      <c r="E271" s="293"/>
      <c r="G271" s="293"/>
    </row>
    <row r="272" spans="2:12" outlineLevel="1" x14ac:dyDescent="0.4">
      <c r="B272" s="198"/>
      <c r="C272" s="200"/>
      <c r="E272" s="104"/>
    </row>
    <row r="273" spans="2:5" outlineLevel="1" x14ac:dyDescent="0.4">
      <c r="B273" s="198"/>
      <c r="C273" s="296"/>
      <c r="E273" s="108"/>
    </row>
    <row r="274" spans="2:5" outlineLevel="1" x14ac:dyDescent="0.4">
      <c r="B274" s="198"/>
      <c r="C274" s="200"/>
      <c r="E274" s="104"/>
    </row>
    <row r="275" spans="2:5" outlineLevel="1" x14ac:dyDescent="0.4"/>
  </sheetData>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4 of 5</oddFooter>
  </headerFooter>
  <rowBreaks count="7" manualBreakCount="7">
    <brk id="34" max="9" man="1"/>
    <brk id="80" max="9" man="1"/>
    <brk id="116" max="9" man="1"/>
    <brk id="152" max="9" man="1"/>
    <brk id="188" max="9" man="1"/>
    <brk id="213" max="11" man="1"/>
    <brk id="25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4"/>
  <sheetViews>
    <sheetView view="pageBreakPreview" zoomScale="80" zoomScaleNormal="100" zoomScaleSheetLayoutView="80" workbookViewId="0"/>
  </sheetViews>
  <sheetFormatPr defaultColWidth="9.1171875" defaultRowHeight="12.7" outlineLevelRow="1" x14ac:dyDescent="0.4"/>
  <cols>
    <col min="1" max="1" width="12.29296875" style="179" bestFit="1" customWidth="1"/>
    <col min="2" max="2" width="46" style="179" customWidth="1"/>
    <col min="3" max="3" width="17.87890625" style="179" customWidth="1"/>
    <col min="4" max="5" width="13.1171875" style="179" customWidth="1"/>
    <col min="6" max="7" width="12.1171875" style="179" customWidth="1"/>
    <col min="8" max="8" width="11.87890625" style="179" customWidth="1"/>
    <col min="9" max="9" width="11" style="179" customWidth="1"/>
    <col min="10" max="10" width="13.1171875" style="179" customWidth="1"/>
    <col min="11" max="11" width="12.5859375" style="179" customWidth="1"/>
    <col min="12" max="12" width="21" style="179" customWidth="1"/>
    <col min="13" max="13" width="14.29296875" style="179" bestFit="1" customWidth="1"/>
    <col min="14" max="14" width="24.1171875" style="179" bestFit="1" customWidth="1"/>
    <col min="15" max="16" width="10.87890625" style="179" bestFit="1" customWidth="1"/>
    <col min="17" max="17" width="14.41015625" style="179" bestFit="1" customWidth="1"/>
    <col min="18" max="16384" width="9.1171875" style="179"/>
  </cols>
  <sheetData>
    <row r="1" spans="1:11" ht="20" x14ac:dyDescent="0.6">
      <c r="A1" s="249" t="s">
        <v>391</v>
      </c>
    </row>
    <row r="2" spans="1:11" ht="15.35" x14ac:dyDescent="0.5">
      <c r="A2" s="180" t="s">
        <v>406</v>
      </c>
    </row>
    <row r="3" spans="1:11" x14ac:dyDescent="0.4">
      <c r="A3" s="250" t="s">
        <v>417</v>
      </c>
    </row>
    <row r="5" spans="1:11" x14ac:dyDescent="0.4">
      <c r="A5" s="251" t="s">
        <v>238</v>
      </c>
      <c r="B5" s="190" t="s">
        <v>260</v>
      </c>
    </row>
    <row r="6" spans="1:11" ht="51" customHeight="1" x14ac:dyDescent="0.4">
      <c r="A6" s="198" t="s">
        <v>200</v>
      </c>
      <c r="B6" s="190" t="s">
        <v>393</v>
      </c>
      <c r="C6" s="181" t="s">
        <v>394</v>
      </c>
      <c r="D6" s="181" t="s">
        <v>407</v>
      </c>
      <c r="E6" s="181" t="s">
        <v>408</v>
      </c>
      <c r="G6" s="181" t="s">
        <v>201</v>
      </c>
    </row>
    <row r="8" spans="1:11" x14ac:dyDescent="0.4">
      <c r="A8" s="198">
        <v>1</v>
      </c>
      <c r="B8" s="190" t="s">
        <v>202</v>
      </c>
      <c r="C8" s="80">
        <f>auction_results_and_rates!E8</f>
        <v>64.39</v>
      </c>
      <c r="D8" s="80">
        <f>C8</f>
        <v>64.39</v>
      </c>
      <c r="E8" s="80">
        <f>D8</f>
        <v>64.39</v>
      </c>
      <c r="G8" s="1" t="s">
        <v>396</v>
      </c>
    </row>
    <row r="9" spans="1:11" x14ac:dyDescent="0.4">
      <c r="A9" s="252" t="s">
        <v>337</v>
      </c>
      <c r="B9" s="190" t="s">
        <v>409</v>
      </c>
      <c r="C9" s="253">
        <f>'Att 4-3'!C21</f>
        <v>0.39</v>
      </c>
      <c r="D9" s="254"/>
      <c r="E9" s="254"/>
      <c r="G9" s="172" t="s">
        <v>410</v>
      </c>
    </row>
    <row r="10" spans="1:11" x14ac:dyDescent="0.4">
      <c r="A10" s="198" t="s">
        <v>340</v>
      </c>
      <c r="B10" s="190" t="s">
        <v>307</v>
      </c>
      <c r="C10" s="255">
        <f>C8+C9</f>
        <v>64.78</v>
      </c>
      <c r="D10" s="255">
        <f t="shared" ref="D10:E10" si="0">D8+D9</f>
        <v>64.39</v>
      </c>
      <c r="E10" s="255">
        <f t="shared" si="0"/>
        <v>64.39</v>
      </c>
      <c r="G10" s="175" t="s">
        <v>411</v>
      </c>
    </row>
    <row r="11" spans="1:11" x14ac:dyDescent="0.4">
      <c r="A11" s="198"/>
      <c r="B11" s="190"/>
      <c r="C11" s="255"/>
      <c r="D11" s="255"/>
      <c r="E11" s="255"/>
      <c r="G11" s="256"/>
    </row>
    <row r="12" spans="1:11" x14ac:dyDescent="0.4">
      <c r="A12" s="198">
        <v>2</v>
      </c>
      <c r="B12" s="238" t="s">
        <v>305</v>
      </c>
      <c r="C12" s="257">
        <f>auction_results_and_rates!E14</f>
        <v>29</v>
      </c>
      <c r="D12" s="257">
        <f>auction_results_and_rates!C14</f>
        <v>28</v>
      </c>
      <c r="E12" s="257">
        <f>auction_results_and_rates!D14</f>
        <v>28</v>
      </c>
      <c r="G12" s="1" t="s">
        <v>203</v>
      </c>
    </row>
    <row r="13" spans="1:11" x14ac:dyDescent="0.4">
      <c r="A13" s="198">
        <v>3</v>
      </c>
      <c r="B13" s="190" t="s">
        <v>306</v>
      </c>
      <c r="C13" s="257">
        <v>85</v>
      </c>
      <c r="D13" s="257">
        <v>85</v>
      </c>
      <c r="E13" s="257">
        <v>85</v>
      </c>
      <c r="G13" s="1" t="s">
        <v>203</v>
      </c>
    </row>
    <row r="14" spans="1:11" x14ac:dyDescent="0.4">
      <c r="A14" s="198"/>
      <c r="B14" s="190"/>
      <c r="C14" s="257"/>
      <c r="D14" s="257"/>
      <c r="E14" s="257"/>
      <c r="G14" s="1"/>
    </row>
    <row r="15" spans="1:11" x14ac:dyDescent="0.4">
      <c r="A15" s="198"/>
      <c r="B15" s="190" t="s">
        <v>204</v>
      </c>
    </row>
    <row r="16" spans="1:11" x14ac:dyDescent="0.4">
      <c r="A16" s="198">
        <v>4</v>
      </c>
      <c r="B16" s="66" t="s">
        <v>205</v>
      </c>
      <c r="C16" s="88">
        <v>1</v>
      </c>
      <c r="D16" s="88">
        <v>1</v>
      </c>
      <c r="E16" s="88">
        <v>1</v>
      </c>
      <c r="G16" s="1" t="s">
        <v>400</v>
      </c>
      <c r="K16" s="258"/>
    </row>
    <row r="17" spans="1:12" x14ac:dyDescent="0.4">
      <c r="A17" s="198">
        <v>5</v>
      </c>
      <c r="B17" s="66" t="s">
        <v>206</v>
      </c>
      <c r="C17" s="88">
        <v>1</v>
      </c>
      <c r="D17" s="88">
        <v>1</v>
      </c>
      <c r="E17" s="88">
        <v>1</v>
      </c>
      <c r="G17" s="1" t="s">
        <v>400</v>
      </c>
      <c r="K17" s="258"/>
    </row>
    <row r="18" spans="1:12" x14ac:dyDescent="0.4">
      <c r="A18" s="198"/>
      <c r="E18" s="88"/>
    </row>
    <row r="19" spans="1:12" x14ac:dyDescent="0.4">
      <c r="A19" s="198"/>
      <c r="B19" s="6" t="s">
        <v>401</v>
      </c>
    </row>
    <row r="20" spans="1:12" x14ac:dyDescent="0.4">
      <c r="A20" s="198">
        <v>6</v>
      </c>
      <c r="B20" s="179" t="s">
        <v>207</v>
      </c>
      <c r="C20" s="199">
        <f>auction_results_and_rates!C21</f>
        <v>10172362.989531239</v>
      </c>
      <c r="D20" s="196"/>
      <c r="E20" s="196"/>
      <c r="G20" s="1" t="s">
        <v>402</v>
      </c>
    </row>
    <row r="21" spans="1:12" x14ac:dyDescent="0.4">
      <c r="A21" s="198">
        <v>7</v>
      </c>
      <c r="B21" s="179" t="s">
        <v>208</v>
      </c>
      <c r="C21" s="199">
        <f>auction_results_and_rates!C22</f>
        <v>15537322.941141158</v>
      </c>
      <c r="D21" s="196"/>
      <c r="E21" s="196"/>
    </row>
    <row r="22" spans="1:12" x14ac:dyDescent="0.4">
      <c r="A22" s="198"/>
    </row>
    <row r="23" spans="1:12" x14ac:dyDescent="0.4">
      <c r="A23" s="198"/>
      <c r="B23" s="190" t="s">
        <v>268</v>
      </c>
    </row>
    <row r="24" spans="1:12" x14ac:dyDescent="0.4">
      <c r="A24" s="198">
        <v>8</v>
      </c>
      <c r="B24" s="66" t="s">
        <v>205</v>
      </c>
      <c r="C24" s="297">
        <f>((+C$8)*C$12/C$13*C16*$C20/1000) + (+C$9*C$12/C$13*$C20/1000)</f>
        <v>224823.58305168443</v>
      </c>
      <c r="D24" s="297">
        <f t="shared" ref="D24:E25" si="1">((+D$8)*D$12/D$13*D16*$C20/1000) + (+D$9*D$12/D$13*$C20/1000)</f>
        <v>215764.19624806664</v>
      </c>
      <c r="E24" s="297">
        <f t="shared" si="1"/>
        <v>215764.19624806664</v>
      </c>
      <c r="F24" s="260"/>
      <c r="G24" s="175" t="s">
        <v>412</v>
      </c>
      <c r="J24" s="200"/>
      <c r="L24" s="200"/>
    </row>
    <row r="25" spans="1:12" ht="14.7" x14ac:dyDescent="0.7">
      <c r="A25" s="198">
        <v>9</v>
      </c>
      <c r="B25" s="66" t="s">
        <v>206</v>
      </c>
      <c r="C25" s="261">
        <f>((+C$8)*C$12/C$13*C17*$C21/1000) + (+C$9*C$12/C$13*$C21/1000)</f>
        <v>343396.77204337181</v>
      </c>
      <c r="D25" s="261">
        <f t="shared" si="1"/>
        <v>329559.41502402612</v>
      </c>
      <c r="E25" s="261">
        <f t="shared" si="1"/>
        <v>329559.41502402612</v>
      </c>
      <c r="F25" s="260"/>
      <c r="G25" s="175" t="s">
        <v>413</v>
      </c>
    </row>
    <row r="26" spans="1:12" x14ac:dyDescent="0.4">
      <c r="A26" s="198">
        <v>10</v>
      </c>
      <c r="B26" s="179" t="s">
        <v>209</v>
      </c>
      <c r="C26" s="200">
        <f>+C25+C24</f>
        <v>568220.35509505623</v>
      </c>
      <c r="D26" s="200">
        <f>+D25+D24</f>
        <v>545323.61127209279</v>
      </c>
      <c r="E26" s="200">
        <f>+E25+E24</f>
        <v>545323.61127209279</v>
      </c>
      <c r="J26" s="200"/>
      <c r="L26" s="200"/>
    </row>
    <row r="27" spans="1:12" x14ac:dyDescent="0.4">
      <c r="A27" s="198"/>
    </row>
    <row r="28" spans="1:12" x14ac:dyDescent="0.4">
      <c r="A28" s="198"/>
      <c r="B28" s="190" t="s">
        <v>269</v>
      </c>
    </row>
    <row r="29" spans="1:12" x14ac:dyDescent="0.4">
      <c r="A29" s="198">
        <v>11</v>
      </c>
      <c r="B29" s="66" t="s">
        <v>205</v>
      </c>
      <c r="C29" s="262">
        <f>ROUND(+SUM(C24:E24)/C20*1000,3)</f>
        <v>64.522999999999996</v>
      </c>
      <c r="D29" s="263"/>
      <c r="G29" s="175" t="s">
        <v>403</v>
      </c>
    </row>
    <row r="30" spans="1:12" x14ac:dyDescent="0.4">
      <c r="A30" s="198">
        <v>12</v>
      </c>
      <c r="B30" s="66" t="s">
        <v>206</v>
      </c>
      <c r="C30" s="192">
        <f>ROUND(+SUM(C25:E25)/C21*1000,3)</f>
        <v>64.522999999999996</v>
      </c>
      <c r="G30" s="175" t="s">
        <v>404</v>
      </c>
    </row>
    <row r="31" spans="1:12" x14ac:dyDescent="0.4">
      <c r="A31" s="198"/>
      <c r="B31" s="66"/>
      <c r="C31" s="264"/>
      <c r="G31" s="193"/>
    </row>
    <row r="32" spans="1:12" x14ac:dyDescent="0.4">
      <c r="A32" s="198">
        <v>13</v>
      </c>
      <c r="B32" s="179" t="s">
        <v>213</v>
      </c>
      <c r="C32" s="265">
        <f>ROUND(+SUM(C26:E26)/(C20+C21)*1000,3)</f>
        <v>64.522999999999996</v>
      </c>
      <c r="D32" s="179" t="s">
        <v>211</v>
      </c>
      <c r="G32" s="175" t="s">
        <v>210</v>
      </c>
    </row>
    <row r="33" spans="1:13" x14ac:dyDescent="0.4">
      <c r="D33" s="179" t="s">
        <v>212</v>
      </c>
      <c r="G33" s="1" t="s">
        <v>405</v>
      </c>
    </row>
    <row r="34" spans="1:13" x14ac:dyDescent="0.4">
      <c r="C34" s="263"/>
    </row>
    <row r="35" spans="1:13" x14ac:dyDescent="0.4">
      <c r="B35" s="266"/>
      <c r="D35" s="263"/>
    </row>
    <row r="36" spans="1:13" x14ac:dyDescent="0.4">
      <c r="A36" s="198"/>
      <c r="B36" s="191"/>
      <c r="C36" s="200"/>
      <c r="D36" s="263"/>
      <c r="G36" s="193"/>
    </row>
    <row r="37" spans="1:13" ht="14.7" x14ac:dyDescent="0.7">
      <c r="A37" s="198"/>
      <c r="B37" s="191"/>
      <c r="C37" s="267"/>
      <c r="D37" s="263"/>
      <c r="G37" s="193"/>
    </row>
    <row r="38" spans="1:13" x14ac:dyDescent="0.4">
      <c r="A38" s="198"/>
      <c r="B38" s="191"/>
      <c r="C38" s="268"/>
      <c r="D38" s="263"/>
      <c r="G38" s="193"/>
    </row>
    <row r="39" spans="1:13" x14ac:dyDescent="0.4">
      <c r="B39" s="191"/>
      <c r="D39" s="263"/>
    </row>
    <row r="41" spans="1:13" x14ac:dyDescent="0.4">
      <c r="A41" s="269"/>
      <c r="B41" s="190"/>
      <c r="G41" s="197"/>
    </row>
    <row r="42" spans="1:13" x14ac:dyDescent="0.4">
      <c r="A42" s="269"/>
      <c r="B42" s="190"/>
      <c r="G42" s="197"/>
    </row>
    <row r="43" spans="1:13" x14ac:dyDescent="0.4">
      <c r="B43" s="190"/>
    </row>
    <row r="44" spans="1:13" x14ac:dyDescent="0.4">
      <c r="B44" s="197"/>
    </row>
    <row r="45" spans="1:13" x14ac:dyDescent="0.4">
      <c r="B45" s="190"/>
    </row>
    <row r="46" spans="1:13" x14ac:dyDescent="0.4">
      <c r="C46" s="195"/>
      <c r="D46" s="195"/>
      <c r="E46" s="195"/>
      <c r="F46" s="195"/>
      <c r="G46" s="195"/>
      <c r="H46" s="195"/>
      <c r="I46" s="195"/>
      <c r="J46" s="195"/>
    </row>
    <row r="47" spans="1:13" x14ac:dyDescent="0.4">
      <c r="C47" s="195"/>
      <c r="D47" s="195"/>
      <c r="E47" s="195"/>
      <c r="F47" s="195"/>
      <c r="G47" s="195"/>
    </row>
    <row r="48" spans="1:13" x14ac:dyDescent="0.4">
      <c r="B48" s="201"/>
      <c r="E48" s="270"/>
      <c r="F48" s="71"/>
      <c r="G48" s="71"/>
      <c r="H48" s="71"/>
      <c r="I48" s="270"/>
      <c r="J48" s="270"/>
      <c r="K48" s="204"/>
      <c r="L48" s="204"/>
      <c r="M48" s="204"/>
    </row>
    <row r="49" spans="2:13" x14ac:dyDescent="0.4">
      <c r="B49" s="271"/>
      <c r="C49" s="59"/>
      <c r="D49" s="272"/>
      <c r="E49" s="71"/>
      <c r="F49" s="270"/>
      <c r="G49" s="270"/>
      <c r="H49" s="270"/>
      <c r="I49" s="183"/>
      <c r="J49" s="273"/>
      <c r="K49" s="204"/>
      <c r="L49" s="204"/>
      <c r="M49" s="204"/>
    </row>
    <row r="50" spans="2:13" x14ac:dyDescent="0.4">
      <c r="B50" s="271"/>
      <c r="C50" s="59"/>
      <c r="D50" s="272"/>
      <c r="E50" s="71"/>
      <c r="F50" s="270"/>
      <c r="G50" s="270"/>
      <c r="H50" s="274"/>
      <c r="I50" s="183"/>
      <c r="J50" s="273"/>
      <c r="K50" s="275"/>
      <c r="L50" s="204"/>
      <c r="M50" s="204"/>
    </row>
    <row r="51" spans="2:13" x14ac:dyDescent="0.4">
      <c r="E51" s="59"/>
      <c r="F51" s="272"/>
      <c r="G51" s="272"/>
      <c r="L51" s="204"/>
      <c r="M51" s="204"/>
    </row>
    <row r="52" spans="2:13" x14ac:dyDescent="0.4">
      <c r="B52" s="276"/>
      <c r="C52" s="71"/>
      <c r="D52" s="71"/>
      <c r="E52" s="59"/>
      <c r="F52" s="272"/>
      <c r="G52" s="272"/>
      <c r="H52" s="272"/>
      <c r="I52" s="272"/>
      <c r="J52" s="272"/>
      <c r="K52" s="204"/>
      <c r="L52" s="204"/>
      <c r="M52" s="204"/>
    </row>
    <row r="53" spans="2:13" x14ac:dyDescent="0.4">
      <c r="B53" s="276"/>
      <c r="C53" s="277"/>
      <c r="D53" s="277"/>
      <c r="E53" s="278"/>
      <c r="F53" s="272"/>
      <c r="G53" s="272"/>
      <c r="H53" s="272"/>
      <c r="I53" s="272"/>
      <c r="J53" s="272"/>
      <c r="K53" s="204"/>
      <c r="L53" s="204"/>
      <c r="M53" s="204"/>
    </row>
    <row r="54" spans="2:13" x14ac:dyDescent="0.4">
      <c r="B54" s="276"/>
      <c r="C54" s="277"/>
      <c r="D54" s="277"/>
      <c r="E54" s="278"/>
      <c r="F54" s="272"/>
      <c r="G54" s="272"/>
      <c r="H54" s="272"/>
      <c r="I54" s="272"/>
      <c r="J54" s="272"/>
      <c r="K54" s="204"/>
      <c r="L54" s="204"/>
      <c r="M54" s="204"/>
    </row>
    <row r="55" spans="2:13" x14ac:dyDescent="0.4">
      <c r="G55" s="272"/>
      <c r="H55" s="272"/>
      <c r="I55" s="272"/>
      <c r="J55" s="272"/>
      <c r="K55" s="204"/>
      <c r="L55" s="204"/>
      <c r="M55" s="204"/>
    </row>
    <row r="56" spans="2:13" x14ac:dyDescent="0.4">
      <c r="H56" s="272"/>
      <c r="I56" s="272"/>
      <c r="J56" s="272"/>
      <c r="K56" s="204"/>
      <c r="L56" s="204"/>
      <c r="M56" s="204"/>
    </row>
    <row r="57" spans="2:13" x14ac:dyDescent="0.4">
      <c r="C57" s="272"/>
      <c r="D57" s="272"/>
      <c r="E57" s="272"/>
      <c r="F57" s="272"/>
      <c r="G57" s="272"/>
      <c r="H57" s="272"/>
      <c r="I57" s="272"/>
      <c r="J57" s="272"/>
      <c r="K57" s="204"/>
      <c r="L57" s="204"/>
      <c r="M57" s="204"/>
    </row>
    <row r="58" spans="2:13" x14ac:dyDescent="0.4">
      <c r="B58" s="201"/>
      <c r="C58" s="71"/>
      <c r="D58" s="71"/>
      <c r="E58" s="270"/>
      <c r="F58" s="71"/>
      <c r="G58" s="71"/>
      <c r="H58" s="71"/>
      <c r="I58" s="270"/>
      <c r="J58" s="270"/>
      <c r="K58" s="204"/>
      <c r="L58" s="204"/>
      <c r="M58" s="204"/>
    </row>
    <row r="59" spans="2:13" x14ac:dyDescent="0.4">
      <c r="B59" s="271"/>
      <c r="C59" s="272"/>
      <c r="D59" s="272"/>
      <c r="E59" s="71"/>
      <c r="F59" s="272"/>
      <c r="G59" s="272"/>
      <c r="H59" s="272"/>
      <c r="J59" s="273"/>
      <c r="K59" s="204"/>
      <c r="L59" s="204"/>
      <c r="M59" s="204"/>
    </row>
    <row r="60" spans="2:13" x14ac:dyDescent="0.4">
      <c r="B60" s="271"/>
      <c r="C60" s="272"/>
      <c r="D60" s="272"/>
      <c r="E60" s="71"/>
      <c r="F60" s="272"/>
      <c r="G60" s="272"/>
      <c r="J60" s="273"/>
      <c r="K60" s="275"/>
      <c r="L60" s="204"/>
      <c r="M60" s="204"/>
    </row>
    <row r="61" spans="2:13" x14ac:dyDescent="0.4">
      <c r="C61" s="279"/>
      <c r="D61" s="279"/>
      <c r="E61" s="279"/>
      <c r="F61" s="279"/>
      <c r="G61" s="279"/>
      <c r="K61" s="204"/>
      <c r="L61" s="204"/>
      <c r="M61" s="204"/>
    </row>
    <row r="62" spans="2:13" x14ac:dyDescent="0.4">
      <c r="C62" s="280"/>
      <c r="D62" s="280"/>
      <c r="E62" s="280"/>
      <c r="F62" s="280"/>
      <c r="G62" s="280"/>
      <c r="H62" s="280"/>
      <c r="I62" s="280"/>
      <c r="J62" s="280"/>
      <c r="K62" s="204"/>
      <c r="L62" s="204"/>
      <c r="M62" s="204"/>
    </row>
    <row r="65" spans="2:11" x14ac:dyDescent="0.4">
      <c r="B65" s="190"/>
    </row>
    <row r="66" spans="2:11" x14ac:dyDescent="0.4">
      <c r="B66" s="197"/>
    </row>
    <row r="67" spans="2:11" x14ac:dyDescent="0.4">
      <c r="B67" s="183"/>
    </row>
    <row r="68" spans="2:11" x14ac:dyDescent="0.4">
      <c r="C68" s="195"/>
      <c r="D68" s="195"/>
      <c r="E68" s="195"/>
      <c r="F68" s="195"/>
      <c r="H68" s="190"/>
      <c r="I68" s="195"/>
      <c r="J68" s="195"/>
    </row>
    <row r="69" spans="2:11" x14ac:dyDescent="0.4">
      <c r="C69" s="195"/>
      <c r="D69" s="281"/>
      <c r="E69" s="195"/>
      <c r="F69" s="281"/>
    </row>
    <row r="70" spans="2:11" x14ac:dyDescent="0.4">
      <c r="B70" s="201"/>
      <c r="C70" s="71"/>
      <c r="D70" s="275"/>
      <c r="E70" s="274"/>
      <c r="F70" s="274"/>
      <c r="H70" s="282"/>
    </row>
    <row r="71" spans="2:11" x14ac:dyDescent="0.4">
      <c r="B71" s="271"/>
      <c r="C71" s="270"/>
      <c r="D71" s="275"/>
      <c r="E71" s="71"/>
      <c r="F71" s="275"/>
      <c r="H71" s="191"/>
      <c r="I71" s="283"/>
      <c r="J71" s="283"/>
      <c r="K71" s="193"/>
    </row>
    <row r="72" spans="2:11" x14ac:dyDescent="0.4">
      <c r="B72" s="271"/>
      <c r="C72" s="270"/>
      <c r="D72" s="275"/>
      <c r="E72" s="71"/>
      <c r="F72" s="275"/>
      <c r="H72" s="191"/>
      <c r="I72" s="283"/>
      <c r="J72" s="283"/>
      <c r="K72" s="193"/>
    </row>
    <row r="73" spans="2:11" x14ac:dyDescent="0.4">
      <c r="C73" s="270"/>
      <c r="D73" s="275"/>
      <c r="E73" s="270"/>
      <c r="F73" s="275"/>
      <c r="H73" s="191"/>
      <c r="I73" s="283"/>
      <c r="J73" s="283"/>
      <c r="K73" s="193"/>
    </row>
    <row r="74" spans="2:11" x14ac:dyDescent="0.4">
      <c r="B74" s="201"/>
      <c r="C74" s="71"/>
      <c r="D74" s="275"/>
      <c r="E74" s="71"/>
      <c r="F74" s="275"/>
      <c r="H74" s="282"/>
      <c r="I74" s="263"/>
      <c r="J74" s="263"/>
    </row>
    <row r="75" spans="2:11" x14ac:dyDescent="0.4">
      <c r="B75" s="271"/>
      <c r="C75" s="270"/>
      <c r="D75" s="274"/>
      <c r="E75" s="71"/>
      <c r="F75" s="275"/>
      <c r="H75" s="191"/>
      <c r="I75" s="283"/>
      <c r="J75" s="283"/>
      <c r="K75" s="193"/>
    </row>
    <row r="76" spans="2:11" x14ac:dyDescent="0.4">
      <c r="B76" s="271"/>
      <c r="C76" s="270"/>
      <c r="D76" s="274"/>
      <c r="E76" s="71"/>
      <c r="F76" s="275"/>
    </row>
    <row r="77" spans="2:11" x14ac:dyDescent="0.4">
      <c r="C77" s="280"/>
      <c r="D77" s="274"/>
      <c r="E77" s="280"/>
      <c r="F77" s="274"/>
    </row>
    <row r="78" spans="2:11" x14ac:dyDescent="0.4">
      <c r="C78" s="280"/>
      <c r="D78" s="274"/>
      <c r="E78" s="280"/>
      <c r="F78" s="274"/>
    </row>
    <row r="79" spans="2:11" x14ac:dyDescent="0.4">
      <c r="C79" s="280"/>
      <c r="D79" s="274"/>
      <c r="E79" s="280"/>
      <c r="F79" s="274"/>
    </row>
    <row r="80" spans="2:11" x14ac:dyDescent="0.4">
      <c r="C80" s="204"/>
      <c r="E80" s="204"/>
    </row>
    <row r="81" spans="1:13" x14ac:dyDescent="0.4">
      <c r="A81" s="284"/>
      <c r="B81" s="266"/>
      <c r="C81" s="204"/>
      <c r="E81" s="204"/>
    </row>
    <row r="82" spans="1:13" x14ac:dyDescent="0.4">
      <c r="A82" s="284"/>
      <c r="B82" s="197"/>
    </row>
    <row r="84" spans="1:13" x14ac:dyDescent="0.4">
      <c r="B84" s="190"/>
    </row>
    <row r="85" spans="1:13" x14ac:dyDescent="0.4">
      <c r="B85" s="197"/>
    </row>
    <row r="86" spans="1:13" x14ac:dyDescent="0.4">
      <c r="B86" s="190"/>
    </row>
    <row r="87" spans="1:13" x14ac:dyDescent="0.4">
      <c r="C87" s="195"/>
      <c r="D87" s="195"/>
      <c r="E87" s="195"/>
      <c r="F87" s="195"/>
      <c r="G87" s="195"/>
      <c r="H87" s="195"/>
      <c r="I87" s="195"/>
      <c r="J87" s="195"/>
    </row>
    <row r="88" spans="1:13" x14ac:dyDescent="0.4">
      <c r="C88" s="284"/>
      <c r="D88" s="284"/>
      <c r="E88" s="284"/>
      <c r="F88" s="285"/>
      <c r="G88" s="285"/>
      <c r="H88" s="285"/>
      <c r="I88" s="285"/>
      <c r="J88" s="285"/>
    </row>
    <row r="89" spans="1:13" x14ac:dyDescent="0.4">
      <c r="B89" s="201"/>
      <c r="C89" s="284"/>
      <c r="D89" s="284"/>
      <c r="E89" s="284"/>
      <c r="F89" s="285"/>
      <c r="G89" s="285"/>
      <c r="H89" s="285"/>
      <c r="I89" s="285"/>
      <c r="J89" s="285"/>
      <c r="L89" s="204"/>
      <c r="M89" s="204"/>
    </row>
    <row r="90" spans="1:13" x14ac:dyDescent="0.4">
      <c r="B90" s="271"/>
      <c r="C90" s="284"/>
      <c r="D90" s="284"/>
      <c r="E90" s="285"/>
      <c r="F90" s="284"/>
      <c r="G90" s="285"/>
      <c r="H90" s="285"/>
      <c r="I90" s="285"/>
      <c r="J90" s="284"/>
      <c r="L90" s="204"/>
      <c r="M90" s="204"/>
    </row>
    <row r="91" spans="1:13" x14ac:dyDescent="0.4">
      <c r="B91" s="271"/>
      <c r="C91" s="284"/>
      <c r="D91" s="284"/>
      <c r="E91" s="285"/>
      <c r="F91" s="284"/>
      <c r="G91" s="284"/>
      <c r="H91" s="284"/>
      <c r="I91" s="284"/>
      <c r="J91" s="284"/>
      <c r="L91" s="204"/>
      <c r="M91" s="204"/>
    </row>
    <row r="92" spans="1:13" x14ac:dyDescent="0.4">
      <c r="B92" s="276"/>
      <c r="C92" s="284"/>
      <c r="D92" s="284"/>
      <c r="E92" s="284"/>
      <c r="F92" s="284"/>
      <c r="G92" s="284"/>
      <c r="H92" s="284"/>
      <c r="I92" s="284"/>
      <c r="J92" s="284"/>
      <c r="L92" s="204"/>
      <c r="M92" s="204"/>
    </row>
    <row r="93" spans="1:13" x14ac:dyDescent="0.4">
      <c r="B93" s="278"/>
      <c r="C93" s="285"/>
      <c r="D93" s="285"/>
      <c r="E93" s="284"/>
      <c r="F93" s="284"/>
      <c r="G93" s="284"/>
      <c r="H93" s="284"/>
      <c r="I93" s="284"/>
      <c r="J93" s="284"/>
      <c r="L93" s="204"/>
      <c r="M93" s="204"/>
    </row>
    <row r="94" spans="1:13" x14ac:dyDescent="0.4">
      <c r="B94" s="278"/>
      <c r="C94" s="285"/>
      <c r="D94" s="285"/>
      <c r="E94" s="284"/>
      <c r="F94" s="284"/>
      <c r="G94" s="284"/>
      <c r="H94" s="284"/>
      <c r="I94" s="284"/>
      <c r="J94" s="284"/>
      <c r="L94" s="204"/>
      <c r="M94" s="204"/>
    </row>
    <row r="95" spans="1:13" x14ac:dyDescent="0.4">
      <c r="C95" s="285"/>
      <c r="D95" s="285"/>
      <c r="E95" s="284"/>
      <c r="F95" s="284"/>
      <c r="G95" s="284"/>
      <c r="H95" s="284"/>
      <c r="I95" s="284"/>
      <c r="J95" s="284"/>
      <c r="L95" s="204"/>
      <c r="M95" s="204"/>
    </row>
    <row r="96" spans="1:13" x14ac:dyDescent="0.4">
      <c r="B96" s="201"/>
      <c r="C96" s="285"/>
      <c r="D96" s="285"/>
      <c r="E96" s="284"/>
      <c r="F96" s="285"/>
      <c r="G96" s="285"/>
      <c r="H96" s="285"/>
      <c r="I96" s="285"/>
      <c r="J96" s="285"/>
      <c r="L96" s="204"/>
      <c r="M96" s="204"/>
    </row>
    <row r="97" spans="2:13" x14ac:dyDescent="0.4">
      <c r="B97" s="271"/>
      <c r="C97" s="284"/>
      <c r="D97" s="284"/>
      <c r="E97" s="285"/>
      <c r="F97" s="284"/>
      <c r="G97" s="284"/>
      <c r="H97" s="284"/>
      <c r="I97" s="284"/>
      <c r="J97" s="284"/>
      <c r="L97" s="204"/>
      <c r="M97" s="204"/>
    </row>
    <row r="98" spans="2:13" x14ac:dyDescent="0.4">
      <c r="B98" s="271"/>
      <c r="C98" s="284"/>
      <c r="D98" s="284"/>
      <c r="E98" s="285"/>
      <c r="F98" s="284"/>
      <c r="G98" s="284"/>
      <c r="H98" s="284"/>
      <c r="I98" s="284"/>
      <c r="J98" s="284"/>
      <c r="L98" s="204"/>
      <c r="M98" s="204"/>
    </row>
    <row r="99" spans="2:13" x14ac:dyDescent="0.4">
      <c r="C99" s="284"/>
      <c r="D99" s="284"/>
      <c r="E99" s="285"/>
      <c r="F99" s="284"/>
      <c r="G99" s="284"/>
      <c r="H99" s="284"/>
      <c r="I99" s="284"/>
      <c r="J99" s="284"/>
      <c r="L99" s="204"/>
      <c r="M99" s="204"/>
    </row>
    <row r="102" spans="2:13" x14ac:dyDescent="0.4">
      <c r="B102" s="190"/>
    </row>
    <row r="103" spans="2:13" x14ac:dyDescent="0.4">
      <c r="B103" s="197"/>
    </row>
    <row r="104" spans="2:13" x14ac:dyDescent="0.4">
      <c r="B104" s="183"/>
    </row>
    <row r="105" spans="2:13" x14ac:dyDescent="0.4">
      <c r="C105" s="195"/>
      <c r="D105" s="195"/>
      <c r="E105" s="195"/>
      <c r="F105" s="195"/>
      <c r="H105" s="190"/>
      <c r="I105" s="195"/>
      <c r="J105" s="195"/>
    </row>
    <row r="106" spans="2:13" x14ac:dyDescent="0.4">
      <c r="F106" s="281"/>
    </row>
    <row r="107" spans="2:13" x14ac:dyDescent="0.4">
      <c r="B107" s="201"/>
      <c r="C107" s="285"/>
      <c r="D107" s="285"/>
      <c r="E107" s="285"/>
      <c r="F107" s="274"/>
      <c r="H107" s="282"/>
    </row>
    <row r="108" spans="2:13" x14ac:dyDescent="0.4">
      <c r="B108" s="271"/>
      <c r="C108" s="285"/>
      <c r="D108" s="285"/>
      <c r="E108" s="285"/>
      <c r="F108" s="275"/>
      <c r="H108" s="191"/>
      <c r="I108" s="286"/>
      <c r="J108" s="286"/>
      <c r="K108" s="193"/>
    </row>
    <row r="109" spans="2:13" x14ac:dyDescent="0.4">
      <c r="B109" s="271"/>
      <c r="C109" s="285"/>
      <c r="D109" s="285"/>
      <c r="E109" s="285"/>
      <c r="F109" s="275"/>
      <c r="H109" s="191"/>
      <c r="I109" s="286"/>
      <c r="J109" s="286"/>
      <c r="K109" s="193"/>
    </row>
    <row r="110" spans="2:13" x14ac:dyDescent="0.4">
      <c r="C110" s="285"/>
      <c r="D110" s="285"/>
      <c r="E110" s="285"/>
      <c r="F110" s="275"/>
      <c r="H110" s="191"/>
      <c r="I110" s="283"/>
      <c r="J110" s="283"/>
      <c r="K110" s="193"/>
    </row>
    <row r="111" spans="2:13" x14ac:dyDescent="0.4">
      <c r="B111" s="201"/>
      <c r="C111" s="285"/>
      <c r="D111" s="285"/>
      <c r="E111" s="285"/>
      <c r="F111" s="275"/>
      <c r="H111" s="282"/>
      <c r="I111" s="263"/>
      <c r="J111" s="263"/>
    </row>
    <row r="112" spans="2:13" x14ac:dyDescent="0.4">
      <c r="B112" s="271"/>
      <c r="C112" s="285"/>
      <c r="D112" s="285"/>
      <c r="E112" s="285"/>
      <c r="F112" s="275"/>
      <c r="H112" s="191"/>
      <c r="I112" s="286"/>
      <c r="J112" s="286"/>
      <c r="K112" s="193"/>
    </row>
    <row r="113" spans="1:12" x14ac:dyDescent="0.4">
      <c r="B113" s="271"/>
      <c r="C113" s="285"/>
      <c r="D113" s="285"/>
      <c r="E113" s="285"/>
      <c r="F113" s="275"/>
    </row>
    <row r="114" spans="1:12" x14ac:dyDescent="0.4">
      <c r="C114" s="280"/>
      <c r="D114" s="274"/>
      <c r="E114" s="280"/>
      <c r="F114" s="274"/>
    </row>
    <row r="115" spans="1:12" x14ac:dyDescent="0.4">
      <c r="C115" s="280"/>
      <c r="D115" s="274"/>
      <c r="E115" s="280"/>
      <c r="F115" s="274"/>
    </row>
    <row r="117" spans="1:12" x14ac:dyDescent="0.4">
      <c r="A117" s="284"/>
      <c r="B117" s="190"/>
      <c r="C117" s="204"/>
      <c r="E117" s="204"/>
    </row>
    <row r="118" spans="1:12" x14ac:dyDescent="0.4">
      <c r="C118" s="204"/>
      <c r="E118" s="204"/>
    </row>
    <row r="119" spans="1:12" x14ac:dyDescent="0.4">
      <c r="C119" s="195"/>
      <c r="D119" s="195"/>
      <c r="E119" s="195"/>
      <c r="F119" s="195"/>
      <c r="G119" s="195"/>
      <c r="H119" s="195"/>
      <c r="I119" s="195"/>
      <c r="J119" s="195"/>
    </row>
    <row r="121" spans="1:12" x14ac:dyDescent="0.4">
      <c r="B121" s="198"/>
      <c r="C121" s="268"/>
      <c r="D121" s="268"/>
      <c r="E121" s="287"/>
      <c r="F121" s="268"/>
      <c r="G121" s="268"/>
      <c r="H121" s="268"/>
      <c r="I121" s="268"/>
      <c r="J121" s="268"/>
    </row>
    <row r="122" spans="1:12" ht="14.7" x14ac:dyDescent="0.7">
      <c r="B122" s="198"/>
      <c r="C122" s="288"/>
      <c r="D122" s="288"/>
      <c r="E122" s="288"/>
      <c r="F122" s="288"/>
      <c r="G122" s="288"/>
      <c r="H122" s="288"/>
      <c r="I122" s="288"/>
      <c r="J122" s="288"/>
    </row>
    <row r="123" spans="1:12" x14ac:dyDescent="0.4">
      <c r="B123" s="198"/>
      <c r="C123" s="200"/>
      <c r="D123" s="200"/>
      <c r="E123" s="200"/>
      <c r="F123" s="200"/>
      <c r="G123" s="200"/>
      <c r="H123" s="200"/>
      <c r="I123" s="200"/>
      <c r="J123" s="200"/>
    </row>
    <row r="124" spans="1:12" x14ac:dyDescent="0.4">
      <c r="B124" s="198"/>
      <c r="C124" s="200"/>
      <c r="D124" s="200"/>
      <c r="E124" s="200"/>
      <c r="F124" s="200"/>
      <c r="G124" s="200"/>
      <c r="H124" s="200"/>
      <c r="I124" s="200"/>
      <c r="J124" s="200"/>
      <c r="K124" s="200"/>
      <c r="L124" s="200"/>
    </row>
    <row r="125" spans="1:12" x14ac:dyDescent="0.4">
      <c r="B125" s="198"/>
      <c r="C125" s="200"/>
      <c r="D125" s="200"/>
      <c r="E125" s="200"/>
      <c r="F125" s="200"/>
      <c r="G125" s="200"/>
      <c r="H125" s="200"/>
      <c r="I125" s="200"/>
      <c r="J125" s="200"/>
      <c r="K125" s="200"/>
      <c r="L125" s="200"/>
    </row>
    <row r="126" spans="1:12" x14ac:dyDescent="0.4">
      <c r="B126" s="198"/>
      <c r="C126" s="195"/>
      <c r="D126" s="195"/>
      <c r="F126" s="195"/>
      <c r="G126" s="195"/>
      <c r="H126" s="200"/>
      <c r="I126" s="200"/>
      <c r="J126" s="200"/>
      <c r="K126" s="200"/>
      <c r="L126" s="200"/>
    </row>
    <row r="127" spans="1:12" x14ac:dyDescent="0.4">
      <c r="B127" s="198"/>
      <c r="C127" s="195"/>
      <c r="D127" s="195"/>
      <c r="F127" s="195"/>
      <c r="G127" s="195"/>
      <c r="H127" s="200"/>
      <c r="I127" s="200"/>
      <c r="J127" s="200"/>
      <c r="K127" s="200"/>
      <c r="L127" s="200"/>
    </row>
    <row r="128" spans="1:12" x14ac:dyDescent="0.4">
      <c r="B128" s="198"/>
      <c r="G128" s="200"/>
      <c r="H128" s="200"/>
      <c r="I128" s="200"/>
      <c r="J128" s="200"/>
      <c r="K128" s="200"/>
      <c r="L128" s="200"/>
    </row>
    <row r="129" spans="2:12" x14ac:dyDescent="0.4">
      <c r="B129" s="198"/>
      <c r="C129" s="287"/>
      <c r="D129" s="287"/>
      <c r="F129" s="287"/>
      <c r="G129" s="287"/>
      <c r="H129" s="200"/>
      <c r="I129" s="200"/>
      <c r="J129" s="200"/>
      <c r="K129" s="200"/>
      <c r="L129" s="200"/>
    </row>
    <row r="130" spans="2:12" ht="14.7" x14ac:dyDescent="0.7">
      <c r="B130" s="198"/>
      <c r="C130" s="289"/>
      <c r="D130" s="289"/>
      <c r="F130" s="289"/>
      <c r="G130" s="289"/>
      <c r="H130" s="200"/>
      <c r="I130" s="200"/>
      <c r="J130" s="200"/>
      <c r="K130" s="200"/>
      <c r="L130" s="200"/>
    </row>
    <row r="131" spans="2:12" x14ac:dyDescent="0.4">
      <c r="B131" s="198"/>
      <c r="C131" s="200"/>
      <c r="D131" s="200"/>
      <c r="F131" s="200"/>
      <c r="G131" s="200"/>
      <c r="H131" s="200"/>
      <c r="I131" s="200"/>
      <c r="J131" s="200"/>
      <c r="K131" s="200"/>
      <c r="L131" s="200"/>
    </row>
    <row r="132" spans="2:12" x14ac:dyDescent="0.4">
      <c r="B132" s="198"/>
      <c r="C132" s="200"/>
      <c r="F132" s="200"/>
      <c r="G132" s="200"/>
      <c r="H132" s="200"/>
      <c r="I132" s="200"/>
      <c r="J132" s="200"/>
      <c r="K132" s="200"/>
      <c r="L132" s="200"/>
    </row>
    <row r="133" spans="2:12" x14ac:dyDescent="0.4">
      <c r="B133" s="198"/>
      <c r="C133" s="200"/>
      <c r="D133" s="200"/>
      <c r="E133" s="200"/>
      <c r="F133" s="200"/>
      <c r="G133" s="200"/>
      <c r="H133" s="200"/>
      <c r="I133" s="200"/>
      <c r="J133" s="200"/>
      <c r="K133" s="200"/>
      <c r="L133" s="200"/>
    </row>
    <row r="134" spans="2:12" x14ac:dyDescent="0.4">
      <c r="B134" s="198"/>
      <c r="C134" s="195"/>
      <c r="D134" s="195"/>
      <c r="E134" s="195"/>
      <c r="F134" s="200"/>
      <c r="G134" s="200"/>
      <c r="H134" s="200"/>
      <c r="I134" s="200"/>
      <c r="J134" s="200"/>
      <c r="K134" s="200"/>
      <c r="L134" s="200"/>
    </row>
    <row r="135" spans="2:12" x14ac:dyDescent="0.4">
      <c r="B135" s="198"/>
      <c r="C135" s="200"/>
      <c r="D135" s="200"/>
      <c r="E135" s="200"/>
      <c r="F135" s="200"/>
      <c r="G135" s="200"/>
      <c r="H135" s="200"/>
      <c r="I135" s="200"/>
      <c r="J135" s="200"/>
      <c r="K135" s="200"/>
      <c r="L135" s="200"/>
    </row>
    <row r="136" spans="2:12" ht="14.7" x14ac:dyDescent="0.7">
      <c r="B136" s="198"/>
      <c r="C136" s="267"/>
      <c r="D136" s="267"/>
      <c r="E136" s="267"/>
    </row>
    <row r="137" spans="2:12" x14ac:dyDescent="0.4">
      <c r="B137" s="198"/>
      <c r="C137" s="200"/>
      <c r="D137" s="200"/>
      <c r="E137" s="290"/>
    </row>
    <row r="138" spans="2:12" x14ac:dyDescent="0.4">
      <c r="B138" s="198"/>
      <c r="C138" s="204"/>
      <c r="E138" s="204"/>
    </row>
    <row r="139" spans="2:12" x14ac:dyDescent="0.4">
      <c r="C139" s="195"/>
      <c r="D139" s="195"/>
      <c r="E139" s="195"/>
      <c r="F139" s="195"/>
      <c r="G139" s="195"/>
      <c r="H139" s="195"/>
      <c r="I139" s="195"/>
      <c r="J139" s="195"/>
      <c r="K139" s="195"/>
      <c r="L139" s="195"/>
    </row>
    <row r="141" spans="2:12" x14ac:dyDescent="0.4">
      <c r="B141" s="198"/>
      <c r="C141" s="200"/>
    </row>
    <row r="142" spans="2:12" ht="14.7" x14ac:dyDescent="0.7">
      <c r="B142" s="198"/>
      <c r="C142" s="267"/>
    </row>
    <row r="143" spans="2:12" x14ac:dyDescent="0.4">
      <c r="B143" s="198"/>
      <c r="C143" s="200"/>
    </row>
    <row r="144" spans="2:12" x14ac:dyDescent="0.4">
      <c r="C144" s="204"/>
    </row>
    <row r="145" spans="1:10" x14ac:dyDescent="0.4">
      <c r="B145" s="291"/>
      <c r="C145" s="252"/>
    </row>
    <row r="146" spans="1:10" x14ac:dyDescent="0.4">
      <c r="B146" s="198"/>
      <c r="C146" s="200"/>
    </row>
    <row r="147" spans="1:10" ht="14.7" x14ac:dyDescent="0.7">
      <c r="B147" s="198"/>
      <c r="C147" s="267"/>
    </row>
    <row r="148" spans="1:10" x14ac:dyDescent="0.4">
      <c r="B148" s="198"/>
      <c r="C148" s="200"/>
    </row>
    <row r="151" spans="1:10" x14ac:dyDescent="0.4">
      <c r="D151" s="213"/>
      <c r="E151" s="213"/>
      <c r="F151" s="213"/>
      <c r="G151" s="213"/>
      <c r="H151" s="213"/>
      <c r="I151" s="213"/>
    </row>
    <row r="152" spans="1:10" x14ac:dyDescent="0.4">
      <c r="D152" s="213"/>
      <c r="E152" s="213"/>
      <c r="F152" s="213"/>
      <c r="G152" s="213"/>
      <c r="H152" s="213"/>
      <c r="I152" s="213"/>
    </row>
    <row r="153" spans="1:10" x14ac:dyDescent="0.4">
      <c r="A153" s="284"/>
      <c r="B153" s="266"/>
      <c r="C153" s="204"/>
      <c r="E153" s="204"/>
    </row>
    <row r="154" spans="1:10" x14ac:dyDescent="0.4">
      <c r="B154" s="197"/>
    </row>
    <row r="156" spans="1:10" x14ac:dyDescent="0.4">
      <c r="B156" s="190"/>
    </row>
    <row r="157" spans="1:10" x14ac:dyDescent="0.4">
      <c r="B157" s="197"/>
    </row>
    <row r="158" spans="1:10" x14ac:dyDescent="0.4">
      <c r="B158" s="190"/>
    </row>
    <row r="159" spans="1:10" x14ac:dyDescent="0.4">
      <c r="C159" s="195"/>
      <c r="D159" s="195"/>
      <c r="E159" s="195"/>
      <c r="F159" s="195"/>
      <c r="G159" s="195"/>
      <c r="H159" s="195"/>
      <c r="I159" s="195"/>
      <c r="J159" s="195"/>
    </row>
    <row r="160" spans="1:10" x14ac:dyDescent="0.4">
      <c r="C160" s="284"/>
      <c r="D160" s="284"/>
      <c r="E160" s="284"/>
      <c r="F160" s="285"/>
      <c r="G160" s="285"/>
      <c r="H160" s="285"/>
      <c r="I160" s="285"/>
      <c r="J160" s="285"/>
    </row>
    <row r="161" spans="2:10" x14ac:dyDescent="0.4">
      <c r="B161" s="201"/>
      <c r="C161" s="284"/>
      <c r="D161" s="284"/>
      <c r="E161" s="284"/>
      <c r="F161" s="285"/>
      <c r="G161" s="285"/>
      <c r="H161" s="285"/>
      <c r="I161" s="285"/>
      <c r="J161" s="285"/>
    </row>
    <row r="162" spans="2:10" x14ac:dyDescent="0.4">
      <c r="B162" s="271"/>
      <c r="C162" s="284"/>
      <c r="D162" s="284"/>
      <c r="E162" s="285"/>
      <c r="G162" s="285"/>
      <c r="H162" s="285"/>
      <c r="I162" s="285"/>
      <c r="J162" s="284"/>
    </row>
    <row r="163" spans="2:10" x14ac:dyDescent="0.4">
      <c r="B163" s="271"/>
      <c r="C163" s="284"/>
      <c r="D163" s="284"/>
      <c r="E163" s="285"/>
      <c r="F163" s="284"/>
      <c r="G163" s="284"/>
      <c r="H163" s="284"/>
      <c r="I163" s="284"/>
      <c r="J163" s="284"/>
    </row>
    <row r="164" spans="2:10" x14ac:dyDescent="0.4">
      <c r="B164" s="276"/>
      <c r="C164" s="284"/>
      <c r="D164" s="284"/>
      <c r="E164" s="284"/>
      <c r="F164" s="284"/>
      <c r="G164" s="284"/>
      <c r="H164" s="284"/>
      <c r="I164" s="284"/>
      <c r="J164" s="284"/>
    </row>
    <row r="165" spans="2:10" x14ac:dyDescent="0.4">
      <c r="B165" s="278"/>
      <c r="C165" s="285"/>
      <c r="D165" s="285"/>
      <c r="E165" s="284"/>
      <c r="F165" s="284"/>
      <c r="G165" s="284"/>
      <c r="H165" s="284"/>
      <c r="I165" s="284"/>
      <c r="J165" s="284"/>
    </row>
    <row r="166" spans="2:10" x14ac:dyDescent="0.4">
      <c r="B166" s="278"/>
      <c r="C166" s="285"/>
      <c r="D166" s="285"/>
      <c r="E166" s="284"/>
      <c r="F166" s="284"/>
      <c r="G166" s="284"/>
      <c r="H166" s="284"/>
      <c r="I166" s="284"/>
      <c r="J166" s="284"/>
    </row>
    <row r="167" spans="2:10" x14ac:dyDescent="0.4">
      <c r="C167" s="285"/>
      <c r="D167" s="285"/>
      <c r="E167" s="284"/>
      <c r="F167" s="284"/>
      <c r="G167" s="284"/>
      <c r="H167" s="284"/>
      <c r="I167" s="284"/>
      <c r="J167" s="284"/>
    </row>
    <row r="168" spans="2:10" x14ac:dyDescent="0.4">
      <c r="B168" s="201"/>
      <c r="C168" s="285"/>
      <c r="D168" s="285"/>
      <c r="E168" s="284"/>
      <c r="F168" s="285"/>
      <c r="G168" s="285"/>
      <c r="H168" s="285"/>
      <c r="I168" s="285"/>
      <c r="J168" s="285"/>
    </row>
    <row r="169" spans="2:10" x14ac:dyDescent="0.4">
      <c r="B169" s="271"/>
      <c r="C169" s="284"/>
      <c r="D169" s="284"/>
      <c r="E169" s="285"/>
      <c r="F169" s="284"/>
      <c r="G169" s="284"/>
      <c r="H169" s="284"/>
      <c r="I169" s="284"/>
      <c r="J169" s="284"/>
    </row>
    <row r="170" spans="2:10" x14ac:dyDescent="0.4">
      <c r="B170" s="271"/>
      <c r="C170" s="284"/>
      <c r="D170" s="284"/>
      <c r="E170" s="285"/>
      <c r="F170" s="284"/>
      <c r="G170" s="284"/>
      <c r="H170" s="284"/>
      <c r="I170" s="284"/>
      <c r="J170" s="284"/>
    </row>
    <row r="171" spans="2:10" x14ac:dyDescent="0.4">
      <c r="C171" s="284"/>
      <c r="D171" s="284"/>
      <c r="E171" s="285"/>
      <c r="F171" s="284"/>
      <c r="G171" s="284"/>
      <c r="H171" s="284"/>
      <c r="I171" s="284"/>
      <c r="J171" s="284"/>
    </row>
    <row r="174" spans="2:10" x14ac:dyDescent="0.4">
      <c r="B174" s="190"/>
    </row>
    <row r="175" spans="2:10" x14ac:dyDescent="0.4">
      <c r="B175" s="197"/>
    </row>
    <row r="176" spans="2:10" x14ac:dyDescent="0.4">
      <c r="B176" s="183"/>
    </row>
    <row r="177" spans="1:12" x14ac:dyDescent="0.4">
      <c r="C177" s="195"/>
      <c r="D177" s="195"/>
      <c r="E177" s="195"/>
      <c r="F177" s="195"/>
      <c r="H177" s="190"/>
      <c r="I177" s="195"/>
      <c r="J177" s="195"/>
    </row>
    <row r="178" spans="1:12" x14ac:dyDescent="0.4">
      <c r="F178" s="281"/>
    </row>
    <row r="179" spans="1:12" x14ac:dyDescent="0.4">
      <c r="B179" s="201"/>
      <c r="C179" s="285"/>
      <c r="D179" s="285"/>
      <c r="E179" s="285"/>
      <c r="F179" s="274"/>
      <c r="H179" s="282"/>
    </row>
    <row r="180" spans="1:12" x14ac:dyDescent="0.4">
      <c r="B180" s="271"/>
      <c r="C180" s="285"/>
      <c r="D180" s="285"/>
      <c r="E180" s="285"/>
      <c r="F180" s="275"/>
      <c r="H180" s="191"/>
      <c r="I180" s="292"/>
      <c r="J180" s="292"/>
    </row>
    <row r="181" spans="1:12" x14ac:dyDescent="0.4">
      <c r="B181" s="271"/>
      <c r="C181" s="285"/>
      <c r="D181" s="285"/>
      <c r="E181" s="285"/>
      <c r="F181" s="275"/>
      <c r="H181" s="191"/>
      <c r="I181" s="292"/>
      <c r="J181" s="292"/>
    </row>
    <row r="182" spans="1:12" x14ac:dyDescent="0.4">
      <c r="C182" s="285"/>
      <c r="D182" s="285"/>
      <c r="E182" s="285"/>
      <c r="F182" s="275"/>
      <c r="H182" s="191"/>
      <c r="I182" s="283"/>
      <c r="J182" s="283"/>
    </row>
    <row r="183" spans="1:12" x14ac:dyDescent="0.4">
      <c r="B183" s="201"/>
      <c r="C183" s="285"/>
      <c r="D183" s="285"/>
      <c r="E183" s="285"/>
      <c r="F183" s="275"/>
      <c r="H183" s="282"/>
      <c r="I183" s="263"/>
      <c r="J183" s="263"/>
    </row>
    <row r="184" spans="1:12" x14ac:dyDescent="0.4">
      <c r="B184" s="271"/>
      <c r="C184" s="285"/>
      <c r="D184" s="285"/>
      <c r="E184" s="285"/>
      <c r="F184" s="275"/>
      <c r="H184" s="191"/>
      <c r="I184" s="292"/>
      <c r="J184" s="292"/>
    </row>
    <row r="185" spans="1:12" x14ac:dyDescent="0.4">
      <c r="B185" s="271"/>
      <c r="C185" s="285"/>
      <c r="D185" s="285"/>
      <c r="E185" s="285"/>
      <c r="F185" s="275"/>
    </row>
    <row r="189" spans="1:12" x14ac:dyDescent="0.4">
      <c r="A189" s="284"/>
      <c r="B189" s="190"/>
      <c r="C189" s="204"/>
      <c r="E189" s="204"/>
    </row>
    <row r="190" spans="1:12" x14ac:dyDescent="0.4">
      <c r="C190" s="204"/>
      <c r="E190" s="204"/>
    </row>
    <row r="191" spans="1:12" x14ac:dyDescent="0.4">
      <c r="C191" s="195"/>
      <c r="D191" s="195"/>
      <c r="E191" s="195"/>
      <c r="F191" s="195"/>
      <c r="G191" s="195"/>
      <c r="H191" s="195"/>
      <c r="I191" s="195"/>
      <c r="J191" s="195"/>
      <c r="K191" s="195"/>
      <c r="L191" s="195"/>
    </row>
    <row r="193" spans="2:12" x14ac:dyDescent="0.4">
      <c r="B193" s="198"/>
      <c r="C193" s="268"/>
      <c r="D193" s="268"/>
      <c r="E193" s="287"/>
      <c r="F193" s="268"/>
      <c r="G193" s="268"/>
      <c r="H193" s="268"/>
      <c r="I193" s="268"/>
      <c r="J193" s="268"/>
      <c r="K193" s="287"/>
      <c r="L193" s="287"/>
    </row>
    <row r="194" spans="2:12" ht="14.7" x14ac:dyDescent="0.7">
      <c r="B194" s="198"/>
      <c r="C194" s="288"/>
      <c r="D194" s="288"/>
      <c r="E194" s="288"/>
      <c r="F194" s="288"/>
      <c r="G194" s="288"/>
      <c r="H194" s="288"/>
      <c r="I194" s="288"/>
      <c r="J194" s="288"/>
      <c r="K194" s="289"/>
      <c r="L194" s="289"/>
    </row>
    <row r="195" spans="2:12" x14ac:dyDescent="0.4">
      <c r="B195" s="198"/>
      <c r="C195" s="200"/>
      <c r="D195" s="200"/>
      <c r="E195" s="200"/>
      <c r="F195" s="200"/>
      <c r="G195" s="200"/>
      <c r="H195" s="200"/>
      <c r="I195" s="200"/>
      <c r="J195" s="200"/>
      <c r="K195" s="200"/>
      <c r="L195" s="200"/>
    </row>
    <row r="196" spans="2:12" x14ac:dyDescent="0.4">
      <c r="B196" s="198"/>
      <c r="C196" s="200"/>
      <c r="D196" s="200"/>
      <c r="E196" s="200"/>
      <c r="F196" s="200"/>
      <c r="G196" s="200"/>
      <c r="H196" s="200"/>
      <c r="I196" s="200"/>
      <c r="J196" s="200"/>
      <c r="K196" s="200"/>
      <c r="L196" s="200"/>
    </row>
    <row r="197" spans="2:12" x14ac:dyDescent="0.4">
      <c r="B197" s="198"/>
      <c r="C197" s="200"/>
      <c r="D197" s="200"/>
      <c r="E197" s="200"/>
      <c r="F197" s="200"/>
      <c r="G197" s="200"/>
      <c r="H197" s="200"/>
      <c r="I197" s="200"/>
      <c r="J197" s="200"/>
      <c r="K197" s="200"/>
      <c r="L197" s="200"/>
    </row>
    <row r="198" spans="2:12" ht="14.7" x14ac:dyDescent="0.7">
      <c r="B198" s="198"/>
      <c r="C198" s="267"/>
      <c r="E198" s="204"/>
    </row>
    <row r="199" spans="2:12" x14ac:dyDescent="0.4">
      <c r="B199" s="198"/>
      <c r="C199" s="200"/>
      <c r="E199" s="204"/>
    </row>
    <row r="200" spans="2:12" x14ac:dyDescent="0.4">
      <c r="B200" s="198"/>
      <c r="C200" s="204"/>
      <c r="E200" s="204"/>
    </row>
    <row r="201" spans="2:12" x14ac:dyDescent="0.4">
      <c r="C201" s="195"/>
      <c r="D201" s="195"/>
      <c r="E201" s="195"/>
      <c r="F201" s="195"/>
      <c r="G201" s="195"/>
      <c r="H201" s="195"/>
      <c r="I201" s="195"/>
      <c r="J201" s="195"/>
      <c r="K201" s="195"/>
      <c r="L201" s="195"/>
    </row>
    <row r="203" spans="2:12" x14ac:dyDescent="0.4">
      <c r="B203" s="198"/>
      <c r="C203" s="200"/>
    </row>
    <row r="204" spans="2:12" ht="14.7" x14ac:dyDescent="0.7">
      <c r="B204" s="198"/>
      <c r="C204" s="267"/>
    </row>
    <row r="205" spans="2:12" x14ac:dyDescent="0.4">
      <c r="B205" s="198"/>
      <c r="C205" s="200"/>
      <c r="D205" s="200"/>
      <c r="G205" s="198"/>
    </row>
    <row r="206" spans="2:12" x14ac:dyDescent="0.4">
      <c r="C206" s="204"/>
      <c r="E206" s="204"/>
      <c r="G206" s="198"/>
    </row>
    <row r="207" spans="2:12" x14ac:dyDescent="0.4">
      <c r="B207" s="291"/>
      <c r="C207" s="200"/>
      <c r="E207" s="293"/>
      <c r="G207" s="293"/>
    </row>
    <row r="208" spans="2:12" x14ac:dyDescent="0.4">
      <c r="B208" s="198"/>
      <c r="C208" s="200"/>
      <c r="E208" s="104"/>
    </row>
    <row r="209" spans="1:10" ht="14.7" x14ac:dyDescent="0.7">
      <c r="B209" s="198"/>
      <c r="C209" s="267"/>
      <c r="E209" s="108"/>
    </row>
    <row r="210" spans="1:10" x14ac:dyDescent="0.4">
      <c r="B210" s="198"/>
      <c r="C210" s="200"/>
      <c r="E210" s="104"/>
    </row>
    <row r="212" spans="1:10" x14ac:dyDescent="0.4">
      <c r="C212" s="194"/>
    </row>
    <row r="213" spans="1:10" outlineLevel="1" x14ac:dyDescent="0.4">
      <c r="A213" s="190"/>
    </row>
    <row r="214" spans="1:10" outlineLevel="1" x14ac:dyDescent="0.4">
      <c r="A214" s="284"/>
      <c r="B214" s="266"/>
      <c r="C214" s="204"/>
      <c r="E214" s="204"/>
    </row>
    <row r="215" spans="1:10" outlineLevel="1" x14ac:dyDescent="0.4">
      <c r="B215" s="197"/>
    </row>
    <row r="216" spans="1:10" outlineLevel="1" x14ac:dyDescent="0.4">
      <c r="A216" s="284"/>
    </row>
    <row r="217" spans="1:10" outlineLevel="1" x14ac:dyDescent="0.4">
      <c r="B217" s="190"/>
    </row>
    <row r="218" spans="1:10" outlineLevel="1" x14ac:dyDescent="0.4">
      <c r="B218" s="197"/>
    </row>
    <row r="219" spans="1:10" outlineLevel="1" x14ac:dyDescent="0.4">
      <c r="B219" s="190"/>
    </row>
    <row r="220" spans="1:10" outlineLevel="1" x14ac:dyDescent="0.4">
      <c r="C220" s="195"/>
      <c r="D220" s="195"/>
      <c r="E220" s="195"/>
      <c r="F220" s="195"/>
      <c r="G220" s="195"/>
      <c r="H220" s="195"/>
      <c r="I220" s="195"/>
      <c r="J220" s="195"/>
    </row>
    <row r="221" spans="1:10" outlineLevel="1" x14ac:dyDescent="0.4">
      <c r="C221" s="284"/>
      <c r="D221" s="284"/>
      <c r="E221" s="284"/>
      <c r="F221" s="285"/>
      <c r="G221" s="285"/>
      <c r="H221" s="285"/>
      <c r="I221" s="285"/>
      <c r="J221" s="285"/>
    </row>
    <row r="222" spans="1:10" outlineLevel="1" x14ac:dyDescent="0.4">
      <c r="B222" s="201"/>
      <c r="C222" s="284"/>
      <c r="D222" s="284"/>
      <c r="E222" s="284"/>
      <c r="F222" s="285"/>
      <c r="G222" s="285"/>
      <c r="H222" s="285"/>
      <c r="I222" s="285"/>
      <c r="J222" s="285"/>
    </row>
    <row r="223" spans="1:10" outlineLevel="1" x14ac:dyDescent="0.4">
      <c r="B223" s="271"/>
      <c r="C223" s="284"/>
      <c r="D223" s="284"/>
      <c r="E223" s="285"/>
    </row>
    <row r="224" spans="1:10" outlineLevel="1" x14ac:dyDescent="0.4">
      <c r="B224" s="271"/>
      <c r="C224" s="284"/>
      <c r="D224" s="284"/>
      <c r="E224" s="285"/>
      <c r="F224" s="284"/>
      <c r="G224" s="284"/>
      <c r="H224" s="284"/>
      <c r="I224" s="284"/>
      <c r="J224" s="284"/>
    </row>
    <row r="225" spans="2:10" outlineLevel="1" x14ac:dyDescent="0.4">
      <c r="B225" s="276"/>
      <c r="C225" s="284"/>
      <c r="D225" s="284"/>
      <c r="E225" s="284"/>
      <c r="F225" s="284"/>
      <c r="G225" s="284"/>
      <c r="H225" s="284"/>
      <c r="I225" s="284"/>
      <c r="J225" s="284"/>
    </row>
    <row r="226" spans="2:10" outlineLevel="1" x14ac:dyDescent="0.4">
      <c r="B226" s="278"/>
      <c r="C226" s="285"/>
      <c r="D226" s="285"/>
      <c r="E226" s="284"/>
      <c r="F226" s="284"/>
      <c r="G226" s="284"/>
      <c r="H226" s="284"/>
      <c r="I226" s="284"/>
      <c r="J226" s="284"/>
    </row>
    <row r="227" spans="2:10" outlineLevel="1" x14ac:dyDescent="0.4">
      <c r="B227" s="278"/>
      <c r="C227" s="285"/>
      <c r="D227" s="285"/>
      <c r="E227" s="284"/>
      <c r="F227" s="284"/>
      <c r="G227" s="284"/>
      <c r="H227" s="284"/>
      <c r="I227" s="284"/>
      <c r="J227" s="284"/>
    </row>
    <row r="228" spans="2:10" outlineLevel="1" x14ac:dyDescent="0.4">
      <c r="C228" s="285"/>
      <c r="D228" s="285"/>
      <c r="E228" s="284"/>
      <c r="F228" s="284"/>
      <c r="G228" s="284"/>
      <c r="H228" s="284"/>
      <c r="I228" s="284"/>
      <c r="J228" s="284"/>
    </row>
    <row r="229" spans="2:10" outlineLevel="1" x14ac:dyDescent="0.4">
      <c r="B229" s="201"/>
      <c r="C229" s="285"/>
      <c r="D229" s="285"/>
      <c r="E229" s="284"/>
      <c r="F229" s="285"/>
      <c r="G229" s="285"/>
      <c r="H229" s="285"/>
      <c r="I229" s="285"/>
      <c r="J229" s="285"/>
    </row>
    <row r="230" spans="2:10" outlineLevel="1" x14ac:dyDescent="0.4">
      <c r="B230" s="271"/>
      <c r="C230" s="284"/>
      <c r="D230" s="284"/>
      <c r="E230" s="285"/>
      <c r="F230" s="284"/>
      <c r="G230" s="284"/>
      <c r="H230" s="284"/>
      <c r="I230" s="284"/>
      <c r="J230" s="284"/>
    </row>
    <row r="231" spans="2:10" outlineLevel="1" x14ac:dyDescent="0.4">
      <c r="B231" s="271"/>
      <c r="C231" s="284"/>
      <c r="D231" s="284"/>
      <c r="E231" s="285"/>
      <c r="F231" s="284"/>
      <c r="G231" s="284"/>
      <c r="H231" s="284"/>
      <c r="I231" s="284"/>
      <c r="J231" s="284"/>
    </row>
    <row r="232" spans="2:10" outlineLevel="1" x14ac:dyDescent="0.4">
      <c r="C232" s="284"/>
      <c r="D232" s="284"/>
      <c r="E232" s="285"/>
      <c r="F232" s="284"/>
      <c r="G232" s="284"/>
      <c r="H232" s="284"/>
      <c r="I232" s="284"/>
      <c r="J232" s="284"/>
    </row>
    <row r="233" spans="2:10" outlineLevel="1" x14ac:dyDescent="0.4"/>
    <row r="234" spans="2:10" outlineLevel="1" x14ac:dyDescent="0.4"/>
    <row r="235" spans="2:10" outlineLevel="1" x14ac:dyDescent="0.4">
      <c r="B235" s="190"/>
    </row>
    <row r="236" spans="2:10" outlineLevel="1" x14ac:dyDescent="0.4">
      <c r="B236" s="197"/>
    </row>
    <row r="237" spans="2:10" outlineLevel="1" x14ac:dyDescent="0.4">
      <c r="B237" s="183"/>
    </row>
    <row r="238" spans="2:10" outlineLevel="1" x14ac:dyDescent="0.4">
      <c r="C238" s="195"/>
      <c r="D238" s="195"/>
      <c r="E238" s="195"/>
      <c r="F238" s="195"/>
      <c r="H238" s="190"/>
      <c r="I238" s="195"/>
      <c r="J238" s="195"/>
    </row>
    <row r="239" spans="2:10" outlineLevel="1" x14ac:dyDescent="0.4">
      <c r="F239" s="281"/>
    </row>
    <row r="240" spans="2:10" outlineLevel="1" x14ac:dyDescent="0.4">
      <c r="B240" s="201"/>
      <c r="C240" s="285"/>
      <c r="D240" s="285"/>
      <c r="E240" s="285"/>
      <c r="F240" s="274"/>
      <c r="H240" s="282"/>
    </row>
    <row r="241" spans="1:12" outlineLevel="1" x14ac:dyDescent="0.4">
      <c r="B241" s="271"/>
      <c r="C241" s="285"/>
      <c r="D241" s="285"/>
      <c r="E241" s="285"/>
      <c r="F241" s="275"/>
      <c r="H241" s="191"/>
      <c r="I241" s="292"/>
      <c r="J241" s="292"/>
    </row>
    <row r="242" spans="1:12" outlineLevel="1" x14ac:dyDescent="0.4">
      <c r="B242" s="271"/>
      <c r="C242" s="285"/>
      <c r="D242" s="285"/>
      <c r="E242" s="285"/>
      <c r="F242" s="275"/>
      <c r="H242" s="191"/>
      <c r="I242" s="292"/>
      <c r="J242" s="292"/>
    </row>
    <row r="243" spans="1:12" outlineLevel="1" x14ac:dyDescent="0.4">
      <c r="C243" s="285"/>
      <c r="D243" s="285"/>
      <c r="E243" s="285"/>
      <c r="F243" s="275"/>
      <c r="H243" s="191"/>
      <c r="I243" s="283"/>
      <c r="J243" s="283"/>
    </row>
    <row r="244" spans="1:12" outlineLevel="1" x14ac:dyDescent="0.4">
      <c r="B244" s="201"/>
      <c r="C244" s="285"/>
      <c r="D244" s="285"/>
      <c r="E244" s="285"/>
      <c r="F244" s="275"/>
      <c r="H244" s="282"/>
      <c r="I244" s="263"/>
      <c r="J244" s="263"/>
    </row>
    <row r="245" spans="1:12" outlineLevel="1" x14ac:dyDescent="0.4">
      <c r="B245" s="271"/>
      <c r="C245" s="285"/>
      <c r="D245" s="285"/>
      <c r="E245" s="285"/>
      <c r="F245" s="275"/>
      <c r="H245" s="191"/>
      <c r="I245" s="292"/>
      <c r="J245" s="292"/>
    </row>
    <row r="246" spans="1:12" outlineLevel="1" x14ac:dyDescent="0.4">
      <c r="B246" s="271"/>
      <c r="C246" s="285"/>
      <c r="D246" s="285"/>
      <c r="E246" s="285"/>
      <c r="F246" s="275"/>
    </row>
    <row r="247" spans="1:12" outlineLevel="1" x14ac:dyDescent="0.4"/>
    <row r="248" spans="1:12" outlineLevel="1" x14ac:dyDescent="0.4"/>
    <row r="249" spans="1:12" outlineLevel="1" x14ac:dyDescent="0.4"/>
    <row r="250" spans="1:12" outlineLevel="1" x14ac:dyDescent="0.4"/>
    <row r="251" spans="1:12" outlineLevel="1" x14ac:dyDescent="0.4">
      <c r="A251" s="284"/>
      <c r="B251" s="190"/>
      <c r="C251" s="204"/>
      <c r="E251" s="204"/>
    </row>
    <row r="252" spans="1:12" outlineLevel="1" x14ac:dyDescent="0.4">
      <c r="C252" s="204"/>
      <c r="E252" s="204"/>
    </row>
    <row r="253" spans="1:12" outlineLevel="1" x14ac:dyDescent="0.4">
      <c r="C253" s="195"/>
      <c r="D253" s="195"/>
      <c r="E253" s="195"/>
      <c r="F253" s="195"/>
      <c r="G253" s="195"/>
      <c r="H253" s="195"/>
      <c r="I253" s="195"/>
      <c r="J253" s="195"/>
      <c r="K253" s="195"/>
      <c r="L253" s="195"/>
    </row>
    <row r="254" spans="1:12" outlineLevel="1" x14ac:dyDescent="0.4"/>
    <row r="255" spans="1:12" outlineLevel="1" x14ac:dyDescent="0.4">
      <c r="B255" s="198"/>
      <c r="C255" s="268"/>
      <c r="D255" s="268"/>
      <c r="E255" s="287"/>
      <c r="F255" s="268"/>
      <c r="G255" s="268"/>
      <c r="H255" s="268"/>
      <c r="I255" s="268"/>
      <c r="J255" s="268"/>
      <c r="K255" s="287"/>
      <c r="L255" s="287"/>
    </row>
    <row r="256" spans="1:12" ht="14.7" outlineLevel="1" x14ac:dyDescent="0.7">
      <c r="B256" s="198"/>
      <c r="C256" s="288"/>
      <c r="D256" s="288"/>
      <c r="E256" s="288"/>
      <c r="F256" s="294"/>
      <c r="G256" s="294"/>
      <c r="H256" s="294"/>
      <c r="I256" s="294"/>
      <c r="J256" s="294"/>
      <c r="K256" s="289"/>
      <c r="L256" s="289"/>
    </row>
    <row r="257" spans="2:12" outlineLevel="1" x14ac:dyDescent="0.4">
      <c r="B257" s="198"/>
      <c r="C257" s="200"/>
      <c r="D257" s="200"/>
      <c r="E257" s="200"/>
      <c r="F257" s="200"/>
      <c r="G257" s="200"/>
      <c r="H257" s="200"/>
      <c r="I257" s="200"/>
      <c r="J257" s="200"/>
      <c r="K257" s="200"/>
      <c r="L257" s="200"/>
    </row>
    <row r="258" spans="2:12" outlineLevel="1" x14ac:dyDescent="0.4">
      <c r="B258" s="198"/>
      <c r="C258" s="200"/>
      <c r="D258" s="200"/>
      <c r="E258" s="200"/>
      <c r="F258" s="200"/>
      <c r="G258" s="200"/>
      <c r="H258" s="200"/>
      <c r="I258" s="200"/>
      <c r="J258" s="200"/>
      <c r="K258" s="200"/>
      <c r="L258" s="200"/>
    </row>
    <row r="259" spans="2:12" outlineLevel="1" x14ac:dyDescent="0.4">
      <c r="B259" s="198"/>
      <c r="C259" s="200"/>
      <c r="D259" s="200"/>
      <c r="E259" s="200"/>
      <c r="F259" s="200"/>
      <c r="G259" s="200"/>
      <c r="H259" s="200"/>
      <c r="I259" s="200"/>
      <c r="J259" s="200"/>
      <c r="K259" s="200"/>
      <c r="L259" s="200"/>
    </row>
    <row r="260" spans="2:12" ht="14.7" outlineLevel="1" x14ac:dyDescent="0.7">
      <c r="B260" s="198"/>
      <c r="C260" s="267"/>
      <c r="E260" s="204"/>
    </row>
    <row r="261" spans="2:12" outlineLevel="1" x14ac:dyDescent="0.4">
      <c r="B261" s="198"/>
      <c r="C261" s="200"/>
      <c r="E261" s="204"/>
    </row>
    <row r="262" spans="2:12" outlineLevel="1" x14ac:dyDescent="0.4">
      <c r="B262" s="198"/>
      <c r="C262" s="204"/>
      <c r="E262" s="204"/>
    </row>
    <row r="263" spans="2:12" outlineLevel="1" x14ac:dyDescent="0.4">
      <c r="C263" s="195"/>
      <c r="D263" s="195"/>
      <c r="E263" s="195"/>
      <c r="F263" s="195"/>
      <c r="G263" s="195"/>
      <c r="H263" s="195"/>
      <c r="I263" s="195"/>
      <c r="J263" s="195"/>
      <c r="K263" s="195"/>
      <c r="L263" s="195"/>
    </row>
    <row r="264" spans="2:12" outlineLevel="1" x14ac:dyDescent="0.4"/>
    <row r="265" spans="2:12" outlineLevel="1" x14ac:dyDescent="0.4">
      <c r="C265" s="295"/>
      <c r="D265" s="295"/>
      <c r="E265" s="295"/>
    </row>
    <row r="266" spans="2:12" outlineLevel="1" x14ac:dyDescent="0.4">
      <c r="B266" s="198"/>
      <c r="C266" s="200"/>
      <c r="D266" s="194"/>
      <c r="E266" s="200"/>
    </row>
    <row r="267" spans="2:12" outlineLevel="1" x14ac:dyDescent="0.4">
      <c r="B267" s="198"/>
      <c r="C267" s="296"/>
      <c r="D267" s="202"/>
      <c r="E267" s="296"/>
    </row>
    <row r="268" spans="2:12" outlineLevel="1" x14ac:dyDescent="0.4">
      <c r="B268" s="198"/>
      <c r="C268" s="200"/>
      <c r="D268" s="200"/>
      <c r="E268" s="200"/>
      <c r="G268" s="198"/>
    </row>
    <row r="269" spans="2:12" outlineLevel="1" x14ac:dyDescent="0.4">
      <c r="C269" s="204"/>
      <c r="E269" s="204"/>
      <c r="G269" s="198"/>
    </row>
    <row r="270" spans="2:12" outlineLevel="1" x14ac:dyDescent="0.4">
      <c r="B270" s="291"/>
      <c r="C270" s="200"/>
      <c r="E270" s="293"/>
      <c r="G270" s="293"/>
    </row>
    <row r="271" spans="2:12" outlineLevel="1" x14ac:dyDescent="0.4">
      <c r="B271" s="198"/>
      <c r="C271" s="200"/>
      <c r="E271" s="104"/>
    </row>
    <row r="272" spans="2:12" outlineLevel="1" x14ac:dyDescent="0.4">
      <c r="B272" s="198"/>
      <c r="C272" s="296"/>
      <c r="E272" s="108"/>
    </row>
    <row r="273" spans="2:5" outlineLevel="1" x14ac:dyDescent="0.4">
      <c r="B273" s="198"/>
      <c r="C273" s="200"/>
      <c r="E273" s="104"/>
    </row>
    <row r="274" spans="2:5" outlineLevel="1" x14ac:dyDescent="0.4"/>
  </sheetData>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6"/>
  <sheetViews>
    <sheetView view="pageBreakPreview" zoomScale="115" zoomScaleNormal="145" zoomScaleSheetLayoutView="115" workbookViewId="0"/>
  </sheetViews>
  <sheetFormatPr defaultColWidth="9.1171875" defaultRowHeight="12.7" x14ac:dyDescent="0.4"/>
  <cols>
    <col min="1" max="1" width="5" style="187" customWidth="1"/>
    <col min="2" max="2" width="39.703125" style="187" bestFit="1" customWidth="1"/>
    <col min="3" max="4" width="16.703125" style="187" bestFit="1" customWidth="1"/>
    <col min="5" max="5" width="7.87890625" style="187" customWidth="1"/>
    <col min="6" max="16384" width="9.1171875" style="187"/>
  </cols>
  <sheetData>
    <row r="1" spans="1:6" ht="15.35" x14ac:dyDescent="0.5">
      <c r="A1" s="215" t="s">
        <v>347</v>
      </c>
    </row>
    <row r="2" spans="1:6" ht="15.35" x14ac:dyDescent="0.5">
      <c r="A2" s="215" t="s">
        <v>348</v>
      </c>
    </row>
    <row r="3" spans="1:6" x14ac:dyDescent="0.4">
      <c r="A3" s="212"/>
    </row>
    <row r="4" spans="1:6" ht="38" x14ac:dyDescent="0.4">
      <c r="A4" s="198" t="s">
        <v>200</v>
      </c>
      <c r="C4" s="181" t="str">
        <f>auction_results_and_rates!C6</f>
        <v>remaining portion of 36 month bid - 2019 auction</v>
      </c>
      <c r="D4" s="181" t="str">
        <f>auction_results_and_rates!D6</f>
        <v>remaining portion of 36 month bid - 2020 auction</v>
      </c>
      <c r="F4" s="181" t="s">
        <v>201</v>
      </c>
    </row>
    <row r="5" spans="1:6" ht="10.5" customHeight="1" x14ac:dyDescent="0.4">
      <c r="C5" s="181"/>
      <c r="D5" s="181"/>
    </row>
    <row r="6" spans="1:6" x14ac:dyDescent="0.4">
      <c r="A6" s="216">
        <v>1</v>
      </c>
      <c r="B6" s="190" t="s">
        <v>349</v>
      </c>
      <c r="C6" s="217">
        <f>auction_results_and_rates!C14</f>
        <v>28</v>
      </c>
      <c r="D6" s="217">
        <f>auction_results_and_rates!D14</f>
        <v>28</v>
      </c>
    </row>
    <row r="7" spans="1:6" x14ac:dyDescent="0.4">
      <c r="A7" s="216">
        <v>2</v>
      </c>
      <c r="B7" s="190" t="s">
        <v>316</v>
      </c>
      <c r="C7" s="217">
        <f>auction_results_and_rates!C15</f>
        <v>85</v>
      </c>
      <c r="D7" s="217">
        <f>auction_results_and_rates!D15</f>
        <v>85</v>
      </c>
    </row>
    <row r="8" spans="1:6" x14ac:dyDescent="0.4">
      <c r="A8" s="216">
        <v>3</v>
      </c>
      <c r="B8" s="190" t="s">
        <v>317</v>
      </c>
      <c r="C8" s="203">
        <f>C6/C7</f>
        <v>0.32941176470588235</v>
      </c>
      <c r="D8" s="203">
        <f>D6/D7</f>
        <v>0.32941176470588235</v>
      </c>
      <c r="F8" s="218" t="s">
        <v>350</v>
      </c>
    </row>
    <row r="9" spans="1:6" x14ac:dyDescent="0.4">
      <c r="A9" s="216">
        <v>4</v>
      </c>
      <c r="B9" s="190" t="s">
        <v>351</v>
      </c>
      <c r="C9" s="219">
        <v>6976.3</v>
      </c>
      <c r="D9" s="219">
        <v>6901</v>
      </c>
      <c r="F9" s="212" t="s">
        <v>352</v>
      </c>
    </row>
    <row r="10" spans="1:6" x14ac:dyDescent="0.4">
      <c r="A10" s="216">
        <v>5</v>
      </c>
      <c r="B10" s="190" t="s">
        <v>353</v>
      </c>
      <c r="C10" s="220">
        <f>C8*C9</f>
        <v>2298.075294117647</v>
      </c>
      <c r="D10" s="220">
        <f>D8*D9</f>
        <v>2273.2705882352939</v>
      </c>
      <c r="F10" s="218" t="s">
        <v>354</v>
      </c>
    </row>
    <row r="11" spans="1:6" x14ac:dyDescent="0.4">
      <c r="A11" s="216">
        <v>6</v>
      </c>
      <c r="B11" s="190" t="s">
        <v>355</v>
      </c>
      <c r="C11" s="221">
        <v>104709.15</v>
      </c>
      <c r="D11" s="222">
        <v>138497.08431889772</v>
      </c>
      <c r="F11" s="212" t="s">
        <v>356</v>
      </c>
    </row>
    <row r="12" spans="1:6" x14ac:dyDescent="0.4">
      <c r="A12" s="216">
        <v>7</v>
      </c>
      <c r="B12" s="190" t="s">
        <v>357</v>
      </c>
      <c r="C12" s="223">
        <f>C10*C11</f>
        <v>240629510.6830588</v>
      </c>
      <c r="D12" s="223">
        <f>D10*D11</f>
        <v>314841348.3384937</v>
      </c>
      <c r="F12" s="218" t="s">
        <v>358</v>
      </c>
    </row>
    <row r="13" spans="1:6" x14ac:dyDescent="0.4">
      <c r="A13" s="216">
        <v>8</v>
      </c>
      <c r="B13" s="190" t="s">
        <v>359</v>
      </c>
      <c r="C13" s="224">
        <v>25829484.684445299</v>
      </c>
      <c r="D13" s="225">
        <v>25302921.322157942</v>
      </c>
      <c r="F13" s="212" t="s">
        <v>360</v>
      </c>
    </row>
    <row r="14" spans="1:6" x14ac:dyDescent="0.4">
      <c r="A14" s="216">
        <v>9</v>
      </c>
      <c r="B14" s="190" t="s">
        <v>361</v>
      </c>
      <c r="C14" s="226">
        <f>C8*C13</f>
        <v>8508536.1313466858</v>
      </c>
      <c r="D14" s="226">
        <f>D8*D13</f>
        <v>8335079.9649461452</v>
      </c>
      <c r="F14" s="218" t="s">
        <v>362</v>
      </c>
    </row>
    <row r="15" spans="1:6" x14ac:dyDescent="0.4">
      <c r="A15" s="216">
        <v>10</v>
      </c>
      <c r="B15" s="227" t="s">
        <v>363</v>
      </c>
      <c r="C15" s="228">
        <f>C12/C14</f>
        <v>28.28095302981022</v>
      </c>
      <c r="D15" s="228">
        <f>D12/D14</f>
        <v>37.773044729334877</v>
      </c>
      <c r="F15" s="218" t="s">
        <v>364</v>
      </c>
    </row>
    <row r="16" spans="1:6" x14ac:dyDescent="0.4">
      <c r="F16" s="212"/>
    </row>
  </sheetData>
  <pageMargins left="0.5" right="0.5" top="1" bottom="1" header="0.3" footer="0.3"/>
  <pageSetup scale="97" orientation="landscape" r:id="rId1"/>
  <headerFooter>
    <oddHeader>&amp;C&amp;"Arial,Bold"Public Service Electric and Gas Company Specific Addendum
Attachment 4</oddHeader>
    <oddFooter>&amp;C&amp;"Arial,Bold"Page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vt:lpstr>
      <vt:lpstr>bid_factors</vt:lpstr>
      <vt:lpstr>auction_results_and_rates</vt:lpstr>
      <vt:lpstr>Att 4-1</vt:lpstr>
      <vt:lpstr>Att 4-2</vt:lpstr>
      <vt:lpstr>Att 4-3</vt:lpstr>
      <vt:lpstr>Att 4-4</vt:lpstr>
      <vt:lpstr>Att 4-5</vt:lpstr>
      <vt:lpstr>Att 5</vt:lpstr>
      <vt:lpstr>'Att 4-1'!Print_Area</vt:lpstr>
      <vt:lpstr>'Att 4-2'!Print_Area</vt:lpstr>
      <vt:lpstr>'Att 4-3'!Print_Area</vt:lpstr>
      <vt:lpstr>'Att 4-4'!Print_Area</vt:lpstr>
      <vt:lpstr>'Att 4-5'!Print_Area</vt:lpstr>
      <vt:lpstr>auction_results_and_rates!Print_Area</vt:lpstr>
      <vt:lpstr>bid_factors!Print_Area</vt:lpstr>
      <vt:lpstr>Input!Print_Area</vt:lpstr>
      <vt:lpstr>'Att 4-4'!Print_Titles</vt:lpstr>
      <vt:lpstr>'Att 4-5'!Print_Titles</vt:lpstr>
      <vt:lpstr>auction_results_and_rates!Print_Titles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Northcutt, Rachel</cp:lastModifiedBy>
  <cp:lastPrinted>2019-02-21T18:03:30Z</cp:lastPrinted>
  <dcterms:created xsi:type="dcterms:W3CDTF">2002-02-27T17:48:59Z</dcterms:created>
  <dcterms:modified xsi:type="dcterms:W3CDTF">2021-01-18T14:54:59Z</dcterms:modified>
</cp:coreProperties>
</file>