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nera-nycfs\Work\Projects\Energy\20-21 BGS (114324)\2020 Auction\3 RSCP Rates\3 January 2020\2 Rcvd from EDCs\POSTED\"/>
    </mc:Choice>
  </mc:AlternateContent>
  <xr:revisionPtr revIDLastSave="0" documentId="13_ncr:1_{77EA3FB8-9CC2-4FA0-9817-6DD4F63C7BE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ttachment 2" sheetId="1" r:id="rId1"/>
    <sheet name="Attachment 3" sheetId="3" r:id="rId2"/>
    <sheet name="Attachment 4 Pg1" sheetId="4" r:id="rId3"/>
    <sheet name="Attachment 4 Pg2" sheetId="5" r:id="rId4"/>
    <sheet name="Attachment 4 Pg3" sheetId="6" r:id="rId5"/>
  </sheet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Auction" localSheetId="0">'Attachment 2'!#REF!</definedName>
    <definedName name="Co_letter" localSheetId="2">#REF!</definedName>
    <definedName name="Co_letter" localSheetId="3">#REF!</definedName>
    <definedName name="Co_letter" localSheetId="4">#REF!</definedName>
    <definedName name="Co_letter">#REF!</definedName>
    <definedName name="Co_List" localSheetId="2">#REF!</definedName>
    <definedName name="Co_List" localSheetId="3">#REF!</definedName>
    <definedName name="Co_List" localSheetId="4">#REF!</definedName>
    <definedName name="Co_List">#REF!</definedName>
    <definedName name="Co_Listc" localSheetId="3">#REF!</definedName>
    <definedName name="Co_Listc">#REF!</definedName>
    <definedName name="Co_Name" localSheetId="2">#REF!</definedName>
    <definedName name="Co_Name" localSheetId="3">#REF!</definedName>
    <definedName name="Co_Name" localSheetId="4">#REF!</definedName>
    <definedName name="Co_Name">#REF!</definedName>
    <definedName name="Co_Picked" localSheetId="2">#REF!</definedName>
    <definedName name="Co_Picked" localSheetId="3">#REF!</definedName>
    <definedName name="Co_Picked" localSheetId="4">#REF!</definedName>
    <definedName name="Co_Picked">#REF!</definedName>
    <definedName name="Get_Co" localSheetId="2">#REF!</definedName>
    <definedName name="Get_Co" localSheetId="3">#REF!</definedName>
    <definedName name="Get_Co" localSheetId="4">#REF!</definedName>
    <definedName name="Get_Co">#REF!</definedName>
    <definedName name="Get_Mo" localSheetId="2">#REF!</definedName>
    <definedName name="Get_Mo" localSheetId="3">#REF!</definedName>
    <definedName name="Get_Mo" localSheetId="4">#REF!</definedName>
    <definedName name="Get_Mo">#REF!</definedName>
    <definedName name="Get_moc" localSheetId="3">#REF!</definedName>
    <definedName name="Get_moc">#REF!</definedName>
    <definedName name="Mo_List" localSheetId="2">#REF!</definedName>
    <definedName name="Mo_List" localSheetId="3">#REF!</definedName>
    <definedName name="Mo_List" localSheetId="4">#REF!</definedName>
    <definedName name="Mo_List">#REF!</definedName>
    <definedName name="Mo_Picked" localSheetId="2">#REF!</definedName>
    <definedName name="Mo_Picked" localSheetId="3">#REF!</definedName>
    <definedName name="Mo_Picked" localSheetId="4">#REF!</definedName>
    <definedName name="Mo_Picked">#REF!</definedName>
    <definedName name="_xlnm.Print_Area" localSheetId="0">'Attachment 2'!$A$1:$M$340</definedName>
    <definedName name="_xlnm.Print_Area" localSheetId="1">'Attachment 3'!$A$5:$L$152</definedName>
    <definedName name="_xlnm.Print_Area" localSheetId="2">'Attachment 4 Pg1'!$A$1:$I$21</definedName>
    <definedName name="_xlnm.Print_Area" localSheetId="3">'Attachment 4 Pg2'!$A$1:$J$21</definedName>
    <definedName name="_xlnm.Print_Area" localSheetId="4">'Attachment 4 Pg3'!$A$1:$J$33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_xlnm.Print_Titles" localSheetId="1">'Attachment 3'!$1:$4</definedName>
    <definedName name="_xlnm.Print_Titles" localSheetId="4">'Attachment 4 Pg3'!$2:$4</definedName>
    <definedName name="Rpt_Mo" localSheetId="2">#REF!</definedName>
    <definedName name="Rpt_Mo" localSheetId="3">#REF!</definedName>
    <definedName name="Rpt_Mo" localSheetId="4">#REF!</definedName>
    <definedName name="Rpt_Mo">#REF!</definedName>
    <definedName name="Year1" localSheetId="2">#REF!</definedName>
    <definedName name="Year1" localSheetId="3">#REF!</definedName>
    <definedName name="Year1" localSheetId="4">#REF!</definedName>
    <definedName name="Year1">#REF!</definedName>
    <definedName name="Z_689761CC_C80B_4574_9251_22E069AE5A7E_.wvu.PrintArea" localSheetId="0" hidden="1">'Attachment 2'!$A$1:$M$306</definedName>
    <definedName name="Z_689761CC_C80B_4574_9251_22E069AE5A7E_.wvu.PrintArea" localSheetId="1" hidden="1">'Attachment 3'!$A$6:$M$106</definedName>
    <definedName name="Z_689761CC_C80B_4574_9251_22E069AE5A7E_.wvu.PrintTitles" localSheetId="1" hidden="1">'Attachment 3'!$1:$4</definedName>
    <definedName name="Z_E387223A_F425_4996_A843_D576BB2C4D04_.wvu.PrintArea" localSheetId="0" hidden="1">'Attachment 2'!$A$1:$M$302</definedName>
    <definedName name="Z_E387223A_F425_4996_A843_D576BB2C4D04_.wvu.PrintArea" localSheetId="1" hidden="1">'Attachment 3'!$A$6:$M$106</definedName>
    <definedName name="Z_E387223A_F425_4996_A843_D576BB2C4D04_.wvu.PrintTitles" localSheetId="1" hidden="1">'Attachment 3'!$1:$4</definedName>
    <definedName name="Z_E387223A_F425_4996_A843_D576BB2C4D04_.wvu.Rows" localSheetId="0" hidden="1">'Attachment 2'!$303:$305</definedName>
  </definedNames>
  <calcPr calcId="191029"/>
  <customWorkbookViews>
    <customWorkbookView name="BGS Filing" guid="{E387223A-F425-4996-A843-D576BB2C4D04}" maximized="1" windowWidth="994" windowHeight="507" activeSheetId="1"/>
    <customWorkbookView name="Retail Rate Development Detail" guid="{689761CC-C80B-4574-9251-22E069AE5A7E}" maximized="1" windowWidth="994" windowHeight="5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3" l="1"/>
  <c r="B14" i="5" l="1"/>
  <c r="C17" i="6" l="1"/>
  <c r="D17" i="6"/>
  <c r="D16" i="6"/>
  <c r="C16" i="6"/>
  <c r="D10" i="6"/>
  <c r="C7" i="5"/>
  <c r="C14" i="5"/>
  <c r="C13" i="5"/>
  <c r="C12" i="5"/>
  <c r="E10" i="6" l="1"/>
  <c r="C13" i="4" l="1"/>
  <c r="C14" i="4" l="1"/>
  <c r="D10" i="3" l="1"/>
  <c r="C10" i="3"/>
  <c r="C328" i="1" l="1"/>
  <c r="O48" i="1" l="1"/>
  <c r="C79" i="1" l="1"/>
  <c r="C292" i="1" l="1"/>
  <c r="O45" i="1" l="1"/>
  <c r="D176" i="1" l="1"/>
  <c r="J79" i="1" l="1"/>
  <c r="I79" i="1"/>
  <c r="H79" i="1"/>
  <c r="F79" i="1"/>
  <c r="G79" i="1"/>
  <c r="D79" i="1"/>
  <c r="E79" i="1"/>
  <c r="F150" i="1" l="1"/>
  <c r="C296" i="1" l="1"/>
  <c r="E171" i="1"/>
  <c r="P18" i="1" l="1"/>
  <c r="B28" i="1"/>
  <c r="B29" i="1"/>
  <c r="B30" i="1"/>
  <c r="B31" i="1"/>
  <c r="B32" i="1"/>
  <c r="B33" i="1"/>
  <c r="B34" i="1"/>
  <c r="B35" i="1"/>
  <c r="B36" i="1"/>
  <c r="B37" i="1"/>
  <c r="B38" i="1"/>
  <c r="B27" i="1"/>
  <c r="P27" i="1" l="1"/>
  <c r="U9" i="1"/>
  <c r="D157" i="1" l="1"/>
  <c r="C293" i="1" l="1"/>
  <c r="E13" i="3" l="1"/>
  <c r="J166" i="1" l="1"/>
  <c r="C57" i="1" l="1"/>
  <c r="C176" i="1" s="1"/>
  <c r="C165" i="1" l="1"/>
  <c r="C294" i="1"/>
  <c r="F163" i="1" l="1"/>
  <c r="F164" i="1" s="1"/>
  <c r="C80" i="1" l="1"/>
  <c r="D57" i="1" l="1"/>
  <c r="D65" i="1" l="1"/>
  <c r="D66" i="1" l="1"/>
  <c r="D64" i="1"/>
  <c r="I64" i="1" l="1"/>
  <c r="H64" i="1"/>
  <c r="E63" i="1" l="1"/>
  <c r="D82" i="1" l="1"/>
  <c r="O9" i="1" l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P28" i="1"/>
  <c r="P29" i="1"/>
  <c r="P30" i="1"/>
  <c r="P31" i="1"/>
  <c r="P32" i="1"/>
  <c r="P130" i="1" s="1"/>
  <c r="P33" i="1"/>
  <c r="P34" i="1"/>
  <c r="P35" i="1"/>
  <c r="P36" i="1"/>
  <c r="P37" i="1"/>
  <c r="P38" i="1"/>
  <c r="P45" i="1"/>
  <c r="P46" i="1"/>
  <c r="P48" i="1"/>
  <c r="P49" i="1"/>
  <c r="P126" i="1"/>
  <c r="Q126" i="1" s="1"/>
  <c r="R126" i="1"/>
  <c r="S126" i="1"/>
  <c r="P129" i="1"/>
  <c r="Q129" i="1"/>
  <c r="P133" i="1"/>
  <c r="Q133" i="1"/>
  <c r="P131" i="1" l="1"/>
  <c r="O52" i="1"/>
  <c r="O53" i="1" s="1"/>
  <c r="P47" i="1"/>
  <c r="Q89" i="3" s="1"/>
  <c r="P134" i="1"/>
  <c r="P135" i="1" s="1"/>
  <c r="Q130" i="1"/>
  <c r="Q134" i="1"/>
  <c r="P50" i="1"/>
  <c r="Q88" i="3" s="1"/>
  <c r="R129" i="1"/>
  <c r="R133" i="1"/>
  <c r="I70" i="1"/>
  <c r="H70" i="1"/>
  <c r="H73" i="1"/>
  <c r="D25" i="1"/>
  <c r="D43" i="1"/>
  <c r="D80" i="1"/>
  <c r="I74" i="1"/>
  <c r="I73" i="1"/>
  <c r="I72" i="1"/>
  <c r="H71" i="1"/>
  <c r="H69" i="1"/>
  <c r="I67" i="1"/>
  <c r="I66" i="1"/>
  <c r="I65" i="1"/>
  <c r="H65" i="1"/>
  <c r="E80" i="1"/>
  <c r="E82" i="1"/>
  <c r="F80" i="1"/>
  <c r="F82" i="1"/>
  <c r="G80" i="1"/>
  <c r="G82" i="1"/>
  <c r="H80" i="1"/>
  <c r="H82" i="1"/>
  <c r="I80" i="1"/>
  <c r="I82" i="1"/>
  <c r="J80" i="1"/>
  <c r="J82" i="1"/>
  <c r="C83" i="1"/>
  <c r="C84" i="1" s="1"/>
  <c r="D70" i="3"/>
  <c r="D86" i="3" s="1"/>
  <c r="E70" i="3"/>
  <c r="E86" i="3" s="1"/>
  <c r="F70" i="3"/>
  <c r="F86" i="3" s="1"/>
  <c r="G70" i="3"/>
  <c r="G86" i="3" s="1"/>
  <c r="H70" i="3"/>
  <c r="H86" i="3" s="1"/>
  <c r="I70" i="3"/>
  <c r="I86" i="3" s="1"/>
  <c r="J70" i="3"/>
  <c r="J86" i="3" s="1"/>
  <c r="C70" i="3"/>
  <c r="C86" i="3" s="1"/>
  <c r="U10" i="1"/>
  <c r="U11" i="1"/>
  <c r="U12" i="1"/>
  <c r="U13" i="1"/>
  <c r="T9" i="1"/>
  <c r="T10" i="1"/>
  <c r="T11" i="1"/>
  <c r="T12" i="1"/>
  <c r="T13" i="1"/>
  <c r="T126" i="1"/>
  <c r="T20" i="1"/>
  <c r="T18" i="1"/>
  <c r="T19" i="1"/>
  <c r="U20" i="1"/>
  <c r="U18" i="1"/>
  <c r="U19" i="1"/>
  <c r="V13" i="1"/>
  <c r="V9" i="1"/>
  <c r="V10" i="1"/>
  <c r="V11" i="1"/>
  <c r="V12" i="1"/>
  <c r="V20" i="1"/>
  <c r="V18" i="1"/>
  <c r="V19" i="1"/>
  <c r="V17" i="1"/>
  <c r="V14" i="1"/>
  <c r="V15" i="1"/>
  <c r="V16" i="1"/>
  <c r="T17" i="1"/>
  <c r="T14" i="1"/>
  <c r="T15" i="1"/>
  <c r="T16" i="1"/>
  <c r="U17" i="1"/>
  <c r="U14" i="1"/>
  <c r="U15" i="1"/>
  <c r="U16" i="1"/>
  <c r="I152" i="1"/>
  <c r="B74" i="1"/>
  <c r="B73" i="1"/>
  <c r="B72" i="1"/>
  <c r="B71" i="1"/>
  <c r="B70" i="1"/>
  <c r="B69" i="1"/>
  <c r="B68" i="1"/>
  <c r="B67" i="1"/>
  <c r="B66" i="1"/>
  <c r="B65" i="1"/>
  <c r="B64" i="1"/>
  <c r="B63" i="1"/>
  <c r="C161" i="1"/>
  <c r="C295" i="1"/>
  <c r="P89" i="3"/>
  <c r="H67" i="1"/>
  <c r="H74" i="1"/>
  <c r="H72" i="1"/>
  <c r="H66" i="1"/>
  <c r="I71" i="1"/>
  <c r="I69" i="1"/>
  <c r="D93" i="1" l="1"/>
  <c r="D111" i="1" s="1"/>
  <c r="C93" i="1"/>
  <c r="C111" i="1" s="1"/>
  <c r="R130" i="1"/>
  <c r="Q131" i="1"/>
  <c r="R134" i="1"/>
  <c r="Q135" i="1"/>
  <c r="C97" i="1"/>
  <c r="C115" i="1" s="1"/>
  <c r="J83" i="1"/>
  <c r="J84" i="1" s="1"/>
  <c r="Q90" i="3"/>
  <c r="P88" i="3"/>
  <c r="I83" i="1"/>
  <c r="I84" i="1" s="1"/>
  <c r="H83" i="1"/>
  <c r="H84" i="1" s="1"/>
  <c r="G83" i="1"/>
  <c r="G84" i="1" s="1"/>
  <c r="F83" i="1"/>
  <c r="F84" i="1" s="1"/>
  <c r="D97" i="1"/>
  <c r="D115" i="1" s="1"/>
  <c r="D83" i="1"/>
  <c r="D84" i="1" s="1"/>
  <c r="E83" i="1"/>
  <c r="E84" i="1" s="1"/>
  <c r="O54" i="1" l="1"/>
  <c r="P90" i="3"/>
  <c r="E68" i="1" l="1"/>
  <c r="D70" i="1"/>
  <c r="E70" i="1" s="1"/>
  <c r="D69" i="1"/>
  <c r="E69" i="1" s="1"/>
  <c r="D71" i="1"/>
  <c r="E71" i="1" s="1"/>
  <c r="D92" i="1" l="1"/>
  <c r="C92" i="1"/>
  <c r="C110" i="1" s="1"/>
  <c r="D94" i="1"/>
  <c r="C94" i="1"/>
  <c r="C112" i="1" s="1"/>
  <c r="D129" i="1" l="1"/>
  <c r="D112" i="1"/>
  <c r="D130" i="1" s="1"/>
  <c r="C128" i="1"/>
  <c r="D110" i="1"/>
  <c r="D128" i="1" s="1"/>
  <c r="S129" i="1" l="1"/>
  <c r="S130" i="1"/>
  <c r="D191" i="1"/>
  <c r="D235" i="1"/>
  <c r="T131" i="1"/>
  <c r="S131" i="1" l="1"/>
  <c r="D74" i="1" l="1"/>
  <c r="E74" i="1" s="1"/>
  <c r="E65" i="1"/>
  <c r="D67" i="1"/>
  <c r="E67" i="1" s="1"/>
  <c r="D72" i="1"/>
  <c r="E72" i="1" s="1"/>
  <c r="E64" i="1"/>
  <c r="D73" i="1"/>
  <c r="E73" i="1" s="1"/>
  <c r="E66" i="1"/>
  <c r="D98" i="1" l="1"/>
  <c r="D133" i="1" s="1"/>
  <c r="C96" i="1"/>
  <c r="C100" i="1" s="1"/>
  <c r="D96" i="1"/>
  <c r="C98" i="1"/>
  <c r="C116" i="1" s="1"/>
  <c r="D100" i="1" l="1"/>
  <c r="D114" i="1"/>
  <c r="C114" i="1"/>
  <c r="D116" i="1"/>
  <c r="D134" i="1" l="1"/>
  <c r="D197" i="1" s="1"/>
  <c r="S133" i="1"/>
  <c r="C132" i="1"/>
  <c r="C118" i="1"/>
  <c r="D118" i="1"/>
  <c r="D132" i="1"/>
  <c r="T135" i="1"/>
  <c r="S134" i="1" l="1"/>
  <c r="S135" i="1" s="1"/>
  <c r="D240" i="1"/>
  <c r="C136" i="1"/>
  <c r="D136" i="1"/>
  <c r="K147" i="1" l="1"/>
  <c r="K145" i="1"/>
  <c r="K144" i="1"/>
  <c r="C8" i="5" l="1"/>
  <c r="C10" i="5" s="1"/>
  <c r="C16" i="5" s="1"/>
  <c r="C8" i="4"/>
  <c r="J157" i="1"/>
  <c r="J156" i="1"/>
  <c r="D180" i="1" l="1"/>
  <c r="D190" i="1" s="1"/>
  <c r="C180" i="1"/>
  <c r="J158" i="1"/>
  <c r="D181" i="1"/>
  <c r="C181" i="1"/>
  <c r="C238" i="1" l="1"/>
  <c r="C195" i="1"/>
  <c r="C274" i="1" s="1"/>
  <c r="D179" i="1"/>
  <c r="C179" i="1"/>
  <c r="D239" i="1"/>
  <c r="D196" i="1"/>
  <c r="D199" i="1" s="1"/>
  <c r="D238" i="1"/>
  <c r="D195" i="1"/>
  <c r="D274" i="1" s="1"/>
  <c r="C233" i="1"/>
  <c r="C236" i="1" s="1"/>
  <c r="C189" i="1"/>
  <c r="C192" i="1" s="1"/>
  <c r="D233" i="1"/>
  <c r="D234" i="1"/>
  <c r="D189" i="1"/>
  <c r="D273" i="1" s="1"/>
  <c r="D241" i="1" l="1"/>
  <c r="D275" i="1"/>
  <c r="D278" i="1" s="1"/>
  <c r="C241" i="1"/>
  <c r="C199" i="1"/>
  <c r="C218" i="1"/>
  <c r="C53" i="3" s="1"/>
  <c r="C193" i="1"/>
  <c r="C219" i="1" s="1"/>
  <c r="C54" i="3" s="1"/>
  <c r="C260" i="1"/>
  <c r="C237" i="1"/>
  <c r="C261" i="1" s="1"/>
  <c r="C273" i="1" l="1"/>
  <c r="C275" i="1" s="1"/>
  <c r="C278" i="1" s="1"/>
  <c r="D279" i="1"/>
  <c r="U48" i="1"/>
  <c r="V88" i="3" s="1"/>
  <c r="I93" i="1"/>
  <c r="I111" i="1" s="1"/>
  <c r="I180" i="1"/>
  <c r="I94" i="1"/>
  <c r="I112" i="1" s="1"/>
  <c r="I92" i="1"/>
  <c r="I110" i="1" s="1"/>
  <c r="I128" i="1" s="1"/>
  <c r="I57" i="1"/>
  <c r="U45" i="1"/>
  <c r="V89" i="3" s="1"/>
  <c r="I97" i="1"/>
  <c r="I115" i="1" s="1"/>
  <c r="I181" i="1"/>
  <c r="I98" i="1"/>
  <c r="I116" i="1" s="1"/>
  <c r="I96" i="1"/>
  <c r="C279" i="1" l="1"/>
  <c r="I100" i="1"/>
  <c r="V90" i="3"/>
  <c r="I233" i="1"/>
  <c r="I114" i="1"/>
  <c r="I118" i="1" s="1"/>
  <c r="I176" i="1"/>
  <c r="I189" i="1" s="1"/>
  <c r="I179" i="1"/>
  <c r="I132" i="1" l="1"/>
  <c r="I238" i="1" s="1"/>
  <c r="K54" i="1"/>
  <c r="K46" i="1"/>
  <c r="K50" i="1"/>
  <c r="I273" i="1"/>
  <c r="G180" i="1"/>
  <c r="G97" i="1"/>
  <c r="G115" i="1" s="1"/>
  <c r="R48" i="1"/>
  <c r="S88" i="3" s="1"/>
  <c r="K49" i="1" l="1"/>
  <c r="I195" i="1"/>
  <c r="I274" i="1" s="1"/>
  <c r="I136" i="1"/>
  <c r="I199" i="1" s="1"/>
  <c r="G96" i="1"/>
  <c r="G114" i="1" s="1"/>
  <c r="K53" i="1"/>
  <c r="T48" i="1"/>
  <c r="U88" i="3" s="1"/>
  <c r="V48" i="1"/>
  <c r="W88" i="3" s="1"/>
  <c r="G181" i="1"/>
  <c r="F57" i="1"/>
  <c r="F179" i="1" s="1"/>
  <c r="H93" i="1"/>
  <c r="H111" i="1" s="1"/>
  <c r="J180" i="1"/>
  <c r="J93" i="1"/>
  <c r="J111" i="1" s="1"/>
  <c r="S45" i="1"/>
  <c r="T89" i="3" s="1"/>
  <c r="G98" i="1"/>
  <c r="G116" i="1" s="1"/>
  <c r="J92" i="1"/>
  <c r="J110" i="1" s="1"/>
  <c r="J128" i="1" s="1"/>
  <c r="J233" i="1" s="1"/>
  <c r="K51" i="1"/>
  <c r="F181" i="1"/>
  <c r="H92" i="1"/>
  <c r="H110" i="1" s="1"/>
  <c r="H128" i="1" s="1"/>
  <c r="G93" i="1"/>
  <c r="G111" i="1" s="1"/>
  <c r="E94" i="1"/>
  <c r="E112" i="1" s="1"/>
  <c r="Q48" i="1"/>
  <c r="F94" i="1"/>
  <c r="F112" i="1" s="1"/>
  <c r="F97" i="1"/>
  <c r="F115" i="1" s="1"/>
  <c r="G57" i="1"/>
  <c r="G179" i="1" s="1"/>
  <c r="H94" i="1"/>
  <c r="H112" i="1" s="1"/>
  <c r="G94" i="1"/>
  <c r="G112" i="1" s="1"/>
  <c r="S48" i="1"/>
  <c r="T88" i="3" s="1"/>
  <c r="E180" i="1"/>
  <c r="F180" i="1"/>
  <c r="F98" i="1"/>
  <c r="F116" i="1" s="1"/>
  <c r="R45" i="1"/>
  <c r="S89" i="3" s="1"/>
  <c r="S90" i="3" s="1"/>
  <c r="H180" i="1"/>
  <c r="G92" i="1"/>
  <c r="G110" i="1" s="1"/>
  <c r="G128" i="1" s="1"/>
  <c r="G233" i="1" s="1"/>
  <c r="E93" i="1"/>
  <c r="E111" i="1" s="1"/>
  <c r="F93" i="1"/>
  <c r="F111" i="1" s="1"/>
  <c r="K55" i="1"/>
  <c r="K56" i="1"/>
  <c r="K52" i="1"/>
  <c r="K48" i="1"/>
  <c r="K47" i="1"/>
  <c r="F96" i="1"/>
  <c r="J94" i="1"/>
  <c r="J112" i="1" s="1"/>
  <c r="E92" i="1"/>
  <c r="E110" i="1" s="1"/>
  <c r="E128" i="1" s="1"/>
  <c r="F92" i="1"/>
  <c r="F110" i="1" s="1"/>
  <c r="F128" i="1" s="1"/>
  <c r="K45" i="1"/>
  <c r="E57" i="1"/>
  <c r="Q45" i="1"/>
  <c r="E97" i="1"/>
  <c r="E115" i="1" s="1"/>
  <c r="E181" i="1"/>
  <c r="E96" i="1"/>
  <c r="E98" i="1"/>
  <c r="E116" i="1" s="1"/>
  <c r="H57" i="1"/>
  <c r="T45" i="1"/>
  <c r="U89" i="3" s="1"/>
  <c r="H97" i="1"/>
  <c r="H115" i="1" s="1"/>
  <c r="H181" i="1"/>
  <c r="H96" i="1"/>
  <c r="H114" i="1" s="1"/>
  <c r="H98" i="1"/>
  <c r="H116" i="1" s="1"/>
  <c r="I241" i="1"/>
  <c r="F176" i="1"/>
  <c r="J57" i="1"/>
  <c r="V45" i="1"/>
  <c r="W89" i="3" s="1"/>
  <c r="W90" i="3" s="1"/>
  <c r="J97" i="1"/>
  <c r="J115" i="1" s="1"/>
  <c r="J181" i="1"/>
  <c r="J98" i="1"/>
  <c r="J116" i="1" s="1"/>
  <c r="J96" i="1"/>
  <c r="J114" i="1" s="1"/>
  <c r="U90" i="3" l="1"/>
  <c r="T90" i="3"/>
  <c r="G176" i="1"/>
  <c r="G189" i="1" s="1"/>
  <c r="G273" i="1" s="1"/>
  <c r="J100" i="1"/>
  <c r="F100" i="1"/>
  <c r="E100" i="1"/>
  <c r="F233" i="1"/>
  <c r="H233" i="1"/>
  <c r="G100" i="1"/>
  <c r="R88" i="3"/>
  <c r="X88" i="3" s="1"/>
  <c r="Q57" i="1"/>
  <c r="W48" i="1"/>
  <c r="C20" i="3"/>
  <c r="F189" i="1"/>
  <c r="F273" i="1" s="1"/>
  <c r="E233" i="1"/>
  <c r="H100" i="1"/>
  <c r="K57" i="1"/>
  <c r="K176" i="1" s="1"/>
  <c r="C310" i="1" s="1"/>
  <c r="F114" i="1"/>
  <c r="F132" i="1" s="1"/>
  <c r="F136" i="1" s="1"/>
  <c r="E176" i="1"/>
  <c r="E189" i="1" s="1"/>
  <c r="E179" i="1"/>
  <c r="H132" i="1"/>
  <c r="H118" i="1"/>
  <c r="I275" i="1"/>
  <c r="I278" i="1" s="1"/>
  <c r="E114" i="1"/>
  <c r="J118" i="1"/>
  <c r="J132" i="1"/>
  <c r="G132" i="1"/>
  <c r="G118" i="1"/>
  <c r="J176" i="1"/>
  <c r="J189" i="1" s="1"/>
  <c r="J179" i="1"/>
  <c r="H176" i="1"/>
  <c r="H189" i="1" s="1"/>
  <c r="H179" i="1"/>
  <c r="R89" i="3"/>
  <c r="Q56" i="1"/>
  <c r="W45" i="1"/>
  <c r="C21" i="3"/>
  <c r="C21" i="6" s="1"/>
  <c r="D25" i="6" s="1"/>
  <c r="C20" i="6" l="1"/>
  <c r="D24" i="6" s="1"/>
  <c r="D26" i="6" s="1"/>
  <c r="C18" i="5"/>
  <c r="C19" i="5" s="1"/>
  <c r="C21" i="5" s="1"/>
  <c r="C9" i="6" s="1"/>
  <c r="C10" i="6" s="1"/>
  <c r="C18" i="4"/>
  <c r="C19" i="4" s="1"/>
  <c r="C21" i="4" s="1"/>
  <c r="C25" i="3"/>
  <c r="D25" i="3"/>
  <c r="D24" i="3"/>
  <c r="D26" i="3" s="1"/>
  <c r="C24" i="3"/>
  <c r="W50" i="1"/>
  <c r="F118" i="1"/>
  <c r="F238" i="1"/>
  <c r="F195" i="1"/>
  <c r="F274" i="1" s="1"/>
  <c r="Q58" i="1"/>
  <c r="G102" i="1"/>
  <c r="H273" i="1"/>
  <c r="E118" i="1"/>
  <c r="E132" i="1"/>
  <c r="E273" i="1"/>
  <c r="G238" i="1"/>
  <c r="G136" i="1"/>
  <c r="G195" i="1"/>
  <c r="H195" i="1"/>
  <c r="H238" i="1"/>
  <c r="H136" i="1"/>
  <c r="F241" i="1"/>
  <c r="F199" i="1"/>
  <c r="R90" i="3"/>
  <c r="X90" i="3" s="1"/>
  <c r="X89" i="3"/>
  <c r="J273" i="1"/>
  <c r="J195" i="1"/>
  <c r="J136" i="1"/>
  <c r="J238" i="1"/>
  <c r="I279" i="1"/>
  <c r="C24" i="6" l="1"/>
  <c r="C25" i="6"/>
  <c r="C120" i="1"/>
  <c r="C137" i="1" s="1"/>
  <c r="C26" i="3"/>
  <c r="H274" i="1"/>
  <c r="F275" i="1"/>
  <c r="F278" i="1" s="1"/>
  <c r="J241" i="1"/>
  <c r="J199" i="1"/>
  <c r="G241" i="1"/>
  <c r="G199" i="1"/>
  <c r="E238" i="1"/>
  <c r="E136" i="1"/>
  <c r="E195" i="1"/>
  <c r="J274" i="1"/>
  <c r="H241" i="1"/>
  <c r="H199" i="1"/>
  <c r="G274" i="1"/>
  <c r="C282" i="1"/>
  <c r="E287" i="1" s="1"/>
  <c r="C26" i="6" l="1"/>
  <c r="F279" i="1"/>
  <c r="H275" i="1"/>
  <c r="H278" i="1" s="1"/>
  <c r="E274" i="1"/>
  <c r="G275" i="1"/>
  <c r="G278" i="1" s="1"/>
  <c r="J275" i="1"/>
  <c r="J278" i="1" s="1"/>
  <c r="E241" i="1"/>
  <c r="E199" i="1"/>
  <c r="C203" i="1" s="1"/>
  <c r="J279" i="1" l="1"/>
  <c r="H279" i="1"/>
  <c r="G279" i="1"/>
  <c r="F205" i="1"/>
  <c r="F206" i="1"/>
  <c r="C283" i="1"/>
  <c r="E275" i="1"/>
  <c r="E278" i="1" s="1"/>
  <c r="C244" i="1"/>
  <c r="E225" i="1" l="1"/>
  <c r="E62" i="3" s="1"/>
  <c r="D214" i="1"/>
  <c r="D48" i="3" s="1"/>
  <c r="D222" i="1"/>
  <c r="D59" i="3" s="1"/>
  <c r="D225" i="1"/>
  <c r="D62" i="3" s="1"/>
  <c r="D223" i="1"/>
  <c r="D60" i="3" s="1"/>
  <c r="C225" i="1"/>
  <c r="C62" i="3" s="1"/>
  <c r="D215" i="1"/>
  <c r="D49" i="3" s="1"/>
  <c r="D221" i="1"/>
  <c r="D58" i="3" s="1"/>
  <c r="C221" i="1"/>
  <c r="C58" i="3" s="1"/>
  <c r="C217" i="1"/>
  <c r="C52" i="3" s="1"/>
  <c r="D216" i="1"/>
  <c r="D50" i="3" s="1"/>
  <c r="I214" i="1"/>
  <c r="I48" i="3" s="1"/>
  <c r="I221" i="1"/>
  <c r="I58" i="3" s="1"/>
  <c r="G214" i="1"/>
  <c r="G48" i="3" s="1"/>
  <c r="F214" i="1"/>
  <c r="F48" i="3" s="1"/>
  <c r="I225" i="1"/>
  <c r="I62" i="3" s="1"/>
  <c r="F221" i="1"/>
  <c r="F58" i="3" s="1"/>
  <c r="H214" i="1"/>
  <c r="H48" i="3" s="1"/>
  <c r="E214" i="1"/>
  <c r="E48" i="3" s="1"/>
  <c r="J214" i="1"/>
  <c r="J48" i="3" s="1"/>
  <c r="H221" i="1"/>
  <c r="H58" i="3" s="1"/>
  <c r="J221" i="1"/>
  <c r="J58" i="3" s="1"/>
  <c r="G221" i="1"/>
  <c r="G58" i="3" s="1"/>
  <c r="F225" i="1"/>
  <c r="F62" i="3" s="1"/>
  <c r="E221" i="1"/>
  <c r="E58" i="3" s="1"/>
  <c r="G225" i="1"/>
  <c r="G62" i="3" s="1"/>
  <c r="J225" i="1"/>
  <c r="J62" i="3" s="1"/>
  <c r="H225" i="1"/>
  <c r="H62" i="3" s="1"/>
  <c r="C284" i="1"/>
  <c r="C287" i="1" s="1"/>
  <c r="E288" i="1"/>
  <c r="M287" i="1" s="1"/>
  <c r="G247" i="1"/>
  <c r="G246" i="1"/>
  <c r="E279" i="1"/>
  <c r="C288" i="1" l="1"/>
  <c r="E16" i="3"/>
  <c r="E16" i="6" s="1"/>
  <c r="E24" i="6" s="1"/>
  <c r="C29" i="6" s="1"/>
  <c r="M288" i="1"/>
  <c r="E17" i="3" s="1"/>
  <c r="D266" i="1"/>
  <c r="J256" i="1"/>
  <c r="G256" i="1"/>
  <c r="D264" i="1"/>
  <c r="D263" i="1"/>
  <c r="C263" i="1"/>
  <c r="D257" i="1"/>
  <c r="H256" i="1"/>
  <c r="D256" i="1"/>
  <c r="C266" i="1"/>
  <c r="I256" i="1"/>
  <c r="D258" i="1"/>
  <c r="D265" i="1"/>
  <c r="F256" i="1"/>
  <c r="E256" i="1"/>
  <c r="C259" i="1"/>
  <c r="I263" i="1"/>
  <c r="I266" i="1"/>
  <c r="F263" i="1"/>
  <c r="F266" i="1"/>
  <c r="J263" i="1"/>
  <c r="G263" i="1"/>
  <c r="H263" i="1"/>
  <c r="H266" i="1"/>
  <c r="G266" i="1"/>
  <c r="J266" i="1"/>
  <c r="E263" i="1"/>
  <c r="E266" i="1"/>
  <c r="E25" i="3" l="1"/>
  <c r="C99" i="3" s="1"/>
  <c r="E17" i="6"/>
  <c r="E25" i="6" s="1"/>
  <c r="E24" i="3"/>
  <c r="C98" i="3" s="1"/>
  <c r="C145" i="3" s="1"/>
  <c r="C30" i="3"/>
  <c r="E26" i="3" l="1"/>
  <c r="C37" i="3" s="1"/>
  <c r="E26" i="6"/>
  <c r="C32" i="6" s="1"/>
  <c r="C30" i="6"/>
  <c r="C29" i="3"/>
  <c r="C100" i="3"/>
  <c r="C146" i="3"/>
  <c r="C147" i="3" s="1"/>
  <c r="C32" i="3" l="1"/>
  <c r="D72" i="3" s="1"/>
  <c r="J72" i="3" l="1"/>
  <c r="D73" i="3"/>
  <c r="C77" i="3"/>
  <c r="C76" i="3"/>
  <c r="C88" i="3" s="1"/>
  <c r="C309" i="1"/>
  <c r="C311" i="1" s="1"/>
  <c r="J322" i="1" s="1"/>
  <c r="J340" i="1" s="1"/>
  <c r="C79" i="3"/>
  <c r="C89" i="3" s="1"/>
  <c r="E79" i="3"/>
  <c r="E89" i="3" s="1"/>
  <c r="F72" i="3"/>
  <c r="F88" i="3" s="1"/>
  <c r="E72" i="3"/>
  <c r="D80" i="3"/>
  <c r="D81" i="3"/>
  <c r="G79" i="3"/>
  <c r="G89" i="3" s="1"/>
  <c r="I79" i="3"/>
  <c r="I89" i="3" s="1"/>
  <c r="J79" i="3"/>
  <c r="J89" i="3" s="1"/>
  <c r="I72" i="3"/>
  <c r="I88" i="3" s="1"/>
  <c r="D79" i="3"/>
  <c r="C36" i="3"/>
  <c r="C38" i="3" s="1"/>
  <c r="G72" i="3"/>
  <c r="G88" i="3" s="1"/>
  <c r="H79" i="3"/>
  <c r="H89" i="3" s="1"/>
  <c r="D74" i="3"/>
  <c r="D88" i="3" s="1"/>
  <c r="F79" i="3"/>
  <c r="F89" i="3" s="1"/>
  <c r="H72" i="3"/>
  <c r="H88" i="3" s="1"/>
  <c r="D322" i="1"/>
  <c r="D340" i="1" s="1"/>
  <c r="I322" i="1"/>
  <c r="I340" i="1" s="1"/>
  <c r="J88" i="3"/>
  <c r="E88" i="3"/>
  <c r="D89" i="3"/>
  <c r="F322" i="1" l="1"/>
  <c r="F340" i="1" s="1"/>
  <c r="C322" i="1"/>
  <c r="C340" i="1" s="1"/>
  <c r="G322" i="1"/>
  <c r="G340" i="1" s="1"/>
  <c r="E322" i="1"/>
  <c r="E340" i="1" s="1"/>
  <c r="H322" i="1"/>
  <c r="H340" i="1" s="1"/>
  <c r="D90" i="3"/>
  <c r="G90" i="3"/>
  <c r="J90" i="3"/>
  <c r="C93" i="3"/>
  <c r="E90" i="3"/>
  <c r="F90" i="3"/>
  <c r="C90" i="3"/>
  <c r="C92" i="3"/>
  <c r="C103" i="3" s="1"/>
  <c r="H90" i="3"/>
  <c r="I90" i="3"/>
  <c r="C104" i="3" l="1"/>
  <c r="C94" i="3"/>
  <c r="C105" i="3" s="1"/>
  <c r="J103" i="3" s="1"/>
  <c r="J101" i="3"/>
  <c r="E103" i="3"/>
  <c r="C318" i="1" l="1"/>
  <c r="C336" i="1" s="1"/>
  <c r="C123" i="3"/>
  <c r="E314" i="1"/>
  <c r="E332" i="1" s="1"/>
  <c r="J118" i="3"/>
  <c r="J135" i="3" s="1"/>
  <c r="D120" i="3"/>
  <c r="D118" i="3"/>
  <c r="H118" i="3"/>
  <c r="H135" i="3" s="1"/>
  <c r="C317" i="1"/>
  <c r="C335" i="1" s="1"/>
  <c r="J314" i="1"/>
  <c r="J332" i="1" s="1"/>
  <c r="C122" i="3"/>
  <c r="C135" i="3" s="1"/>
  <c r="D315" i="1"/>
  <c r="D333" i="1" s="1"/>
  <c r="G314" i="1"/>
  <c r="G332" i="1" s="1"/>
  <c r="F118" i="3"/>
  <c r="F135" i="3" s="1"/>
  <c r="E118" i="3"/>
  <c r="E135" i="3" s="1"/>
  <c r="F314" i="1"/>
  <c r="F332" i="1" s="1"/>
  <c r="G118" i="3"/>
  <c r="G135" i="3" s="1"/>
  <c r="D314" i="1"/>
  <c r="I314" i="1"/>
  <c r="I332" i="1" s="1"/>
  <c r="D316" i="1"/>
  <c r="D334" i="1" s="1"/>
  <c r="I118" i="3"/>
  <c r="I135" i="3" s="1"/>
  <c r="H314" i="1"/>
  <c r="H332" i="1" s="1"/>
  <c r="D119" i="3"/>
  <c r="D135" i="3" s="1"/>
  <c r="J102" i="3"/>
  <c r="E104" i="3"/>
  <c r="D321" i="1" l="1"/>
  <c r="D339" i="1" s="1"/>
  <c r="I319" i="1"/>
  <c r="I337" i="1" s="1"/>
  <c r="D319" i="1"/>
  <c r="D320" i="1"/>
  <c r="D338" i="1" s="1"/>
  <c r="C125" i="3"/>
  <c r="C136" i="3" s="1"/>
  <c r="C137" i="3" s="1"/>
  <c r="D126" i="3"/>
  <c r="F125" i="3"/>
  <c r="F136" i="3" s="1"/>
  <c r="F137" i="3" s="1"/>
  <c r="J125" i="3"/>
  <c r="J136" i="3" s="1"/>
  <c r="J137" i="3" s="1"/>
  <c r="H319" i="1"/>
  <c r="H337" i="1" s="1"/>
  <c r="J319" i="1"/>
  <c r="J337" i="1" s="1"/>
  <c r="D127" i="3"/>
  <c r="I125" i="3"/>
  <c r="I136" i="3" s="1"/>
  <c r="I137" i="3" s="1"/>
  <c r="F319" i="1"/>
  <c r="F337" i="1" s="1"/>
  <c r="C319" i="1"/>
  <c r="C337" i="1" s="1"/>
  <c r="E319" i="1"/>
  <c r="E337" i="1" s="1"/>
  <c r="G319" i="1"/>
  <c r="G337" i="1" s="1"/>
  <c r="D125" i="3"/>
  <c r="H125" i="3"/>
  <c r="H136" i="3" s="1"/>
  <c r="H137" i="3" s="1"/>
  <c r="E125" i="3"/>
  <c r="E136" i="3" s="1"/>
  <c r="E137" i="3" s="1"/>
  <c r="G125" i="3"/>
  <c r="G136" i="3" s="1"/>
  <c r="G137" i="3" s="1"/>
  <c r="C139" i="3"/>
  <c r="C150" i="3" s="1"/>
  <c r="D136" i="3" l="1"/>
  <c r="D137" i="3" s="1"/>
  <c r="C140" i="3" l="1"/>
  <c r="C141" i="3" l="1"/>
  <c r="C151" i="3"/>
  <c r="C152" i="3" s="1"/>
</calcChain>
</file>

<file path=xl/sharedStrings.xml><?xml version="1.0" encoding="utf-8"?>
<sst xmlns="http://schemas.openxmlformats.org/spreadsheetml/2006/main" count="688" uniqueCount="321">
  <si>
    <t>Table #1</t>
  </si>
  <si>
    <t>% usage during PJM On-Peak period</t>
  </si>
  <si>
    <t>On-Peak periods defined as the 16 hr PJM Trading period, adj for NERC holidays</t>
  </si>
  <si>
    <t xml:space="preserve">% usage during Off-Peak period </t>
  </si>
  <si>
    <t>(data rounded to nearest %)</t>
  </si>
  <si>
    <t>RS</t>
  </si>
  <si>
    <t>MGS - SEC</t>
  </si>
  <si>
    <t>MGS - PRI</t>
  </si>
  <si>
    <t>AGS - SEC</t>
  </si>
  <si>
    <t>AGS - PRI</t>
  </si>
  <si>
    <t>SPL/CSL</t>
  </si>
  <si>
    <t>DDC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</si>
  <si>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</si>
  <si>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</si>
  <si>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</si>
  <si>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</si>
  <si>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</si>
  <si>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</si>
  <si>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</si>
  <si>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</si>
  <si>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</si>
  <si>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</si>
  <si>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</si>
  <si>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</si>
  <si>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</si>
  <si>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Class Usage @ customer</t>
  </si>
  <si>
    <t>Usage by season</t>
  </si>
  <si>
    <t>calendar month sales forecasted for period</t>
  </si>
  <si>
    <t>in MWh</t>
  </si>
  <si>
    <t>Total</t>
  </si>
  <si>
    <t>winter MWh =</t>
  </si>
  <si>
    <t>summer MWh =</t>
  </si>
  <si>
    <t>Table #3</t>
  </si>
  <si>
    <t>Forwards Prices - Energy Only @ bulk system</t>
  </si>
  <si>
    <t>Table #4</t>
  </si>
  <si>
    <t>in $/MWh</t>
  </si>
  <si>
    <t>On-Peak</t>
  </si>
  <si>
    <t>Off-Peak</t>
  </si>
  <si>
    <t>Table #5</t>
  </si>
  <si>
    <t>Losses</t>
  </si>
  <si>
    <t>Expansion Factor =</t>
  </si>
  <si>
    <t>Table #6</t>
  </si>
  <si>
    <t>Summary of Average BGS Energy Only Unit Costs @ customer - PJM Time Periods</t>
  </si>
  <si>
    <t>based on Forwards @ PJM West - corrected for congestion &amp; losses</t>
  </si>
  <si>
    <t>Summer - all hrs</t>
  </si>
  <si>
    <t>Winter - all hrs</t>
  </si>
  <si>
    <t>Annual</t>
  </si>
  <si>
    <t>System Average Cost @ customer - (limited to classes shown above) =</t>
  </si>
  <si>
    <t>Table #7</t>
  </si>
  <si>
    <t>Generation &amp; Transmission Obligations and Costs and Other Adjustments</t>
  </si>
  <si>
    <t>in MW</t>
  </si>
  <si>
    <t>Gen Load - MW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</si>
  <si>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</si>
  <si>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</si>
  <si>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</si>
  <si>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</si>
  <si>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</si>
  <si>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</si>
  <si>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</si>
  <si>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</si>
  <si>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</t>
  </si>
  <si>
    <t>per MW-yr</t>
  </si>
  <si>
    <t>Generation Capacity Cost</t>
  </si>
  <si>
    <t>Summer</t>
  </si>
  <si>
    <t>$/MW/day</t>
  </si>
  <si>
    <t>Summer Total</t>
  </si>
  <si>
    <t>Winter</t>
  </si>
  <si>
    <t>Winter Total</t>
  </si>
  <si>
    <t>Annual Total</t>
  </si>
  <si>
    <t>Residential Inversion Determination</t>
  </si>
  <si>
    <t>Charges</t>
  </si>
  <si>
    <t>% usage</t>
  </si>
  <si>
    <t>SUM 'First 750 KWh</t>
  </si>
  <si>
    <t>Block 1 (0-750 kWh/m)</t>
  </si>
  <si>
    <t>Block 2 (&gt;750 kWh/m)</t>
  </si>
  <si>
    <t>Calculated inversion =</t>
  </si>
  <si>
    <t>SUM '&gt; 750 KWh</t>
  </si>
  <si>
    <t>Table #8</t>
  </si>
  <si>
    <t>Table #9</t>
  </si>
  <si>
    <t xml:space="preserve">Summary of Obligation Costs expressed as $/MWh @ customer </t>
  </si>
  <si>
    <t>Transmission Obl - yr round</t>
  </si>
  <si>
    <t xml:space="preserve">Generation Obl -                </t>
  </si>
  <si>
    <t>per annual MWh</t>
  </si>
  <si>
    <t>recovery per summer MWh</t>
  </si>
  <si>
    <t>recovery per winter MWh</t>
  </si>
  <si>
    <t>Table #10</t>
  </si>
  <si>
    <t>Summary of BGS Unit Costs @ customer</t>
  </si>
  <si>
    <t>Grand Total Cost in $1000 =</t>
  </si>
  <si>
    <t>All In Average cost for rates shown (@ customer) =</t>
  </si>
  <si>
    <t>All In Average costs for rates shown (@ bulk system) =</t>
  </si>
  <si>
    <t>Table #11</t>
  </si>
  <si>
    <t>All usage Multiplier</t>
  </si>
  <si>
    <t>Constant</t>
  </si>
  <si>
    <t>for Block 1 (0-750 kWh/m) usage</t>
  </si>
  <si>
    <t>for Block 2 (&gt;750 kWh/m) usage</t>
  </si>
  <si>
    <t>Table #12</t>
  </si>
  <si>
    <t>Summary of BGS Unit Costs Less Transmission @ customer</t>
  </si>
  <si>
    <t>All In (Less Transmission) Average cost for rates shown (@ customer) =</t>
  </si>
  <si>
    <t>All In (Less Transmission) Average costs for rates shown (@ bulk system) =</t>
  </si>
  <si>
    <t>Table #13</t>
  </si>
  <si>
    <t>Transmission billed at retail tariff level.</t>
  </si>
  <si>
    <t>Table #14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</si>
  <si>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</si>
  <si>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</si>
  <si>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</si>
  <si>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</si>
  <si>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</si>
  <si>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bulk system MWhs):</t>
  </si>
  <si>
    <t>per MWh @ bulk system</t>
  </si>
  <si>
    <t>Ratio to All-In Cost</t>
  </si>
  <si>
    <t>&gt;&gt;&gt;</t>
  </si>
  <si>
    <t>Table #15</t>
  </si>
  <si>
    <t>Table #16</t>
  </si>
  <si>
    <t>Table #17</t>
  </si>
  <si>
    <t>Assumptions:</t>
  </si>
  <si>
    <t>Gen Cost =</t>
  </si>
  <si>
    <t>per MW-day</t>
  </si>
  <si>
    <t>summer</t>
  </si>
  <si>
    <t>=</t>
  </si>
  <si>
    <t>winter</t>
  </si>
  <si>
    <t>Trans cost =</t>
  </si>
  <si>
    <t>Ancillary Services =</t>
  </si>
  <si>
    <t>Energy Prices =</t>
  </si>
  <si>
    <t>Usage patterns =</t>
  </si>
  <si>
    <t>Obligations =</t>
  </si>
  <si>
    <t>Losses =</t>
  </si>
  <si>
    <t>PJM Time Periods =</t>
  </si>
  <si>
    <t>Off/On Pk</t>
  </si>
  <si>
    <t>LMP ratio</t>
  </si>
  <si>
    <t>Ratio of BGS Unit Costs @ customer to All In Average Cost @ bulk system (rounded to 3 decimal places)</t>
  </si>
  <si>
    <t>Ratio of BGS Unit Costs @ customer to All In Average Cost Less Transmission @ bulk system (rounded to 3 decimal places)</t>
  </si>
  <si>
    <t>per MWH</t>
  </si>
  <si>
    <t>(rounded to 4 decimal places)</t>
  </si>
  <si>
    <t>Zone-Hub Basis Differential</t>
  </si>
  <si>
    <t xml:space="preserve">On-Peak </t>
  </si>
  <si>
    <t>On Peak</t>
  </si>
  <si>
    <t>Off Peak</t>
  </si>
  <si>
    <t>on peak</t>
  </si>
  <si>
    <t>off peak</t>
  </si>
  <si>
    <t>RS TOU - BGS</t>
  </si>
  <si>
    <t>% Usage During ACECO On-Peak Billing Period</t>
  </si>
  <si>
    <t xml:space="preserve"> 'Based on 3 Year Average</t>
  </si>
  <si>
    <t>($/MWH)</t>
  </si>
  <si>
    <t>Summary of Average BGS Energy Only Costs @ customer - PJM Time Periods</t>
  </si>
  <si>
    <t>based on Forwards prices corrected for congestion &amp; losses</t>
  </si>
  <si>
    <t>in $1000</t>
  </si>
  <si>
    <t>PJM on pk</t>
  </si>
  <si>
    <t>PJM off pk</t>
  </si>
  <si>
    <t>System Total</t>
  </si>
  <si>
    <t>Summary of Average BGS Energy Only Unit Costs @ customer - ACECO Time Periods</t>
  </si>
  <si>
    <t>based on Forwards prices corrected for congestion &amp; losses - ACECO billing time periods</t>
  </si>
  <si>
    <t>Annual Average</t>
  </si>
  <si>
    <t>System Average</t>
  </si>
  <si>
    <t>ACECO On pk</t>
  </si>
  <si>
    <t>ACECO Off pk</t>
  </si>
  <si>
    <t>MWhs in PJM time periods</t>
  </si>
  <si>
    <t>Difference in MWhs</t>
  </si>
  <si>
    <t>Check on total $ recovered</t>
  </si>
  <si>
    <t>PJM time periods (Table #8)</t>
  </si>
  <si>
    <t>MWhs in ACECO time periods</t>
  </si>
  <si>
    <t>(PJM - ACECO)</t>
  </si>
  <si>
    <t>ACECO time periods</t>
  </si>
  <si>
    <t xml:space="preserve">ACECO On-Peak </t>
  </si>
  <si>
    <t>ACECO Off-Peak</t>
  </si>
  <si>
    <t>Total Rate Revenue - in $1000</t>
  </si>
  <si>
    <t>Total Supplier Payment - in $1000</t>
  </si>
  <si>
    <t>line #</t>
  </si>
  <si>
    <t>Payment Identifier &gt;&gt;</t>
  </si>
  <si>
    <t>Notes:</t>
  </si>
  <si>
    <t>Winning Bid - in $/MWh</t>
  </si>
  <si>
    <t>winning Bids</t>
  </si>
  <si>
    <t># of Traunches for Bid</t>
  </si>
  <si>
    <t>from then current Bid</t>
  </si>
  <si>
    <t>Total # of Traunches</t>
  </si>
  <si>
    <t>Payment Factors</t>
  </si>
  <si>
    <t xml:space="preserve">                           Summer</t>
  </si>
  <si>
    <t>from then current Bid Factor Spreadsheet</t>
  </si>
  <si>
    <t xml:space="preserve">                           Winter</t>
  </si>
  <si>
    <t>Applicable Customer Usage @ bulk system - in MWh</t>
  </si>
  <si>
    <t xml:space="preserve">                           Summer MWh</t>
  </si>
  <si>
    <t>from current Bid Factor Spreadsheet</t>
  </si>
  <si>
    <t xml:space="preserve">                           Winter MWh</t>
  </si>
  <si>
    <t>Total Payment to Suppliers - in $1000</t>
  </si>
  <si>
    <t xml:space="preserve">                           Total</t>
  </si>
  <si>
    <t>Average Payment to Suppliers - in $/MWh</t>
  </si>
  <si>
    <t xml:space="preserve">                Total weighted average</t>
  </si>
  <si>
    <t xml:space="preserve">   &lt;&lt;&lt; used in calculation of</t>
  </si>
  <si>
    <t xml:space="preserve">           Customer Rates</t>
  </si>
  <si>
    <t xml:space="preserve">   rounded to 2 decimal places</t>
  </si>
  <si>
    <t>Reconciliation of amounts - in $1000</t>
  </si>
  <si>
    <t>Weighted avg * Total MWh =</t>
  </si>
  <si>
    <t>Total Payment to Suppliers =</t>
  </si>
  <si>
    <t>Difference =</t>
  </si>
  <si>
    <t>Ratio of BGS Unit Costs @ customer to All-In Average Cost @ bulk system</t>
  </si>
  <si>
    <t>from Table #14 of the bid factor spreadsheet ---</t>
  </si>
  <si>
    <t>Annual - all hrs</t>
  </si>
  <si>
    <t xml:space="preserve">   rounded to 4 decimal places</t>
  </si>
  <si>
    <t>Total Summer</t>
  </si>
  <si>
    <t>Total Winter</t>
  </si>
  <si>
    <t>Grand Total</t>
  </si>
  <si>
    <t>Differences - in $1000</t>
  </si>
  <si>
    <t>% difference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</si>
  <si>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</si>
  <si>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</si>
  <si>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Block 1</t>
  </si>
  <si>
    <t>Block 2</t>
  </si>
  <si>
    <t>PJM trading time periods - 7 AM to 11 PM weekdays, local time, x NERC holidays</t>
  </si>
  <si>
    <t xml:space="preserve">     - New Year's, Memorial, 4th of July, Labor Day, Thanksgiving &amp; Christmas</t>
  </si>
  <si>
    <t>kWh Rate</t>
  </si>
  <si>
    <t>Adjustment</t>
  </si>
  <si>
    <t xml:space="preserve">   rounded to 5 decimal places</t>
  </si>
  <si>
    <t>Factors</t>
  </si>
  <si>
    <t>round to 3 decimal places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</si>
  <si>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</si>
  <si>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</si>
  <si>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</si>
  <si>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</si>
  <si>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>Table E</t>
  </si>
  <si>
    <r>
      <t xml:space="preserve">Final Resulting BGS Rates (in cents per kWh) - </t>
    </r>
    <r>
      <rPr>
        <i/>
        <sz val="10"/>
        <rFont val="Arial"/>
        <family val="2"/>
      </rPr>
      <t>with preliminary kWh rates adjusted by the kWh Rate Adjustment Factor</t>
    </r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</si>
  <si>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</si>
  <si>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</si>
  <si>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Table A</t>
  </si>
  <si>
    <t>Auction Results</t>
  </si>
  <si>
    <t>Table B</t>
  </si>
  <si>
    <t>Table #18</t>
  </si>
  <si>
    <t>Weighted Avg. Winning Bid &gt;&gt;&gt;&gt;</t>
  </si>
  <si>
    <t>Less Transmission &gt;&gt;&gt;&gt;&gt;&gt;&gt;&gt;&gt;</t>
  </si>
  <si>
    <t>BGS Avg. Price &gt;&gt;&gt;&gt;&gt;&gt;&gt;&gt;&gt;&gt;&gt;</t>
  </si>
  <si>
    <t>Table #19</t>
  </si>
  <si>
    <t>in $/kWh</t>
  </si>
  <si>
    <t>Revenue Assessment Factor</t>
  </si>
  <si>
    <t>(BPU, RPA Assessments)</t>
  </si>
  <si>
    <t>Marginal Loss Factor (w/ EHV Losses) =</t>
  </si>
  <si>
    <t>Loss Factors + EHV Losses =</t>
  </si>
  <si>
    <t>Delivery Loss Factor</t>
  </si>
  <si>
    <t>Loss Factor w/o Marginal Loss =</t>
  </si>
  <si>
    <t>Expansion Factor w/o Marginal Loss =</t>
  </si>
  <si>
    <t>Atlantic City Electric Company</t>
  </si>
  <si>
    <t xml:space="preserve"> forecasted energy use by class, on/off % from class load profiles</t>
  </si>
  <si>
    <t>Base
Capacity</t>
  </si>
  <si>
    <t>total supplier energy</t>
  </si>
  <si>
    <t>Retail Rates Charged to BGS RSCP (Previously "FP") Customers</t>
  </si>
  <si>
    <t>Retail Rates Charged to BGS RSCP Customers including Revenue Assessment and SUT</t>
  </si>
  <si>
    <t xml:space="preserve"> existing approved loss factors</t>
  </si>
  <si>
    <t xml:space="preserve">WIN </t>
  </si>
  <si>
    <t>Ancillary Services &amp; Renewable Power Cost (forecasted overall annual average)</t>
  </si>
  <si>
    <t xml:space="preserve">Ancillary Services </t>
  </si>
  <si>
    <t>Renewable Power Cost</t>
  </si>
  <si>
    <t>Total Ancillary Services &amp; Renewable Power Costs</t>
  </si>
  <si>
    <t>Renewable Power Cost =</t>
  </si>
  <si>
    <t>Includes energy, G&amp;T obligations, Ancillary Services, and Renewable Power Costs</t>
  </si>
  <si>
    <t>Includes energy, G&amp;T obligations, Ancillary Services, and Renewable Power Costs - unadjusted for billing vs. PJM time period differences</t>
  </si>
  <si>
    <t>Includes energy, Generation capacity obligations, Ancillary Services, and Renewable Power Costs - unadjusted for billing vs. PJM time period differences.  Transmission billed at retail tariff level.</t>
  </si>
  <si>
    <t xml:space="preserve">Includes energy, Generation capacity obligations, Ancillary Services, and Renewable Power Costs - unadjusted for billing vs. PJM time period differences.  </t>
  </si>
  <si>
    <t>Includes energy, Generation Obligations, Ancillary Services, and Renewable Power Costs  - Transmission billed at current Tariff Rates</t>
  </si>
  <si>
    <t>includes energy, G&amp;T obligations, Ancillary Services, and Renewable Power Cost - adjusted to billing time periods</t>
  </si>
  <si>
    <t>Includes energy, Generation Obligations, Ancillary Services, and Renewable Power Costs - Transmission billed at current Tariff Rates</t>
  </si>
  <si>
    <t>remaining portion of 36 month bid - 2018/19 filing</t>
  </si>
  <si>
    <t>= sum(line 8) / (6) - rounded to 2 decimal places</t>
  </si>
  <si>
    <t>= sum(line 9) / (7) - rounded to 2 decimal places</t>
  </si>
  <si>
    <t>= sum(line 10) / [ (6) + (7)]</t>
  </si>
  <si>
    <t>= (13) * [(6)+(7)] / 1000</t>
  </si>
  <si>
    <t>= sum (line 10)</t>
  </si>
  <si>
    <t>= line (14) - line (15)</t>
  </si>
  <si>
    <t>Calculation of June 2020 to May 2021 BGS-RSCP Rates</t>
  </si>
  <si>
    <t>based on results of February 2020 BGS RSCP Auction</t>
  </si>
  <si>
    <t>remaining portion of 36 month bid - 2019/20 filing</t>
  </si>
  <si>
    <t>36 month bid - 2020/21 filing</t>
  </si>
  <si>
    <t>obligations - values effective June 2019; costs are market estimates</t>
  </si>
  <si>
    <t xml:space="preserve">Quotes for the period June 1, 2020 to May 31, 2021 - corrected for hub-zone basis differential. </t>
  </si>
  <si>
    <t xml:space="preserve"> class totals as of June 2019</t>
  </si>
  <si>
    <t>1A</t>
  </si>
  <si>
    <t>Capacity Proxy Price True-Up - in $/MWh</t>
  </si>
  <si>
    <t>Total - in $/Mwh</t>
  </si>
  <si>
    <t>entered after 2022 BGS Auction</t>
  </si>
  <si>
    <t>= line 1 + line 1A</t>
  </si>
  <si>
    <t>1B</t>
  </si>
  <si>
    <t xml:space="preserve">= (1B) * (2)/(3) * (5) * (7) </t>
  </si>
  <si>
    <t xml:space="preserve">= (1B) * (2)/(3) * (4) * (6) </t>
  </si>
  <si>
    <t>Development of  Capacity Proxy Price True-Up - $/MWh</t>
  </si>
  <si>
    <t>2022/23
Delivery Year</t>
  </si>
  <si>
    <t>PJM Final Zonal Net Load Price ($/MW-day) - Zone</t>
  </si>
  <si>
    <t xml:space="preserve">PJM RPM Final Zonal Net Load Price - Zone </t>
  </si>
  <si>
    <t>Capacity Proxy Price ($/MW-day)</t>
  </si>
  <si>
    <t>Capacity Proxy Price True-Up - $/MW-day</t>
  </si>
  <si>
    <t xml:space="preserve">= line 1 - line 2 </t>
  </si>
  <si>
    <t>BGS-RSCP Gen Obl - MW</t>
  </si>
  <si>
    <t>Days in Year</t>
  </si>
  <si>
    <t>= line 3 * line 4 * line 5</t>
  </si>
  <si>
    <t>Eligible Tranches</t>
  </si>
  <si>
    <t>from Table A</t>
  </si>
  <si>
    <t>Total Tranches</t>
  </si>
  <si>
    <t>= line 7 / line 8</t>
  </si>
  <si>
    <t>= line 6 * line 9</t>
  </si>
  <si>
    <t>= line 9 * line 11</t>
  </si>
  <si>
    <t>Capacity Proxy Price True-Up - $/MWh</t>
  </si>
  <si>
    <t>= line 10/ line 12 - rounded to 2 decimal places</t>
  </si>
  <si>
    <t>2020/21
Delivery Year</t>
  </si>
  <si>
    <t>N/A</t>
  </si>
  <si>
    <t xml:space="preserve">Capacity Proxy Price True-Up Annual Cost </t>
  </si>
  <si>
    <t xml:space="preserve">Capacity Proxy Price True-Up Cost </t>
  </si>
  <si>
    <t>Using 2022/2023 Illustrative Data for ACE</t>
  </si>
  <si>
    <t>PJM RPM Final Zonal Net Load Price - Zone Illustrative Only</t>
  </si>
  <si>
    <t>per Board Order dated 11/13/2019</t>
  </si>
  <si>
    <t>Table A With Additional Line Item</t>
  </si>
  <si>
    <t>Calculation of June 2022 to May 2023 BGS-RSCP Rates</t>
  </si>
  <si>
    <t>Specific BGS-RSCP Auction &gt;&gt;</t>
  </si>
  <si>
    <t>remaining portion of 36 month bid - 2020 auction</t>
  </si>
  <si>
    <t>remaining portion of 36 month bid - 2021 auction</t>
  </si>
  <si>
    <t>36 month bid - 2022 auction</t>
  </si>
  <si>
    <t>Capacity Proxy Price True-up - in $/MWh</t>
  </si>
  <si>
    <t>Total - in $/MWh</t>
  </si>
  <si>
    <t># of Tranches for Bid</t>
  </si>
  <si>
    <t>Total # of Tranches</t>
  </si>
  <si>
    <r>
      <t xml:space="preserve">Total Payment to Suppliers </t>
    </r>
    <r>
      <rPr>
        <i/>
        <sz val="10"/>
        <rFont val="Arial"/>
        <family val="2"/>
      </rPr>
      <t xml:space="preserve">- in $1000 </t>
    </r>
  </si>
  <si>
    <r>
      <t xml:space="preserve">Average Payment to Suppliers </t>
    </r>
    <r>
      <rPr>
        <i/>
        <sz val="10"/>
        <rFont val="Arial"/>
        <family val="2"/>
      </rPr>
      <t>- in $/MWh</t>
    </r>
  </si>
  <si>
    <t>Total Applicable Customer Usage @ bulk system - in MWh</t>
  </si>
  <si>
    <r>
      <t xml:space="preserve">Eligible Customer Usage @ bulk system </t>
    </r>
    <r>
      <rPr>
        <b/>
        <i/>
        <sz val="10"/>
        <rFont val="Arial"/>
        <family val="2"/>
      </rPr>
      <t>- in MWh</t>
    </r>
  </si>
  <si>
    <t>% of tranches eligible for payment</t>
  </si>
  <si>
    <t>Illustrative Purposes Only for ACE</t>
  </si>
  <si>
    <t xml:space="preserve">2020/2021 Delivery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</si>
</sst>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%"/>
    <numFmt numFmtId="168" formatCode="#,##0.0"/>
    <numFmt numFmtId="169" formatCode="_(&quot;$&quot;* #,##0_);_(&quot;$&quot;* \(#,##0\);_(&quot;$&quot;* &quot;-&quot;??_);_(@_)"/>
    <numFmt numFmtId="170" formatCode="0.000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0.0%"/>
    <numFmt numFmtId="174" formatCode="_(* #,##0_);_(* \(#,##0\);_(* &quot;-&quot;??_);_(@_)"/>
    <numFmt numFmtId="175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&quot;$&quot;* #,##0.000000_);_(&quot;$&quot;* \(#,##0.000000\);_(&quot;$&quot;* &quot;-&quot;??_);_(@_)"/>
    <numFmt numFmtId="179" formatCode="#,##0.000_);\(#,##0.000\)"/>
    <numFmt numFmtId="180" formatCode="#,##0.0000_);\(#,##0.0000\)"/>
    <numFmt numFmtId="181" formatCode="_(* #,##0.000000_);_(* \(#,##0.000000\);_(* &quot;-&quot;??_);_(@_)"/>
    <numFmt numFmtId="182" formatCode="&quot;$&quot;#,##0.00"/>
    <numFmt numFmtId="183" formatCode="&quot;$&quot;#,##0"/>
    <numFmt numFmtId="184" formatCode="&quot;$&quot;#,##0.0000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 val="singleAccounting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90">
    <xf numFmtId="0" fontId="0" fillId="0" borderId="0" xfId="0"/>
    <xf numFmtId="9" fontId="8" fillId="0" borderId="0" xfId="3" applyFont="1" applyFill="1"/>
    <xf numFmtId="9" fontId="8" fillId="0" borderId="0" xfId="3" applyFont="1" applyFill="1" applyBorder="1"/>
    <xf numFmtId="0" fontId="6" fillId="0" borderId="0" xfId="0" applyFont="1" applyFill="1"/>
    <xf numFmtId="0" fontId="4" fillId="0" borderId="0" xfId="0" applyFont="1" applyFill="1"/>
    <xf numFmtId="0" fontId="0" fillId="0" borderId="0" xfId="0" applyFill="1"/>
    <xf numFmtId="44" fontId="8" fillId="0" borderId="0" xfId="2" applyFont="1" applyFill="1"/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9" fillId="0" borderId="0" xfId="0" applyFont="1" applyFill="1" applyAlignment="1">
      <alignment horizontal="center"/>
    </xf>
    <xf numFmtId="170" fontId="7" fillId="0" borderId="0" xfId="0" applyNumberFormat="1" applyFont="1" applyFill="1"/>
    <xf numFmtId="0" fontId="7" fillId="0" borderId="0" xfId="0" applyFont="1" applyFill="1"/>
    <xf numFmtId="170" fontId="9" fillId="0" borderId="0" xfId="0" applyNumberFormat="1" applyFont="1" applyFill="1"/>
    <xf numFmtId="0" fontId="7" fillId="0" borderId="0" xfId="0" applyFont="1" applyFill="1" applyAlignment="1">
      <alignment horizontal="right"/>
    </xf>
    <xf numFmtId="44" fontId="7" fillId="0" borderId="0" xfId="2" quotePrefix="1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7" fontId="0" fillId="0" borderId="0" xfId="0" applyNumberFormat="1" applyFill="1" applyBorder="1"/>
    <xf numFmtId="43" fontId="6" fillId="0" borderId="0" xfId="1" quotePrefix="1" applyFont="1" applyFill="1" applyBorder="1"/>
    <xf numFmtId="43" fontId="6" fillId="0" borderId="0" xfId="1" quotePrefix="1" applyNumberFormat="1" applyFont="1" applyFill="1" applyBorder="1"/>
    <xf numFmtId="44" fontId="6" fillId="0" borderId="0" xfId="2" quotePrefix="1" applyFont="1" applyFill="1" applyBorder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center"/>
    </xf>
    <xf numFmtId="164" fontId="7" fillId="0" borderId="0" xfId="0" applyNumberFormat="1" applyFont="1" applyFill="1"/>
    <xf numFmtId="175" fontId="6" fillId="0" borderId="0" xfId="1" quotePrefix="1" applyNumberFormat="1" applyFont="1" applyFill="1" applyBorder="1"/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44" fontId="7" fillId="0" borderId="0" xfId="2" applyFont="1" applyFill="1"/>
    <xf numFmtId="173" fontId="6" fillId="0" borderId="0" xfId="0" applyNumberFormat="1" applyFont="1" applyFill="1" applyAlignment="1">
      <alignment horizontal="center"/>
    </xf>
    <xf numFmtId="3" fontId="0" fillId="0" borderId="0" xfId="0" applyNumberFormat="1" applyFill="1"/>
    <xf numFmtId="169" fontId="0" fillId="0" borderId="0" xfId="2" applyNumberFormat="1" applyFont="1" applyFill="1"/>
    <xf numFmtId="169" fontId="11" fillId="0" borderId="0" xfId="2" applyNumberFormat="1" applyFont="1" applyFill="1"/>
    <xf numFmtId="169" fontId="0" fillId="0" borderId="0" xfId="0" applyNumberForma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3" fontId="7" fillId="0" borderId="0" xfId="0" applyNumberFormat="1" applyFont="1" applyFill="1"/>
    <xf numFmtId="3" fontId="8" fillId="0" borderId="0" xfId="0" applyNumberFormat="1" applyFont="1" applyFill="1"/>
    <xf numFmtId="43" fontId="7" fillId="0" borderId="0" xfId="1" quotePrefix="1" applyFont="1" applyFill="1"/>
    <xf numFmtId="43" fontId="7" fillId="0" borderId="0" xfId="1" quotePrefix="1" applyNumberFormat="1" applyFont="1" applyFill="1" applyBorder="1"/>
    <xf numFmtId="175" fontId="0" fillId="0" borderId="0" xfId="0" applyNumberFormat="1" applyFill="1"/>
    <xf numFmtId="175" fontId="6" fillId="0" borderId="0" xfId="0" applyNumberFormat="1" applyFont="1" applyFill="1"/>
    <xf numFmtId="0" fontId="6" fillId="0" borderId="0" xfId="0" applyFont="1" applyFill="1" applyAlignment="1">
      <alignment horizontal="right"/>
    </xf>
    <xf numFmtId="43" fontId="7" fillId="0" borderId="0" xfId="1" quotePrefix="1" applyNumberFormat="1" applyFont="1" applyFill="1"/>
    <xf numFmtId="175" fontId="7" fillId="0" borderId="0" xfId="1" quotePrefix="1" applyNumberFormat="1" applyFont="1" applyFill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9" fontId="1" fillId="0" borderId="0" xfId="2" applyNumberFormat="1" applyFill="1"/>
    <xf numFmtId="169" fontId="1" fillId="0" borderId="0" xfId="2" quotePrefix="1" applyNumberFormat="1" applyFont="1" applyFill="1"/>
    <xf numFmtId="169" fontId="11" fillId="0" borderId="0" xfId="0" applyNumberFormat="1" applyFont="1" applyFill="1"/>
    <xf numFmtId="167" fontId="1" fillId="0" borderId="0" xfId="3" applyNumberFormat="1" applyFill="1"/>
    <xf numFmtId="175" fontId="6" fillId="0" borderId="0" xfId="1" quotePrefix="1" applyNumberFormat="1" applyFont="1" applyFill="1"/>
    <xf numFmtId="169" fontId="1" fillId="0" borderId="0" xfId="2" quotePrefix="1" applyNumberFormat="1" applyFont="1" applyFill="1" applyBorder="1"/>
    <xf numFmtId="169" fontId="11" fillId="0" borderId="0" xfId="2" quotePrefix="1" applyNumberFormat="1" applyFont="1" applyFill="1" applyBorder="1"/>
    <xf numFmtId="169" fontId="0" fillId="0" borderId="0" xfId="0" applyNumberFormat="1" applyFill="1" applyBorder="1"/>
    <xf numFmtId="174" fontId="1" fillId="0" borderId="0" xfId="1" applyNumberFormat="1" applyFill="1"/>
    <xf numFmtId="174" fontId="1" fillId="0" borderId="0" xfId="1" quotePrefix="1" applyNumberFormat="1" applyFont="1" applyFill="1"/>
    <xf numFmtId="174" fontId="11" fillId="0" borderId="0" xfId="1" applyNumberFormat="1" applyFont="1" applyFill="1"/>
    <xf numFmtId="174" fontId="0" fillId="0" borderId="0" xfId="1" applyNumberFormat="1" applyFont="1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165" fontId="0" fillId="0" borderId="6" xfId="0" applyNumberFormat="1" applyFill="1" applyBorder="1"/>
    <xf numFmtId="169" fontId="0" fillId="0" borderId="0" xfId="2" quotePrefix="1" applyNumberFormat="1" applyFont="1" applyFill="1"/>
    <xf numFmtId="0" fontId="0" fillId="0" borderId="0" xfId="0" applyFill="1" applyBorder="1" applyAlignment="1">
      <alignment horizontal="right"/>
    </xf>
    <xf numFmtId="179" fontId="14" fillId="0" borderId="0" xfId="1" applyNumberFormat="1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10" fontId="8" fillId="0" borderId="0" xfId="3" quotePrefix="1" applyNumberFormat="1" applyFont="1" applyFill="1"/>
    <xf numFmtId="169" fontId="8" fillId="0" borderId="0" xfId="2" applyNumberFormat="1" applyFont="1" applyFill="1"/>
    <xf numFmtId="167" fontId="8" fillId="0" borderId="0" xfId="0" applyNumberFormat="1" applyFont="1" applyFill="1"/>
    <xf numFmtId="4" fontId="8" fillId="0" borderId="0" xfId="0" applyNumberFormat="1" applyFont="1" applyFill="1"/>
    <xf numFmtId="166" fontId="8" fillId="0" borderId="0" xfId="0" applyNumberFormat="1" applyFont="1" applyFill="1"/>
    <xf numFmtId="0" fontId="0" fillId="0" borderId="0" xfId="0" applyFill="1" applyAlignment="1"/>
    <xf numFmtId="0" fontId="12" fillId="0" borderId="3" xfId="0" applyFont="1" applyFill="1" applyBorder="1"/>
    <xf numFmtId="171" fontId="6" fillId="0" borderId="0" xfId="2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44" fontId="6" fillId="0" borderId="0" xfId="2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quotePrefix="1" applyFont="1" applyFill="1" applyBorder="1"/>
    <xf numFmtId="39" fontId="7" fillId="0" borderId="0" xfId="0" quotePrefix="1" applyNumberFormat="1" applyFont="1" applyFill="1"/>
    <xf numFmtId="0" fontId="4" fillId="0" borderId="0" xfId="0" quotePrefix="1" applyFont="1" applyFill="1"/>
    <xf numFmtId="0" fontId="4" fillId="0" borderId="0" xfId="0" applyFont="1" applyFill="1" applyAlignment="1">
      <alignment horizontal="center"/>
    </xf>
    <xf numFmtId="9" fontId="8" fillId="0" borderId="0" xfId="3" quotePrefix="1" applyFont="1" applyFill="1"/>
    <xf numFmtId="9" fontId="7" fillId="0" borderId="0" xfId="3" quotePrefix="1" applyFont="1" applyFill="1"/>
    <xf numFmtId="9" fontId="0" fillId="0" borderId="0" xfId="0" applyNumberFormat="1" applyFill="1"/>
    <xf numFmtId="17" fontId="6" fillId="0" borderId="0" xfId="0" applyNumberFormat="1" applyFont="1" applyFill="1"/>
    <xf numFmtId="165" fontId="0" fillId="0" borderId="0" xfId="0" applyNumberFormat="1" applyFill="1"/>
    <xf numFmtId="177" fontId="0" fillId="0" borderId="0" xfId="1" applyNumberFormat="1" applyFont="1" applyFill="1"/>
    <xf numFmtId="39" fontId="7" fillId="0" borderId="0" xfId="0" applyNumberFormat="1" applyFont="1" applyFill="1"/>
    <xf numFmtId="39" fontId="0" fillId="0" borderId="0" xfId="0" applyNumberFormat="1" applyFill="1"/>
    <xf numFmtId="2" fontId="0" fillId="0" borderId="0" xfId="0" applyNumberFormat="1" applyFill="1"/>
    <xf numFmtId="2" fontId="6" fillId="0" borderId="0" xfId="0" applyNumberFormat="1" applyFont="1" applyFill="1"/>
    <xf numFmtId="2" fontId="16" fillId="0" borderId="0" xfId="0" applyNumberFormat="1" applyFont="1" applyFill="1"/>
    <xf numFmtId="0" fontId="0" fillId="0" borderId="0" xfId="0" quotePrefix="1" applyFill="1"/>
    <xf numFmtId="44" fontId="1" fillId="0" borderId="0" xfId="2" applyFill="1"/>
    <xf numFmtId="44" fontId="1" fillId="0" borderId="0" xfId="2" quotePrefix="1" applyFont="1" applyFill="1"/>
    <xf numFmtId="44" fontId="0" fillId="0" borderId="0" xfId="0" applyNumberFormat="1" applyFill="1"/>
    <xf numFmtId="172" fontId="0" fillId="0" borderId="0" xfId="0" applyNumberFormat="1" applyFill="1"/>
    <xf numFmtId="171" fontId="0" fillId="0" borderId="0" xfId="0" applyNumberFormat="1" applyFill="1"/>
    <xf numFmtId="9" fontId="1" fillId="0" borderId="0" xfId="3" applyFill="1"/>
    <xf numFmtId="169" fontId="1" fillId="0" borderId="0" xfId="3" applyNumberFormat="1" applyFill="1"/>
    <xf numFmtId="181" fontId="0" fillId="0" borderId="0" xfId="0" applyNumberFormat="1" applyFill="1"/>
    <xf numFmtId="0" fontId="7" fillId="0" borderId="0" xfId="0" applyFont="1" applyFill="1" applyBorder="1"/>
    <xf numFmtId="178" fontId="0" fillId="0" borderId="0" xfId="0" applyNumberFormat="1" applyFill="1" applyBorder="1"/>
    <xf numFmtId="17" fontId="0" fillId="0" borderId="0" xfId="0" applyNumberFormat="1" applyFill="1" applyBorder="1" applyAlignment="1">
      <alignment horizontal="right"/>
    </xf>
    <xf numFmtId="17" fontId="4" fillId="0" borderId="0" xfId="0" applyNumberFormat="1" applyFont="1" applyFill="1"/>
    <xf numFmtId="10" fontId="13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0" fillId="0" borderId="0" xfId="0" quotePrefix="1" applyNumberFormat="1" applyFill="1"/>
    <xf numFmtId="17" fontId="0" fillId="0" borderId="0" xfId="0" applyNumberFormat="1" applyFill="1" applyAlignment="1">
      <alignment horizontal="center"/>
    </xf>
    <xf numFmtId="168" fontId="8" fillId="0" borderId="0" xfId="0" applyNumberFormat="1" applyFont="1" applyFill="1"/>
    <xf numFmtId="168" fontId="0" fillId="0" borderId="0" xfId="0" applyNumberFormat="1" applyFill="1"/>
    <xf numFmtId="176" fontId="6" fillId="0" borderId="0" xfId="0" applyNumberFormat="1" applyFont="1" applyFill="1" applyAlignment="1">
      <alignment horizontal="center"/>
    </xf>
    <xf numFmtId="168" fontId="7" fillId="0" borderId="0" xfId="0" applyNumberFormat="1" applyFont="1" applyFill="1"/>
    <xf numFmtId="0" fontId="0" fillId="0" borderId="0" xfId="0" quotePrefix="1" applyFill="1" applyAlignment="1">
      <alignment horizontal="right"/>
    </xf>
    <xf numFmtId="168" fontId="7" fillId="0" borderId="0" xfId="0" applyNumberFormat="1" applyFont="1" applyFill="1" applyAlignment="1">
      <alignment horizontal="right"/>
    </xf>
    <xf numFmtId="0" fontId="7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44" fontId="7" fillId="0" borderId="0" xfId="2" applyNumberFormat="1" applyFont="1" applyFill="1"/>
    <xf numFmtId="174" fontId="0" fillId="0" borderId="0" xfId="0" applyNumberFormat="1" applyFill="1"/>
    <xf numFmtId="0" fontId="14" fillId="0" borderId="0" xfId="0" applyFont="1" applyFill="1" applyBorder="1"/>
    <xf numFmtId="180" fontId="15" fillId="0" borderId="0" xfId="1" applyNumberFormat="1" applyFont="1" applyFill="1" applyBorder="1" applyAlignment="1">
      <alignment horizontal="center"/>
    </xf>
    <xf numFmtId="176" fontId="0" fillId="0" borderId="0" xfId="0" applyNumberFormat="1" applyFill="1" applyBorder="1"/>
    <xf numFmtId="43" fontId="0" fillId="0" borderId="0" xfId="0" applyNumberFormat="1" applyFill="1" applyBorder="1"/>
    <xf numFmtId="178" fontId="0" fillId="0" borderId="0" xfId="0" applyNumberFormat="1" applyFill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 wrapText="1"/>
    </xf>
    <xf numFmtId="10" fontId="1" fillId="0" borderId="0" xfId="3" applyNumberFormat="1" applyFill="1"/>
    <xf numFmtId="9" fontId="1" fillId="0" borderId="0" xfId="3" applyFont="1" applyFill="1"/>
    <xf numFmtId="166" fontId="7" fillId="0" borderId="0" xfId="0" applyNumberFormat="1" applyFont="1" applyFill="1"/>
    <xf numFmtId="44" fontId="1" fillId="0" borderId="0" xfId="2" applyNumberFormat="1" applyFill="1"/>
    <xf numFmtId="172" fontId="7" fillId="0" borderId="0" xfId="2" applyNumberFormat="1" applyFont="1" applyFill="1"/>
    <xf numFmtId="44" fontId="6" fillId="0" borderId="0" xfId="2" quotePrefix="1" applyNumberFormat="1" applyFont="1" applyFill="1"/>
    <xf numFmtId="0" fontId="5" fillId="0" borderId="0" xfId="0" applyFont="1" applyFill="1"/>
    <xf numFmtId="166" fontId="5" fillId="0" borderId="0" xfId="0" applyNumberFormat="1" applyFont="1" applyFill="1"/>
    <xf numFmtId="0" fontId="0" fillId="0" borderId="1" xfId="0" applyFill="1" applyBorder="1"/>
    <xf numFmtId="0" fontId="9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8" xfId="0" applyFill="1" applyBorder="1"/>
    <xf numFmtId="169" fontId="7" fillId="0" borderId="0" xfId="2" quotePrefix="1" applyNumberFormat="1" applyFont="1" applyFill="1"/>
    <xf numFmtId="169" fontId="7" fillId="0" borderId="0" xfId="2" applyNumberFormat="1" applyFont="1" applyFill="1"/>
    <xf numFmtId="44" fontId="7" fillId="0" borderId="0" xfId="2" quotePrefix="1" applyNumberFormat="1" applyFont="1" applyFill="1"/>
    <xf numFmtId="169" fontId="0" fillId="0" borderId="2" xfId="0" applyNumberFormat="1" applyFill="1" applyBorder="1"/>
    <xf numFmtId="10" fontId="7" fillId="0" borderId="0" xfId="0" applyNumberFormat="1" applyFont="1" applyFill="1"/>
    <xf numFmtId="2" fontId="6" fillId="0" borderId="0" xfId="0" applyNumberFormat="1" applyFont="1" applyFill="1" applyBorder="1"/>
    <xf numFmtId="176" fontId="6" fillId="0" borderId="0" xfId="1" applyNumberFormat="1" applyFont="1" applyFill="1"/>
    <xf numFmtId="171" fontId="6" fillId="0" borderId="5" xfId="2" applyNumberFormat="1" applyFont="1" applyFill="1" applyBorder="1"/>
    <xf numFmtId="171" fontId="6" fillId="0" borderId="1" xfId="2" applyNumberFormat="1" applyFont="1" applyFill="1" applyBorder="1"/>
    <xf numFmtId="43" fontId="0" fillId="0" borderId="0" xfId="0" applyNumberFormat="1" applyFill="1"/>
    <xf numFmtId="170" fontId="0" fillId="0" borderId="0" xfId="0" applyNumberFormat="1" applyFill="1" applyBorder="1"/>
    <xf numFmtId="178" fontId="1" fillId="0" borderId="0" xfId="2" applyNumberFormat="1" applyFill="1" applyBorder="1"/>
    <xf numFmtId="167" fontId="0" fillId="0" borderId="0" xfId="3" applyNumberFormat="1" applyFont="1" applyFill="1"/>
    <xf numFmtId="174" fontId="1" fillId="0" borderId="0" xfId="1" quotePrefix="1" applyNumberFormat="1" applyFill="1" applyBorder="1" applyAlignment="1">
      <alignment horizontal="left"/>
    </xf>
    <xf numFmtId="168" fontId="13" fillId="0" borderId="0" xfId="0" applyNumberFormat="1" applyFont="1" applyFill="1"/>
    <xf numFmtId="174" fontId="0" fillId="0" borderId="2" xfId="1" applyNumberFormat="1" applyFont="1" applyFill="1" applyBorder="1"/>
    <xf numFmtId="165" fontId="0" fillId="0" borderId="0" xfId="0" applyNumberFormat="1" applyFill="1" applyBorder="1"/>
    <xf numFmtId="167" fontId="0" fillId="0" borderId="0" xfId="0" applyNumberFormat="1" applyFill="1"/>
    <xf numFmtId="165" fontId="1" fillId="0" borderId="0" xfId="0" applyNumberFormat="1" applyFont="1" applyFill="1"/>
    <xf numFmtId="164" fontId="8" fillId="0" borderId="0" xfId="0" applyNumberFormat="1" applyFont="1" applyFill="1"/>
    <xf numFmtId="164" fontId="8" fillId="0" borderId="9" xfId="0" applyNumberFormat="1" applyFont="1" applyFill="1" applyBorder="1"/>
    <xf numFmtId="164" fontId="0" fillId="0" borderId="10" xfId="0" applyNumberFormat="1" applyFill="1" applyBorder="1"/>
    <xf numFmtId="164" fontId="0" fillId="0" borderId="11" xfId="0" applyNumberFormat="1" applyFill="1" applyBorder="1"/>
    <xf numFmtId="182" fontId="1" fillId="0" borderId="0" xfId="2" applyNumberFormat="1" applyFont="1" applyFill="1" applyAlignment="1">
      <alignment horizontal="center" wrapText="1"/>
    </xf>
    <xf numFmtId="7" fontId="8" fillId="0" borderId="0" xfId="2" applyNumberFormat="1" applyFont="1" applyFill="1"/>
    <xf numFmtId="0" fontId="1" fillId="0" borderId="0" xfId="0" quotePrefix="1" applyFont="1" applyFill="1"/>
    <xf numFmtId="171" fontId="6" fillId="0" borderId="8" xfId="2" applyNumberFormat="1" applyFont="1" applyFill="1" applyBorder="1"/>
    <xf numFmtId="164" fontId="6" fillId="0" borderId="0" xfId="0" applyNumberFormat="1" applyFont="1" applyFill="1"/>
    <xf numFmtId="169" fontId="1" fillId="0" borderId="2" xfId="2" applyNumberFormat="1" applyFill="1" applyBorder="1"/>
    <xf numFmtId="44" fontId="1" fillId="0" borderId="0" xfId="2" applyFont="1" applyFill="1"/>
    <xf numFmtId="0" fontId="1" fillId="0" borderId="0" xfId="0" applyFont="1" applyFill="1" applyAlignment="1">
      <alignment horizontal="right"/>
    </xf>
    <xf numFmtId="167" fontId="1" fillId="0" borderId="0" xfId="0" applyNumberFormat="1" applyFont="1" applyFill="1"/>
    <xf numFmtId="170" fontId="0" fillId="0" borderId="0" xfId="0" applyNumberFormat="1" applyFill="1"/>
    <xf numFmtId="44" fontId="6" fillId="0" borderId="0" xfId="0" applyNumberFormat="1" applyFont="1" applyFill="1" applyAlignment="1">
      <alignment horizontal="center"/>
    </xf>
    <xf numFmtId="174" fontId="17" fillId="0" borderId="0" xfId="1" quotePrefix="1" applyNumberFormat="1" applyFont="1" applyFill="1" applyBorder="1" applyAlignment="1">
      <alignment horizontal="left"/>
    </xf>
    <xf numFmtId="174" fontId="17" fillId="0" borderId="2" xfId="1" quotePrefix="1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7" fontId="0" fillId="0" borderId="0" xfId="0" applyNumberFormat="1" applyFill="1"/>
    <xf numFmtId="44" fontId="8" fillId="0" borderId="2" xfId="2" applyFont="1" applyFill="1" applyBorder="1"/>
    <xf numFmtId="4" fontId="1" fillId="0" borderId="0" xfId="0" applyNumberFormat="1" applyFont="1" applyFill="1"/>
    <xf numFmtId="0" fontId="0" fillId="0" borderId="0" xfId="0" applyFont="1" applyFill="1"/>
    <xf numFmtId="44" fontId="1" fillId="2" borderId="0" xfId="2" applyFont="1" applyFill="1"/>
    <xf numFmtId="44" fontId="19" fillId="0" borderId="0" xfId="2" applyFont="1" applyFill="1"/>
    <xf numFmtId="0" fontId="1" fillId="0" borderId="0" xfId="4"/>
    <xf numFmtId="0" fontId="2" fillId="0" borderId="0" xfId="4" applyFont="1" applyAlignment="1">
      <alignment horizontal="center"/>
    </xf>
    <xf numFmtId="0" fontId="20" fillId="0" borderId="0" xfId="4" applyFont="1" applyAlignment="1">
      <alignment horizontal="center"/>
    </xf>
    <xf numFmtId="0" fontId="1" fillId="0" borderId="0" xfId="4" applyFont="1" applyAlignment="1">
      <alignment horizontal="center" wrapText="1"/>
    </xf>
    <xf numFmtId="0" fontId="4" fillId="0" borderId="0" xfId="4" applyFont="1" applyFill="1" applyAlignment="1">
      <alignment horizontal="center" wrapText="1"/>
    </xf>
    <xf numFmtId="0" fontId="6" fillId="0" borderId="0" xfId="4" applyFont="1" applyFill="1"/>
    <xf numFmtId="182" fontId="1" fillId="0" borderId="0" xfId="4" applyNumberFormat="1" applyFont="1"/>
    <xf numFmtId="0" fontId="1" fillId="0" borderId="0" xfId="4" quotePrefix="1" applyFont="1" applyAlignment="1">
      <alignment horizontal="center"/>
    </xf>
    <xf numFmtId="0" fontId="1" fillId="0" borderId="0" xfId="4" quotePrefix="1" applyFont="1"/>
    <xf numFmtId="168" fontId="1" fillId="0" borderId="0" xfId="4" applyNumberFormat="1" applyFont="1"/>
    <xf numFmtId="0" fontId="1" fillId="0" borderId="0" xfId="4" applyFont="1" applyFill="1"/>
    <xf numFmtId="3" fontId="1" fillId="0" borderId="2" xfId="4" applyNumberFormat="1" applyFont="1" applyBorder="1"/>
    <xf numFmtId="183" fontId="1" fillId="0" borderId="0" xfId="4" applyNumberFormat="1" applyFont="1"/>
    <xf numFmtId="174" fontId="1" fillId="0" borderId="0" xfId="1" applyNumberFormat="1" applyFont="1"/>
    <xf numFmtId="174" fontId="1" fillId="0" borderId="2" xfId="1" applyNumberFormat="1" applyFont="1" applyBorder="1"/>
    <xf numFmtId="10" fontId="1" fillId="0" borderId="0" xfId="3" applyNumberFormat="1" applyFont="1"/>
    <xf numFmtId="3" fontId="1" fillId="0" borderId="0" xfId="4" applyNumberFormat="1" applyFont="1"/>
    <xf numFmtId="0" fontId="1" fillId="0" borderId="0" xfId="4" applyFill="1"/>
    <xf numFmtId="3" fontId="1" fillId="0" borderId="2" xfId="4" applyNumberFormat="1" applyBorder="1"/>
    <xf numFmtId="183" fontId="1" fillId="0" borderId="0" xfId="4" applyNumberFormat="1"/>
    <xf numFmtId="182" fontId="6" fillId="0" borderId="12" xfId="4" applyNumberFormat="1" applyFont="1" applyBorder="1"/>
    <xf numFmtId="0" fontId="6" fillId="0" borderId="0" xfId="4" quotePrefix="1" applyFont="1"/>
    <xf numFmtId="3" fontId="1" fillId="0" borderId="0" xfId="4" applyNumberFormat="1"/>
    <xf numFmtId="182" fontId="1" fillId="0" borderId="0" xfId="4" applyNumberFormat="1"/>
    <xf numFmtId="182" fontId="1" fillId="0" borderId="2" xfId="4" quotePrefix="1" applyNumberFormat="1" applyFont="1" applyBorder="1" applyAlignment="1">
      <alignment horizontal="right"/>
    </xf>
    <xf numFmtId="182" fontId="1" fillId="0" borderId="0" xfId="4" quotePrefix="1" applyNumberFormat="1" applyFont="1" applyAlignment="1">
      <alignment horizontal="right"/>
    </xf>
    <xf numFmtId="183" fontId="1" fillId="0" borderId="0" xfId="4" quotePrefix="1" applyNumberFormat="1" applyFont="1" applyAlignment="1">
      <alignment horizontal="right"/>
    </xf>
    <xf numFmtId="0" fontId="21" fillId="0" borderId="0" xfId="4" applyFont="1" applyFill="1"/>
    <xf numFmtId="0" fontId="2" fillId="0" borderId="0" xfId="4" applyFont="1" applyFill="1"/>
    <xf numFmtId="0" fontId="22" fillId="0" borderId="0" xfId="4" applyFont="1" applyFill="1"/>
    <xf numFmtId="0" fontId="4" fillId="0" borderId="0" xfId="4" applyFont="1" applyFill="1"/>
    <xf numFmtId="0" fontId="5" fillId="0" borderId="0" xfId="4" applyFont="1" applyFill="1" applyAlignment="1">
      <alignment horizontal="center"/>
    </xf>
    <xf numFmtId="0" fontId="1" fillId="0" borderId="0" xfId="4" applyFill="1" applyAlignment="1">
      <alignment horizontal="center"/>
    </xf>
    <xf numFmtId="0" fontId="1" fillId="0" borderId="0" xfId="4" applyFont="1" applyFill="1" applyAlignment="1">
      <alignment horizontal="center"/>
    </xf>
    <xf numFmtId="166" fontId="23" fillId="3" borderId="0" xfId="4" applyNumberFormat="1" applyFont="1" applyFill="1"/>
    <xf numFmtId="44" fontId="18" fillId="0" borderId="0" xfId="5" applyFont="1" applyFill="1"/>
    <xf numFmtId="0" fontId="1" fillId="0" borderId="0" xfId="4" quotePrefix="1" applyFont="1" applyFill="1"/>
    <xf numFmtId="0" fontId="8" fillId="0" borderId="0" xfId="4" applyFont="1" applyFill="1"/>
    <xf numFmtId="9" fontId="0" fillId="0" borderId="0" xfId="3" applyFont="1" applyFill="1"/>
    <xf numFmtId="166" fontId="8" fillId="0" borderId="0" xfId="4" applyNumberFormat="1" applyFont="1" applyFill="1"/>
    <xf numFmtId="3" fontId="1" fillId="0" borderId="0" xfId="4" applyNumberFormat="1" applyFont="1" applyFill="1"/>
    <xf numFmtId="3" fontId="8" fillId="0" borderId="0" xfId="4" applyNumberFormat="1" applyFont="1" applyFill="1"/>
    <xf numFmtId="169" fontId="18" fillId="0" borderId="0" xfId="5" applyNumberFormat="1" applyFont="1" applyFill="1"/>
    <xf numFmtId="0" fontId="18" fillId="0" borderId="0" xfId="4" applyFont="1" applyFill="1"/>
    <xf numFmtId="169" fontId="1" fillId="0" borderId="0" xfId="4" applyNumberFormat="1" applyFill="1"/>
    <xf numFmtId="169" fontId="24" fillId="0" borderId="0" xfId="5" applyNumberFormat="1" applyFont="1" applyFill="1"/>
    <xf numFmtId="172" fontId="1" fillId="0" borderId="0" xfId="4" applyNumberFormat="1" applyFill="1"/>
    <xf numFmtId="0" fontId="1" fillId="0" borderId="0" xfId="4" quotePrefix="1" applyFill="1"/>
    <xf numFmtId="172" fontId="1" fillId="0" borderId="0" xfId="5" applyNumberFormat="1" applyFont="1" applyFill="1"/>
    <xf numFmtId="0" fontId="6" fillId="0" borderId="0" xfId="4" applyFont="1" applyFill="1" applyAlignment="1">
      <alignment horizontal="left"/>
    </xf>
    <xf numFmtId="0" fontId="1" fillId="0" borderId="0" xfId="4" applyFill="1" applyAlignment="1">
      <alignment horizontal="right"/>
    </xf>
    <xf numFmtId="169" fontId="11" fillId="0" borderId="0" xfId="4" applyNumberFormat="1" applyFont="1" applyFill="1"/>
    <xf numFmtId="169" fontId="0" fillId="0" borderId="0" xfId="5" applyNumberFormat="1" applyFont="1" applyFill="1"/>
    <xf numFmtId="0" fontId="5" fillId="0" borderId="0" xfId="4" applyFont="1" applyFill="1" applyAlignment="1">
      <alignment horizontal="left"/>
    </xf>
    <xf numFmtId="0" fontId="6" fillId="0" borderId="0" xfId="4" applyFont="1" applyFill="1" applyAlignment="1">
      <alignment horizontal="center"/>
    </xf>
    <xf numFmtId="17" fontId="1" fillId="0" borderId="0" xfId="4" applyNumberFormat="1" applyFill="1"/>
    <xf numFmtId="175" fontId="1" fillId="0" borderId="0" xfId="1" quotePrefix="1" applyNumberFormat="1" applyFont="1" applyFill="1" applyBorder="1"/>
    <xf numFmtId="43" fontId="1" fillId="0" borderId="0" xfId="1" quotePrefix="1" applyFont="1" applyFill="1"/>
    <xf numFmtId="17" fontId="1" fillId="0" borderId="0" xfId="4" applyNumberFormat="1" applyFill="1" applyAlignment="1">
      <alignment horizontal="right"/>
    </xf>
    <xf numFmtId="43" fontId="1" fillId="0" borderId="0" xfId="1" quotePrefix="1" applyNumberFormat="1" applyFont="1" applyFill="1" applyBorder="1"/>
    <xf numFmtId="43" fontId="1" fillId="0" borderId="0" xfId="1" applyNumberFormat="1" applyFont="1" applyFill="1" applyBorder="1" applyAlignment="1">
      <alignment horizontal="right"/>
    </xf>
    <xf numFmtId="175" fontId="1" fillId="0" borderId="0" xfId="4" applyNumberFormat="1" applyFill="1"/>
    <xf numFmtId="175" fontId="6" fillId="0" borderId="0" xfId="4" applyNumberFormat="1" applyFont="1" applyFill="1"/>
    <xf numFmtId="0" fontId="6" fillId="0" borderId="0" xfId="4" applyFont="1" applyFill="1" applyAlignment="1">
      <alignment horizontal="right"/>
    </xf>
    <xf numFmtId="171" fontId="6" fillId="0" borderId="0" xfId="5" quotePrefix="1" applyNumberFormat="1" applyFont="1" applyFill="1" applyBorder="1"/>
    <xf numFmtId="0" fontId="1" fillId="0" borderId="0" xfId="4" applyFont="1" applyFill="1" applyAlignment="1">
      <alignment horizontal="left"/>
    </xf>
    <xf numFmtId="43" fontId="1" fillId="0" borderId="0" xfId="1" quotePrefix="1" applyNumberFormat="1" applyFont="1" applyFill="1"/>
    <xf numFmtId="175" fontId="1" fillId="0" borderId="0" xfId="1" quotePrefix="1" applyNumberFormat="1" applyFont="1" applyFill="1"/>
    <xf numFmtId="0" fontId="6" fillId="0" borderId="0" xfId="4" applyFont="1" applyFill="1" applyAlignment="1">
      <alignment horizontal="center" wrapText="1"/>
    </xf>
    <xf numFmtId="0" fontId="9" fillId="0" borderId="0" xfId="4" applyFont="1" applyFill="1" applyAlignment="1">
      <alignment horizontal="left"/>
    </xf>
    <xf numFmtId="172" fontId="1" fillId="0" borderId="0" xfId="5" quotePrefix="1" applyNumberFormat="1" applyFont="1" applyFill="1"/>
    <xf numFmtId="0" fontId="5" fillId="0" borderId="0" xfId="4" applyFont="1" applyFill="1"/>
    <xf numFmtId="166" fontId="5" fillId="0" borderId="0" xfId="4" applyNumberFormat="1" applyFont="1" applyFill="1"/>
    <xf numFmtId="172" fontId="6" fillId="0" borderId="0" xfId="5" quotePrefix="1" applyNumberFormat="1" applyFont="1" applyFill="1"/>
    <xf numFmtId="169" fontId="0" fillId="0" borderId="0" xfId="5" quotePrefix="1" applyNumberFormat="1" applyFont="1" applyFill="1"/>
    <xf numFmtId="169" fontId="11" fillId="0" borderId="0" xfId="5" applyNumberFormat="1" applyFont="1" applyFill="1"/>
    <xf numFmtId="169" fontId="11" fillId="0" borderId="0" xfId="5" quotePrefix="1" applyNumberFormat="1" applyFont="1" applyFill="1"/>
    <xf numFmtId="169" fontId="6" fillId="0" borderId="0" xfId="4" applyNumberFormat="1" applyFont="1" applyFill="1"/>
    <xf numFmtId="0" fontId="1" fillId="0" borderId="0" xfId="4" applyFill="1" applyAlignment="1">
      <alignment horizontal="left"/>
    </xf>
    <xf numFmtId="0" fontId="1" fillId="0" borderId="0" xfId="4" applyFill="1" applyBorder="1"/>
    <xf numFmtId="184" fontId="6" fillId="0" borderId="0" xfId="5" quotePrefix="1" applyNumberFormat="1" applyFont="1" applyFill="1"/>
    <xf numFmtId="0" fontId="9" fillId="0" borderId="0" xfId="4" applyFont="1" applyFill="1" applyAlignment="1">
      <alignment horizontal="center"/>
    </xf>
    <xf numFmtId="167" fontId="9" fillId="0" borderId="0" xfId="3" applyNumberFormat="1" applyFont="1" applyFill="1"/>
    <xf numFmtId="44" fontId="1" fillId="0" borderId="0" xfId="4" applyNumberFormat="1" applyFill="1"/>
    <xf numFmtId="169" fontId="11" fillId="0" borderId="0" xfId="5" applyNumberFormat="1" applyFont="1" applyFill="1" applyBorder="1"/>
    <xf numFmtId="0" fontId="1" fillId="0" borderId="0" xfId="4" applyFill="1" applyAlignment="1">
      <alignment horizontal="center" wrapText="1"/>
    </xf>
    <xf numFmtId="169" fontId="1" fillId="0" borderId="2" xfId="4" applyNumberFormat="1" applyFill="1" applyBorder="1"/>
    <xf numFmtId="44" fontId="1" fillId="0" borderId="2" xfId="4" applyNumberFormat="1" applyFill="1" applyBorder="1"/>
    <xf numFmtId="44" fontId="0" fillId="0" borderId="0" xfId="5" applyNumberFormat="1" applyFont="1" applyFill="1"/>
    <xf numFmtId="44" fontId="1" fillId="0" borderId="0" xfId="5" applyNumberFormat="1" applyFont="1" applyFill="1"/>
    <xf numFmtId="44" fontId="6" fillId="0" borderId="0" xfId="5" quotePrefix="1" applyNumberFormat="1" applyFont="1" applyFill="1"/>
    <xf numFmtId="17" fontId="0" fillId="0" borderId="0" xfId="0" applyNumberFormat="1" applyFill="1" applyAlignment="1">
      <alignment wrapText="1"/>
    </xf>
    <xf numFmtId="0" fontId="6" fillId="0" borderId="0" xfId="4" applyFont="1" applyFill="1" applyAlignment="1">
      <alignment wrapText="1"/>
    </xf>
    <xf numFmtId="0" fontId="0" fillId="0" borderId="0" xfId="0" applyFill="1" applyAlignment="1">
      <alignment wrapText="1"/>
    </xf>
  </cellXfs>
  <cellStyles count="6">
    <cellStyle name="Comma" xfId="1" builtinId="3"/>
    <cellStyle name="Currency" xfId="2" builtinId="4"/>
    <cellStyle name="Currency 2" xfId="5" xr:uid="{73F370F8-4ABA-4BEC-8B39-3366B7BE9F64}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60"/>
  <sheetViews>
    <sheetView tabSelected="1" zoomScale="80" zoomScaleNormal="80" workbookViewId="0"/>
  </sheetViews>
  <sheetFormatPr defaultColWidth="9.140625" defaultRowHeight="12.75" x14ac:dyDescent="0.2"/>
  <cols>
    <col min="1" max="1" width="16.42578125" style="27" bestFit="1" customWidth="1"/>
    <col min="2" max="2" width="42.28515625" style="5" customWidth="1"/>
    <col min="3" max="3" width="14.28515625" style="5" customWidth="1"/>
    <col min="4" max="4" width="16.42578125" style="5" customWidth="1"/>
    <col min="5" max="5" width="14.85546875" style="5" customWidth="1"/>
    <col min="6" max="6" width="12.5703125" style="5" customWidth="1"/>
    <col min="7" max="7" width="12.85546875" style="5" customWidth="1"/>
    <col min="8" max="8" width="13.7109375" style="5" customWidth="1"/>
    <col min="9" max="9" width="17.42578125" style="5" customWidth="1"/>
    <col min="10" max="10" width="15.85546875" style="5" customWidth="1"/>
    <col min="11" max="11" width="10.7109375" style="5" customWidth="1"/>
    <col min="12" max="12" width="10.7109375" style="5" bestFit="1" customWidth="1"/>
    <col min="13" max="13" width="14.7109375" style="5" customWidth="1"/>
    <col min="14" max="14" width="14.42578125" style="5" bestFit="1" customWidth="1"/>
    <col min="15" max="15" width="12.5703125" style="5" bestFit="1" customWidth="1"/>
    <col min="16" max="16" width="20.7109375" style="5" customWidth="1"/>
    <col min="17" max="17" width="23.85546875" style="5" bestFit="1" customWidth="1"/>
    <col min="18" max="18" width="18.42578125" style="5" bestFit="1" customWidth="1"/>
    <col min="19" max="19" width="25" style="5" bestFit="1" customWidth="1"/>
    <col min="20" max="20" width="25.28515625" style="5" bestFit="1" customWidth="1"/>
    <col min="21" max="21" width="10.140625" style="5" bestFit="1" customWidth="1"/>
    <col min="22" max="22" width="9.140625" style="5"/>
    <col min="23" max="23" width="10.140625" style="5" bestFit="1" customWidth="1"/>
    <col min="24" max="24" width="10.28515625" style="5" customWidth="1"/>
    <col min="25" max="25" width="11.85546875" style="5" customWidth="1"/>
    <col min="26" max="27" width="9.140625" style="5"/>
    <col min="28" max="28" width="14.140625" style="5" customWidth="1"/>
    <col min="29" max="16384" width="9.140625" style="5"/>
  </cols>
  <sheetData>
    <row r="2" spans="1:22" ht="15.75" x14ac:dyDescent="0.25">
      <c r="B2" s="88"/>
    </row>
    <row r="3" spans="1:22" x14ac:dyDescent="0.2">
      <c r="A3" s="89"/>
    </row>
    <row r="4" spans="1:22" x14ac:dyDescent="0.2">
      <c r="F4" s="33"/>
    </row>
    <row r="5" spans="1:22" x14ac:dyDescent="0.2">
      <c r="A5" s="32" t="s">
        <v>0</v>
      </c>
      <c r="B5" s="90" t="s">
        <v>1</v>
      </c>
      <c r="C5" s="91"/>
      <c r="D5" s="91"/>
      <c r="F5" s="4" t="s">
        <v>2</v>
      </c>
      <c r="N5" s="90"/>
      <c r="O5" s="90" t="s">
        <v>3</v>
      </c>
      <c r="P5" s="90"/>
      <c r="Q5" s="12"/>
      <c r="R5" s="12"/>
      <c r="S5" s="12"/>
      <c r="T5" s="12"/>
      <c r="U5" s="12"/>
      <c r="V5" s="12"/>
    </row>
    <row r="6" spans="1:22" x14ac:dyDescent="0.2">
      <c r="A6" s="32"/>
      <c r="B6" s="92" t="s">
        <v>4</v>
      </c>
      <c r="C6" s="91"/>
      <c r="D6" s="91"/>
      <c r="F6" s="4"/>
      <c r="N6" s="90"/>
      <c r="O6" s="90"/>
      <c r="P6" s="90"/>
      <c r="Q6" s="12"/>
      <c r="R6" s="12"/>
      <c r="S6" s="12"/>
      <c r="T6" s="12"/>
      <c r="U6" s="12"/>
      <c r="V6" s="12"/>
    </row>
    <row r="7" spans="1:22" x14ac:dyDescent="0.2">
      <c r="A7" s="33"/>
      <c r="C7" s="50" t="s">
        <v>5</v>
      </c>
      <c r="D7" s="50" t="s">
        <v>139</v>
      </c>
      <c r="E7" s="50" t="s">
        <v>6</v>
      </c>
      <c r="F7" s="50" t="s">
        <v>7</v>
      </c>
      <c r="G7" s="50" t="s">
        <v>8</v>
      </c>
      <c r="H7" s="50" t="s">
        <v>9</v>
      </c>
      <c r="I7" s="50" t="s">
        <v>10</v>
      </c>
      <c r="J7" s="50" t="s">
        <v>11</v>
      </c>
      <c r="L7" s="28"/>
      <c r="N7" s="93"/>
      <c r="O7" s="28" t="s">
        <v>5</v>
      </c>
      <c r="P7" s="28" t="s">
        <v>139</v>
      </c>
      <c r="Q7" s="28" t="s">
        <v>6</v>
      </c>
      <c r="R7" s="28" t="s">
        <v>7</v>
      </c>
      <c r="S7" s="28" t="s">
        <v>8</v>
      </c>
      <c r="T7" s="28" t="s">
        <v>9</v>
      </c>
      <c r="U7" s="28" t="s">
        <v>10</v>
      </c>
      <c r="V7" s="28" t="s">
        <v>11</v>
      </c>
    </row>
    <row r="8" spans="1:22" x14ac:dyDescent="0.2">
      <c r="A8" s="33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33"/>
      <c r="B9" s="34" t="s">
        <v>12</v>
      </c>
      <c r="C9" s="77">
        <v>0.48214246315452103</v>
      </c>
      <c r="D9" s="77">
        <v>0.48266937295168344</v>
      </c>
      <c r="E9" s="77">
        <v>0.50430868144660856</v>
      </c>
      <c r="F9" s="77">
        <v>0.51378595379526892</v>
      </c>
      <c r="G9" s="77">
        <v>0.53578009612728883</v>
      </c>
      <c r="H9" s="77">
        <v>0.5008323460773727</v>
      </c>
      <c r="I9" s="77">
        <v>0.34419148003080324</v>
      </c>
      <c r="J9" s="77">
        <v>0.47719843558132885</v>
      </c>
      <c r="L9" s="94"/>
      <c r="N9" s="94"/>
      <c r="O9" s="95">
        <f t="shared" ref="O9:O20" si="0">1-C9</f>
        <v>0.51785753684547897</v>
      </c>
      <c r="P9" s="95">
        <f t="shared" ref="P9:P20" si="1">1-D9</f>
        <v>0.51733062704831656</v>
      </c>
      <c r="Q9" s="95">
        <f t="shared" ref="Q9:Q20" si="2">1-E9</f>
        <v>0.49569131855339144</v>
      </c>
      <c r="R9" s="95">
        <f t="shared" ref="R9:R20" si="3">1-F9</f>
        <v>0.48621404620473108</v>
      </c>
      <c r="S9" s="95">
        <f t="shared" ref="S9:S20" si="4">1-G9</f>
        <v>0.46421990387271117</v>
      </c>
      <c r="T9" s="95">
        <f t="shared" ref="T9:T20" si="5">1-H9</f>
        <v>0.4991676539226273</v>
      </c>
      <c r="U9" s="95">
        <f>1-I9</f>
        <v>0.65580851996919676</v>
      </c>
      <c r="V9" s="95">
        <f t="shared" ref="V9:V20" si="6">1-J9</f>
        <v>0.52280156441867121</v>
      </c>
    </row>
    <row r="10" spans="1:22" x14ac:dyDescent="0.2">
      <c r="A10" s="33"/>
      <c r="B10" s="34" t="s">
        <v>13</v>
      </c>
      <c r="C10" s="77">
        <v>0.50055687858121323</v>
      </c>
      <c r="D10" s="77">
        <v>0.50119219073896315</v>
      </c>
      <c r="E10" s="77">
        <v>0.50866795574047663</v>
      </c>
      <c r="F10" s="77">
        <v>0.49918523584465246</v>
      </c>
      <c r="G10" s="77">
        <v>0.51758478731472002</v>
      </c>
      <c r="H10" s="77">
        <v>0.50392755628278885</v>
      </c>
      <c r="I10" s="77">
        <v>0.32441506074639603</v>
      </c>
      <c r="J10" s="77">
        <v>0.47580085842577807</v>
      </c>
      <c r="L10" s="94"/>
      <c r="N10" s="94"/>
      <c r="O10" s="95">
        <f t="shared" si="0"/>
        <v>0.49944312141878677</v>
      </c>
      <c r="P10" s="95">
        <f t="shared" si="1"/>
        <v>0.49880780926103685</v>
      </c>
      <c r="Q10" s="95">
        <f t="shared" si="2"/>
        <v>0.49133204425952337</v>
      </c>
      <c r="R10" s="95">
        <f t="shared" si="3"/>
        <v>0.50081476415534754</v>
      </c>
      <c r="S10" s="95">
        <f t="shared" si="4"/>
        <v>0.48241521268527998</v>
      </c>
      <c r="T10" s="95">
        <f t="shared" si="5"/>
        <v>0.49607244371721115</v>
      </c>
      <c r="U10" s="95">
        <f t="shared" ref="U10:U20" si="7">1-I10</f>
        <v>0.67558493925360397</v>
      </c>
      <c r="V10" s="95">
        <f t="shared" si="6"/>
        <v>0.52419914157422198</v>
      </c>
    </row>
    <row r="11" spans="1:22" x14ac:dyDescent="0.2">
      <c r="A11" s="33"/>
      <c r="B11" s="34" t="s">
        <v>14</v>
      </c>
      <c r="C11" s="77">
        <v>0.50092766551759449</v>
      </c>
      <c r="D11" s="77">
        <v>0.50075519508086452</v>
      </c>
      <c r="E11" s="77">
        <v>0.53373942212930003</v>
      </c>
      <c r="F11" s="77">
        <v>0.49247428180263236</v>
      </c>
      <c r="G11" s="77">
        <v>0.53554446556466873</v>
      </c>
      <c r="H11" s="77">
        <v>0.5008422707961363</v>
      </c>
      <c r="I11" s="77">
        <v>0.28432054432341686</v>
      </c>
      <c r="J11" s="77">
        <v>0.47352934651578271</v>
      </c>
      <c r="L11" s="94"/>
      <c r="N11" s="94"/>
      <c r="O11" s="95">
        <f t="shared" si="0"/>
        <v>0.49907233448240551</v>
      </c>
      <c r="P11" s="95">
        <f t="shared" si="1"/>
        <v>0.49924480491913548</v>
      </c>
      <c r="Q11" s="95">
        <f t="shared" si="2"/>
        <v>0.46626057787069997</v>
      </c>
      <c r="R11" s="95">
        <f t="shared" si="3"/>
        <v>0.50752571819736758</v>
      </c>
      <c r="S11" s="95">
        <f t="shared" si="4"/>
        <v>0.46445553443533127</v>
      </c>
      <c r="T11" s="95">
        <f t="shared" si="5"/>
        <v>0.4991577292038637</v>
      </c>
      <c r="U11" s="95">
        <f t="shared" si="7"/>
        <v>0.71567945567658309</v>
      </c>
      <c r="V11" s="95">
        <f t="shared" si="6"/>
        <v>0.52647065348421729</v>
      </c>
    </row>
    <row r="12" spans="1:22" x14ac:dyDescent="0.2">
      <c r="A12" s="33"/>
      <c r="B12" s="287" t="s">
        <v>15</v>
      </c>
      <c r="C12" s="77">
        <v>0.51074497234733263</v>
      </c>
      <c r="D12" s="77">
        <v>0.5128000109920271</v>
      </c>
      <c r="E12" s="77">
        <v>0.53230056939238524</v>
      </c>
      <c r="F12" s="77">
        <v>0.48415507532480018</v>
      </c>
      <c r="G12" s="77">
        <v>0.55351196619790044</v>
      </c>
      <c r="H12" s="77">
        <v>0.52099000216111691</v>
      </c>
      <c r="I12" s="77">
        <v>0.24286329147382654</v>
      </c>
      <c r="J12" s="77">
        <v>0.48864990507593942</v>
      </c>
      <c r="L12" s="94"/>
      <c r="N12" s="94"/>
      <c r="O12" s="95">
        <f t="shared" si="0"/>
        <v>0.48925502765266737</v>
      </c>
      <c r="P12" s="95">
        <f t="shared" si="1"/>
        <v>0.4871999890079729</v>
      </c>
      <c r="Q12" s="95">
        <f t="shared" si="2"/>
        <v>0.46769943060761476</v>
      </c>
      <c r="R12" s="95">
        <f t="shared" si="3"/>
        <v>0.51584492467519982</v>
      </c>
      <c r="S12" s="95">
        <f t="shared" si="4"/>
        <v>0.44648803380209956</v>
      </c>
      <c r="T12" s="95">
        <f t="shared" si="5"/>
        <v>0.47900999783888309</v>
      </c>
      <c r="U12" s="95">
        <f t="shared" si="7"/>
        <v>0.75713670852617343</v>
      </c>
      <c r="V12" s="95">
        <f t="shared" si="6"/>
        <v>0.51135009492406058</v>
      </c>
    </row>
    <row r="13" spans="1:22" x14ac:dyDescent="0.2">
      <c r="A13" s="33"/>
      <c r="B13" s="34" t="s">
        <v>16</v>
      </c>
      <c r="C13" s="77">
        <v>0.51773364652442788</v>
      </c>
      <c r="D13" s="77">
        <v>0.52104339915994491</v>
      </c>
      <c r="E13" s="77">
        <v>0.54541524767708605</v>
      </c>
      <c r="F13" s="77">
        <v>0.50460496283445311</v>
      </c>
      <c r="G13" s="77">
        <v>0.58154298806431792</v>
      </c>
      <c r="H13" s="77">
        <v>0.53340373587330692</v>
      </c>
      <c r="I13" s="77">
        <v>0.21398926196037066</v>
      </c>
      <c r="J13" s="77">
        <v>0.49685785252772668</v>
      </c>
      <c r="L13" s="94"/>
      <c r="N13" s="94"/>
      <c r="O13" s="95">
        <f t="shared" si="0"/>
        <v>0.48226635347557212</v>
      </c>
      <c r="P13" s="95">
        <f t="shared" si="1"/>
        <v>0.47895660084005509</v>
      </c>
      <c r="Q13" s="95">
        <f t="shared" si="2"/>
        <v>0.45458475232291395</v>
      </c>
      <c r="R13" s="95">
        <f t="shared" si="3"/>
        <v>0.49539503716554689</v>
      </c>
      <c r="S13" s="95">
        <f t="shared" si="4"/>
        <v>0.41845701193568208</v>
      </c>
      <c r="T13" s="95">
        <f t="shared" si="5"/>
        <v>0.46659626412669308</v>
      </c>
      <c r="U13" s="95">
        <f t="shared" si="7"/>
        <v>0.78601073803962929</v>
      </c>
      <c r="V13" s="95">
        <f t="shared" si="6"/>
        <v>0.50314214747227326</v>
      </c>
    </row>
    <row r="14" spans="1:22" x14ac:dyDescent="0.2">
      <c r="A14" s="33"/>
      <c r="B14" s="34" t="s">
        <v>17</v>
      </c>
      <c r="C14" s="77">
        <v>0.52516857773690662</v>
      </c>
      <c r="D14" s="77">
        <v>0.52465042834103981</v>
      </c>
      <c r="E14" s="77">
        <v>0.5636080724530631</v>
      </c>
      <c r="F14" s="77">
        <v>0.50461098383238434</v>
      </c>
      <c r="G14" s="77">
        <v>0.5626834838527438</v>
      </c>
      <c r="H14" s="77">
        <v>0.51858667791424173</v>
      </c>
      <c r="I14" s="77">
        <v>0.19063507543877314</v>
      </c>
      <c r="J14" s="77">
        <v>0.48582916455251568</v>
      </c>
      <c r="L14" s="94"/>
      <c r="N14" s="94"/>
      <c r="O14" s="95">
        <f t="shared" si="0"/>
        <v>0.47483142226309338</v>
      </c>
      <c r="P14" s="95">
        <f t="shared" si="1"/>
        <v>0.47534957165896019</v>
      </c>
      <c r="Q14" s="95">
        <f t="shared" si="2"/>
        <v>0.4363919275469369</v>
      </c>
      <c r="R14" s="95">
        <f t="shared" si="3"/>
        <v>0.49538901616761566</v>
      </c>
      <c r="S14" s="95">
        <f t="shared" si="4"/>
        <v>0.4373165161472562</v>
      </c>
      <c r="T14" s="95">
        <f t="shared" si="5"/>
        <v>0.48141332208575827</v>
      </c>
      <c r="U14" s="95">
        <f t="shared" si="7"/>
        <v>0.80936492456122688</v>
      </c>
      <c r="V14" s="95">
        <f t="shared" si="6"/>
        <v>0.51417083544748432</v>
      </c>
    </row>
    <row r="15" spans="1:22" x14ac:dyDescent="0.2">
      <c r="A15" s="33"/>
      <c r="B15" s="34" t="s">
        <v>18</v>
      </c>
      <c r="C15" s="77">
        <v>0.54215389426909322</v>
      </c>
      <c r="D15" s="77">
        <v>0.54190432671370459</v>
      </c>
      <c r="E15" s="77">
        <v>0.55154707439173223</v>
      </c>
      <c r="F15" s="77">
        <v>0.49542178648132157</v>
      </c>
      <c r="G15" s="77">
        <v>0.54689895399024002</v>
      </c>
      <c r="H15" s="77">
        <v>0.50734994723795401</v>
      </c>
      <c r="I15" s="77">
        <v>0.1809286140185847</v>
      </c>
      <c r="J15" s="77">
        <v>0.46911227121069882</v>
      </c>
      <c r="L15" s="94"/>
      <c r="N15" s="94"/>
      <c r="O15" s="95">
        <f t="shared" si="0"/>
        <v>0.45784610573090678</v>
      </c>
      <c r="P15" s="95">
        <f t="shared" si="1"/>
        <v>0.45809567328629541</v>
      </c>
      <c r="Q15" s="95">
        <f t="shared" si="2"/>
        <v>0.44845292560826777</v>
      </c>
      <c r="R15" s="95">
        <f t="shared" si="3"/>
        <v>0.50457821351867849</v>
      </c>
      <c r="S15" s="95">
        <f t="shared" si="4"/>
        <v>0.45310104600975998</v>
      </c>
      <c r="T15" s="95">
        <f t="shared" si="5"/>
        <v>0.49265005276204599</v>
      </c>
      <c r="U15" s="95">
        <f t="shared" si="7"/>
        <v>0.81907138598141527</v>
      </c>
      <c r="V15" s="95">
        <f t="shared" si="6"/>
        <v>0.53088772878930124</v>
      </c>
    </row>
    <row r="16" spans="1:22" x14ac:dyDescent="0.2">
      <c r="A16" s="33"/>
      <c r="B16" s="34" t="s">
        <v>19</v>
      </c>
      <c r="C16" s="77">
        <v>0.5938475974845866</v>
      </c>
      <c r="D16" s="77">
        <v>0.59457374033844224</v>
      </c>
      <c r="E16" s="77">
        <v>0.61271897419913368</v>
      </c>
      <c r="F16" s="77">
        <v>0.52888070959566547</v>
      </c>
      <c r="G16" s="77">
        <v>0.58462366144931688</v>
      </c>
      <c r="H16" s="77">
        <v>0.54913731491113971</v>
      </c>
      <c r="I16" s="77">
        <v>0.23944749839493551</v>
      </c>
      <c r="J16" s="77">
        <v>0.51512102033214779</v>
      </c>
      <c r="L16" s="94"/>
      <c r="N16" s="94"/>
      <c r="O16" s="95">
        <f t="shared" si="0"/>
        <v>0.4061524025154134</v>
      </c>
      <c r="P16" s="95">
        <f t="shared" si="1"/>
        <v>0.40542625966155776</v>
      </c>
      <c r="Q16" s="95">
        <f t="shared" si="2"/>
        <v>0.38728102580086632</v>
      </c>
      <c r="R16" s="95">
        <f t="shared" si="3"/>
        <v>0.47111929040433453</v>
      </c>
      <c r="S16" s="95">
        <f t="shared" si="4"/>
        <v>0.41537633855068312</v>
      </c>
      <c r="T16" s="95">
        <f t="shared" si="5"/>
        <v>0.45086268508886029</v>
      </c>
      <c r="U16" s="95">
        <f t="shared" si="7"/>
        <v>0.76055250160506449</v>
      </c>
      <c r="V16" s="95">
        <f t="shared" si="6"/>
        <v>0.48487897966785221</v>
      </c>
    </row>
    <row r="17" spans="1:22" x14ac:dyDescent="0.2">
      <c r="A17" s="33"/>
      <c r="B17" s="34" t="s">
        <v>20</v>
      </c>
      <c r="C17" s="77">
        <v>0.49422973942665654</v>
      </c>
      <c r="D17" s="77">
        <v>0.49532398032891622</v>
      </c>
      <c r="E17" s="77">
        <v>0.52543055156512719</v>
      </c>
      <c r="F17" s="77">
        <v>0.45148713608016555</v>
      </c>
      <c r="G17" s="77">
        <v>0.53452060402503676</v>
      </c>
      <c r="H17" s="77">
        <v>0.49603938402846159</v>
      </c>
      <c r="I17" s="77">
        <v>0.25343573154141996</v>
      </c>
      <c r="J17" s="77">
        <v>0.4482462532664574</v>
      </c>
      <c r="L17" s="94"/>
      <c r="N17" s="94"/>
      <c r="O17" s="95">
        <f t="shared" si="0"/>
        <v>0.5057702605733434</v>
      </c>
      <c r="P17" s="95">
        <f t="shared" si="1"/>
        <v>0.50467601967108378</v>
      </c>
      <c r="Q17" s="95">
        <f t="shared" si="2"/>
        <v>0.47456944843487281</v>
      </c>
      <c r="R17" s="95">
        <f t="shared" si="3"/>
        <v>0.54851286391983445</v>
      </c>
      <c r="S17" s="95">
        <f t="shared" si="4"/>
        <v>0.46547939597496324</v>
      </c>
      <c r="T17" s="95">
        <f t="shared" si="5"/>
        <v>0.50396061597153841</v>
      </c>
      <c r="U17" s="95">
        <f t="shared" si="7"/>
        <v>0.74656426845858004</v>
      </c>
      <c r="V17" s="95">
        <f t="shared" si="6"/>
        <v>0.5517537467335426</v>
      </c>
    </row>
    <row r="18" spans="1:22" x14ac:dyDescent="0.2">
      <c r="A18" s="33"/>
      <c r="B18" s="34" t="s">
        <v>21</v>
      </c>
      <c r="C18" s="77">
        <v>0.51102664149619181</v>
      </c>
      <c r="D18" s="77">
        <v>0.50854940377971725</v>
      </c>
      <c r="E18" s="77">
        <v>0.58518004855874006</v>
      </c>
      <c r="F18" s="77">
        <v>0.49700309375221241</v>
      </c>
      <c r="G18" s="77">
        <v>0.58069111968316611</v>
      </c>
      <c r="H18" s="77">
        <v>0.53918511558735693</v>
      </c>
      <c r="I18" s="77">
        <v>0.33480369790947612</v>
      </c>
      <c r="J18" s="77">
        <v>0.50450392049508352</v>
      </c>
      <c r="L18" s="94"/>
      <c r="N18" s="94"/>
      <c r="O18" s="95">
        <f t="shared" si="0"/>
        <v>0.48897335850380819</v>
      </c>
      <c r="P18" s="95">
        <f>1-D18</f>
        <v>0.49145059622028275</v>
      </c>
      <c r="Q18" s="95">
        <f t="shared" si="2"/>
        <v>0.41481995144125994</v>
      </c>
      <c r="R18" s="95">
        <f t="shared" si="3"/>
        <v>0.50299690624778759</v>
      </c>
      <c r="S18" s="95">
        <f t="shared" si="4"/>
        <v>0.41930888031683389</v>
      </c>
      <c r="T18" s="95">
        <f t="shared" si="5"/>
        <v>0.46081488441264307</v>
      </c>
      <c r="U18" s="95">
        <f t="shared" si="7"/>
        <v>0.66519630209052383</v>
      </c>
      <c r="V18" s="95">
        <f t="shared" si="6"/>
        <v>0.49549607950491648</v>
      </c>
    </row>
    <row r="19" spans="1:22" x14ac:dyDescent="0.2">
      <c r="A19" s="33"/>
      <c r="B19" s="34" t="s">
        <v>22</v>
      </c>
      <c r="C19" s="77">
        <v>0.51353936852020632</v>
      </c>
      <c r="D19" s="77">
        <v>0.51206450747401844</v>
      </c>
      <c r="E19" s="77">
        <v>0.5692412660377677</v>
      </c>
      <c r="F19" s="77">
        <v>0.52859807773947376</v>
      </c>
      <c r="G19" s="77">
        <v>0.56230798941242965</v>
      </c>
      <c r="H19" s="77">
        <v>0.53131354339744286</v>
      </c>
      <c r="I19" s="77">
        <v>0.34801381338558385</v>
      </c>
      <c r="J19" s="77">
        <v>0.49429041810752367</v>
      </c>
      <c r="L19" s="94"/>
      <c r="N19" s="94"/>
      <c r="O19" s="95">
        <f t="shared" si="0"/>
        <v>0.48646063147979368</v>
      </c>
      <c r="P19" s="95">
        <f t="shared" si="1"/>
        <v>0.48793549252598156</v>
      </c>
      <c r="Q19" s="95">
        <f t="shared" si="2"/>
        <v>0.4307587339622323</v>
      </c>
      <c r="R19" s="95">
        <f t="shared" si="3"/>
        <v>0.47140192226052624</v>
      </c>
      <c r="S19" s="95">
        <f t="shared" si="4"/>
        <v>0.43769201058757035</v>
      </c>
      <c r="T19" s="95">
        <f t="shared" si="5"/>
        <v>0.46868645660255714</v>
      </c>
      <c r="U19" s="95">
        <f t="shared" si="7"/>
        <v>0.6519861866144161</v>
      </c>
      <c r="V19" s="95">
        <f t="shared" si="6"/>
        <v>0.50570958189247639</v>
      </c>
    </row>
    <row r="20" spans="1:22" x14ac:dyDescent="0.2">
      <c r="A20" s="33"/>
      <c r="B20" s="34" t="s">
        <v>23</v>
      </c>
      <c r="C20" s="77">
        <v>0.44730355633482788</v>
      </c>
      <c r="D20" s="77">
        <v>0.44589029435371691</v>
      </c>
      <c r="E20" s="77">
        <v>0.49305012717593555</v>
      </c>
      <c r="F20" s="77">
        <v>0.47027673885613269</v>
      </c>
      <c r="G20" s="77">
        <v>0.494045910020459</v>
      </c>
      <c r="H20" s="77">
        <v>0.46230282382785437</v>
      </c>
      <c r="I20" s="77">
        <v>0.31998897500066803</v>
      </c>
      <c r="J20" s="77">
        <v>0.4308193428569736</v>
      </c>
      <c r="L20" s="94"/>
      <c r="N20" s="94"/>
      <c r="O20" s="95">
        <f t="shared" si="0"/>
        <v>0.55269644366517212</v>
      </c>
      <c r="P20" s="95">
        <f t="shared" si="1"/>
        <v>0.55410970564628315</v>
      </c>
      <c r="Q20" s="95">
        <f t="shared" si="2"/>
        <v>0.50694987282406445</v>
      </c>
      <c r="R20" s="95">
        <f t="shared" si="3"/>
        <v>0.52972326114386736</v>
      </c>
      <c r="S20" s="95">
        <f t="shared" si="4"/>
        <v>0.50595408997954094</v>
      </c>
      <c r="T20" s="95">
        <f t="shared" si="5"/>
        <v>0.53769717617214563</v>
      </c>
      <c r="U20" s="95">
        <f t="shared" si="7"/>
        <v>0.68001102499933197</v>
      </c>
      <c r="V20" s="95">
        <f t="shared" si="6"/>
        <v>0.56918065714302646</v>
      </c>
    </row>
    <row r="21" spans="1:22" x14ac:dyDescent="0.2">
      <c r="A21" s="33"/>
      <c r="J21" s="96"/>
    </row>
    <row r="22" spans="1:22" x14ac:dyDescent="0.2">
      <c r="A22" s="33"/>
    </row>
    <row r="23" spans="1:22" x14ac:dyDescent="0.2">
      <c r="A23" s="32" t="s">
        <v>24</v>
      </c>
      <c r="B23" s="90" t="s">
        <v>140</v>
      </c>
    </row>
    <row r="24" spans="1:22" x14ac:dyDescent="0.2">
      <c r="A24" s="32"/>
      <c r="B24" s="90"/>
    </row>
    <row r="25" spans="1:22" x14ac:dyDescent="0.2">
      <c r="A25" s="33"/>
      <c r="D25" s="50" t="str">
        <f>D7</f>
        <v>RS TOU - BGS</v>
      </c>
      <c r="P25" s="28" t="s">
        <v>139</v>
      </c>
    </row>
    <row r="26" spans="1:22" x14ac:dyDescent="0.2">
      <c r="A26" s="33"/>
      <c r="D26" s="50"/>
      <c r="P26" s="12"/>
    </row>
    <row r="27" spans="1:22" x14ac:dyDescent="0.2">
      <c r="A27" s="33"/>
      <c r="B27" s="34" t="str">
        <f>B9</f>
        <v>January</v>
      </c>
      <c r="D27" s="77">
        <v>0.35558396603444975</v>
      </c>
      <c r="F27" s="77"/>
      <c r="P27" s="95">
        <f>1-D27</f>
        <v>0.64441603396555025</v>
      </c>
    </row>
    <row r="28" spans="1:22" x14ac:dyDescent="0.2">
      <c r="A28" s="33"/>
      <c r="B28" s="34" t="str">
        <f t="shared" ref="B28:B38" si="8">B10</f>
        <v>February</v>
      </c>
      <c r="D28" s="77">
        <v>0.36987716332445458</v>
      </c>
      <c r="F28" s="77"/>
      <c r="P28" s="95">
        <f t="shared" ref="P28:P38" si="9">1-D28</f>
        <v>0.63012283667554536</v>
      </c>
    </row>
    <row r="29" spans="1:22" x14ac:dyDescent="0.2">
      <c r="A29" s="33"/>
      <c r="B29" s="34" t="str">
        <f t="shared" si="8"/>
        <v>March</v>
      </c>
      <c r="D29" s="77">
        <v>0.36514523820461092</v>
      </c>
      <c r="F29" s="77"/>
      <c r="P29" s="95">
        <f t="shared" si="9"/>
        <v>0.63485476179538902</v>
      </c>
    </row>
    <row r="30" spans="1:22" x14ac:dyDescent="0.2">
      <c r="A30" s="33"/>
      <c r="B30" s="34" t="str">
        <f t="shared" si="8"/>
        <v>April</v>
      </c>
      <c r="D30" s="77">
        <v>0.3648792392922775</v>
      </c>
      <c r="F30" s="77"/>
      <c r="P30" s="95">
        <f t="shared" si="9"/>
        <v>0.6351207607077225</v>
      </c>
    </row>
    <row r="31" spans="1:22" x14ac:dyDescent="0.2">
      <c r="A31" s="33"/>
      <c r="B31" s="34" t="str">
        <f t="shared" si="8"/>
        <v>May</v>
      </c>
      <c r="D31" s="77">
        <v>0.37806382816914441</v>
      </c>
      <c r="F31" s="77"/>
      <c r="P31" s="95">
        <f t="shared" si="9"/>
        <v>0.62193617183085559</v>
      </c>
    </row>
    <row r="32" spans="1:22" x14ac:dyDescent="0.2">
      <c r="A32" s="33"/>
      <c r="B32" s="34" t="str">
        <f t="shared" si="8"/>
        <v>June</v>
      </c>
      <c r="D32" s="77">
        <v>0.3966500488613407</v>
      </c>
      <c r="F32" s="77"/>
      <c r="P32" s="95">
        <f t="shared" si="9"/>
        <v>0.6033499511386593</v>
      </c>
    </row>
    <row r="33" spans="1:25" x14ac:dyDescent="0.2">
      <c r="A33" s="33"/>
      <c r="B33" s="34" t="str">
        <f t="shared" si="8"/>
        <v>July</v>
      </c>
      <c r="D33" s="77">
        <v>0.42108457261432797</v>
      </c>
      <c r="F33" s="77"/>
      <c r="P33" s="95">
        <f t="shared" si="9"/>
        <v>0.57891542738567203</v>
      </c>
    </row>
    <row r="34" spans="1:25" x14ac:dyDescent="0.2">
      <c r="A34" s="33"/>
      <c r="B34" s="34" t="str">
        <f t="shared" si="8"/>
        <v>August</v>
      </c>
      <c r="D34" s="77">
        <v>0.46253113535915213</v>
      </c>
      <c r="F34" s="77"/>
      <c r="P34" s="95">
        <f t="shared" si="9"/>
        <v>0.53746886464084787</v>
      </c>
    </row>
    <row r="35" spans="1:25" x14ac:dyDescent="0.2">
      <c r="A35" s="33"/>
      <c r="B35" s="34" t="str">
        <f t="shared" si="8"/>
        <v>September</v>
      </c>
      <c r="D35" s="77">
        <v>0.37505163213932885</v>
      </c>
      <c r="F35" s="77"/>
      <c r="P35" s="95">
        <f t="shared" si="9"/>
        <v>0.62494836786067109</v>
      </c>
    </row>
    <row r="36" spans="1:25" x14ac:dyDescent="0.2">
      <c r="A36" s="33"/>
      <c r="B36" s="34" t="str">
        <f t="shared" si="8"/>
        <v>October</v>
      </c>
      <c r="D36" s="77">
        <v>0.36537637561946146</v>
      </c>
      <c r="F36" s="77"/>
      <c r="P36" s="95">
        <f t="shared" si="9"/>
        <v>0.63462362438053854</v>
      </c>
    </row>
    <row r="37" spans="1:25" x14ac:dyDescent="0.2">
      <c r="A37" s="33"/>
      <c r="B37" s="34" t="str">
        <f t="shared" si="8"/>
        <v>November</v>
      </c>
      <c r="D37" s="77">
        <v>0.37700527147990875</v>
      </c>
      <c r="F37" s="77"/>
      <c r="P37" s="95">
        <f t="shared" si="9"/>
        <v>0.62299472852009119</v>
      </c>
    </row>
    <row r="38" spans="1:25" x14ac:dyDescent="0.2">
      <c r="A38" s="33"/>
      <c r="B38" s="34" t="str">
        <f t="shared" si="8"/>
        <v>December</v>
      </c>
      <c r="D38" s="77">
        <v>0.32579513409055211</v>
      </c>
      <c r="F38" s="77"/>
      <c r="P38" s="95">
        <f t="shared" si="9"/>
        <v>0.67420486590944795</v>
      </c>
    </row>
    <row r="39" spans="1:25" x14ac:dyDescent="0.2">
      <c r="A39" s="33"/>
    </row>
    <row r="40" spans="1:25" x14ac:dyDescent="0.2">
      <c r="A40" s="33"/>
    </row>
    <row r="41" spans="1:25" x14ac:dyDescent="0.2">
      <c r="A41" s="32" t="s">
        <v>32</v>
      </c>
      <c r="B41" s="97" t="s">
        <v>25</v>
      </c>
      <c r="O41" s="3" t="s">
        <v>26</v>
      </c>
      <c r="P41" s="3"/>
    </row>
    <row r="42" spans="1:25" x14ac:dyDescent="0.2">
      <c r="A42" s="33"/>
      <c r="B42" s="117" t="s">
        <v>27</v>
      </c>
    </row>
    <row r="43" spans="1:25" x14ac:dyDescent="0.2">
      <c r="A43" s="33"/>
      <c r="B43" s="4" t="s">
        <v>28</v>
      </c>
      <c r="C43" s="50" t="s">
        <v>5</v>
      </c>
      <c r="D43" s="50" t="str">
        <f>D7</f>
        <v>RS TOU - BGS</v>
      </c>
      <c r="E43" s="50" t="s">
        <v>6</v>
      </c>
      <c r="F43" s="50" t="s">
        <v>7</v>
      </c>
      <c r="G43" s="50" t="s">
        <v>8</v>
      </c>
      <c r="H43" s="50" t="s">
        <v>9</v>
      </c>
      <c r="I43" s="50" t="s">
        <v>10</v>
      </c>
      <c r="J43" s="50" t="s">
        <v>11</v>
      </c>
      <c r="K43" s="50" t="s">
        <v>29</v>
      </c>
      <c r="L43" s="28"/>
      <c r="O43" s="28" t="s">
        <v>5</v>
      </c>
      <c r="P43" s="28" t="s">
        <v>139</v>
      </c>
      <c r="Q43" s="28" t="s">
        <v>6</v>
      </c>
      <c r="R43" s="28" t="s">
        <v>7</v>
      </c>
      <c r="S43" s="28" t="s">
        <v>8</v>
      </c>
      <c r="T43" s="28" t="s">
        <v>9</v>
      </c>
      <c r="U43" s="28" t="s">
        <v>10</v>
      </c>
      <c r="V43" s="28" t="s">
        <v>11</v>
      </c>
      <c r="X43" s="28"/>
      <c r="Y43" s="28"/>
    </row>
    <row r="44" spans="1:25" x14ac:dyDescent="0.2">
      <c r="A44" s="33"/>
    </row>
    <row r="45" spans="1:25" x14ac:dyDescent="0.2">
      <c r="A45" s="33"/>
      <c r="B45" s="34">
        <v>44197</v>
      </c>
      <c r="C45" s="45">
        <v>331777.96716200828</v>
      </c>
      <c r="D45" s="45">
        <v>341.03367365791286</v>
      </c>
      <c r="E45" s="45">
        <v>70960.352017662633</v>
      </c>
      <c r="F45" s="45">
        <v>1539.2615814438914</v>
      </c>
      <c r="G45" s="45">
        <v>75588.915026675008</v>
      </c>
      <c r="H45" s="45">
        <v>4342.5730996892253</v>
      </c>
      <c r="I45" s="45">
        <v>4465.5586044416959</v>
      </c>
      <c r="J45" s="45">
        <v>805.00975557896959</v>
      </c>
      <c r="K45" s="45">
        <f>SUM(C45:J45)</f>
        <v>489820.67092115764</v>
      </c>
      <c r="L45" s="45"/>
      <c r="N45" s="27" t="s">
        <v>30</v>
      </c>
      <c r="O45" s="38">
        <f>SUM(C45:C49,C54:C56)</f>
        <v>1975978.8058642005</v>
      </c>
      <c r="P45" s="38">
        <f>SUM(D45:D49,D54:D56)</f>
        <v>2026.1229245180893</v>
      </c>
      <c r="Q45" s="38">
        <f t="shared" ref="Q45:S45" si="10">SUM(E45:E49,E54:E56)</f>
        <v>534265.50753721374</v>
      </c>
      <c r="R45" s="38">
        <f t="shared" si="10"/>
        <v>11334.459438442891</v>
      </c>
      <c r="S45" s="38">
        <f t="shared" si="10"/>
        <v>550114.47316341277</v>
      </c>
      <c r="T45" s="38">
        <f>SUM(H45:H49,H54:H56)</f>
        <v>39376.767585527341</v>
      </c>
      <c r="U45" s="38">
        <f>SUM(I45:I49,I54:I56)</f>
        <v>32174.805314137502</v>
      </c>
      <c r="V45" s="38">
        <f>SUM(J45:J49,J54:J56)</f>
        <v>6076.4985380261742</v>
      </c>
      <c r="W45" s="38">
        <f>SUM(O45:V45)</f>
        <v>3151347.4403654789</v>
      </c>
      <c r="X45" s="118"/>
      <c r="Y45" s="118"/>
    </row>
    <row r="46" spans="1:25" x14ac:dyDescent="0.2">
      <c r="A46" s="33"/>
      <c r="B46" s="34">
        <v>44228</v>
      </c>
      <c r="C46" s="45">
        <v>314614.30081517057</v>
      </c>
      <c r="D46" s="45">
        <v>331.59237291911342</v>
      </c>
      <c r="E46" s="45">
        <v>66254.932524438773</v>
      </c>
      <c r="F46" s="45">
        <v>1415.9523479292056</v>
      </c>
      <c r="G46" s="45">
        <v>71734.602019580954</v>
      </c>
      <c r="H46" s="45">
        <v>4558.4773456634866</v>
      </c>
      <c r="I46" s="45">
        <v>4027.7756053982439</v>
      </c>
      <c r="J46" s="45">
        <v>749.52367290159032</v>
      </c>
      <c r="K46" s="45">
        <f t="shared" ref="K46:K56" si="11">SUM(C46:J46)</f>
        <v>463687.15670400194</v>
      </c>
      <c r="L46" s="45"/>
      <c r="N46" s="5" t="s">
        <v>137</v>
      </c>
      <c r="P46" s="38">
        <f>SUMPRODUCT($D$45:$D$49,$D$9:$D$13)+SUMPRODUCT($D$54:$D$56,$D$18:$D$20)</f>
        <v>1005.0717667129392</v>
      </c>
      <c r="W46" s="38"/>
      <c r="X46" s="118"/>
      <c r="Y46" s="118"/>
    </row>
    <row r="47" spans="1:25" x14ac:dyDescent="0.2">
      <c r="A47" s="33"/>
      <c r="B47" s="34">
        <v>44256</v>
      </c>
      <c r="C47" s="45">
        <v>283947.53687837481</v>
      </c>
      <c r="D47" s="45">
        <v>301.38549479656439</v>
      </c>
      <c r="E47" s="45">
        <v>72031.284392395115</v>
      </c>
      <c r="F47" s="45">
        <v>1324.8846181419171</v>
      </c>
      <c r="G47" s="45">
        <v>71350.283718970109</v>
      </c>
      <c r="H47" s="45">
        <v>5519.0760189821012</v>
      </c>
      <c r="I47" s="45">
        <v>4024.7566879485648</v>
      </c>
      <c r="J47" s="45">
        <v>824.7589956991194</v>
      </c>
      <c r="K47" s="45">
        <f t="shared" si="11"/>
        <v>439323.9668053083</v>
      </c>
      <c r="L47" s="45"/>
      <c r="N47" s="5" t="s">
        <v>138</v>
      </c>
      <c r="P47" s="38">
        <f>SUMPRODUCT($D$45:$D$49,$P$9:$P$13)+SUMPRODUCT($D$54:$D$56,$P$18:$P$20)</f>
        <v>1021.0511578051503</v>
      </c>
      <c r="X47" s="118"/>
      <c r="Y47" s="118"/>
    </row>
    <row r="48" spans="1:25" x14ac:dyDescent="0.2">
      <c r="A48" s="33"/>
      <c r="B48" s="34">
        <v>44287</v>
      </c>
      <c r="C48" s="45">
        <v>221551.94556225414</v>
      </c>
      <c r="D48" s="45">
        <v>235.3564590002284</v>
      </c>
      <c r="E48" s="45">
        <v>62208.776025928448</v>
      </c>
      <c r="F48" s="45">
        <v>1328.404408826869</v>
      </c>
      <c r="G48" s="45">
        <v>63849.421273539512</v>
      </c>
      <c r="H48" s="45">
        <v>4719.8957737097398</v>
      </c>
      <c r="I48" s="45">
        <v>3446.5760764101187</v>
      </c>
      <c r="J48" s="45">
        <v>707.68442518200061</v>
      </c>
      <c r="K48" s="45">
        <f t="shared" si="11"/>
        <v>358048.06000485102</v>
      </c>
      <c r="L48" s="45"/>
      <c r="N48" s="27" t="s">
        <v>31</v>
      </c>
      <c r="O48" s="38">
        <f>+SUM(C50:C53)</f>
        <v>1675898.4101711735</v>
      </c>
      <c r="P48" s="38">
        <f>+SUM(D50:D53)</f>
        <v>1562.5454140444763</v>
      </c>
      <c r="Q48" s="38">
        <f t="shared" ref="Q48:S48" si="12">+SUM(E50:E53)</f>
        <v>347079.32960666151</v>
      </c>
      <c r="R48" s="38">
        <f t="shared" si="12"/>
        <v>5261.2974762469203</v>
      </c>
      <c r="S48" s="38">
        <f t="shared" si="12"/>
        <v>348859.98854572373</v>
      </c>
      <c r="T48" s="38">
        <f>+SUM(H50:H53)</f>
        <v>21957.466839505105</v>
      </c>
      <c r="U48" s="38">
        <f>+SUM(I50:I53)</f>
        <v>15233.774212917247</v>
      </c>
      <c r="V48" s="38">
        <f>+SUM(J50:J53)</f>
        <v>3945.7229873847668</v>
      </c>
      <c r="W48" s="38">
        <f>SUM(O48:V48)</f>
        <v>2419798.535253657</v>
      </c>
      <c r="X48" s="118"/>
      <c r="Y48" s="118"/>
    </row>
    <row r="49" spans="1:25" x14ac:dyDescent="0.2">
      <c r="A49" s="33"/>
      <c r="B49" s="34">
        <v>44317</v>
      </c>
      <c r="C49" s="45">
        <v>195270.42176481624</v>
      </c>
      <c r="D49" s="45">
        <v>197.00733311840258</v>
      </c>
      <c r="E49" s="45">
        <v>66241.463654195002</v>
      </c>
      <c r="F49" s="45">
        <v>1398.3622613321486</v>
      </c>
      <c r="G49" s="45">
        <v>65805.38866994431</v>
      </c>
      <c r="H49" s="45">
        <v>4656.3870274834353</v>
      </c>
      <c r="I49" s="45">
        <v>3471.5046191645815</v>
      </c>
      <c r="J49" s="45">
        <v>753.46836820613953</v>
      </c>
      <c r="K49" s="45">
        <f t="shared" si="11"/>
        <v>337794.00369826023</v>
      </c>
      <c r="L49" s="45"/>
      <c r="N49" s="5" t="s">
        <v>137</v>
      </c>
      <c r="P49" s="38">
        <f>SUMPRODUCT($D$50:$D$53,$D$14:$D$17)</f>
        <v>846.7852329592414</v>
      </c>
      <c r="X49" s="118"/>
      <c r="Y49" s="118"/>
    </row>
    <row r="50" spans="1:25" x14ac:dyDescent="0.2">
      <c r="A50" s="119"/>
      <c r="B50" s="34">
        <v>43983</v>
      </c>
      <c r="C50" s="45">
        <v>258644.41285821775</v>
      </c>
      <c r="D50" s="45">
        <v>244.71950424373688</v>
      </c>
      <c r="E50" s="45">
        <v>71815.483385413303</v>
      </c>
      <c r="F50" s="45">
        <v>1283.1632833362221</v>
      </c>
      <c r="G50" s="45">
        <v>72996.000941297214</v>
      </c>
      <c r="H50" s="45">
        <v>5135.7985638351711</v>
      </c>
      <c r="I50" s="45">
        <v>3554.1006826391003</v>
      </c>
      <c r="J50" s="45">
        <v>810.86671401229819</v>
      </c>
      <c r="K50" s="45">
        <f t="shared" si="11"/>
        <v>414484.54593299475</v>
      </c>
      <c r="L50" s="45"/>
      <c r="N50" s="5" t="s">
        <v>138</v>
      </c>
      <c r="P50" s="38">
        <f>SUMPRODUCT($D$50:$D$53,$P$14:$P$17)</f>
        <v>715.7601810852351</v>
      </c>
      <c r="Q50" s="38"/>
      <c r="R50" s="38"/>
      <c r="S50" s="38"/>
      <c r="T50" s="38"/>
      <c r="U50" s="38"/>
      <c r="V50" s="38"/>
      <c r="W50" s="38">
        <f>W45+W48</f>
        <v>5571145.9756191354</v>
      </c>
      <c r="X50" s="118"/>
      <c r="Y50" s="118"/>
    </row>
    <row r="51" spans="1:25" x14ac:dyDescent="0.2">
      <c r="A51" s="33"/>
      <c r="B51" s="34">
        <v>44013</v>
      </c>
      <c r="C51" s="45">
        <v>433168.71526092326</v>
      </c>
      <c r="D51" s="45">
        <v>410.50647162484103</v>
      </c>
      <c r="E51" s="45">
        <v>86683.847855608037</v>
      </c>
      <c r="F51" s="45">
        <v>1350.652522266691</v>
      </c>
      <c r="G51" s="45">
        <v>88516.366404936445</v>
      </c>
      <c r="H51" s="45">
        <v>5398.8120375094859</v>
      </c>
      <c r="I51" s="45">
        <v>3720.9474004084154</v>
      </c>
      <c r="J51" s="45">
        <v>983.42013157415818</v>
      </c>
      <c r="K51" s="45">
        <f t="shared" si="11"/>
        <v>620233.26808485133</v>
      </c>
      <c r="L51" s="45"/>
      <c r="O51" s="38"/>
      <c r="P51" s="38"/>
      <c r="Q51" s="38"/>
      <c r="R51" s="38"/>
      <c r="S51" s="38"/>
      <c r="T51" s="38"/>
      <c r="U51" s="38"/>
      <c r="V51" s="38"/>
      <c r="X51" s="118"/>
      <c r="Y51" s="118"/>
    </row>
    <row r="52" spans="1:25" x14ac:dyDescent="0.2">
      <c r="A52" s="33"/>
      <c r="B52" s="34">
        <v>44044</v>
      </c>
      <c r="C52" s="45">
        <v>503740.73569720658</v>
      </c>
      <c r="D52" s="45">
        <v>468.72386961271002</v>
      </c>
      <c r="E52" s="45">
        <v>91978.05978462231</v>
      </c>
      <c r="F52" s="45">
        <v>1193.4456596205621</v>
      </c>
      <c r="G52" s="45">
        <v>91620.181877334733</v>
      </c>
      <c r="H52" s="45">
        <v>5533.5544805332647</v>
      </c>
      <c r="I52" s="45">
        <v>3885.4227960580474</v>
      </c>
      <c r="J52" s="45">
        <v>1046.548018243172</v>
      </c>
      <c r="K52" s="45">
        <f t="shared" si="11"/>
        <v>699466.67218323133</v>
      </c>
      <c r="L52" s="45"/>
      <c r="M52" s="38"/>
      <c r="N52" s="7" t="s">
        <v>204</v>
      </c>
      <c r="O52" s="120">
        <f>+O48*F163</f>
        <v>1025432.5055814979</v>
      </c>
      <c r="P52" s="38"/>
      <c r="Q52" s="38"/>
      <c r="R52" s="38"/>
      <c r="S52" s="38"/>
      <c r="T52" s="38"/>
      <c r="X52" s="118"/>
      <c r="Y52" s="118"/>
    </row>
    <row r="53" spans="1:25" x14ac:dyDescent="0.2">
      <c r="A53" s="33"/>
      <c r="B53" s="34">
        <v>44075</v>
      </c>
      <c r="C53" s="45">
        <v>480344.54635482602</v>
      </c>
      <c r="D53" s="45">
        <v>438.59556856318846</v>
      </c>
      <c r="E53" s="45">
        <v>96601.938581017879</v>
      </c>
      <c r="F53" s="45">
        <v>1434.0360110234446</v>
      </c>
      <c r="G53" s="45">
        <v>95727.439322155347</v>
      </c>
      <c r="H53" s="45">
        <v>5889.3017576271814</v>
      </c>
      <c r="I53" s="45">
        <v>4073.3033338116848</v>
      </c>
      <c r="J53" s="45">
        <v>1104.8881235551385</v>
      </c>
      <c r="K53" s="45">
        <f t="shared" si="11"/>
        <v>685614.04905257979</v>
      </c>
      <c r="L53" s="45"/>
      <c r="M53" s="38"/>
      <c r="N53" s="7" t="s">
        <v>205</v>
      </c>
      <c r="O53" s="38">
        <f>+O48-O52</f>
        <v>650465.9045896756</v>
      </c>
      <c r="P53" s="38"/>
      <c r="Q53" s="38"/>
      <c r="R53" s="38"/>
      <c r="S53" s="38"/>
      <c r="T53" s="38"/>
      <c r="X53" s="118"/>
      <c r="Y53" s="118"/>
    </row>
    <row r="54" spans="1:25" x14ac:dyDescent="0.2">
      <c r="A54" s="33"/>
      <c r="B54" s="34">
        <v>44105</v>
      </c>
      <c r="C54" s="45">
        <v>177457.80544563214</v>
      </c>
      <c r="D54" s="45">
        <v>168.29385559639033</v>
      </c>
      <c r="E54" s="45">
        <v>64691.469559708494</v>
      </c>
      <c r="F54" s="45">
        <v>1404.8973098045708</v>
      </c>
      <c r="G54" s="45">
        <v>67707.063436292767</v>
      </c>
      <c r="H54" s="45">
        <v>4323.6310499542633</v>
      </c>
      <c r="I54" s="45">
        <v>4026.7007188888156</v>
      </c>
      <c r="J54" s="45">
        <v>736.28386517378885</v>
      </c>
      <c r="K54" s="45">
        <f t="shared" si="11"/>
        <v>320516.14524105127</v>
      </c>
      <c r="L54" s="45"/>
      <c r="O54" s="38">
        <f>SUM(O52:O53)</f>
        <v>1675898.4101711735</v>
      </c>
      <c r="X54" s="118"/>
      <c r="Y54" s="118"/>
    </row>
    <row r="55" spans="1:25" x14ac:dyDescent="0.2">
      <c r="A55" s="33"/>
      <c r="B55" s="34">
        <v>44136</v>
      </c>
      <c r="C55" s="45">
        <v>206663.59407743538</v>
      </c>
      <c r="D55" s="45">
        <v>198.39530303535554</v>
      </c>
      <c r="E55" s="45">
        <v>66094.370165244109</v>
      </c>
      <c r="F55" s="45">
        <v>1435.448236842378</v>
      </c>
      <c r="G55" s="45">
        <v>64735.142033585093</v>
      </c>
      <c r="H55" s="45">
        <v>5519.7989213009096</v>
      </c>
      <c r="I55" s="45">
        <v>4341.4564118351718</v>
      </c>
      <c r="J55" s="45">
        <v>753.48367378402622</v>
      </c>
      <c r="K55" s="45">
        <f t="shared" si="11"/>
        <v>349741.68882306246</v>
      </c>
      <c r="L55" s="45"/>
      <c r="X55" s="118"/>
      <c r="Y55" s="118"/>
    </row>
    <row r="56" spans="1:25" x14ac:dyDescent="0.2">
      <c r="A56" s="33"/>
      <c r="B56" s="34">
        <v>44166</v>
      </c>
      <c r="C56" s="45">
        <v>244695.23415850897</v>
      </c>
      <c r="D56" s="45">
        <v>253.05843239412187</v>
      </c>
      <c r="E56" s="45">
        <v>65782.85919764117</v>
      </c>
      <c r="F56" s="45">
        <v>1487.2486741219113</v>
      </c>
      <c r="G56" s="45">
        <v>69343.656984825007</v>
      </c>
      <c r="H56" s="45">
        <v>5736.9283487441771</v>
      </c>
      <c r="I56" s="45">
        <v>4370.476590050308</v>
      </c>
      <c r="J56" s="45">
        <v>746.28578150054022</v>
      </c>
      <c r="K56" s="45">
        <f t="shared" si="11"/>
        <v>392415.74816778622</v>
      </c>
      <c r="L56" s="45"/>
      <c r="P56" s="5" t="s">
        <v>240</v>
      </c>
      <c r="Q56" s="66">
        <f>SUMPRODUCT(O45:V45,C80:J80)</f>
        <v>3389624.6203324883</v>
      </c>
      <c r="X56" s="118"/>
      <c r="Y56" s="118"/>
    </row>
    <row r="57" spans="1:25" x14ac:dyDescent="0.2">
      <c r="A57" s="33"/>
      <c r="B57" s="121" t="s">
        <v>29</v>
      </c>
      <c r="C57" s="38">
        <f>SUM(C45:C56)</f>
        <v>3651877.216035374</v>
      </c>
      <c r="D57" s="38">
        <f t="shared" ref="D57:I57" si="13">SUM(D45:D56)</f>
        <v>3588.6683385625661</v>
      </c>
      <c r="E57" s="38">
        <f t="shared" si="13"/>
        <v>881344.83714387531</v>
      </c>
      <c r="F57" s="38">
        <f t="shared" si="13"/>
        <v>16595.756914689813</v>
      </c>
      <c r="G57" s="38">
        <f t="shared" si="13"/>
        <v>898974.46170913649</v>
      </c>
      <c r="H57" s="38">
        <f t="shared" si="13"/>
        <v>61334.234425032446</v>
      </c>
      <c r="I57" s="38">
        <f t="shared" si="13"/>
        <v>47408.579527054739</v>
      </c>
      <c r="J57" s="38">
        <f t="shared" ref="J57" si="14">SUM(J45:J56)</f>
        <v>10022.221525410943</v>
      </c>
      <c r="K57" s="38">
        <f>SUM(K45:K56)</f>
        <v>5571145.9756191364</v>
      </c>
      <c r="L57" s="38"/>
      <c r="Q57" s="168">
        <f>SUMPRODUCT(O48:V48,C80:J80)</f>
        <v>2603092.4644539212</v>
      </c>
    </row>
    <row r="58" spans="1:25" x14ac:dyDescent="0.2">
      <c r="A58" s="33"/>
      <c r="B58" s="34"/>
      <c r="C58" s="38"/>
      <c r="D58" s="38"/>
      <c r="E58" s="38"/>
      <c r="F58" s="38"/>
      <c r="G58" s="38"/>
      <c r="H58" s="38"/>
      <c r="I58" s="38"/>
      <c r="J58" s="38"/>
      <c r="K58" s="45"/>
      <c r="L58" s="38"/>
      <c r="Q58" s="131">
        <f>SUM(Q56:Q57)</f>
        <v>5992717.0847864095</v>
      </c>
    </row>
    <row r="59" spans="1:25" x14ac:dyDescent="0.2">
      <c r="A59" s="33"/>
      <c r="D59" s="38"/>
      <c r="E59" s="38"/>
    </row>
    <row r="60" spans="1:25" x14ac:dyDescent="0.2">
      <c r="A60" s="32" t="s">
        <v>34</v>
      </c>
      <c r="B60" s="3" t="s">
        <v>33</v>
      </c>
      <c r="G60" s="137" t="s">
        <v>38</v>
      </c>
      <c r="H60" s="3" t="s">
        <v>133</v>
      </c>
      <c r="J60" s="31" t="s">
        <v>141</v>
      </c>
    </row>
    <row r="61" spans="1:25" s="82" customFormat="1" x14ac:dyDescent="0.2">
      <c r="A61" s="33"/>
      <c r="B61" s="82" t="s">
        <v>142</v>
      </c>
      <c r="D61" s="28" t="s">
        <v>127</v>
      </c>
      <c r="G61" s="12"/>
    </row>
    <row r="62" spans="1:25" x14ac:dyDescent="0.2">
      <c r="A62" s="33"/>
      <c r="C62" s="50" t="s">
        <v>36</v>
      </c>
      <c r="D62" s="28" t="s">
        <v>128</v>
      </c>
      <c r="E62" s="50" t="s">
        <v>37</v>
      </c>
      <c r="G62" s="28"/>
      <c r="H62" s="50" t="s">
        <v>36</v>
      </c>
      <c r="I62" s="50" t="s">
        <v>37</v>
      </c>
    </row>
    <row r="63" spans="1:25" x14ac:dyDescent="0.2">
      <c r="A63" s="33"/>
      <c r="B63" s="34">
        <f t="shared" ref="B63:B74" si="15">B45</f>
        <v>44197</v>
      </c>
      <c r="C63" s="80">
        <v>42.05</v>
      </c>
      <c r="D63" s="172">
        <v>0.78759999999999997</v>
      </c>
      <c r="E63" s="192">
        <f>ROUND(C63*D63,2)</f>
        <v>33.119999999999997</v>
      </c>
      <c r="H63" s="1">
        <v>0.94</v>
      </c>
      <c r="I63" s="1">
        <v>0.96</v>
      </c>
      <c r="N63" s="2"/>
      <c r="O63" s="2"/>
      <c r="P63" s="2"/>
    </row>
    <row r="64" spans="1:25" x14ac:dyDescent="0.2">
      <c r="A64" s="33"/>
      <c r="B64" s="34">
        <f t="shared" si="15"/>
        <v>44228</v>
      </c>
      <c r="C64" s="80">
        <v>39.75</v>
      </c>
      <c r="D64" s="29">
        <f>+$D$63</f>
        <v>0.78759999999999997</v>
      </c>
      <c r="E64" s="192">
        <f>ROUND(C64*D64,2)</f>
        <v>31.31</v>
      </c>
      <c r="H64" s="141">
        <f>H$63</f>
        <v>0.94</v>
      </c>
      <c r="I64" s="141">
        <f>I$63</f>
        <v>0.96</v>
      </c>
      <c r="N64" s="2"/>
      <c r="O64" s="2"/>
      <c r="P64" s="2"/>
    </row>
    <row r="65" spans="1:16" x14ac:dyDescent="0.2">
      <c r="A65" s="33"/>
      <c r="B65" s="34">
        <f t="shared" si="15"/>
        <v>44256</v>
      </c>
      <c r="C65" s="80">
        <v>32.1</v>
      </c>
      <c r="D65" s="29">
        <f>+$D$63</f>
        <v>0.78759999999999997</v>
      </c>
      <c r="E65" s="192">
        <f t="shared" ref="E65:E74" si="16">ROUND(C65*D65,2)</f>
        <v>25.28</v>
      </c>
      <c r="H65" s="141">
        <f t="shared" ref="H65:I67" si="17">H$63</f>
        <v>0.94</v>
      </c>
      <c r="I65" s="141">
        <f t="shared" si="17"/>
        <v>0.96</v>
      </c>
      <c r="N65" s="2"/>
      <c r="O65" s="2"/>
      <c r="P65" s="2"/>
    </row>
    <row r="66" spans="1:16" x14ac:dyDescent="0.2">
      <c r="A66" s="33"/>
      <c r="B66" s="34">
        <f t="shared" si="15"/>
        <v>44287</v>
      </c>
      <c r="C66" s="80">
        <v>29.05</v>
      </c>
      <c r="D66" s="29">
        <f>+$D$63</f>
        <v>0.78759999999999997</v>
      </c>
      <c r="E66" s="192">
        <f t="shared" si="16"/>
        <v>22.88</v>
      </c>
      <c r="H66" s="141">
        <f t="shared" si="17"/>
        <v>0.94</v>
      </c>
      <c r="I66" s="141">
        <f t="shared" si="17"/>
        <v>0.96</v>
      </c>
      <c r="N66" s="2"/>
      <c r="O66" s="2"/>
      <c r="P66" s="2"/>
    </row>
    <row r="67" spans="1:16" x14ac:dyDescent="0.2">
      <c r="A67" s="33"/>
      <c r="B67" s="34">
        <f t="shared" si="15"/>
        <v>44317</v>
      </c>
      <c r="C67" s="80">
        <v>29.05</v>
      </c>
      <c r="D67" s="29">
        <f>+$D$63</f>
        <v>0.78759999999999997</v>
      </c>
      <c r="E67" s="192">
        <f t="shared" si="16"/>
        <v>22.88</v>
      </c>
      <c r="H67" s="141">
        <f t="shared" si="17"/>
        <v>0.94</v>
      </c>
      <c r="I67" s="141">
        <f t="shared" si="17"/>
        <v>0.96</v>
      </c>
      <c r="N67" s="2"/>
      <c r="O67" s="2"/>
      <c r="P67" s="2"/>
    </row>
    <row r="68" spans="1:16" x14ac:dyDescent="0.2">
      <c r="A68" s="33"/>
      <c r="B68" s="34">
        <f t="shared" si="15"/>
        <v>43983</v>
      </c>
      <c r="C68" s="80">
        <v>28.25</v>
      </c>
      <c r="D68" s="173">
        <v>0.66839999999999999</v>
      </c>
      <c r="E68" s="192">
        <f t="shared" si="16"/>
        <v>18.88</v>
      </c>
      <c r="H68" s="1">
        <v>0.92</v>
      </c>
      <c r="I68" s="1">
        <v>0.91</v>
      </c>
      <c r="N68" s="2"/>
      <c r="O68" s="2"/>
      <c r="P68" s="2"/>
    </row>
    <row r="69" spans="1:16" x14ac:dyDescent="0.2">
      <c r="A69" s="33"/>
      <c r="B69" s="34">
        <f t="shared" si="15"/>
        <v>44013</v>
      </c>
      <c r="C69" s="80">
        <v>32.9</v>
      </c>
      <c r="D69" s="174">
        <f>+$D$68</f>
        <v>0.66839999999999999</v>
      </c>
      <c r="E69" s="192">
        <f t="shared" si="16"/>
        <v>21.99</v>
      </c>
      <c r="H69" s="141">
        <f t="shared" ref="H69:I71" si="18">H$68</f>
        <v>0.92</v>
      </c>
      <c r="I69" s="141">
        <f t="shared" si="18"/>
        <v>0.91</v>
      </c>
      <c r="N69" s="2"/>
      <c r="O69" s="2"/>
      <c r="P69" s="2"/>
    </row>
    <row r="70" spans="1:16" x14ac:dyDescent="0.2">
      <c r="A70" s="33"/>
      <c r="B70" s="34">
        <f t="shared" si="15"/>
        <v>44044</v>
      </c>
      <c r="C70" s="80">
        <v>30.75</v>
      </c>
      <c r="D70" s="174">
        <f>+$D$68</f>
        <v>0.66839999999999999</v>
      </c>
      <c r="E70" s="192">
        <f t="shared" si="16"/>
        <v>20.55</v>
      </c>
      <c r="H70" s="141">
        <f t="shared" si="18"/>
        <v>0.92</v>
      </c>
      <c r="I70" s="141">
        <f t="shared" si="18"/>
        <v>0.91</v>
      </c>
      <c r="N70" s="2"/>
      <c r="O70" s="2"/>
      <c r="P70" s="2"/>
    </row>
    <row r="71" spans="1:16" x14ac:dyDescent="0.2">
      <c r="A71" s="33"/>
      <c r="B71" s="34">
        <f t="shared" si="15"/>
        <v>44075</v>
      </c>
      <c r="C71" s="80">
        <v>30.45</v>
      </c>
      <c r="D71" s="175">
        <f>+$D$68</f>
        <v>0.66839999999999999</v>
      </c>
      <c r="E71" s="192">
        <f t="shared" si="16"/>
        <v>20.350000000000001</v>
      </c>
      <c r="H71" s="141">
        <f t="shared" si="18"/>
        <v>0.92</v>
      </c>
      <c r="I71" s="141">
        <f t="shared" si="18"/>
        <v>0.91</v>
      </c>
      <c r="N71" s="2"/>
      <c r="O71" s="2"/>
      <c r="P71" s="2"/>
    </row>
    <row r="72" spans="1:16" x14ac:dyDescent="0.2">
      <c r="A72" s="33"/>
      <c r="B72" s="34">
        <f t="shared" si="15"/>
        <v>44105</v>
      </c>
      <c r="C72" s="80">
        <v>28.35</v>
      </c>
      <c r="D72" s="29">
        <f>+$D$63</f>
        <v>0.78759999999999997</v>
      </c>
      <c r="E72" s="192">
        <f t="shared" si="16"/>
        <v>22.33</v>
      </c>
      <c r="H72" s="141">
        <f t="shared" ref="H72:I74" si="19">H$63</f>
        <v>0.94</v>
      </c>
      <c r="I72" s="141">
        <f t="shared" si="19"/>
        <v>0.96</v>
      </c>
      <c r="N72" s="2"/>
      <c r="O72" s="2"/>
      <c r="P72" s="2"/>
    </row>
    <row r="73" spans="1:16" x14ac:dyDescent="0.2">
      <c r="A73" s="33"/>
      <c r="B73" s="34">
        <f t="shared" si="15"/>
        <v>44136</v>
      </c>
      <c r="C73" s="80">
        <v>28.8</v>
      </c>
      <c r="D73" s="29">
        <f>+$D$63</f>
        <v>0.78759999999999997</v>
      </c>
      <c r="E73" s="192">
        <f t="shared" si="16"/>
        <v>22.68</v>
      </c>
      <c r="H73" s="141">
        <f t="shared" si="19"/>
        <v>0.94</v>
      </c>
      <c r="I73" s="141">
        <f t="shared" si="19"/>
        <v>0.96</v>
      </c>
      <c r="N73" s="2"/>
      <c r="O73" s="2"/>
      <c r="P73" s="2"/>
    </row>
    <row r="74" spans="1:16" x14ac:dyDescent="0.2">
      <c r="A74" s="33"/>
      <c r="B74" s="34">
        <f t="shared" si="15"/>
        <v>44166</v>
      </c>
      <c r="C74" s="80">
        <v>31.55</v>
      </c>
      <c r="D74" s="29">
        <f>+$D$63</f>
        <v>0.78759999999999997</v>
      </c>
      <c r="E74" s="192">
        <f t="shared" si="16"/>
        <v>24.85</v>
      </c>
      <c r="H74" s="141">
        <f t="shared" si="19"/>
        <v>0.94</v>
      </c>
      <c r="I74" s="141">
        <f t="shared" si="19"/>
        <v>0.96</v>
      </c>
      <c r="N74" s="2"/>
      <c r="O74" s="2"/>
      <c r="P74" s="2"/>
    </row>
    <row r="75" spans="1:16" x14ac:dyDescent="0.2">
      <c r="A75" s="33"/>
      <c r="B75" s="34"/>
      <c r="C75" s="80"/>
      <c r="D75" s="29"/>
      <c r="E75" s="80"/>
      <c r="H75" s="1"/>
      <c r="I75" s="1"/>
      <c r="N75" s="2"/>
      <c r="O75" s="2"/>
      <c r="P75" s="2"/>
    </row>
    <row r="76" spans="1:16" x14ac:dyDescent="0.2">
      <c r="A76" s="33"/>
      <c r="B76" s="34"/>
      <c r="C76" s="80"/>
      <c r="D76" s="80"/>
      <c r="E76" s="80"/>
      <c r="H76" s="1"/>
      <c r="K76" s="1"/>
    </row>
    <row r="77" spans="1:16" x14ac:dyDescent="0.2">
      <c r="A77" s="32" t="s">
        <v>41</v>
      </c>
      <c r="B77" s="97" t="s">
        <v>39</v>
      </c>
      <c r="C77" s="50" t="s">
        <v>5</v>
      </c>
      <c r="D77" s="50" t="s">
        <v>139</v>
      </c>
      <c r="E77" s="50" t="s">
        <v>6</v>
      </c>
      <c r="F77" s="50" t="s">
        <v>7</v>
      </c>
      <c r="G77" s="50" t="s">
        <v>8</v>
      </c>
      <c r="H77" s="50" t="s">
        <v>9</v>
      </c>
      <c r="I77" s="50" t="s">
        <v>10</v>
      </c>
      <c r="J77" s="50" t="s">
        <v>11</v>
      </c>
      <c r="L77" s="28"/>
    </row>
    <row r="78" spans="1:16" x14ac:dyDescent="0.2">
      <c r="A78" s="33"/>
      <c r="B78" s="5" t="s">
        <v>234</v>
      </c>
      <c r="C78" s="79">
        <v>6.6720174709983343E-2</v>
      </c>
      <c r="D78" s="79">
        <v>6.6720174709983343E-2</v>
      </c>
      <c r="E78" s="79">
        <v>6.6720174709983343E-2</v>
      </c>
      <c r="F78" s="79">
        <v>4.1640711102592348E-2</v>
      </c>
      <c r="G78" s="79">
        <v>6.6720174709983343E-2</v>
      </c>
      <c r="H78" s="79">
        <v>4.1640711102592348E-2</v>
      </c>
      <c r="I78" s="79">
        <v>6.6720174709983343E-2</v>
      </c>
      <c r="J78" s="79">
        <v>6.6720174709983343E-2</v>
      </c>
      <c r="L78" s="170"/>
      <c r="M78" s="170"/>
    </row>
    <row r="79" spans="1:16" x14ac:dyDescent="0.2">
      <c r="A79" s="33"/>
      <c r="B79" s="34" t="s">
        <v>233</v>
      </c>
      <c r="C79" s="184">
        <f>1-((1-C78)*(1-0.4251%))</f>
        <v>7.0687547247291205E-2</v>
      </c>
      <c r="D79" s="184">
        <f t="shared" ref="D79:J79" si="20">1-((1-D78)*(1-0.4251%))</f>
        <v>7.0687547247291205E-2</v>
      </c>
      <c r="E79" s="184">
        <f t="shared" si="20"/>
        <v>7.0687547247291205E-2</v>
      </c>
      <c r="F79" s="184">
        <f t="shared" si="20"/>
        <v>4.5714696439695279E-2</v>
      </c>
      <c r="G79" s="184">
        <f t="shared" si="20"/>
        <v>7.0687547247291205E-2</v>
      </c>
      <c r="H79" s="184">
        <f t="shared" si="20"/>
        <v>4.5714696439695279E-2</v>
      </c>
      <c r="I79" s="184">
        <f t="shared" si="20"/>
        <v>7.0687547247291205E-2</v>
      </c>
      <c r="J79" s="184">
        <f t="shared" si="20"/>
        <v>7.0687547247291205E-2</v>
      </c>
      <c r="L79" s="79"/>
    </row>
    <row r="80" spans="1:16" x14ac:dyDescent="0.2">
      <c r="A80" s="33"/>
      <c r="B80" s="5" t="s">
        <v>40</v>
      </c>
      <c r="C80" s="98">
        <f>1/(1-C79)</f>
        <v>1.0760643495499369</v>
      </c>
      <c r="D80" s="98">
        <f t="shared" ref="D80:J80" si="21">1/(1-D79)</f>
        <v>1.0760643495499369</v>
      </c>
      <c r="E80" s="98">
        <f t="shared" si="21"/>
        <v>1.0760643495499369</v>
      </c>
      <c r="F80" s="98">
        <f t="shared" si="21"/>
        <v>1.0479046426358449</v>
      </c>
      <c r="G80" s="98">
        <f t="shared" si="21"/>
        <v>1.0760643495499369</v>
      </c>
      <c r="H80" s="98">
        <f t="shared" si="21"/>
        <v>1.0479046426358449</v>
      </c>
      <c r="I80" s="98">
        <f t="shared" si="21"/>
        <v>1.0760643495499369</v>
      </c>
      <c r="J80" s="98">
        <f t="shared" si="21"/>
        <v>1.0760643495499369</v>
      </c>
      <c r="L80" s="98"/>
      <c r="M80" s="165"/>
    </row>
    <row r="81" spans="1:20" x14ac:dyDescent="0.2">
      <c r="A81" s="33"/>
      <c r="C81" s="98"/>
      <c r="D81" s="98"/>
      <c r="E81" s="98"/>
      <c r="F81" s="98"/>
      <c r="G81" s="98"/>
      <c r="H81" s="98"/>
      <c r="I81" s="98"/>
      <c r="J81" s="98"/>
      <c r="L81" s="171"/>
      <c r="M81" s="138"/>
      <c r="T81" s="110"/>
    </row>
    <row r="82" spans="1:20" x14ac:dyDescent="0.2">
      <c r="A82" s="33"/>
      <c r="B82" s="5" t="s">
        <v>232</v>
      </c>
      <c r="C82" s="79">
        <v>1.7779E-2</v>
      </c>
      <c r="D82" s="79">
        <f>$C$82</f>
        <v>1.7779E-2</v>
      </c>
      <c r="E82" s="79">
        <f t="shared" ref="E82:J82" si="22">$C$82</f>
        <v>1.7779E-2</v>
      </c>
      <c r="F82" s="79">
        <f t="shared" si="22"/>
        <v>1.7779E-2</v>
      </c>
      <c r="G82" s="79">
        <f t="shared" si="22"/>
        <v>1.7779E-2</v>
      </c>
      <c r="H82" s="79">
        <f t="shared" si="22"/>
        <v>1.7779E-2</v>
      </c>
      <c r="I82" s="79">
        <f t="shared" si="22"/>
        <v>1.7779E-2</v>
      </c>
      <c r="J82" s="79">
        <f t="shared" si="22"/>
        <v>1.7779E-2</v>
      </c>
      <c r="L82" s="185"/>
    </row>
    <row r="83" spans="1:20" x14ac:dyDescent="0.2">
      <c r="A83" s="33"/>
      <c r="B83" s="5" t="s">
        <v>235</v>
      </c>
      <c r="C83" s="184">
        <f t="shared" ref="C83:J83" si="23">1-((1-C79)/(1-C82))</f>
        <v>5.38662350400686E-2</v>
      </c>
      <c r="D83" s="184">
        <f t="shared" si="23"/>
        <v>5.38662350400686E-2</v>
      </c>
      <c r="E83" s="184">
        <f t="shared" si="23"/>
        <v>5.38662350400686E-2</v>
      </c>
      <c r="F83" s="184">
        <f t="shared" si="23"/>
        <v>2.8441355295493853E-2</v>
      </c>
      <c r="G83" s="184">
        <f t="shared" si="23"/>
        <v>5.38662350400686E-2</v>
      </c>
      <c r="H83" s="184">
        <f t="shared" si="23"/>
        <v>2.8441355295493853E-2</v>
      </c>
      <c r="I83" s="184">
        <f t="shared" si="23"/>
        <v>5.38662350400686E-2</v>
      </c>
      <c r="J83" s="184">
        <f t="shared" si="23"/>
        <v>5.38662350400686E-2</v>
      </c>
      <c r="L83" s="98"/>
    </row>
    <row r="84" spans="1:20" x14ac:dyDescent="0.2">
      <c r="A84" s="33"/>
      <c r="B84" s="5" t="s">
        <v>236</v>
      </c>
      <c r="C84" s="98">
        <f t="shared" ref="C84:J84" si="24">1/(1-C83)</f>
        <v>1.0569330014792886</v>
      </c>
      <c r="D84" s="98">
        <f t="shared" si="24"/>
        <v>1.0569330014792886</v>
      </c>
      <c r="E84" s="98">
        <f t="shared" si="24"/>
        <v>1.0569330014792886</v>
      </c>
      <c r="F84" s="98">
        <f t="shared" si="24"/>
        <v>1.0292739459944222</v>
      </c>
      <c r="G84" s="98">
        <f t="shared" si="24"/>
        <v>1.0569330014792886</v>
      </c>
      <c r="H84" s="98">
        <f t="shared" si="24"/>
        <v>1.0292739459944222</v>
      </c>
      <c r="I84" s="98">
        <f t="shared" si="24"/>
        <v>1.0569330014792886</v>
      </c>
      <c r="J84" s="98">
        <f t="shared" si="24"/>
        <v>1.0569330014792886</v>
      </c>
      <c r="L84" s="98"/>
    </row>
    <row r="85" spans="1:20" x14ac:dyDescent="0.2">
      <c r="A85" s="33"/>
      <c r="C85" s="98"/>
      <c r="D85" s="98"/>
      <c r="E85" s="98"/>
      <c r="F85" s="185"/>
      <c r="G85" s="98"/>
      <c r="H85" s="98"/>
      <c r="I85" s="98"/>
      <c r="J85" s="98"/>
      <c r="L85" s="98"/>
    </row>
    <row r="86" spans="1:20" x14ac:dyDescent="0.2">
      <c r="A86" s="33"/>
      <c r="C86" s="170"/>
      <c r="D86" s="170"/>
      <c r="E86" s="170"/>
      <c r="F86" s="170"/>
      <c r="G86" s="170"/>
      <c r="H86" s="170"/>
      <c r="I86" s="170"/>
    </row>
    <row r="87" spans="1:20" x14ac:dyDescent="0.2">
      <c r="A87" s="32" t="s">
        <v>48</v>
      </c>
      <c r="B87" s="3" t="s">
        <v>42</v>
      </c>
    </row>
    <row r="88" spans="1:20" x14ac:dyDescent="0.2">
      <c r="A88" s="33"/>
      <c r="B88" s="4" t="s">
        <v>43</v>
      </c>
      <c r="L88" s="170"/>
    </row>
    <row r="89" spans="1:20" x14ac:dyDescent="0.2">
      <c r="A89" s="33"/>
      <c r="B89" s="4" t="s">
        <v>35</v>
      </c>
    </row>
    <row r="90" spans="1:20" x14ac:dyDescent="0.2">
      <c r="A90" s="33"/>
      <c r="B90" s="3"/>
      <c r="C90" s="50" t="s">
        <v>5</v>
      </c>
      <c r="D90" s="50" t="s">
        <v>139</v>
      </c>
      <c r="E90" s="50" t="s">
        <v>6</v>
      </c>
      <c r="F90" s="50" t="s">
        <v>7</v>
      </c>
      <c r="G90" s="50" t="s">
        <v>8</v>
      </c>
      <c r="H90" s="50" t="s">
        <v>9</v>
      </c>
      <c r="I90" s="50" t="s">
        <v>10</v>
      </c>
      <c r="J90" s="50" t="s">
        <v>11</v>
      </c>
      <c r="L90" s="28"/>
    </row>
    <row r="91" spans="1:20" x14ac:dyDescent="0.2">
      <c r="A91" s="33"/>
    </row>
    <row r="92" spans="1:20" x14ac:dyDescent="0.2">
      <c r="A92" s="33"/>
      <c r="B92" s="34" t="s">
        <v>44</v>
      </c>
      <c r="C92" s="15">
        <f t="shared" ref="C92:J92" si="25">(SUMPRODUCT(C14:C17,C50:C53,$C68:$C71,$H68:$H71)*C80+SUMPRODUCT(O14:O17,C50:C53,$E68:$E71,$I68:$I71)*C80)/SUM(C50:C53)</f>
        <v>25.783164538482225</v>
      </c>
      <c r="D92" s="15">
        <f>(SUMPRODUCT(D14:D17,D50:D53,$C68:$C71,$H68:$H71)*D80+SUMPRODUCT(P14:P17,D50:D53,$E68:$E71,$I68:$I71)*D80)/SUM(D50:D53)</f>
        <v>25.793622260261763</v>
      </c>
      <c r="E92" s="15">
        <f t="shared" si="25"/>
        <v>25.87787528778345</v>
      </c>
      <c r="F92" s="15">
        <f t="shared" si="25"/>
        <v>24.441591618029896</v>
      </c>
      <c r="G92" s="15">
        <f t="shared" si="25"/>
        <v>25.815473550241645</v>
      </c>
      <c r="H92" s="15">
        <f t="shared" si="25"/>
        <v>24.685368069439122</v>
      </c>
      <c r="I92" s="15">
        <f t="shared" si="25"/>
        <v>22.265449887294935</v>
      </c>
      <c r="J92" s="15">
        <f t="shared" si="25"/>
        <v>25.012759679704327</v>
      </c>
      <c r="K92" s="99"/>
      <c r="L92" s="15"/>
    </row>
    <row r="93" spans="1:20" x14ac:dyDescent="0.2">
      <c r="A93" s="33"/>
      <c r="B93" s="34" t="s">
        <v>135</v>
      </c>
      <c r="C93" s="15">
        <f>(SUMPRODUCT(C$14:C$17,C$50:C$53,$C$68:$C$71,$H$68:$H$71)*C$80)/SUMPRODUCT(C$14:C$17,C$50:C$53)</f>
        <v>30.544560534235043</v>
      </c>
      <c r="D93" s="15">
        <f>(SUMPRODUCT(D$14:D$17,D$50:D$53,$C$68:$C$71,$H$68:$H$71)*D$80)/SUMPRODUCT(D$14:D$17,D$50:D$53)</f>
        <v>30.549563130610956</v>
      </c>
      <c r="E93" s="15">
        <f t="shared" ref="E93:J93" si="26">(SUMPRODUCT(E$14:E$17,E$50:E$53,$C$68:$C$71,$H$68:$H$71)*E$80)/SUMPRODUCT(E$14:E$17,E$50:E$53)</f>
        <v>30.372831705857433</v>
      </c>
      <c r="F93" s="15">
        <f t="shared" si="26"/>
        <v>29.506171845957279</v>
      </c>
      <c r="G93" s="15">
        <f t="shared" si="26"/>
        <v>30.370731344086487</v>
      </c>
      <c r="H93" s="15">
        <f t="shared" si="26"/>
        <v>29.505584833216528</v>
      </c>
      <c r="I93" s="15">
        <f t="shared" si="26"/>
        <v>30.275710145335808</v>
      </c>
      <c r="J93" s="15">
        <f t="shared" si="26"/>
        <v>30.367694043967496</v>
      </c>
      <c r="K93" s="99"/>
      <c r="L93" s="15"/>
    </row>
    <row r="94" spans="1:20" x14ac:dyDescent="0.2">
      <c r="A94" s="33"/>
      <c r="B94" s="34" t="s">
        <v>136</v>
      </c>
      <c r="C94" s="15">
        <f t="shared" ref="C94:J94" si="27">(SUMPRODUCT(O$14:O$17,C$50:C$53,$E$68:$E$71,$I$68:$I$71)*C$80)/SUMPRODUCT(O$14:O$17,C$50:C$53)</f>
        <v>20.163581099052472</v>
      </c>
      <c r="D94" s="15">
        <f t="shared" si="27"/>
        <v>20.167072189073259</v>
      </c>
      <c r="E94" s="15">
        <f t="shared" si="27"/>
        <v>20.087252467631274</v>
      </c>
      <c r="F94" s="15">
        <f t="shared" si="27"/>
        <v>19.511389320743955</v>
      </c>
      <c r="G94" s="15">
        <f t="shared" si="27"/>
        <v>20.094648010233254</v>
      </c>
      <c r="H94" s="15">
        <f t="shared" si="27"/>
        <v>19.51600603564961</v>
      </c>
      <c r="I94" s="15">
        <f t="shared" si="27"/>
        <v>20.038877163183475</v>
      </c>
      <c r="J94" s="15">
        <f t="shared" si="27"/>
        <v>20.091325270963548</v>
      </c>
      <c r="K94" s="99"/>
      <c r="L94" s="15"/>
    </row>
    <row r="95" spans="1:20" x14ac:dyDescent="0.2">
      <c r="A95" s="33"/>
      <c r="B95" s="34"/>
      <c r="C95" s="15"/>
      <c r="D95" s="15"/>
      <c r="E95" s="15"/>
      <c r="F95" s="15"/>
      <c r="G95" s="15"/>
      <c r="H95" s="15"/>
      <c r="I95" s="15"/>
      <c r="J95" s="15"/>
      <c r="K95" s="99"/>
      <c r="L95" s="15"/>
    </row>
    <row r="96" spans="1:20" x14ac:dyDescent="0.2">
      <c r="A96" s="33"/>
      <c r="B96" s="34" t="s">
        <v>45</v>
      </c>
      <c r="C96" s="15">
        <f t="shared" ref="C96:J96" si="28">(SUMPRODUCT(C9:C13,C45:C49,$C63:$C67,$H63:$H67)*C80+SUMPRODUCT(O9:O13,C45:C49,$E63:$E67,$I63:$I67)*C80+SUMPRODUCT(C18:C20,C54:C56,$C72:$C74,$H72:$H74)*C80+SUMPRODUCT(O18:O20,C54:C56,$E72:$E74,$I72:$I74)*C80)/SUM(C45:C49,C54:C56)</f>
        <v>30.624241022527855</v>
      </c>
      <c r="D96" s="15">
        <f t="shared" si="28"/>
        <v>30.695129828462129</v>
      </c>
      <c r="E96" s="15">
        <f t="shared" si="28"/>
        <v>30.04444615542581</v>
      </c>
      <c r="F96" s="15">
        <f t="shared" si="28"/>
        <v>29.072143211995034</v>
      </c>
      <c r="G96" s="15">
        <f t="shared" si="28"/>
        <v>30.229165702800639</v>
      </c>
      <c r="H96" s="15">
        <f t="shared" si="28"/>
        <v>28.850709637760037</v>
      </c>
      <c r="I96" s="15">
        <f t="shared" si="28"/>
        <v>28.680578144923039</v>
      </c>
      <c r="J96" s="15">
        <f t="shared" si="28"/>
        <v>29.702886466383504</v>
      </c>
      <c r="K96" s="99"/>
      <c r="L96" s="15"/>
    </row>
    <row r="97" spans="1:12" x14ac:dyDescent="0.2">
      <c r="A97" s="33"/>
      <c r="B97" s="34" t="s">
        <v>135</v>
      </c>
      <c r="C97" s="15">
        <f t="shared" ref="C97:J97" si="29">((SUMPRODUCT(C$9:C$13,C$45:C$49,$C$63:$C$67,$H$63:$H$67)*C$80)+(SUMPRODUCT(C$18:C$20,C$54:C$56,$C$72:$C$74,$H$72:$H$74)*C$80))/(SUMPRODUCT(C$9:C$13,C$45:C$49)+SUMPRODUCT(C$18:C$20,C$54:C$56))</f>
        <v>33.906027499432142</v>
      </c>
      <c r="D97" s="15">
        <f t="shared" si="29"/>
        <v>33.988577373348036</v>
      </c>
      <c r="E97" s="15">
        <f t="shared" si="29"/>
        <v>32.890455560042064</v>
      </c>
      <c r="F97" s="15">
        <f t="shared" si="29"/>
        <v>32.256154231240508</v>
      </c>
      <c r="G97" s="15">
        <f t="shared" si="29"/>
        <v>33.064004502840667</v>
      </c>
      <c r="H97" s="15">
        <f t="shared" si="29"/>
        <v>31.828248662995648</v>
      </c>
      <c r="I97" s="15">
        <f t="shared" si="29"/>
        <v>33.463616798358416</v>
      </c>
      <c r="J97" s="15">
        <f t="shared" si="29"/>
        <v>33.008419108896746</v>
      </c>
      <c r="K97" s="99"/>
      <c r="L97" s="15"/>
    </row>
    <row r="98" spans="1:12" x14ac:dyDescent="0.2">
      <c r="A98" s="33"/>
      <c r="B98" s="34" t="s">
        <v>136</v>
      </c>
      <c r="C98" s="15">
        <f t="shared" ref="C98:J98" si="30">((SUMPRODUCT(O$9:O$13,C$45:C$49,$E$63:$E$67,$I$63:$I$67)*C$80)+(SUMPRODUCT(O$18:O$20,C$54:C$56,$E$72:$E$74,$I$72:$I$74)*C$80))/(SUMPRODUCT(O$9:O$13,C$45:C$49)+SUMPRODUCT(O$18:O$20,C$54:C$56))</f>
        <v>27.393751864310946</v>
      </c>
      <c r="D98" s="15">
        <f t="shared" si="30"/>
        <v>27.453224545645178</v>
      </c>
      <c r="E98" s="15">
        <f t="shared" si="30"/>
        <v>26.788218816244253</v>
      </c>
      <c r="F98" s="15">
        <f t="shared" si="30"/>
        <v>25.901451538029225</v>
      </c>
      <c r="G98" s="15">
        <f t="shared" si="30"/>
        <v>26.843191703590534</v>
      </c>
      <c r="H98" s="15">
        <f t="shared" si="30"/>
        <v>25.747538022611998</v>
      </c>
      <c r="I98" s="15">
        <f t="shared" si="30"/>
        <v>26.577808312428033</v>
      </c>
      <c r="J98" s="15">
        <f t="shared" si="30"/>
        <v>26.651242293116322</v>
      </c>
      <c r="K98" s="99"/>
      <c r="L98" s="15"/>
    </row>
    <row r="99" spans="1:12" x14ac:dyDescent="0.2">
      <c r="A99" s="33"/>
      <c r="B99" s="34"/>
      <c r="C99" s="15"/>
      <c r="D99" s="15"/>
      <c r="E99" s="15"/>
      <c r="F99" s="15"/>
      <c r="G99" s="15"/>
      <c r="H99" s="15"/>
      <c r="I99" s="15"/>
      <c r="J99" s="15"/>
      <c r="K99" s="99"/>
      <c r="L99" s="15"/>
    </row>
    <row r="100" spans="1:12" x14ac:dyDescent="0.2">
      <c r="A100" s="33"/>
      <c r="B100" s="5" t="s">
        <v>46</v>
      </c>
      <c r="C100" s="36">
        <f>(C92*SUM(C50:C53)+C96*SUM(C45:C49,C54:C56))/C57</f>
        <v>28.402602149373983</v>
      </c>
      <c r="D100" s="36">
        <f t="shared" ref="D100:J100" si="31">(D92*SUM(D50:D53)+D96*SUM(D45:D49,D54:D56))/D57</f>
        <v>28.560959866223847</v>
      </c>
      <c r="E100" s="36">
        <f t="shared" si="31"/>
        <v>28.403623446137182</v>
      </c>
      <c r="F100" s="36">
        <f t="shared" si="31"/>
        <v>27.604134880697099</v>
      </c>
      <c r="G100" s="36">
        <f t="shared" si="31"/>
        <v>28.5163688889082</v>
      </c>
      <c r="H100" s="36">
        <f t="shared" si="31"/>
        <v>27.359530197452379</v>
      </c>
      <c r="I100" s="36">
        <f t="shared" si="31"/>
        <v>26.619208316960961</v>
      </c>
      <c r="J100" s="36">
        <f t="shared" si="31"/>
        <v>27.856395543285458</v>
      </c>
      <c r="L100" s="36"/>
    </row>
    <row r="101" spans="1:12" x14ac:dyDescent="0.2">
      <c r="A101" s="33"/>
    </row>
    <row r="102" spans="1:12" x14ac:dyDescent="0.2">
      <c r="A102" s="33"/>
      <c r="B102" s="5" t="s">
        <v>47</v>
      </c>
      <c r="C102" s="100"/>
      <c r="D102" s="100"/>
      <c r="F102" s="101"/>
      <c r="G102" s="15">
        <f>SUMPRODUCT(C100:J100,C57:J57)/SUM(C57:J57)</f>
        <v>28.391202742655118</v>
      </c>
    </row>
    <row r="103" spans="1:12" x14ac:dyDescent="0.2">
      <c r="A103" s="33"/>
      <c r="C103" s="100"/>
      <c r="D103" s="100"/>
    </row>
    <row r="104" spans="1:12" x14ac:dyDescent="0.2">
      <c r="A104" s="33"/>
      <c r="C104" s="102"/>
      <c r="D104" s="102"/>
      <c r="E104" s="102"/>
      <c r="F104" s="103"/>
      <c r="G104" s="102"/>
      <c r="H104" s="102"/>
      <c r="J104" s="102"/>
    </row>
    <row r="105" spans="1:12" x14ac:dyDescent="0.2">
      <c r="A105" s="32" t="s">
        <v>77</v>
      </c>
      <c r="B105" s="3" t="s">
        <v>143</v>
      </c>
      <c r="C105" s="102"/>
      <c r="D105" s="102"/>
      <c r="E105" s="102"/>
      <c r="F105" s="103"/>
      <c r="G105" s="102"/>
      <c r="H105" s="102"/>
      <c r="J105" s="102"/>
    </row>
    <row r="106" spans="1:12" x14ac:dyDescent="0.2">
      <c r="A106" s="33"/>
      <c r="B106" s="4" t="s">
        <v>144</v>
      </c>
      <c r="C106" s="102"/>
      <c r="D106" s="102"/>
      <c r="E106" s="102"/>
      <c r="F106" s="103"/>
      <c r="G106" s="102"/>
      <c r="H106" s="102"/>
      <c r="J106" s="102"/>
    </row>
    <row r="107" spans="1:12" x14ac:dyDescent="0.2">
      <c r="A107" s="33"/>
      <c r="B107" s="4" t="s">
        <v>145</v>
      </c>
      <c r="C107" s="102"/>
      <c r="D107" s="102"/>
      <c r="E107" s="102"/>
      <c r="F107" s="103"/>
      <c r="G107" s="102"/>
      <c r="H107" s="102"/>
      <c r="J107" s="102"/>
    </row>
    <row r="108" spans="1:12" x14ac:dyDescent="0.2">
      <c r="A108" s="33"/>
      <c r="C108" s="50" t="s">
        <v>5</v>
      </c>
      <c r="D108" s="50" t="s">
        <v>139</v>
      </c>
      <c r="E108" s="50" t="s">
        <v>6</v>
      </c>
      <c r="F108" s="50" t="s">
        <v>7</v>
      </c>
      <c r="G108" s="50" t="s">
        <v>8</v>
      </c>
      <c r="H108" s="50" t="s">
        <v>9</v>
      </c>
      <c r="I108" s="50" t="s">
        <v>10</v>
      </c>
      <c r="J108" s="50" t="s">
        <v>11</v>
      </c>
      <c r="K108" s="50"/>
    </row>
    <row r="109" spans="1:12" x14ac:dyDescent="0.2">
      <c r="A109" s="33"/>
      <c r="C109" s="102"/>
      <c r="D109" s="102"/>
      <c r="E109" s="102"/>
      <c r="F109" s="103"/>
      <c r="G109" s="102"/>
      <c r="H109" s="102"/>
      <c r="J109" s="102"/>
    </row>
    <row r="110" spans="1:12" x14ac:dyDescent="0.2">
      <c r="B110" s="34" t="s">
        <v>44</v>
      </c>
      <c r="C110" s="153">
        <f>SUM(C50:C53)*C92/1000</f>
        <v>43209.964459224146</v>
      </c>
      <c r="D110" s="153">
        <f t="shared" ref="D110:J110" si="32">SUM(D50:D53)*D92/1000</f>
        <v>40.303706174367534</v>
      </c>
      <c r="E110" s="153">
        <f t="shared" si="32"/>
        <v>8981.6756065286736</v>
      </c>
      <c r="F110" s="153">
        <f t="shared" si="32"/>
        <v>128.59448429539859</v>
      </c>
      <c r="G110" s="153">
        <f t="shared" si="32"/>
        <v>9005.9858070397331</v>
      </c>
      <c r="H110" s="153">
        <f t="shared" si="32"/>
        <v>542.02815080568769</v>
      </c>
      <c r="I110" s="153">
        <f t="shared" si="32"/>
        <v>339.18683633207485</v>
      </c>
      <c r="J110" s="153">
        <f t="shared" si="32"/>
        <v>98.693420846140199</v>
      </c>
    </row>
    <row r="111" spans="1:12" x14ac:dyDescent="0.2">
      <c r="B111" s="35" t="s">
        <v>146</v>
      </c>
      <c r="C111" s="153">
        <f t="shared" ref="C111:J111" si="33">SUMPRODUCT(C50:C53,C14:C17)*C93/1000</f>
        <v>27710.69149118548</v>
      </c>
      <c r="D111" s="153">
        <f t="shared" si="33"/>
        <v>25.868918932357449</v>
      </c>
      <c r="E111" s="153">
        <f t="shared" si="33"/>
        <v>5934.861069737477</v>
      </c>
      <c r="F111" s="153">
        <f t="shared" si="33"/>
        <v>76.576782722651657</v>
      </c>
      <c r="G111" s="153">
        <f t="shared" si="33"/>
        <v>5898.4445175297633</v>
      </c>
      <c r="H111" s="153">
        <f t="shared" si="33"/>
        <v>335.25574960763305</v>
      </c>
      <c r="I111" s="153">
        <f t="shared" si="33"/>
        <v>100.31667293084672</v>
      </c>
      <c r="J111" s="153">
        <f t="shared" si="33"/>
        <v>57.383948466438838</v>
      </c>
    </row>
    <row r="112" spans="1:12" x14ac:dyDescent="0.2">
      <c r="B112" s="35" t="s">
        <v>147</v>
      </c>
      <c r="C112" s="153">
        <f t="shared" ref="C112:J112" si="34">SUMPRODUCT(C50:C53,O14:O17)*C94/1000</f>
        <v>15499.272968038662</v>
      </c>
      <c r="D112" s="153">
        <f t="shared" si="34"/>
        <v>14.434787242010085</v>
      </c>
      <c r="E112" s="153">
        <f t="shared" si="34"/>
        <v>3046.8145367911966</v>
      </c>
      <c r="F112" s="153">
        <f t="shared" si="34"/>
        <v>52.01770157274693</v>
      </c>
      <c r="G112" s="153">
        <f t="shared" si="34"/>
        <v>3107.5412895099707</v>
      </c>
      <c r="H112" s="153">
        <f t="shared" si="34"/>
        <v>206.77240119805461</v>
      </c>
      <c r="I112" s="153">
        <f t="shared" si="34"/>
        <v>238.8701634012281</v>
      </c>
      <c r="J112" s="153">
        <f t="shared" si="34"/>
        <v>41.309472379701361</v>
      </c>
    </row>
    <row r="113" spans="1:29" x14ac:dyDescent="0.2">
      <c r="C113" s="102"/>
      <c r="D113" s="102"/>
      <c r="E113" s="102"/>
      <c r="F113" s="102"/>
      <c r="G113" s="102"/>
      <c r="H113" s="102"/>
      <c r="I113" s="102"/>
      <c r="J113" s="102"/>
    </row>
    <row r="114" spans="1:29" x14ac:dyDescent="0.2">
      <c r="B114" s="34" t="s">
        <v>45</v>
      </c>
      <c r="C114" s="154">
        <f t="shared" ref="C114:J114" si="35">SUM(C45:C49,C54:C56)*C96/1000</f>
        <v>60512.851206192056</v>
      </c>
      <c r="D114" s="154">
        <f t="shared" si="35"/>
        <v>62.192106216506126</v>
      </c>
      <c r="E114" s="154">
        <f t="shared" si="35"/>
        <v>16051.71127390306</v>
      </c>
      <c r="F114" s="154">
        <f t="shared" si="35"/>
        <v>329.51702802496055</v>
      </c>
      <c r="G114" s="154">
        <f t="shared" si="35"/>
        <v>16629.50156476568</v>
      </c>
      <c r="H114" s="154">
        <f t="shared" si="35"/>
        <v>1136.0476880836106</v>
      </c>
      <c r="I114" s="154">
        <f t="shared" si="35"/>
        <v>922.79201810980578</v>
      </c>
      <c r="J114" s="154">
        <f t="shared" si="35"/>
        <v>180.48954618813679</v>
      </c>
    </row>
    <row r="115" spans="1:29" x14ac:dyDescent="0.2">
      <c r="B115" s="35" t="s">
        <v>146</v>
      </c>
      <c r="C115" s="153">
        <f t="shared" ref="C115:J115" si="36">(SUMPRODUCT(C45:C49,C9:C13)+SUMPRODUCT(C54:C56,C18:C20))*C97/1000</f>
        <v>33234.925214608615</v>
      </c>
      <c r="D115" s="153">
        <f t="shared" si="36"/>
        <v>34.16095950869034</v>
      </c>
      <c r="E115" s="153">
        <f t="shared" si="36"/>
        <v>9376.7576476717732</v>
      </c>
      <c r="F115" s="153">
        <f t="shared" si="36"/>
        <v>182.41988393320938</v>
      </c>
      <c r="G115" s="153">
        <f t="shared" si="36"/>
        <v>9900.2237257316301</v>
      </c>
      <c r="H115" s="153">
        <f t="shared" si="36"/>
        <v>639.59382391541112</v>
      </c>
      <c r="I115" s="153">
        <f t="shared" si="36"/>
        <v>328.7953026080271</v>
      </c>
      <c r="J115" s="153">
        <f t="shared" si="36"/>
        <v>96.282581197611165</v>
      </c>
    </row>
    <row r="116" spans="1:29" x14ac:dyDescent="0.2">
      <c r="B116" s="35" t="s">
        <v>147</v>
      </c>
      <c r="C116" s="153">
        <f t="shared" ref="C116:J116" si="37">+(SUMPRODUCT(C45:C49,O9:O13)+SUMPRODUCT(C54:C56,O18:O20))*C98/1000</f>
        <v>27277.925991583434</v>
      </c>
      <c r="D116" s="153">
        <f t="shared" si="37"/>
        <v>28.031146707815779</v>
      </c>
      <c r="E116" s="153">
        <f t="shared" si="37"/>
        <v>6674.9536262312877</v>
      </c>
      <c r="F116" s="153">
        <f t="shared" si="37"/>
        <v>147.0971440917512</v>
      </c>
      <c r="G116" s="153">
        <f t="shared" si="37"/>
        <v>6729.2778390340527</v>
      </c>
      <c r="H116" s="153">
        <f t="shared" si="37"/>
        <v>496.45386416819952</v>
      </c>
      <c r="I116" s="153">
        <f t="shared" si="37"/>
        <v>593.99671550177868</v>
      </c>
      <c r="J116" s="153">
        <f t="shared" si="37"/>
        <v>84.20696499052562</v>
      </c>
    </row>
    <row r="117" spans="1:29" x14ac:dyDescent="0.2">
      <c r="C117" s="102"/>
      <c r="D117" s="102"/>
      <c r="E117" s="102"/>
      <c r="F117" s="103"/>
      <c r="G117" s="102"/>
      <c r="H117" s="102"/>
      <c r="J117" s="102"/>
    </row>
    <row r="118" spans="1:29" x14ac:dyDescent="0.2">
      <c r="B118" s="5" t="s">
        <v>46</v>
      </c>
      <c r="C118" s="154">
        <f>+C110+C114</f>
        <v>103722.8156654162</v>
      </c>
      <c r="D118" s="154">
        <f t="shared" ref="D118:J118" si="38">+D110+D114</f>
        <v>102.49581239087365</v>
      </c>
      <c r="E118" s="154">
        <f t="shared" si="38"/>
        <v>25033.386880431732</v>
      </c>
      <c r="F118" s="154">
        <f t="shared" si="38"/>
        <v>458.11151232035911</v>
      </c>
      <c r="G118" s="154">
        <f t="shared" si="38"/>
        <v>25635.487371805415</v>
      </c>
      <c r="H118" s="154">
        <f>+H110+H114</f>
        <v>1678.0758388892982</v>
      </c>
      <c r="I118" s="154">
        <f t="shared" si="38"/>
        <v>1261.9788544418807</v>
      </c>
      <c r="J118" s="154">
        <f t="shared" si="38"/>
        <v>279.182967034277</v>
      </c>
    </row>
    <row r="119" spans="1:29" x14ac:dyDescent="0.2">
      <c r="C119" s="102"/>
      <c r="D119" s="102"/>
      <c r="E119" s="102"/>
      <c r="F119" s="103"/>
      <c r="G119" s="102"/>
      <c r="H119" s="102"/>
      <c r="J119" s="102"/>
    </row>
    <row r="120" spans="1:29" x14ac:dyDescent="0.2">
      <c r="B120" s="5" t="s">
        <v>148</v>
      </c>
      <c r="C120" s="153">
        <f>SUM(C118:J118)</f>
        <v>158171.53490273003</v>
      </c>
      <c r="D120" s="102"/>
      <c r="E120" s="102"/>
      <c r="F120" s="103"/>
      <c r="G120" s="102"/>
      <c r="H120" s="102"/>
      <c r="J120" s="102"/>
    </row>
    <row r="121" spans="1:29" x14ac:dyDescent="0.2">
      <c r="A121" s="33"/>
      <c r="C121" s="102"/>
      <c r="D121" s="102"/>
      <c r="E121" s="102"/>
      <c r="F121" s="103"/>
      <c r="G121" s="102"/>
      <c r="H121" s="102"/>
      <c r="J121" s="102"/>
    </row>
    <row r="122" spans="1:29" x14ac:dyDescent="0.2">
      <c r="A122" s="33"/>
      <c r="C122" s="102"/>
      <c r="D122" s="102"/>
      <c r="E122" s="102"/>
      <c r="F122" s="103"/>
      <c r="G122" s="102"/>
      <c r="H122" s="102"/>
      <c r="J122" s="102"/>
    </row>
    <row r="123" spans="1:29" x14ac:dyDescent="0.2">
      <c r="A123" s="32" t="s">
        <v>78</v>
      </c>
      <c r="B123" s="3" t="s">
        <v>149</v>
      </c>
      <c r="C123" s="102"/>
      <c r="D123" s="102"/>
      <c r="E123" s="102"/>
      <c r="F123" s="103"/>
      <c r="G123" s="102"/>
      <c r="H123" s="102"/>
      <c r="J123" s="102"/>
      <c r="P123" s="5" t="s">
        <v>159</v>
      </c>
      <c r="Q123" s="5" t="s">
        <v>155</v>
      </c>
      <c r="R123" s="5" t="s">
        <v>156</v>
      </c>
      <c r="S123" s="7" t="s">
        <v>157</v>
      </c>
    </row>
    <row r="124" spans="1:29" x14ac:dyDescent="0.2">
      <c r="A124" s="33"/>
      <c r="B124" s="4" t="s">
        <v>150</v>
      </c>
      <c r="C124" s="102"/>
      <c r="D124" s="102"/>
      <c r="E124" s="102"/>
      <c r="F124" s="103"/>
      <c r="G124" s="102"/>
      <c r="H124" s="102"/>
      <c r="J124" s="102"/>
      <c r="R124" s="5" t="s">
        <v>160</v>
      </c>
      <c r="S124" s="7" t="s">
        <v>161</v>
      </c>
      <c r="T124" s="5" t="s">
        <v>158</v>
      </c>
    </row>
    <row r="125" spans="1:29" x14ac:dyDescent="0.2">
      <c r="A125" s="33"/>
      <c r="B125" s="4" t="s">
        <v>35</v>
      </c>
      <c r="C125" s="102"/>
      <c r="D125" s="102"/>
      <c r="E125" s="102"/>
      <c r="F125" s="103"/>
      <c r="G125" s="102"/>
      <c r="H125" s="102"/>
      <c r="J125" s="102"/>
    </row>
    <row r="126" spans="1:29" x14ac:dyDescent="0.2">
      <c r="A126" s="33"/>
      <c r="B126" s="3"/>
      <c r="C126" s="50" t="s">
        <v>5</v>
      </c>
      <c r="D126" s="50" t="s">
        <v>139</v>
      </c>
      <c r="E126" s="50" t="s">
        <v>6</v>
      </c>
      <c r="F126" s="50" t="s">
        <v>7</v>
      </c>
      <c r="G126" s="50" t="s">
        <v>8</v>
      </c>
      <c r="H126" s="50" t="s">
        <v>9</v>
      </c>
      <c r="I126" s="50" t="s">
        <v>10</v>
      </c>
      <c r="J126" s="50" t="s">
        <v>11</v>
      </c>
      <c r="P126" s="28" t="str">
        <f>+D126</f>
        <v>RS TOU - BGS</v>
      </c>
      <c r="Q126" s="28" t="str">
        <f>P126</f>
        <v>RS TOU - BGS</v>
      </c>
      <c r="R126" s="28" t="str">
        <f>+D126</f>
        <v>RS TOU - BGS</v>
      </c>
      <c r="S126" s="28" t="str">
        <f>+D126</f>
        <v>RS TOU - BGS</v>
      </c>
      <c r="T126" s="37" t="str">
        <f>+D126</f>
        <v>RS TOU - BGS</v>
      </c>
      <c r="U126" s="28"/>
      <c r="W126" s="28"/>
      <c r="Z126" s="28"/>
      <c r="AC126" s="28"/>
    </row>
    <row r="127" spans="1:29" x14ac:dyDescent="0.2">
      <c r="A127" s="33"/>
      <c r="C127" s="102"/>
      <c r="D127" s="102"/>
      <c r="E127" s="102"/>
      <c r="F127" s="103"/>
      <c r="G127" s="102"/>
      <c r="H127" s="102"/>
      <c r="J127" s="102"/>
    </row>
    <row r="128" spans="1:29" x14ac:dyDescent="0.2">
      <c r="A128" s="33"/>
      <c r="B128" s="34" t="s">
        <v>44</v>
      </c>
      <c r="C128" s="155">
        <f t="shared" ref="C128:J128" si="39">+C110/SUM(C50:C53)*1000</f>
        <v>25.783164538482229</v>
      </c>
      <c r="D128" s="155">
        <f>+D110/SUM(D50:D53)*1000</f>
        <v>25.793622260261763</v>
      </c>
      <c r="E128" s="155">
        <f t="shared" si="39"/>
        <v>25.87787528778345</v>
      </c>
      <c r="F128" s="155">
        <f t="shared" si="39"/>
        <v>24.4415916180299</v>
      </c>
      <c r="G128" s="155">
        <f t="shared" si="39"/>
        <v>25.815473550241641</v>
      </c>
      <c r="H128" s="155">
        <f t="shared" si="39"/>
        <v>24.685368069439125</v>
      </c>
      <c r="I128" s="155">
        <f t="shared" si="39"/>
        <v>22.265449887294938</v>
      </c>
      <c r="J128" s="155">
        <f t="shared" si="39"/>
        <v>25.012759679704327</v>
      </c>
    </row>
    <row r="129" spans="1:29" x14ac:dyDescent="0.2">
      <c r="A129" s="33"/>
      <c r="B129" s="35" t="s">
        <v>153</v>
      </c>
      <c r="C129" s="102"/>
      <c r="D129" s="155">
        <f>+(D111*1000-R129*AVERAGE(D$93,D$94))/P129</f>
        <v>32.108511362450862</v>
      </c>
      <c r="E129" s="104"/>
      <c r="F129" s="103"/>
      <c r="G129" s="102"/>
      <c r="H129" s="102"/>
      <c r="J129" s="102"/>
      <c r="P129" s="38">
        <f>SUMPRODUCT(D50:D53,D32:D35)</f>
        <v>651.221312895766</v>
      </c>
      <c r="Q129" s="38">
        <f>SUMPRODUCT(D50:D53,D14:D17)</f>
        <v>846.7852329592414</v>
      </c>
      <c r="R129" s="38">
        <f>+Q129-P129</f>
        <v>195.56392006347539</v>
      </c>
      <c r="S129" s="39">
        <f>+D129*P129/1000</f>
        <v>20.909746924583871</v>
      </c>
      <c r="W129" s="38"/>
      <c r="Z129" s="39"/>
    </row>
    <row r="130" spans="1:29" ht="15" x14ac:dyDescent="0.35">
      <c r="A130" s="33"/>
      <c r="B130" s="35" t="s">
        <v>154</v>
      </c>
      <c r="C130" s="102"/>
      <c r="D130" s="155">
        <f>+(D112*1000-R130*AVERAGE(D$93,D$94))/P130</f>
        <v>21.28107796703485</v>
      </c>
      <c r="E130" s="102"/>
      <c r="F130" s="103"/>
      <c r="G130" s="102"/>
      <c r="H130" s="102"/>
      <c r="J130" s="102"/>
      <c r="P130" s="38">
        <f>SUMPRODUCT(D50:D53,P32:P35)</f>
        <v>911.32410114871027</v>
      </c>
      <c r="Q130" s="38">
        <f>SUMPRODUCT(D50:D53,P14:P17)</f>
        <v>715.7601810852351</v>
      </c>
      <c r="R130" s="38">
        <f>+Q130-P130</f>
        <v>-195.56392006347517</v>
      </c>
      <c r="S130" s="40">
        <f>+D130*P130/1000</f>
        <v>19.393959249783656</v>
      </c>
      <c r="W130" s="38"/>
      <c r="Z130" s="40"/>
    </row>
    <row r="131" spans="1:29" x14ac:dyDescent="0.2">
      <c r="A131" s="33"/>
      <c r="C131" s="102"/>
      <c r="D131" s="102"/>
      <c r="E131" s="102"/>
      <c r="F131" s="103"/>
      <c r="G131" s="102"/>
      <c r="H131" s="102"/>
      <c r="J131" s="102"/>
      <c r="P131" s="38">
        <f>SUM(P129:P130)</f>
        <v>1562.5454140444763</v>
      </c>
      <c r="Q131" s="38">
        <f>SUM(Q129:Q130)</f>
        <v>1562.5454140444765</v>
      </c>
      <c r="R131" s="38"/>
      <c r="S131" s="39">
        <f>+S130+S129</f>
        <v>40.303706174367527</v>
      </c>
      <c r="T131" s="41">
        <f>+D110</f>
        <v>40.303706174367534</v>
      </c>
      <c r="W131" s="38"/>
      <c r="Z131" s="39"/>
      <c r="AC131" s="41"/>
    </row>
    <row r="132" spans="1:29" x14ac:dyDescent="0.2">
      <c r="A132" s="33"/>
      <c r="B132" s="34" t="s">
        <v>45</v>
      </c>
      <c r="C132" s="36">
        <f t="shared" ref="C132:J132" si="40">+C114/SUM(C45:C49,C54:C56)*1000</f>
        <v>30.624241022527858</v>
      </c>
      <c r="D132" s="36">
        <f t="shared" si="40"/>
        <v>30.695129828462125</v>
      </c>
      <c r="E132" s="36">
        <f t="shared" si="40"/>
        <v>30.04444615542581</v>
      </c>
      <c r="F132" s="36">
        <f t="shared" si="40"/>
        <v>29.072143211995034</v>
      </c>
      <c r="G132" s="36">
        <f t="shared" si="40"/>
        <v>30.229165702800639</v>
      </c>
      <c r="H132" s="36">
        <f t="shared" si="40"/>
        <v>28.850709637760033</v>
      </c>
      <c r="I132" s="36">
        <f>+I114/SUM(I45:I49,I54:I56)*1000</f>
        <v>28.680578144923039</v>
      </c>
      <c r="J132" s="36">
        <f t="shared" si="40"/>
        <v>29.702886466383504</v>
      </c>
      <c r="M132" s="41"/>
      <c r="P132" s="38"/>
      <c r="Q132" s="38"/>
      <c r="R132" s="38"/>
      <c r="S132" s="39"/>
      <c r="T132" s="41"/>
      <c r="W132" s="38"/>
      <c r="Z132" s="39"/>
    </row>
    <row r="133" spans="1:29" x14ac:dyDescent="0.2">
      <c r="A133" s="33"/>
      <c r="B133" s="35" t="s">
        <v>153</v>
      </c>
      <c r="C133" s="102"/>
      <c r="D133" s="155">
        <f>+(D115*1000-R133*AVERAGE(D$97,D$98))/P133</f>
        <v>35.201129648627763</v>
      </c>
      <c r="E133" s="102"/>
      <c r="F133" s="103"/>
      <c r="G133" s="102"/>
      <c r="H133" s="102"/>
      <c r="J133" s="102"/>
      <c r="M133" s="38"/>
      <c r="P133" s="38">
        <f>SUMPRODUCT(D45:D49,D27:D31)+SUMPRODUCT(D54:D56,D36:D38)</f>
        <v>733.05394304610081</v>
      </c>
      <c r="Q133" s="38">
        <f>SUMPRODUCT(D45:D49,D9:D13)+SUMPRODUCT(D54:D56,D18:D20)</f>
        <v>1005.0717667129392</v>
      </c>
      <c r="R133" s="38">
        <f>+Q133-P133</f>
        <v>272.01782366683835</v>
      </c>
      <c r="S133" s="39">
        <f>+D133*P133/1000</f>
        <v>25.804326888603587</v>
      </c>
      <c r="T133" s="41"/>
      <c r="W133" s="38"/>
      <c r="Z133" s="39"/>
    </row>
    <row r="134" spans="1:29" ht="15" x14ac:dyDescent="0.35">
      <c r="A134" s="33"/>
      <c r="B134" s="35" t="s">
        <v>154</v>
      </c>
      <c r="C134" s="102"/>
      <c r="D134" s="155">
        <f>+(D116*1000-R134*AVERAGE(D$97,D$98))/P134</f>
        <v>28.140632749909319</v>
      </c>
      <c r="E134" s="102"/>
      <c r="F134" s="103"/>
      <c r="G134" s="102"/>
      <c r="H134" s="102"/>
      <c r="J134" s="102"/>
      <c r="P134" s="38">
        <f>SUMPRODUCT(D45:D49,P27:P31)+SUMPRODUCT(D54:D56,P36:P38)</f>
        <v>1293.0689814719885</v>
      </c>
      <c r="Q134" s="38">
        <f>SUMPRODUCT(D45:D49,P9:P13)+SUMPRODUCT(D54:D56,P18:P20)</f>
        <v>1021.0511578051503</v>
      </c>
      <c r="R134" s="38">
        <f>+Q134-P134</f>
        <v>-272.01782366683824</v>
      </c>
      <c r="S134" s="40">
        <f>+D134*P134/1000</f>
        <v>36.387779327902528</v>
      </c>
      <c r="T134" s="41"/>
      <c r="W134" s="38"/>
      <c r="Z134" s="40"/>
    </row>
    <row r="135" spans="1:29" x14ac:dyDescent="0.2">
      <c r="A135" s="33"/>
      <c r="C135" s="102"/>
      <c r="D135" s="102"/>
      <c r="E135" s="102"/>
      <c r="F135" s="103"/>
      <c r="G135" s="102"/>
      <c r="H135" s="102"/>
      <c r="J135" s="102"/>
      <c r="M135" s="108"/>
      <c r="N135" s="108"/>
      <c r="P135" s="38">
        <f>SUM(P133:P134)</f>
        <v>2026.1229245180893</v>
      </c>
      <c r="Q135" s="38">
        <f>SUM(Q133:Q134)</f>
        <v>2026.1229245180893</v>
      </c>
      <c r="S135" s="39">
        <f>+S134+S133</f>
        <v>62.192106216506119</v>
      </c>
      <c r="T135" s="41">
        <f>+D114</f>
        <v>62.192106216506126</v>
      </c>
      <c r="Z135" s="39"/>
      <c r="AC135" s="41"/>
    </row>
    <row r="136" spans="1:29" x14ac:dyDescent="0.2">
      <c r="A136" s="33"/>
      <c r="B136" s="5" t="s">
        <v>151</v>
      </c>
      <c r="C136" s="15">
        <f t="shared" ref="C136:J136" si="41">(C128*SUM(C50:C53)+C132*SUM(C45:C49,C54:C56))/C57</f>
        <v>28.40260214937399</v>
      </c>
      <c r="D136" s="15">
        <f t="shared" si="41"/>
        <v>28.560959866223847</v>
      </c>
      <c r="E136" s="15">
        <f t="shared" si="41"/>
        <v>28.403623446137182</v>
      </c>
      <c r="F136" s="15">
        <f t="shared" si="41"/>
        <v>27.604134880697099</v>
      </c>
      <c r="G136" s="15">
        <f t="shared" si="41"/>
        <v>28.5163688889082</v>
      </c>
      <c r="H136" s="15">
        <f t="shared" si="41"/>
        <v>27.359530197452376</v>
      </c>
      <c r="I136" s="15">
        <f t="shared" si="41"/>
        <v>26.619208316960961</v>
      </c>
      <c r="J136" s="15">
        <f t="shared" si="41"/>
        <v>27.856395543285458</v>
      </c>
      <c r="P136" s="38"/>
      <c r="Q136" s="38"/>
    </row>
    <row r="137" spans="1:29" x14ac:dyDescent="0.2">
      <c r="A137" s="33"/>
      <c r="B137" s="5" t="s">
        <v>152</v>
      </c>
      <c r="C137" s="155">
        <f>+C120/SUM(C57:J57)*1000</f>
        <v>28.391202742655114</v>
      </c>
      <c r="D137" s="102"/>
      <c r="E137" s="102"/>
      <c r="F137" s="103"/>
      <c r="G137" s="102"/>
      <c r="H137" s="102"/>
      <c r="J137" s="102"/>
      <c r="M137" s="108"/>
    </row>
    <row r="138" spans="1:29" x14ac:dyDescent="0.2">
      <c r="A138" s="33"/>
      <c r="C138" s="102"/>
      <c r="D138" s="102"/>
      <c r="E138" s="102"/>
      <c r="F138" s="103"/>
      <c r="G138" s="102"/>
      <c r="H138" s="102"/>
      <c r="J138" s="102"/>
      <c r="M138" s="108"/>
    </row>
    <row r="139" spans="1:29" x14ac:dyDescent="0.2">
      <c r="A139" s="33"/>
      <c r="C139" s="102"/>
      <c r="D139" s="102"/>
      <c r="E139" s="102"/>
      <c r="F139" s="103"/>
      <c r="G139" s="102"/>
      <c r="H139" s="102"/>
      <c r="J139" s="102"/>
      <c r="M139" s="108"/>
    </row>
    <row r="140" spans="1:29" x14ac:dyDescent="0.2">
      <c r="A140" s="32" t="s">
        <v>85</v>
      </c>
      <c r="B140" s="3" t="s">
        <v>49</v>
      </c>
      <c r="M140" s="108"/>
    </row>
    <row r="141" spans="1:29" x14ac:dyDescent="0.2">
      <c r="A141" s="33"/>
      <c r="B141" s="4" t="s">
        <v>268</v>
      </c>
    </row>
    <row r="142" spans="1:29" x14ac:dyDescent="0.2">
      <c r="A142" s="33"/>
      <c r="B142" s="4" t="s">
        <v>50</v>
      </c>
      <c r="C142" s="50" t="s">
        <v>5</v>
      </c>
      <c r="D142" s="50" t="s">
        <v>139</v>
      </c>
      <c r="E142" s="50" t="s">
        <v>6</v>
      </c>
      <c r="F142" s="50" t="s">
        <v>7</v>
      </c>
      <c r="G142" s="50" t="s">
        <v>8</v>
      </c>
      <c r="H142" s="50" t="s">
        <v>9</v>
      </c>
      <c r="I142" s="50" t="s">
        <v>10</v>
      </c>
      <c r="J142" s="50" t="s">
        <v>11</v>
      </c>
      <c r="K142" s="50" t="s">
        <v>29</v>
      </c>
      <c r="L142" s="28"/>
    </row>
    <row r="143" spans="1:29" x14ac:dyDescent="0.2">
      <c r="A143" s="33"/>
    </row>
    <row r="144" spans="1:29" x14ac:dyDescent="0.2">
      <c r="A144" s="33"/>
      <c r="B144" s="5" t="s">
        <v>51</v>
      </c>
      <c r="C144" s="122">
        <v>1212.70624845</v>
      </c>
      <c r="D144" s="122">
        <v>0.56950904999999996</v>
      </c>
      <c r="E144" s="122">
        <v>233.86563200000003</v>
      </c>
      <c r="F144" s="122">
        <v>2.5719231999999996</v>
      </c>
      <c r="G144" s="122">
        <v>184.11240320000005</v>
      </c>
      <c r="H144" s="122">
        <v>10.968249600000002</v>
      </c>
      <c r="I144" s="122">
        <v>0</v>
      </c>
      <c r="J144" s="122">
        <v>1.257344</v>
      </c>
      <c r="K144" s="122">
        <f>SUM(C144:J144)</f>
        <v>1646.0513095000001</v>
      </c>
      <c r="L144" s="122"/>
    </row>
    <row r="145" spans="1:19" x14ac:dyDescent="0.2">
      <c r="A145" s="33"/>
      <c r="B145" s="5" t="s">
        <v>52</v>
      </c>
      <c r="C145" s="167">
        <v>1452.4921901016087</v>
      </c>
      <c r="D145" s="167">
        <v>0.68211691691575582</v>
      </c>
      <c r="E145" s="167">
        <v>280.10740807787818</v>
      </c>
      <c r="F145" s="167">
        <v>3.0804643468406772</v>
      </c>
      <c r="G145" s="167">
        <v>220.51657447187989</v>
      </c>
      <c r="H145" s="167">
        <v>13.136979300178764</v>
      </c>
      <c r="I145" s="167">
        <v>0</v>
      </c>
      <c r="J145" s="167">
        <v>1.5059560735382942</v>
      </c>
      <c r="K145" s="167">
        <f>SUM(C145:J145)</f>
        <v>1971.5216892888402</v>
      </c>
      <c r="L145" s="123"/>
    </row>
    <row r="146" spans="1:19" x14ac:dyDescent="0.2">
      <c r="A146" s="33"/>
    </row>
    <row r="147" spans="1:19" x14ac:dyDescent="0.2">
      <c r="A147" s="33"/>
      <c r="B147" s="5" t="s">
        <v>53</v>
      </c>
      <c r="C147" s="167">
        <v>1512.5190205500003</v>
      </c>
      <c r="D147" s="167">
        <v>0.68640180000000017</v>
      </c>
      <c r="E147" s="167">
        <v>265.38561279999988</v>
      </c>
      <c r="F147" s="167">
        <v>3.3615296000000008</v>
      </c>
      <c r="G147" s="167">
        <v>199.12337280000006</v>
      </c>
      <c r="H147" s="167">
        <v>14.029593600000002</v>
      </c>
      <c r="I147" s="167">
        <v>0</v>
      </c>
      <c r="J147" s="167">
        <v>1.3146496000000001</v>
      </c>
      <c r="K147" s="167">
        <f>SUM(C147:J147)</f>
        <v>1996.4201807500001</v>
      </c>
      <c r="L147" s="122"/>
      <c r="M147" s="41"/>
      <c r="N147" s="41"/>
    </row>
    <row r="148" spans="1:19" x14ac:dyDescent="0.2">
      <c r="C148" s="122"/>
      <c r="D148" s="122"/>
      <c r="E148" s="122"/>
      <c r="F148" s="122"/>
      <c r="G148" s="122"/>
      <c r="H148" s="122"/>
      <c r="I148" s="122"/>
      <c r="K148" s="123"/>
      <c r="M148" s="123"/>
      <c r="N148" s="38"/>
    </row>
    <row r="149" spans="1:19" x14ac:dyDescent="0.2">
      <c r="B149" s="5" t="s">
        <v>54</v>
      </c>
      <c r="L149" s="28"/>
      <c r="M149" s="124"/>
      <c r="N149" s="124"/>
    </row>
    <row r="150" spans="1:19" x14ac:dyDescent="0.2">
      <c r="E150" s="7" t="s">
        <v>55</v>
      </c>
      <c r="F150" s="43">
        <f>30+31+31+30</f>
        <v>122</v>
      </c>
      <c r="H150" s="7" t="s">
        <v>56</v>
      </c>
      <c r="I150" s="43">
        <v>4</v>
      </c>
      <c r="K150" s="125"/>
    </row>
    <row r="151" spans="1:19" x14ac:dyDescent="0.2">
      <c r="E151" s="126" t="s">
        <v>57</v>
      </c>
      <c r="F151" s="43">
        <v>243</v>
      </c>
      <c r="H151" s="126" t="s">
        <v>58</v>
      </c>
      <c r="I151" s="43">
        <v>8</v>
      </c>
      <c r="K151" s="127"/>
      <c r="L151" s="6"/>
    </row>
    <row r="152" spans="1:19" x14ac:dyDescent="0.2">
      <c r="H152" s="7" t="s">
        <v>59</v>
      </c>
      <c r="I152" s="5">
        <f>+I150+I151</f>
        <v>12</v>
      </c>
      <c r="K152" s="127"/>
      <c r="L152" s="6"/>
      <c r="M152" s="41"/>
    </row>
    <row r="153" spans="1:19" x14ac:dyDescent="0.2">
      <c r="A153" s="33"/>
      <c r="B153" s="5" t="s">
        <v>60</v>
      </c>
      <c r="E153" s="78">
        <v>54394.707751513772</v>
      </c>
      <c r="F153" s="105" t="s">
        <v>61</v>
      </c>
      <c r="L153" s="128"/>
    </row>
    <row r="154" spans="1:19" x14ac:dyDescent="0.2">
      <c r="A154" s="33"/>
      <c r="F154" s="105"/>
    </row>
    <row r="155" spans="1:19" ht="25.5" x14ac:dyDescent="0.2">
      <c r="A155" s="33"/>
      <c r="B155" s="5" t="s">
        <v>62</v>
      </c>
      <c r="D155" s="176" t="s">
        <v>239</v>
      </c>
      <c r="E155" s="176"/>
      <c r="Q155" s="7"/>
      <c r="R155" s="7"/>
      <c r="S155" s="106"/>
    </row>
    <row r="156" spans="1:19" x14ac:dyDescent="0.2">
      <c r="A156" s="33"/>
      <c r="C156" s="5" t="s">
        <v>63</v>
      </c>
      <c r="D156" s="177">
        <v>163.32</v>
      </c>
      <c r="E156" s="105" t="s">
        <v>64</v>
      </c>
      <c r="F156" s="177"/>
      <c r="I156" s="7" t="s">
        <v>65</v>
      </c>
      <c r="J156" s="41">
        <f>$K$145*$D156*$F150</f>
        <v>39282648.519947708</v>
      </c>
      <c r="K156" s="7"/>
      <c r="L156" s="106"/>
      <c r="M156" s="102"/>
    </row>
    <row r="157" spans="1:19" x14ac:dyDescent="0.2">
      <c r="A157" s="33"/>
      <c r="C157" s="5" t="s">
        <v>66</v>
      </c>
      <c r="D157" s="177">
        <f>+D156</f>
        <v>163.32</v>
      </c>
      <c r="E157" s="105" t="s">
        <v>64</v>
      </c>
      <c r="F157" s="177"/>
      <c r="I157" s="129" t="s">
        <v>67</v>
      </c>
      <c r="J157" s="156">
        <f>$K$145*$D157*$F151</f>
        <v>78243308.117600769</v>
      </c>
      <c r="K157" s="7"/>
      <c r="L157" s="106"/>
    </row>
    <row r="158" spans="1:19" x14ac:dyDescent="0.2">
      <c r="A158" s="33"/>
      <c r="F158" s="130"/>
      <c r="G158" s="105"/>
      <c r="I158" s="7" t="s">
        <v>68</v>
      </c>
      <c r="J158" s="41">
        <f>SUM(J156:J157)</f>
        <v>117525956.63754848</v>
      </c>
      <c r="K158" s="7"/>
      <c r="L158" s="106"/>
    </row>
    <row r="159" spans="1:19" x14ac:dyDescent="0.2">
      <c r="A159" s="33"/>
      <c r="E159" s="155"/>
      <c r="F159" s="130"/>
      <c r="G159" s="105"/>
      <c r="I159" s="7"/>
      <c r="J159" s="41"/>
      <c r="K159" s="7"/>
      <c r="L159" s="106"/>
    </row>
    <row r="160" spans="1:19" x14ac:dyDescent="0.2">
      <c r="A160" s="33"/>
      <c r="B160" s="4" t="s">
        <v>69</v>
      </c>
      <c r="J160" s="7"/>
      <c r="K160" s="7"/>
      <c r="L160" s="106"/>
    </row>
    <row r="161" spans="1:13" x14ac:dyDescent="0.2">
      <c r="A161" s="33"/>
      <c r="B161" s="4"/>
      <c r="C161" s="8" t="str">
        <f>" ---------- Rate "&amp;C142&amp;" ----------"</f>
        <v xml:space="preserve"> ---------- Rate RS ----------</v>
      </c>
      <c r="D161" s="8"/>
      <c r="E161" s="9"/>
      <c r="F161" s="9"/>
      <c r="J161" s="7"/>
      <c r="K161" s="7"/>
      <c r="L161" s="106"/>
    </row>
    <row r="162" spans="1:13" x14ac:dyDescent="0.2">
      <c r="A162" s="33"/>
      <c r="C162" s="10" t="s">
        <v>70</v>
      </c>
      <c r="D162" s="10"/>
      <c r="F162" s="10" t="s">
        <v>71</v>
      </c>
      <c r="H162" s="5" t="s">
        <v>72</v>
      </c>
      <c r="J162" s="187">
        <v>1121586406.6424069</v>
      </c>
      <c r="K162" s="7"/>
      <c r="L162" s="106"/>
      <c r="M162" s="187"/>
    </row>
    <row r="163" spans="1:13" x14ac:dyDescent="0.2">
      <c r="A163" s="33"/>
      <c r="B163" s="7" t="s">
        <v>73</v>
      </c>
      <c r="C163" s="11">
        <v>5.4802</v>
      </c>
      <c r="D163" s="11"/>
      <c r="E163" s="12"/>
      <c r="F163" s="157">
        <f>J162/($J$162+$J$163)</f>
        <v>0.61187032540758957</v>
      </c>
      <c r="H163" s="5" t="s">
        <v>76</v>
      </c>
      <c r="J163" s="187">
        <v>711459518.39943349</v>
      </c>
      <c r="K163" s="7"/>
      <c r="L163" s="106"/>
      <c r="M163" s="187"/>
    </row>
    <row r="164" spans="1:13" x14ac:dyDescent="0.2">
      <c r="A164" s="33"/>
      <c r="B164" s="7" t="s">
        <v>74</v>
      </c>
      <c r="C164" s="13">
        <v>6.3453999999999997</v>
      </c>
      <c r="D164" s="13"/>
      <c r="E164" s="12"/>
      <c r="F164" s="157">
        <f>1-F163</f>
        <v>0.38812967459241043</v>
      </c>
      <c r="J164" s="166"/>
      <c r="K164" s="7"/>
      <c r="L164" s="106"/>
      <c r="M164" s="166"/>
    </row>
    <row r="165" spans="1:13" x14ac:dyDescent="0.2">
      <c r="A165" s="33"/>
      <c r="B165" s="14" t="s">
        <v>75</v>
      </c>
      <c r="C165" s="11">
        <f>C164-C163</f>
        <v>0.86519999999999975</v>
      </c>
      <c r="D165" s="11"/>
      <c r="E165" s="12"/>
      <c r="F165" s="12"/>
      <c r="G165" s="105"/>
      <c r="H165" s="138" t="s">
        <v>244</v>
      </c>
      <c r="J165" s="188">
        <v>2336602214.9581594</v>
      </c>
      <c r="M165" s="187"/>
    </row>
    <row r="166" spans="1:13" x14ac:dyDescent="0.2">
      <c r="A166" s="33"/>
      <c r="B166" s="14"/>
      <c r="C166" s="11"/>
      <c r="D166" s="11"/>
      <c r="E166" s="12"/>
      <c r="F166" s="12"/>
      <c r="G166" s="105"/>
      <c r="J166" s="166">
        <f>SUM(J162:J165)</f>
        <v>4169648140</v>
      </c>
      <c r="M166" s="166"/>
    </row>
    <row r="167" spans="1:13" x14ac:dyDescent="0.2">
      <c r="A167" s="33"/>
      <c r="B167" s="14"/>
      <c r="C167" s="11"/>
      <c r="D167" s="11"/>
      <c r="E167" s="12"/>
      <c r="F167" s="12"/>
      <c r="G167" s="105"/>
    </row>
    <row r="168" spans="1:13" x14ac:dyDescent="0.2">
      <c r="A168" s="32" t="s">
        <v>90</v>
      </c>
      <c r="B168" s="3" t="s">
        <v>245</v>
      </c>
      <c r="G168" s="105"/>
      <c r="J168" s="131"/>
    </row>
    <row r="169" spans="1:13" x14ac:dyDescent="0.2">
      <c r="A169" s="33"/>
      <c r="B169" s="17" t="s">
        <v>246</v>
      </c>
      <c r="E169" s="6">
        <v>2</v>
      </c>
      <c r="G169" s="105"/>
    </row>
    <row r="170" spans="1:13" x14ac:dyDescent="0.2">
      <c r="A170" s="33"/>
      <c r="B170" s="17" t="s">
        <v>247</v>
      </c>
      <c r="E170" s="191">
        <v>16.72</v>
      </c>
      <c r="G170" s="105"/>
    </row>
    <row r="171" spans="1:13" x14ac:dyDescent="0.2">
      <c r="A171" s="33"/>
      <c r="B171" s="20" t="s">
        <v>248</v>
      </c>
      <c r="E171" s="182">
        <f>E169+E170</f>
        <v>18.72</v>
      </c>
      <c r="G171" s="105"/>
    </row>
    <row r="172" spans="1:13" x14ac:dyDescent="0.2">
      <c r="A172" s="33"/>
      <c r="B172" s="17"/>
      <c r="E172" s="6"/>
      <c r="G172" s="105"/>
    </row>
    <row r="173" spans="1:13" x14ac:dyDescent="0.2">
      <c r="A173" s="33"/>
      <c r="B173" s="3"/>
      <c r="F173" s="78"/>
      <c r="G173" s="105"/>
    </row>
    <row r="174" spans="1:13" x14ac:dyDescent="0.2">
      <c r="A174" s="32" t="s">
        <v>95</v>
      </c>
      <c r="B174" s="3" t="s">
        <v>79</v>
      </c>
    </row>
    <row r="175" spans="1:13" x14ac:dyDescent="0.2">
      <c r="A175" s="32"/>
      <c r="B175" s="3"/>
      <c r="C175" s="50" t="s">
        <v>5</v>
      </c>
      <c r="D175" s="50" t="s">
        <v>139</v>
      </c>
      <c r="E175" s="50" t="s">
        <v>6</v>
      </c>
      <c r="F175" s="50" t="s">
        <v>7</v>
      </c>
      <c r="G175" s="50" t="s">
        <v>8</v>
      </c>
      <c r="H175" s="50" t="s">
        <v>9</v>
      </c>
      <c r="I175" s="50" t="s">
        <v>10</v>
      </c>
      <c r="J175" s="50" t="s">
        <v>11</v>
      </c>
      <c r="K175" s="50" t="s">
        <v>29</v>
      </c>
    </row>
    <row r="176" spans="1:13" x14ac:dyDescent="0.2">
      <c r="A176" s="33"/>
      <c r="B176" s="7" t="s">
        <v>80</v>
      </c>
      <c r="C176" s="107">
        <f>(+$E$153*C147)/C57</f>
        <v>22.52896941062604</v>
      </c>
      <c r="D176" s="107">
        <f>(+$E$153*D147)/SUMPRODUCT(D27:D38,D45:D56)</f>
        <v>26.971966125125174</v>
      </c>
      <c r="E176" s="107">
        <f t="shared" ref="E176:K176" si="42">(+$E$153*E147)/E57</f>
        <v>16.379029230480246</v>
      </c>
      <c r="F176" s="107">
        <f t="shared" si="42"/>
        <v>11.017841556127699</v>
      </c>
      <c r="G176" s="107">
        <f t="shared" si="42"/>
        <v>12.048459807589269</v>
      </c>
      <c r="H176" s="107">
        <f t="shared" si="42"/>
        <v>12.442246176191746</v>
      </c>
      <c r="I176" s="107">
        <f t="shared" si="42"/>
        <v>0</v>
      </c>
      <c r="J176" s="107">
        <f t="shared" si="42"/>
        <v>7.1351427032752941</v>
      </c>
      <c r="K176" s="107">
        <f t="shared" si="42"/>
        <v>19.492343721805302</v>
      </c>
      <c r="L176" s="107"/>
      <c r="M176" s="108"/>
    </row>
    <row r="177" spans="1:13" x14ac:dyDescent="0.2">
      <c r="A177" s="33"/>
      <c r="B177" s="7"/>
      <c r="C177" s="107"/>
      <c r="D177" s="107"/>
      <c r="E177" s="107"/>
      <c r="F177" s="107"/>
      <c r="H177" s="107"/>
      <c r="I177" s="107"/>
      <c r="J177" s="107"/>
      <c r="K177" s="107"/>
      <c r="L177" s="107"/>
      <c r="M177" s="108"/>
    </row>
    <row r="178" spans="1:13" x14ac:dyDescent="0.2">
      <c r="A178" s="33"/>
      <c r="B178" s="7" t="s">
        <v>81</v>
      </c>
      <c r="C178" s="107"/>
      <c r="D178" s="107"/>
      <c r="E178" s="107"/>
      <c r="F178" s="107"/>
      <c r="H178" s="107"/>
      <c r="I178" s="107"/>
      <c r="J178" s="107"/>
      <c r="K178" s="107"/>
      <c r="L178" s="107"/>
    </row>
    <row r="179" spans="1:13" x14ac:dyDescent="0.2">
      <c r="B179" s="7" t="s">
        <v>82</v>
      </c>
      <c r="C179" s="107">
        <f>($J$158*(C$145/$K$145))/C57</f>
        <v>23.709908306254608</v>
      </c>
      <c r="D179" s="107">
        <f>($J$158*(D$145/$K$145))/SUMPRODUCT(D27:D38,D45:D56)</f>
        <v>29.374372656926457</v>
      </c>
      <c r="E179" s="107">
        <f t="shared" ref="E179:J179" si="43">($J$158*(E$145/$K$145))/E57</f>
        <v>18.945713510920626</v>
      </c>
      <c r="F179" s="107">
        <f t="shared" si="43"/>
        <v>11.06499845080608</v>
      </c>
      <c r="G179" s="107">
        <f t="shared" si="43"/>
        <v>14.622651136396801</v>
      </c>
      <c r="H179" s="107">
        <f t="shared" si="43"/>
        <v>12.768056697660201</v>
      </c>
      <c r="I179" s="107">
        <f t="shared" si="43"/>
        <v>0</v>
      </c>
      <c r="J179" s="107">
        <f t="shared" si="43"/>
        <v>8.9573705826532422</v>
      </c>
      <c r="K179" s="107"/>
      <c r="L179" s="107"/>
    </row>
    <row r="180" spans="1:13" x14ac:dyDescent="0.2">
      <c r="A180" s="33"/>
      <c r="B180" s="7" t="s">
        <v>83</v>
      </c>
      <c r="C180" s="107">
        <f>($J$156*(C$145/$K$145))/SUM(C50:C53)</f>
        <v>17.268925617338688</v>
      </c>
      <c r="D180" s="107">
        <f>($J$156*(D$145/$K$145))/SUMPRODUCT(D50:D53,D32:D35)</f>
        <v>20.87033483868564</v>
      </c>
      <c r="E180" s="107">
        <f t="shared" ref="E180:J180" si="44">($J$156*(E$145/$K$145))/SUM(E50:E53)</f>
        <v>16.080333324871461</v>
      </c>
      <c r="F180" s="107">
        <f t="shared" si="44"/>
        <v>11.666015009886467</v>
      </c>
      <c r="G180" s="107">
        <f t="shared" si="44"/>
        <v>12.594742049185461</v>
      </c>
      <c r="H180" s="107">
        <f t="shared" si="44"/>
        <v>11.920994345499532</v>
      </c>
      <c r="I180" s="107">
        <f t="shared" si="44"/>
        <v>0</v>
      </c>
      <c r="J180" s="107">
        <f t="shared" si="44"/>
        <v>7.6047495223129289</v>
      </c>
      <c r="K180" s="107"/>
      <c r="L180" s="107"/>
    </row>
    <row r="181" spans="1:13" x14ac:dyDescent="0.2">
      <c r="A181" s="33"/>
      <c r="B181" s="7" t="s">
        <v>84</v>
      </c>
      <c r="C181" s="107">
        <f>($J$157*(C$145/$K$145))/SUM(C45:C49,C54:C56)</f>
        <v>29.17273645818576</v>
      </c>
      <c r="D181" s="107">
        <f>($J$157*(D$145/$K$145))/(SUMPRODUCT(D45:D49,D27:D31)+SUMPRODUCT(D54:D56,D36:D38))</f>
        <v>36.929083637536728</v>
      </c>
      <c r="E181" s="107">
        <f t="shared" ref="E181:J181" si="45">($J$157*(E$145/$K$145))/SUM(E45:E49,E54:E56)</f>
        <v>20.807174189201238</v>
      </c>
      <c r="F181" s="107">
        <f t="shared" si="45"/>
        <v>10.786014973680802</v>
      </c>
      <c r="G181" s="107">
        <f t="shared" si="45"/>
        <v>15.908667730121588</v>
      </c>
      <c r="H181" s="107">
        <f t="shared" si="45"/>
        <v>13.240399773260879</v>
      </c>
      <c r="I181" s="107">
        <f t="shared" si="45"/>
        <v>0</v>
      </c>
      <c r="J181" s="107">
        <f t="shared" si="45"/>
        <v>9.8356836403470211</v>
      </c>
      <c r="K181" s="107"/>
      <c r="L181" s="107"/>
    </row>
    <row r="182" spans="1:13" x14ac:dyDescent="0.2">
      <c r="A182" s="33"/>
      <c r="F182" s="107"/>
      <c r="G182" s="107"/>
      <c r="H182" s="107"/>
      <c r="I182" s="107"/>
      <c r="K182" s="107"/>
      <c r="L182" s="107"/>
    </row>
    <row r="183" spans="1:13" x14ac:dyDescent="0.2">
      <c r="D183" s="107"/>
    </row>
    <row r="184" spans="1:13" x14ac:dyDescent="0.2">
      <c r="A184" s="32" t="s">
        <v>99</v>
      </c>
      <c r="B184" s="3" t="s">
        <v>86</v>
      </c>
      <c r="D184" s="107"/>
    </row>
    <row r="185" spans="1:13" x14ac:dyDescent="0.2">
      <c r="A185" s="33"/>
      <c r="B185" s="4" t="s">
        <v>250</v>
      </c>
    </row>
    <row r="186" spans="1:13" x14ac:dyDescent="0.2">
      <c r="A186" s="33"/>
      <c r="B186" s="4" t="s">
        <v>35</v>
      </c>
    </row>
    <row r="187" spans="1:13" x14ac:dyDescent="0.2">
      <c r="A187" s="33"/>
      <c r="C187" s="50" t="s">
        <v>5</v>
      </c>
      <c r="D187" s="50" t="s">
        <v>139</v>
      </c>
      <c r="E187" s="50" t="s">
        <v>6</v>
      </c>
      <c r="F187" s="50" t="s">
        <v>7</v>
      </c>
      <c r="G187" s="50" t="s">
        <v>8</v>
      </c>
      <c r="H187" s="50" t="s">
        <v>9</v>
      </c>
      <c r="I187" s="50" t="s">
        <v>10</v>
      </c>
      <c r="J187" s="50" t="s">
        <v>11</v>
      </c>
    </row>
    <row r="188" spans="1:13" x14ac:dyDescent="0.2">
      <c r="A188" s="33"/>
      <c r="C188" s="28"/>
      <c r="D188" s="28"/>
      <c r="E188" s="28"/>
      <c r="F188" s="28"/>
      <c r="H188" s="28"/>
    </row>
    <row r="189" spans="1:13" x14ac:dyDescent="0.2">
      <c r="A189" s="33"/>
      <c r="B189" s="34" t="s">
        <v>44</v>
      </c>
      <c r="C189" s="15">
        <f t="shared" ref="C189:J189" si="46">+C128+($E$171*C$80)+C$176+C180</f>
        <v>85.724984190021758</v>
      </c>
      <c r="D189" s="15">
        <f t="shared" si="46"/>
        <v>93.779847847647389</v>
      </c>
      <c r="E189" s="15">
        <f t="shared" si="46"/>
        <v>78.481162466709975</v>
      </c>
      <c r="F189" s="15">
        <f t="shared" si="46"/>
        <v>66.742223094187082</v>
      </c>
      <c r="G189" s="15">
        <f t="shared" si="46"/>
        <v>70.602600030591191</v>
      </c>
      <c r="H189" s="15">
        <f t="shared" si="46"/>
        <v>68.665383501273425</v>
      </c>
      <c r="I189" s="15">
        <f t="shared" si="46"/>
        <v>42.409374510869753</v>
      </c>
      <c r="J189" s="15">
        <f t="shared" si="46"/>
        <v>59.896576528867371</v>
      </c>
    </row>
    <row r="190" spans="1:13" x14ac:dyDescent="0.2">
      <c r="A190" s="33"/>
      <c r="B190" s="35" t="s">
        <v>162</v>
      </c>
      <c r="C190" s="15"/>
      <c r="D190" s="15">
        <f>D$129+(E$171*D$80)+D$176+D$180</f>
        <v>100.09473694983649</v>
      </c>
      <c r="E190" s="15"/>
      <c r="F190" s="15"/>
      <c r="G190" s="15"/>
      <c r="H190" s="15"/>
      <c r="I190" s="15"/>
      <c r="J190" s="15"/>
    </row>
    <row r="191" spans="1:13" x14ac:dyDescent="0.2">
      <c r="A191" s="33"/>
      <c r="B191" s="35" t="s">
        <v>163</v>
      </c>
      <c r="C191" s="15"/>
      <c r="D191" s="15">
        <f>D$130+(E$171*D$80)</f>
        <v>41.425002590609665</v>
      </c>
      <c r="E191" s="15"/>
      <c r="F191" s="15"/>
      <c r="G191" s="15"/>
      <c r="H191" s="15"/>
      <c r="I191" s="15"/>
      <c r="J191" s="15"/>
    </row>
    <row r="192" spans="1:13" x14ac:dyDescent="0.2">
      <c r="A192" s="33"/>
      <c r="B192" s="7" t="s">
        <v>73</v>
      </c>
      <c r="C192" s="15">
        <f>(C189*SUM(C50:C53)-$C$165*10*$F$164*SUM(C50:C53))/SUM(C50:C53)</f>
        <v>82.366886245448228</v>
      </c>
      <c r="D192" s="15"/>
      <c r="E192" s="15"/>
      <c r="F192" s="15"/>
      <c r="G192" s="15"/>
      <c r="H192" s="15"/>
      <c r="I192" s="15"/>
      <c r="J192" s="15"/>
    </row>
    <row r="193" spans="1:10" x14ac:dyDescent="0.2">
      <c r="A193" s="33"/>
      <c r="B193" s="7" t="s">
        <v>74</v>
      </c>
      <c r="C193" s="15">
        <f>+C192+$C$165*10</f>
        <v>91.018886245448229</v>
      </c>
      <c r="D193" s="15"/>
      <c r="E193" s="15"/>
      <c r="F193" s="15"/>
      <c r="G193" s="15"/>
      <c r="H193" s="15"/>
      <c r="I193" s="15"/>
      <c r="J193" s="15"/>
    </row>
    <row r="194" spans="1:10" x14ac:dyDescent="0.2">
      <c r="A194" s="33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">
      <c r="A195" s="33"/>
      <c r="B195" s="34" t="s">
        <v>45</v>
      </c>
      <c r="C195" s="15">
        <f t="shared" ref="C195:J195" si="47">+C132+($E$171*C$80)+C$176+C181</f>
        <v>102.46987151491447</v>
      </c>
      <c r="D195" s="15">
        <f t="shared" si="47"/>
        <v>114.74010421469885</v>
      </c>
      <c r="E195" s="15">
        <f t="shared" si="47"/>
        <v>87.374574198682112</v>
      </c>
      <c r="F195" s="15">
        <f t="shared" si="47"/>
        <v>70.492774651946547</v>
      </c>
      <c r="G195" s="15">
        <f t="shared" si="47"/>
        <v>78.330217864086322</v>
      </c>
      <c r="H195" s="15">
        <f t="shared" si="47"/>
        <v>74.150130497355676</v>
      </c>
      <c r="I195" s="15">
        <f t="shared" si="47"/>
        <v>48.824502768497858</v>
      </c>
      <c r="J195" s="15">
        <f t="shared" si="47"/>
        <v>66.817637433580643</v>
      </c>
    </row>
    <row r="196" spans="1:10" x14ac:dyDescent="0.2">
      <c r="A196" s="33"/>
      <c r="B196" s="35" t="s">
        <v>162</v>
      </c>
      <c r="C196" s="15"/>
      <c r="D196" s="15">
        <f>D$133+($E$171*D$80)+$D$176+D181</f>
        <v>119.24610403486449</v>
      </c>
      <c r="E196" s="15"/>
      <c r="F196" s="15"/>
      <c r="G196" s="15"/>
      <c r="H196" s="15"/>
      <c r="I196" s="15"/>
      <c r="J196" s="15"/>
    </row>
    <row r="197" spans="1:10" x14ac:dyDescent="0.2">
      <c r="A197" s="33"/>
      <c r="B197" s="35" t="s">
        <v>163</v>
      </c>
      <c r="C197" s="15"/>
      <c r="D197" s="15">
        <f>D$134+($E$171*D$80)</f>
        <v>48.284557373484134</v>
      </c>
      <c r="E197" s="15"/>
      <c r="F197" s="15"/>
      <c r="G197" s="15"/>
      <c r="H197" s="15"/>
      <c r="I197" s="15"/>
      <c r="J197" s="15"/>
    </row>
    <row r="198" spans="1:10" x14ac:dyDescent="0.2">
      <c r="A198" s="33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">
      <c r="A199" s="33"/>
      <c r="B199" s="5" t="s">
        <v>46</v>
      </c>
      <c r="C199" s="15">
        <f>+C136+($E$171*C$80)+C$176+C179</f>
        <v>94.785404489829446</v>
      </c>
      <c r="D199" s="15">
        <f>((D190*SUMPRODUCT(D32:D35,D50:D53)+D191*SUMPRODUCT(P32:P35,D50:D53))+(D196*(SUMPRODUCT(D27:D31,D45:D49)+SUMPRODUCT(D36:D38,D54:D56))+D197*(SUMPRODUCT(P27:P31,D45:D49)+SUMPRODUCT(P36:P38,D54:D56))))/D57</f>
        <v>70.43964378777099</v>
      </c>
      <c r="E199" s="15">
        <f t="shared" ref="E199:J199" si="48">+E136+($E$171*E$80)+E$176+E179</f>
        <v>83.872290811112876</v>
      </c>
      <c r="F199" s="15">
        <f t="shared" si="48"/>
        <v>69.303749797773889</v>
      </c>
      <c r="G199" s="15">
        <f t="shared" si="48"/>
        <v>75.331404456469087</v>
      </c>
      <c r="H199" s="15">
        <f t="shared" si="48"/>
        <v>72.186607981447338</v>
      </c>
      <c r="I199" s="15">
        <f t="shared" si="48"/>
        <v>46.763132940535783</v>
      </c>
      <c r="J199" s="15">
        <f t="shared" si="48"/>
        <v>64.09283345278881</v>
      </c>
    </row>
    <row r="200" spans="1:10" x14ac:dyDescent="0.2">
      <c r="A200" s="33"/>
      <c r="B200" s="3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">
      <c r="A201" s="33"/>
      <c r="B201" s="3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">
      <c r="A202" s="33"/>
    </row>
    <row r="203" spans="1:10" x14ac:dyDescent="0.2">
      <c r="A203" s="33"/>
      <c r="B203" s="7" t="s">
        <v>87</v>
      </c>
      <c r="C203" s="56">
        <f>(SUMPRODUCT(C199:J199,C57:J57)/1000)</f>
        <v>496475.84764860058</v>
      </c>
      <c r="D203" s="56"/>
      <c r="E203" s="56"/>
    </row>
    <row r="204" spans="1:10" x14ac:dyDescent="0.2">
      <c r="A204" s="33"/>
      <c r="B204" s="7"/>
      <c r="C204" s="55"/>
      <c r="D204" s="55"/>
    </row>
    <row r="205" spans="1:10" x14ac:dyDescent="0.2">
      <c r="A205" s="33"/>
      <c r="B205" s="5" t="s">
        <v>88</v>
      </c>
      <c r="F205" s="107">
        <f>+C203/SUM(C57:J57)*1000</f>
        <v>89.115569726823736</v>
      </c>
    </row>
    <row r="206" spans="1:10" x14ac:dyDescent="0.2">
      <c r="A206" s="33"/>
      <c r="B206" s="5" t="s">
        <v>89</v>
      </c>
      <c r="F206" s="107">
        <f>+C203/SUMPRODUCT(C57:J57,C84:J84)*1000</f>
        <v>84.346125081338016</v>
      </c>
      <c r="J206" s="107"/>
    </row>
    <row r="207" spans="1:10" x14ac:dyDescent="0.2">
      <c r="A207" s="33"/>
    </row>
    <row r="208" spans="1:10" x14ac:dyDescent="0.2">
      <c r="A208" s="33"/>
      <c r="F208" s="109"/>
    </row>
    <row r="209" spans="1:12" x14ac:dyDescent="0.2">
      <c r="A209" s="16" t="s">
        <v>101</v>
      </c>
      <c r="B209" s="17" t="s">
        <v>129</v>
      </c>
      <c r="C209" s="18"/>
      <c r="D209" s="18"/>
      <c r="E209" s="18"/>
      <c r="F209" s="18"/>
      <c r="G209" s="18"/>
      <c r="H209" s="18"/>
      <c r="I209" s="18"/>
      <c r="J209" s="18"/>
    </row>
    <row r="210" spans="1:12" x14ac:dyDescent="0.2">
      <c r="A210" s="19"/>
      <c r="B210" s="20" t="s">
        <v>251</v>
      </c>
      <c r="C210" s="18"/>
      <c r="D210" s="18"/>
      <c r="E210" s="18"/>
      <c r="F210" s="18"/>
      <c r="G210" s="18"/>
      <c r="H210" s="18"/>
      <c r="I210" s="18"/>
      <c r="J210" s="18"/>
    </row>
    <row r="211" spans="1:12" x14ac:dyDescent="0.2">
      <c r="A211" s="19"/>
      <c r="B211" s="17"/>
      <c r="C211" s="18"/>
      <c r="D211" s="18"/>
      <c r="E211" s="18"/>
      <c r="F211" s="18"/>
      <c r="G211" s="18"/>
      <c r="H211" s="18"/>
      <c r="I211" s="18"/>
      <c r="J211" s="18"/>
    </row>
    <row r="212" spans="1:12" x14ac:dyDescent="0.2">
      <c r="A212" s="19"/>
      <c r="B212" s="18"/>
      <c r="C212" s="21" t="s">
        <v>5</v>
      </c>
      <c r="D212" s="50" t="s">
        <v>139</v>
      </c>
      <c r="E212" s="21" t="s">
        <v>6</v>
      </c>
      <c r="F212" s="21" t="s">
        <v>7</v>
      </c>
      <c r="G212" s="21" t="s">
        <v>8</v>
      </c>
      <c r="H212" s="21" t="s">
        <v>9</v>
      </c>
      <c r="I212" s="21" t="s">
        <v>10</v>
      </c>
      <c r="J212" s="21" t="s">
        <v>11</v>
      </c>
    </row>
    <row r="213" spans="1:12" x14ac:dyDescent="0.2">
      <c r="A213" s="19"/>
      <c r="B213" s="18"/>
      <c r="C213" s="22"/>
      <c r="D213" s="22"/>
      <c r="E213" s="22"/>
      <c r="F213" s="22"/>
      <c r="G213" s="18"/>
      <c r="H213" s="22"/>
      <c r="I213" s="18"/>
      <c r="J213" s="18"/>
    </row>
    <row r="214" spans="1:12" x14ac:dyDescent="0.2">
      <c r="A214" s="19"/>
      <c r="B214" s="23" t="s">
        <v>44</v>
      </c>
      <c r="C214" s="3"/>
      <c r="D214" s="30">
        <f t="shared" ref="D214:J214" si="49">ROUND(+D189/$F$206,3)</f>
        <v>1.1120000000000001</v>
      </c>
      <c r="E214" s="30">
        <f t="shared" si="49"/>
        <v>0.93</v>
      </c>
      <c r="F214" s="30">
        <f t="shared" si="49"/>
        <v>0.79100000000000004</v>
      </c>
      <c r="G214" s="30">
        <f t="shared" si="49"/>
        <v>0.83699999999999997</v>
      </c>
      <c r="H214" s="30">
        <f t="shared" si="49"/>
        <v>0.81399999999999995</v>
      </c>
      <c r="I214" s="30">
        <f t="shared" si="49"/>
        <v>0.503</v>
      </c>
      <c r="J214" s="30">
        <f t="shared" si="49"/>
        <v>0.71</v>
      </c>
      <c r="K214" s="46"/>
      <c r="L214" s="46"/>
    </row>
    <row r="215" spans="1:12" x14ac:dyDescent="0.2">
      <c r="A215" s="19"/>
      <c r="B215" s="35" t="s">
        <v>134</v>
      </c>
      <c r="C215" s="3"/>
      <c r="D215" s="30">
        <f>ROUND(+D190/$F$206,3)</f>
        <v>1.1870000000000001</v>
      </c>
      <c r="E215" s="30"/>
      <c r="F215" s="30"/>
      <c r="G215" s="30"/>
      <c r="H215" s="30"/>
      <c r="I215" s="30"/>
      <c r="J215" s="30"/>
      <c r="K215" s="46"/>
      <c r="L215" s="46"/>
    </row>
    <row r="216" spans="1:12" x14ac:dyDescent="0.2">
      <c r="A216" s="19"/>
      <c r="B216" s="35" t="s">
        <v>37</v>
      </c>
      <c r="C216" s="3"/>
      <c r="D216" s="30">
        <f>ROUND(+D191/$F$206,3)</f>
        <v>0.49099999999999999</v>
      </c>
      <c r="E216" s="30"/>
      <c r="F216" s="30"/>
      <c r="G216" s="30"/>
      <c r="H216" s="30"/>
      <c r="I216" s="30"/>
      <c r="J216" s="30"/>
      <c r="K216" s="46"/>
      <c r="L216" s="46"/>
    </row>
    <row r="217" spans="1:12" x14ac:dyDescent="0.2">
      <c r="A217" s="19"/>
      <c r="B217" s="14" t="s">
        <v>91</v>
      </c>
      <c r="C217" s="30">
        <f>ROUND(+C189/$F$206,3)</f>
        <v>1.016</v>
      </c>
      <c r="D217" s="30"/>
      <c r="E217" s="25"/>
      <c r="F217" s="25"/>
      <c r="G217" s="25"/>
      <c r="H217" s="25"/>
      <c r="I217" s="24"/>
      <c r="J217" s="24"/>
      <c r="K217" s="46"/>
      <c r="L217" s="46"/>
    </row>
    <row r="218" spans="1:12" x14ac:dyDescent="0.2">
      <c r="A218" s="19"/>
      <c r="B218" s="14" t="s">
        <v>92</v>
      </c>
      <c r="C218" s="26">
        <f>C192-C$189</f>
        <v>-3.3580979445735295</v>
      </c>
      <c r="D218" s="26"/>
      <c r="E218" s="42" t="s">
        <v>93</v>
      </c>
      <c r="F218" s="42"/>
      <c r="G218" s="25"/>
      <c r="H218" s="24"/>
      <c r="I218" s="24"/>
      <c r="J218" s="24"/>
      <c r="K218" s="46"/>
      <c r="L218" s="46"/>
    </row>
    <row r="219" spans="1:12" x14ac:dyDescent="0.2">
      <c r="A219" s="19"/>
      <c r="B219" s="14" t="s">
        <v>92</v>
      </c>
      <c r="C219" s="26">
        <f>C193-C$189</f>
        <v>5.2939020554264715</v>
      </c>
      <c r="D219" s="26"/>
      <c r="E219" s="42" t="s">
        <v>94</v>
      </c>
      <c r="F219" s="42"/>
      <c r="G219" s="25"/>
      <c r="H219" s="24"/>
      <c r="I219" s="24"/>
      <c r="J219" s="24"/>
      <c r="K219" s="46"/>
      <c r="L219" s="46"/>
    </row>
    <row r="220" spans="1:12" x14ac:dyDescent="0.2">
      <c r="A220" s="19"/>
      <c r="B220" s="14"/>
      <c r="C220" s="26"/>
      <c r="D220" s="26"/>
      <c r="E220" s="42"/>
      <c r="F220" s="42"/>
      <c r="G220" s="25"/>
      <c r="H220" s="24"/>
      <c r="I220" s="24"/>
      <c r="J220" s="24"/>
      <c r="K220" s="46"/>
      <c r="L220" s="46"/>
    </row>
    <row r="221" spans="1:12" x14ac:dyDescent="0.2">
      <c r="A221" s="19"/>
      <c r="B221" s="23" t="s">
        <v>45</v>
      </c>
      <c r="C221" s="30">
        <f>ROUND(+C195/$F$206,3)</f>
        <v>1.2150000000000001</v>
      </c>
      <c r="D221" s="30">
        <f>ROUND(+D195/$F$206,3)</f>
        <v>1.36</v>
      </c>
      <c r="E221" s="30">
        <f t="shared" ref="E221:J221" si="50">ROUND(+E195/$F$206,3)</f>
        <v>1.036</v>
      </c>
      <c r="F221" s="30">
        <f t="shared" si="50"/>
        <v>0.83599999999999997</v>
      </c>
      <c r="G221" s="30">
        <f t="shared" si="50"/>
        <v>0.92900000000000005</v>
      </c>
      <c r="H221" s="30">
        <f t="shared" si="50"/>
        <v>0.879</v>
      </c>
      <c r="I221" s="30">
        <f t="shared" si="50"/>
        <v>0.57899999999999996</v>
      </c>
      <c r="J221" s="30">
        <f t="shared" si="50"/>
        <v>0.79200000000000004</v>
      </c>
      <c r="K221" s="46"/>
      <c r="L221" s="46"/>
    </row>
    <row r="222" spans="1:12" x14ac:dyDescent="0.2">
      <c r="A222" s="19"/>
      <c r="B222" s="35" t="s">
        <v>134</v>
      </c>
      <c r="C222" s="30"/>
      <c r="D222" s="30">
        <f>ROUND(+D196/$F$206,3)</f>
        <v>1.4139999999999999</v>
      </c>
      <c r="E222" s="30"/>
      <c r="F222" s="30"/>
      <c r="G222" s="30"/>
      <c r="H222" s="30"/>
      <c r="I222" s="30"/>
      <c r="J222" s="30"/>
      <c r="K222" s="46"/>
      <c r="L222" s="46"/>
    </row>
    <row r="223" spans="1:12" x14ac:dyDescent="0.2">
      <c r="A223" s="19"/>
      <c r="B223" s="35" t="s">
        <v>37</v>
      </c>
      <c r="C223" s="30"/>
      <c r="D223" s="30">
        <f>ROUND(+D197/$F$206,3)</f>
        <v>0.57199999999999995</v>
      </c>
      <c r="E223" s="30"/>
      <c r="F223" s="30"/>
      <c r="G223" s="30"/>
      <c r="H223" s="30"/>
      <c r="I223" s="30"/>
      <c r="J223" s="30"/>
      <c r="K223" s="46"/>
      <c r="L223" s="46"/>
    </row>
    <row r="224" spans="1:12" x14ac:dyDescent="0.2">
      <c r="A224" s="19"/>
      <c r="B224" s="18"/>
      <c r="C224" s="24"/>
      <c r="D224" s="24"/>
      <c r="E224" s="24"/>
      <c r="F224" s="24"/>
      <c r="G224" s="24"/>
      <c r="H224" s="24"/>
      <c r="I224" s="24"/>
      <c r="J224" s="24"/>
      <c r="K224" s="46"/>
      <c r="L224" s="46"/>
    </row>
    <row r="225" spans="1:12" x14ac:dyDescent="0.2">
      <c r="A225" s="19"/>
      <c r="B225" s="18" t="s">
        <v>46</v>
      </c>
      <c r="C225" s="30">
        <f>ROUND(+C199/$F$206,3)</f>
        <v>1.1240000000000001</v>
      </c>
      <c r="D225" s="30">
        <f>ROUND(+D199/$F$206,3)</f>
        <v>0.83499999999999996</v>
      </c>
      <c r="E225" s="30">
        <f t="shared" ref="E225:J225" si="51">ROUND(+E199/$F$206,3)</f>
        <v>0.99399999999999999</v>
      </c>
      <c r="F225" s="30">
        <f t="shared" si="51"/>
        <v>0.82199999999999995</v>
      </c>
      <c r="G225" s="30">
        <f t="shared" si="51"/>
        <v>0.89300000000000002</v>
      </c>
      <c r="H225" s="30">
        <f t="shared" si="51"/>
        <v>0.85599999999999998</v>
      </c>
      <c r="I225" s="30">
        <f t="shared" si="51"/>
        <v>0.55400000000000005</v>
      </c>
      <c r="J225" s="30">
        <f t="shared" si="51"/>
        <v>0.76</v>
      </c>
      <c r="K225" s="46"/>
      <c r="L225" s="46"/>
    </row>
    <row r="226" spans="1:12" x14ac:dyDescent="0.2">
      <c r="A226" s="33"/>
    </row>
    <row r="227" spans="1:12" x14ac:dyDescent="0.2">
      <c r="A227" s="33"/>
    </row>
    <row r="228" spans="1:12" x14ac:dyDescent="0.2">
      <c r="A228" s="32" t="s">
        <v>111</v>
      </c>
      <c r="B228" s="3" t="s">
        <v>96</v>
      </c>
    </row>
    <row r="229" spans="1:12" x14ac:dyDescent="0.2">
      <c r="A229" s="33"/>
      <c r="B229" s="20" t="s">
        <v>252</v>
      </c>
    </row>
    <row r="230" spans="1:12" x14ac:dyDescent="0.2">
      <c r="A230" s="33"/>
      <c r="B230" s="4" t="s">
        <v>35</v>
      </c>
    </row>
    <row r="231" spans="1:12" x14ac:dyDescent="0.2">
      <c r="A231" s="33"/>
      <c r="C231" s="50" t="s">
        <v>5</v>
      </c>
      <c r="D231" s="50" t="s">
        <v>139</v>
      </c>
      <c r="E231" s="50" t="s">
        <v>6</v>
      </c>
      <c r="F231" s="50" t="s">
        <v>7</v>
      </c>
      <c r="G231" s="50" t="s">
        <v>8</v>
      </c>
      <c r="H231" s="50" t="s">
        <v>9</v>
      </c>
      <c r="I231" s="50" t="s">
        <v>10</v>
      </c>
      <c r="J231" s="50" t="s">
        <v>11</v>
      </c>
    </row>
    <row r="232" spans="1:12" x14ac:dyDescent="0.2">
      <c r="A232" s="33"/>
      <c r="C232" s="186"/>
      <c r="D232" s="28"/>
      <c r="E232" s="28"/>
      <c r="F232" s="28"/>
      <c r="H232" s="28"/>
    </row>
    <row r="233" spans="1:12" x14ac:dyDescent="0.2">
      <c r="A233" s="33"/>
      <c r="B233" s="34" t="s">
        <v>44</v>
      </c>
      <c r="C233" s="15">
        <f t="shared" ref="C233:J233" si="52">+C128+($E$171*C$80)+C180</f>
        <v>63.196014779395732</v>
      </c>
      <c r="D233" s="15">
        <f t="shared" si="52"/>
        <v>66.807881722522225</v>
      </c>
      <c r="E233" s="15">
        <f t="shared" si="52"/>
        <v>62.102133236229733</v>
      </c>
      <c r="F233" s="15">
        <f t="shared" si="52"/>
        <v>55.724381538059376</v>
      </c>
      <c r="G233" s="15">
        <f t="shared" si="52"/>
        <v>58.554140223001923</v>
      </c>
      <c r="H233" s="15">
        <f t="shared" si="52"/>
        <v>56.223137325081673</v>
      </c>
      <c r="I233" s="15">
        <f t="shared" si="52"/>
        <v>42.409374510869753</v>
      </c>
      <c r="J233" s="15">
        <f t="shared" si="52"/>
        <v>52.761433825592079</v>
      </c>
    </row>
    <row r="234" spans="1:12" x14ac:dyDescent="0.2">
      <c r="A234" s="33"/>
      <c r="B234" s="35" t="s">
        <v>134</v>
      </c>
      <c r="C234" s="15"/>
      <c r="D234" s="15">
        <f>D$129+(E$171*D$80)+D$180</f>
        <v>73.122770824711324</v>
      </c>
      <c r="E234" s="15"/>
      <c r="F234" s="15"/>
      <c r="G234" s="15"/>
      <c r="H234" s="15"/>
      <c r="I234" s="15"/>
      <c r="J234" s="15"/>
    </row>
    <row r="235" spans="1:12" x14ac:dyDescent="0.2">
      <c r="A235" s="33"/>
      <c r="B235" s="35" t="s">
        <v>37</v>
      </c>
      <c r="C235" s="15"/>
      <c r="D235" s="15">
        <f>D$130+(E$171*D$80)</f>
        <v>41.425002590609665</v>
      </c>
      <c r="E235" s="15"/>
      <c r="F235" s="15"/>
      <c r="G235" s="15"/>
      <c r="H235" s="15"/>
      <c r="I235" s="15"/>
      <c r="J235" s="15"/>
    </row>
    <row r="236" spans="1:12" x14ac:dyDescent="0.2">
      <c r="A236" s="33"/>
      <c r="B236" s="7" t="s">
        <v>73</v>
      </c>
      <c r="C236" s="15">
        <f>(C233*SUM(C50:C53)-$C$165*10*$F$164*SUM(C50:C53))/SUM(C50:C53)</f>
        <v>59.837916834822195</v>
      </c>
      <c r="D236" s="15"/>
      <c r="E236" s="15"/>
      <c r="F236" s="15"/>
      <c r="G236" s="15"/>
      <c r="H236" s="15"/>
      <c r="I236" s="15"/>
      <c r="J236" s="15"/>
    </row>
    <row r="237" spans="1:12" x14ac:dyDescent="0.2">
      <c r="A237" s="33"/>
      <c r="B237" s="7" t="s">
        <v>74</v>
      </c>
      <c r="C237" s="15">
        <f>+C236+$C$165*10</f>
        <v>68.489916834822196</v>
      </c>
      <c r="D237" s="15"/>
      <c r="E237" s="15"/>
      <c r="F237" s="15"/>
      <c r="G237" s="15"/>
      <c r="H237" s="15"/>
      <c r="I237" s="15"/>
      <c r="J237" s="15"/>
    </row>
    <row r="238" spans="1:12" x14ac:dyDescent="0.2">
      <c r="A238" s="33"/>
      <c r="B238" s="34" t="s">
        <v>45</v>
      </c>
      <c r="C238" s="15">
        <f t="shared" ref="C238:J238" si="53">+C132+($E$171*C$80)+C$181</f>
        <v>79.940902104288426</v>
      </c>
      <c r="D238" s="15">
        <f t="shared" si="53"/>
        <v>87.768138089573682</v>
      </c>
      <c r="E238" s="15">
        <f t="shared" si="53"/>
        <v>70.99554496820187</v>
      </c>
      <c r="F238" s="15">
        <f t="shared" si="53"/>
        <v>59.474933095818848</v>
      </c>
      <c r="G238" s="15">
        <f t="shared" si="53"/>
        <v>66.281758056497054</v>
      </c>
      <c r="H238" s="15">
        <f t="shared" si="53"/>
        <v>61.707884321163931</v>
      </c>
      <c r="I238" s="15">
        <f t="shared" si="53"/>
        <v>48.824502768497858</v>
      </c>
      <c r="J238" s="15">
        <f t="shared" si="53"/>
        <v>59.682494730305343</v>
      </c>
    </row>
    <row r="239" spans="1:12" x14ac:dyDescent="0.2">
      <c r="A239" s="33"/>
      <c r="B239" s="35" t="s">
        <v>134</v>
      </c>
      <c r="C239" s="15"/>
      <c r="D239" s="15">
        <f>D$133+($E$171*D$80)+$D$181</f>
        <v>92.274137909739309</v>
      </c>
      <c r="E239" s="15"/>
      <c r="F239" s="15"/>
      <c r="G239" s="15"/>
      <c r="H239" s="15"/>
      <c r="I239" s="15"/>
      <c r="J239" s="15"/>
    </row>
    <row r="240" spans="1:12" x14ac:dyDescent="0.2">
      <c r="A240" s="33"/>
      <c r="B240" s="35" t="s">
        <v>37</v>
      </c>
      <c r="C240" s="15"/>
      <c r="D240" s="15">
        <f>D$134+($E$171*D$80)</f>
        <v>48.284557373484134</v>
      </c>
      <c r="E240" s="15"/>
      <c r="F240" s="15"/>
      <c r="G240" s="15"/>
      <c r="H240" s="15"/>
      <c r="I240" s="15"/>
      <c r="J240" s="15"/>
    </row>
    <row r="241" spans="1:10" x14ac:dyDescent="0.2">
      <c r="A241" s="33"/>
      <c r="B241" s="5" t="s">
        <v>46</v>
      </c>
      <c r="C241" s="15">
        <f>+C136+($E$171*C$80)+C179</f>
        <v>72.256435079203413</v>
      </c>
      <c r="D241" s="15">
        <f>((D234*SUMPRODUCT(D32:D35,D50:D53)+D235*SUMPRODUCT(D50:D53,P32:P35))+(D239*(SUMPRODUCT(D45:D49,D27:D31)+SUMPRODUCT(D54:D56,D36:D38))+D240*(SUMPRODUCT(D45:D49,P27:P31)+SUMPRODUCT(D54:D56,P36:P38))))/D57</f>
        <v>60.035610372393265</v>
      </c>
      <c r="E241" s="15">
        <f t="shared" ref="E241:J241" si="54">+E136+($E$171*E$80)+E179</f>
        <v>67.493261580632634</v>
      </c>
      <c r="F241" s="15">
        <f t="shared" si="54"/>
        <v>58.28590824164619</v>
      </c>
      <c r="G241" s="15">
        <f t="shared" si="54"/>
        <v>63.28294464887982</v>
      </c>
      <c r="H241" s="15">
        <f t="shared" si="54"/>
        <v>59.744361805255593</v>
      </c>
      <c r="I241" s="15">
        <f t="shared" si="54"/>
        <v>46.763132940535783</v>
      </c>
      <c r="J241" s="15">
        <f t="shared" si="54"/>
        <v>56.957690749513517</v>
      </c>
    </row>
    <row r="242" spans="1:10" x14ac:dyDescent="0.2">
      <c r="A242" s="33"/>
    </row>
    <row r="243" spans="1:10" x14ac:dyDescent="0.2">
      <c r="A243" s="33"/>
      <c r="C243" s="15"/>
      <c r="D243" s="15"/>
      <c r="E243" s="15"/>
    </row>
    <row r="244" spans="1:10" x14ac:dyDescent="0.2">
      <c r="A244" s="33"/>
      <c r="B244" s="7" t="s">
        <v>87</v>
      </c>
      <c r="C244" s="56">
        <f>(SUMPRODUCT(C241:J241,C57:J57)/1000)</f>
        <v>387881.15536748007</v>
      </c>
      <c r="D244" s="56"/>
      <c r="E244" s="56"/>
    </row>
    <row r="245" spans="1:10" x14ac:dyDescent="0.2">
      <c r="A245" s="33"/>
      <c r="B245" s="7"/>
      <c r="C245" s="55"/>
      <c r="D245" s="55"/>
    </row>
    <row r="246" spans="1:10" x14ac:dyDescent="0.2">
      <c r="A246" s="33"/>
      <c r="B246" s="5" t="s">
        <v>97</v>
      </c>
      <c r="G246" s="107">
        <f>+C244/SUM(C57:J57)*1000</f>
        <v>69.623226005018438</v>
      </c>
      <c r="H246" s="110"/>
    </row>
    <row r="247" spans="1:10" x14ac:dyDescent="0.2">
      <c r="A247" s="33"/>
      <c r="B247" s="5" t="s">
        <v>98</v>
      </c>
      <c r="G247" s="107">
        <f>+C244/SUMPRODUCT(C57:J57,C84:J84)*1000</f>
        <v>65.897007079537829</v>
      </c>
      <c r="H247" s="110"/>
    </row>
    <row r="248" spans="1:10" x14ac:dyDescent="0.2">
      <c r="A248" s="33"/>
    </row>
    <row r="249" spans="1:10" x14ac:dyDescent="0.2">
      <c r="A249" s="33"/>
    </row>
    <row r="250" spans="1:10" x14ac:dyDescent="0.2">
      <c r="A250" s="16" t="s">
        <v>112</v>
      </c>
      <c r="B250" s="17" t="s">
        <v>130</v>
      </c>
      <c r="C250" s="18"/>
      <c r="D250" s="18"/>
      <c r="E250" s="18"/>
      <c r="F250" s="18"/>
      <c r="G250" s="18"/>
      <c r="H250" s="18"/>
      <c r="I250" s="18"/>
      <c r="J250" s="18"/>
    </row>
    <row r="251" spans="1:10" x14ac:dyDescent="0.2">
      <c r="A251" s="19"/>
      <c r="B251" s="20" t="s">
        <v>253</v>
      </c>
      <c r="C251" s="18"/>
      <c r="D251" s="18"/>
      <c r="E251" s="18"/>
      <c r="F251" s="18"/>
      <c r="G251" s="18"/>
      <c r="H251" s="18"/>
      <c r="I251" s="18"/>
      <c r="J251" s="18"/>
    </row>
    <row r="252" spans="1:10" x14ac:dyDescent="0.2">
      <c r="A252" s="19"/>
      <c r="B252" s="20" t="s">
        <v>100</v>
      </c>
      <c r="C252" s="18"/>
      <c r="D252" s="18"/>
      <c r="E252" s="18"/>
      <c r="F252" s="18"/>
      <c r="G252" s="18"/>
      <c r="H252" s="18"/>
      <c r="I252" s="18"/>
      <c r="J252" s="18"/>
    </row>
    <row r="253" spans="1:10" x14ac:dyDescent="0.2">
      <c r="A253" s="19"/>
      <c r="B253" s="20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">
      <c r="A254" s="19"/>
      <c r="B254" s="18"/>
      <c r="C254" s="21" t="s">
        <v>5</v>
      </c>
      <c r="D254" s="50" t="s">
        <v>139</v>
      </c>
      <c r="E254" s="21" t="s">
        <v>6</v>
      </c>
      <c r="F254" s="21" t="s">
        <v>7</v>
      </c>
      <c r="G254" s="21" t="s">
        <v>8</v>
      </c>
      <c r="H254" s="21" t="s">
        <v>9</v>
      </c>
      <c r="I254" s="21" t="s">
        <v>10</v>
      </c>
      <c r="J254" s="21" t="s">
        <v>11</v>
      </c>
    </row>
    <row r="255" spans="1:10" x14ac:dyDescent="0.2">
      <c r="A255" s="19"/>
      <c r="B255" s="18"/>
      <c r="C255" s="22"/>
      <c r="D255" s="22"/>
      <c r="E255" s="22"/>
      <c r="F255" s="22"/>
      <c r="G255" s="18"/>
      <c r="H255" s="22"/>
      <c r="I255" s="18"/>
      <c r="J255" s="18"/>
    </row>
    <row r="256" spans="1:10" x14ac:dyDescent="0.2">
      <c r="A256" s="19"/>
      <c r="B256" s="23" t="s">
        <v>44</v>
      </c>
      <c r="D256" s="30">
        <f>ROUND(D233/$G$247,3)</f>
        <v>1.014</v>
      </c>
      <c r="E256" s="30">
        <f t="shared" ref="E256:J256" si="55">ROUND(E233/$G$247,3)</f>
        <v>0.94199999999999995</v>
      </c>
      <c r="F256" s="30">
        <f t="shared" si="55"/>
        <v>0.84599999999999997</v>
      </c>
      <c r="G256" s="30">
        <f t="shared" si="55"/>
        <v>0.88900000000000001</v>
      </c>
      <c r="H256" s="30">
        <f t="shared" si="55"/>
        <v>0.85299999999999998</v>
      </c>
      <c r="I256" s="30">
        <f t="shared" si="55"/>
        <v>0.64400000000000002</v>
      </c>
      <c r="J256" s="30">
        <f t="shared" si="55"/>
        <v>0.80100000000000005</v>
      </c>
    </row>
    <row r="257" spans="1:12" x14ac:dyDescent="0.2">
      <c r="A257" s="19"/>
      <c r="B257" s="35" t="s">
        <v>134</v>
      </c>
      <c r="D257" s="30">
        <f>ROUND(D234/$G$247,3)</f>
        <v>1.1100000000000001</v>
      </c>
      <c r="E257" s="30"/>
      <c r="F257" s="30"/>
      <c r="G257" s="30"/>
      <c r="H257" s="30"/>
      <c r="I257" s="30"/>
      <c r="J257" s="30"/>
    </row>
    <row r="258" spans="1:12" x14ac:dyDescent="0.2">
      <c r="A258" s="19"/>
      <c r="B258" s="35" t="s">
        <v>37</v>
      </c>
      <c r="D258" s="30">
        <f>ROUND(D235/$G$247,3)</f>
        <v>0.629</v>
      </c>
      <c r="E258" s="30"/>
      <c r="F258" s="30"/>
      <c r="G258" s="30"/>
      <c r="H258" s="30"/>
      <c r="I258" s="30"/>
      <c r="J258" s="30"/>
    </row>
    <row r="259" spans="1:12" x14ac:dyDescent="0.2">
      <c r="A259" s="19"/>
      <c r="B259" s="14" t="s">
        <v>91</v>
      </c>
      <c r="C259" s="30">
        <f>ROUND(C233/$G$247,3)</f>
        <v>0.95899999999999996</v>
      </c>
      <c r="D259" s="30"/>
      <c r="E259" s="25"/>
      <c r="F259" s="24"/>
      <c r="G259" s="24"/>
      <c r="H259" s="24"/>
      <c r="I259" s="24"/>
      <c r="J259" s="158"/>
    </row>
    <row r="260" spans="1:12" x14ac:dyDescent="0.2">
      <c r="A260" s="19"/>
      <c r="B260" s="14" t="s">
        <v>92</v>
      </c>
      <c r="C260" s="26">
        <f>(C236-C$233)</f>
        <v>-3.3580979445735366</v>
      </c>
      <c r="D260" s="26"/>
      <c r="E260" s="27" t="s">
        <v>93</v>
      </c>
      <c r="F260" s="24"/>
      <c r="G260" s="24"/>
      <c r="H260" s="24"/>
      <c r="I260" s="24"/>
      <c r="J260" s="158"/>
    </row>
    <row r="261" spans="1:12" x14ac:dyDescent="0.2">
      <c r="A261" s="19"/>
      <c r="B261" s="14" t="s">
        <v>92</v>
      </c>
      <c r="C261" s="26">
        <f>(C237-C$233)</f>
        <v>5.2939020554264644</v>
      </c>
      <c r="D261" s="26"/>
      <c r="E261" s="27" t="s">
        <v>94</v>
      </c>
      <c r="F261" s="24"/>
      <c r="G261" s="24"/>
      <c r="H261" s="24"/>
      <c r="I261" s="24"/>
      <c r="J261" s="158"/>
    </row>
    <row r="262" spans="1:12" x14ac:dyDescent="0.2">
      <c r="A262" s="19"/>
      <c r="B262" s="23"/>
      <c r="C262" s="24"/>
      <c r="D262" s="24"/>
      <c r="E262" s="24"/>
      <c r="F262" s="24"/>
      <c r="G262" s="24"/>
      <c r="H262" s="24"/>
      <c r="I262" s="24"/>
      <c r="J262" s="158"/>
    </row>
    <row r="263" spans="1:12" x14ac:dyDescent="0.2">
      <c r="A263" s="19"/>
      <c r="B263" s="23" t="s">
        <v>45</v>
      </c>
      <c r="C263" s="30">
        <f t="shared" ref="C263:J263" si="56">ROUND(+C238/$G$247,3)</f>
        <v>1.2130000000000001</v>
      </c>
      <c r="D263" s="30">
        <f t="shared" si="56"/>
        <v>1.3320000000000001</v>
      </c>
      <c r="E263" s="30">
        <f>ROUND(+E238/$G$247,3)</f>
        <v>1.077</v>
      </c>
      <c r="F263" s="30">
        <f t="shared" si="56"/>
        <v>0.90300000000000002</v>
      </c>
      <c r="G263" s="30">
        <f t="shared" si="56"/>
        <v>1.006</v>
      </c>
      <c r="H263" s="30">
        <f t="shared" si="56"/>
        <v>0.93600000000000005</v>
      </c>
      <c r="I263" s="30">
        <f t="shared" si="56"/>
        <v>0.74099999999999999</v>
      </c>
      <c r="J263" s="30">
        <f t="shared" si="56"/>
        <v>0.90600000000000003</v>
      </c>
    </row>
    <row r="264" spans="1:12" x14ac:dyDescent="0.2">
      <c r="A264" s="19"/>
      <c r="B264" s="35" t="s">
        <v>134</v>
      </c>
      <c r="C264" s="30"/>
      <c r="D264" s="30">
        <f>ROUND(+D239/$G$247,3)</f>
        <v>1.4</v>
      </c>
      <c r="E264" s="30"/>
      <c r="F264" s="30"/>
      <c r="G264" s="30"/>
      <c r="H264" s="30"/>
      <c r="I264" s="30"/>
      <c r="J264" s="30"/>
    </row>
    <row r="265" spans="1:12" x14ac:dyDescent="0.2">
      <c r="A265" s="19"/>
      <c r="B265" s="35" t="s">
        <v>37</v>
      </c>
      <c r="C265" s="30"/>
      <c r="D265" s="30">
        <f>ROUND(+D240/$G$247,3)</f>
        <v>0.73299999999999998</v>
      </c>
      <c r="E265" s="30"/>
      <c r="F265" s="30"/>
      <c r="G265" s="30"/>
      <c r="H265" s="30"/>
      <c r="I265" s="30"/>
      <c r="J265" s="30"/>
    </row>
    <row r="266" spans="1:12" x14ac:dyDescent="0.2">
      <c r="A266" s="19"/>
      <c r="B266" s="18" t="s">
        <v>46</v>
      </c>
      <c r="C266" s="30">
        <f>ROUND(+C241/$G$247,3)</f>
        <v>1.097</v>
      </c>
      <c r="D266" s="30">
        <f>ROUND(+D241/$G$247,3)</f>
        <v>0.91100000000000003</v>
      </c>
      <c r="E266" s="30">
        <f t="shared" ref="E266:J266" si="57">ROUND(+E241/$G$247,3)</f>
        <v>1.024</v>
      </c>
      <c r="F266" s="30">
        <f t="shared" si="57"/>
        <v>0.88500000000000001</v>
      </c>
      <c r="G266" s="30">
        <f t="shared" si="57"/>
        <v>0.96</v>
      </c>
      <c r="H266" s="30">
        <f t="shared" si="57"/>
        <v>0.90700000000000003</v>
      </c>
      <c r="I266" s="30">
        <f t="shared" si="57"/>
        <v>0.71</v>
      </c>
      <c r="J266" s="30">
        <f t="shared" si="57"/>
        <v>0.86399999999999999</v>
      </c>
    </row>
    <row r="267" spans="1:12" x14ac:dyDescent="0.2">
      <c r="A267" s="33"/>
    </row>
    <row r="268" spans="1:12" x14ac:dyDescent="0.2">
      <c r="A268" s="33"/>
    </row>
    <row r="269" spans="1:12" x14ac:dyDescent="0.2">
      <c r="A269" s="32" t="s">
        <v>113</v>
      </c>
      <c r="B269" s="3" t="s">
        <v>102</v>
      </c>
    </row>
    <row r="270" spans="1:12" x14ac:dyDescent="0.2">
      <c r="A270" s="33"/>
      <c r="B270" s="3"/>
    </row>
    <row r="271" spans="1:12" x14ac:dyDescent="0.2">
      <c r="A271" s="33"/>
      <c r="C271" s="21" t="s">
        <v>5</v>
      </c>
      <c r="D271" s="50" t="s">
        <v>139</v>
      </c>
      <c r="E271" s="21" t="s">
        <v>6</v>
      </c>
      <c r="F271" s="21" t="s">
        <v>7</v>
      </c>
      <c r="G271" s="21" t="s">
        <v>8</v>
      </c>
      <c r="H271" s="21" t="s">
        <v>9</v>
      </c>
      <c r="I271" s="21" t="s">
        <v>10</v>
      </c>
      <c r="J271" s="21" t="s">
        <v>11</v>
      </c>
      <c r="K271" s="28"/>
      <c r="L271" s="28"/>
    </row>
    <row r="272" spans="1:12" x14ac:dyDescent="0.2">
      <c r="A272" s="33"/>
      <c r="B272" s="5" t="s">
        <v>103</v>
      </c>
    </row>
    <row r="273" spans="1:13" x14ac:dyDescent="0.2">
      <c r="A273" s="33"/>
      <c r="B273" s="54" t="s">
        <v>63</v>
      </c>
      <c r="C273" s="55">
        <f>((C192*O$48*F$163)+(C193*O$48*F$164))/1000</f>
        <v>143666.36471600647</v>
      </c>
      <c r="D273" s="55">
        <f t="shared" ref="D273:J273" si="58">+D189*SUM(D50:D53)/1000</f>
        <v>146.53527118413015</v>
      </c>
      <c r="E273" s="55">
        <f t="shared" si="58"/>
        <v>27239.189255697183</v>
      </c>
      <c r="F273" s="55">
        <f t="shared" si="58"/>
        <v>351.15068992455542</v>
      </c>
      <c r="G273" s="55">
        <f t="shared" si="58"/>
        <v>24630.422237970357</v>
      </c>
      <c r="H273" s="55">
        <f t="shared" si="58"/>
        <v>1507.7178812511122</v>
      </c>
      <c r="I273" s="55">
        <f t="shared" si="58"/>
        <v>646.05483580963767</v>
      </c>
      <c r="J273" s="55">
        <f t="shared" si="58"/>
        <v>236.33529887560286</v>
      </c>
      <c r="K273" s="55"/>
      <c r="L273" s="55"/>
    </row>
    <row r="274" spans="1:13" x14ac:dyDescent="0.2">
      <c r="A274" s="33"/>
      <c r="B274" s="54" t="s">
        <v>66</v>
      </c>
      <c r="C274" s="55">
        <f t="shared" ref="C274:J274" si="59">+C195*SUM(C45:C49,C54:C56)/1000</f>
        <v>202478.29435309875</v>
      </c>
      <c r="D274" s="55">
        <f t="shared" si="59"/>
        <v>232.47755551099596</v>
      </c>
      <c r="E274" s="55">
        <f t="shared" si="59"/>
        <v>46681.221230106836</v>
      </c>
      <c r="F274" s="55">
        <f t="shared" si="59"/>
        <v>798.99749499578331</v>
      </c>
      <c r="G274" s="55">
        <f t="shared" si="59"/>
        <v>43090.586533077185</v>
      </c>
      <c r="H274" s="55">
        <f t="shared" si="59"/>
        <v>2919.7924550308971</v>
      </c>
      <c r="I274" s="55">
        <f t="shared" si="59"/>
        <v>1570.9188711359861</v>
      </c>
      <c r="J274" s="55">
        <f t="shared" si="59"/>
        <v>406.01727617951576</v>
      </c>
      <c r="K274" s="55"/>
      <c r="L274" s="55"/>
    </row>
    <row r="275" spans="1:13" x14ac:dyDescent="0.2">
      <c r="A275" s="33"/>
      <c r="B275" s="54" t="s">
        <v>29</v>
      </c>
      <c r="C275" s="41">
        <f t="shared" ref="C275:J275" si="60">+C274+C273</f>
        <v>346144.65906910523</v>
      </c>
      <c r="D275" s="41">
        <f t="shared" si="60"/>
        <v>379.01282669512614</v>
      </c>
      <c r="E275" s="41">
        <f t="shared" si="60"/>
        <v>73920.410485804023</v>
      </c>
      <c r="F275" s="41">
        <f t="shared" si="60"/>
        <v>1150.1481849203387</v>
      </c>
      <c r="G275" s="41">
        <f t="shared" si="60"/>
        <v>67721.008771047549</v>
      </c>
      <c r="H275" s="41">
        <f t="shared" si="60"/>
        <v>4427.5103362820091</v>
      </c>
      <c r="I275" s="41">
        <f t="shared" si="60"/>
        <v>2216.9737069456237</v>
      </c>
      <c r="J275" s="55">
        <f t="shared" si="60"/>
        <v>642.35257505511868</v>
      </c>
      <c r="K275" s="55"/>
      <c r="L275" s="55"/>
    </row>
    <row r="276" spans="1:13" x14ac:dyDescent="0.2">
      <c r="A276" s="33"/>
      <c r="B276" s="54"/>
    </row>
    <row r="277" spans="1:13" x14ac:dyDescent="0.2">
      <c r="A277" s="33"/>
      <c r="B277" s="5" t="s">
        <v>104</v>
      </c>
    </row>
    <row r="278" spans="1:13" x14ac:dyDescent="0.2">
      <c r="A278" s="33"/>
      <c r="B278" s="54" t="s">
        <v>63</v>
      </c>
      <c r="C278" s="111">
        <f t="shared" ref="C278:J278" si="61">+C273/C275</f>
        <v>0.41504718028113369</v>
      </c>
      <c r="D278" s="111">
        <f>+D273/D275</f>
        <v>0.38662351472870221</v>
      </c>
      <c r="E278" s="111">
        <f t="shared" si="61"/>
        <v>0.36849347936086352</v>
      </c>
      <c r="F278" s="111">
        <f t="shared" si="61"/>
        <v>0.30530908497575615</v>
      </c>
      <c r="G278" s="111">
        <f t="shared" si="61"/>
        <v>0.36370430217956956</v>
      </c>
      <c r="H278" s="111">
        <f t="shared" si="61"/>
        <v>0.34053401725476595</v>
      </c>
      <c r="I278" s="111">
        <f>+I273/I275</f>
        <v>0.29141294449527888</v>
      </c>
      <c r="J278" s="111">
        <f t="shared" si="61"/>
        <v>0.36792146253219815</v>
      </c>
      <c r="K278" s="111"/>
      <c r="L278" s="111"/>
    </row>
    <row r="279" spans="1:13" x14ac:dyDescent="0.2">
      <c r="A279" s="33"/>
      <c r="B279" s="54" t="s">
        <v>66</v>
      </c>
      <c r="C279" s="111">
        <f t="shared" ref="C279:J279" si="62">+C274/C275</f>
        <v>0.58495281971886637</v>
      </c>
      <c r="D279" s="111">
        <f>+D274/D275</f>
        <v>0.61337648527129773</v>
      </c>
      <c r="E279" s="111">
        <f t="shared" si="62"/>
        <v>0.63150652063913648</v>
      </c>
      <c r="F279" s="111">
        <f t="shared" si="62"/>
        <v>0.69469091502424385</v>
      </c>
      <c r="G279" s="111">
        <f t="shared" si="62"/>
        <v>0.63629569782043038</v>
      </c>
      <c r="H279" s="111">
        <f t="shared" si="62"/>
        <v>0.65946598274523416</v>
      </c>
      <c r="I279" s="111">
        <f t="shared" si="62"/>
        <v>0.70858705550472123</v>
      </c>
      <c r="J279" s="111">
        <f t="shared" si="62"/>
        <v>0.63207853746780174</v>
      </c>
      <c r="K279" s="111"/>
      <c r="L279" s="111"/>
    </row>
    <row r="280" spans="1:13" x14ac:dyDescent="0.2">
      <c r="A280" s="33"/>
    </row>
    <row r="281" spans="1:13" x14ac:dyDescent="0.2">
      <c r="A281" s="33"/>
      <c r="B281" s="5" t="s">
        <v>105</v>
      </c>
    </row>
    <row r="282" spans="1:13" x14ac:dyDescent="0.2">
      <c r="A282" s="33"/>
      <c r="B282" s="54" t="s">
        <v>63</v>
      </c>
      <c r="C282" s="112">
        <f>+SUM(C273:J273)</f>
        <v>198423.77018671905</v>
      </c>
      <c r="D282" s="112"/>
    </row>
    <row r="283" spans="1:13" x14ac:dyDescent="0.2">
      <c r="A283" s="33"/>
      <c r="B283" s="54" t="s">
        <v>66</v>
      </c>
      <c r="C283" s="112">
        <f>+SUM(C274:J274)</f>
        <v>298178.30576913594</v>
      </c>
      <c r="D283" s="112"/>
    </row>
    <row r="284" spans="1:13" x14ac:dyDescent="0.2">
      <c r="A284" s="33"/>
      <c r="B284" s="54" t="s">
        <v>29</v>
      </c>
      <c r="C284" s="41">
        <f>+C283+C282</f>
        <v>496602.07595585496</v>
      </c>
      <c r="D284" s="41"/>
    </row>
    <row r="285" spans="1:13" x14ac:dyDescent="0.2">
      <c r="A285" s="33"/>
    </row>
    <row r="286" spans="1:13" x14ac:dyDescent="0.2">
      <c r="A286" s="33"/>
      <c r="B286" s="5" t="s">
        <v>106</v>
      </c>
      <c r="D286" s="5" t="s">
        <v>107</v>
      </c>
    </row>
    <row r="287" spans="1:13" x14ac:dyDescent="0.2">
      <c r="A287" s="33"/>
      <c r="B287" s="54" t="s">
        <v>63</v>
      </c>
      <c r="C287" s="111">
        <f>+C282/C284</f>
        <v>0.39956290920611809</v>
      </c>
      <c r="E287" s="106">
        <f>+C282/SUMPRODUCT(O48:V48,C84:J84)*1000</f>
        <v>77.605926327168604</v>
      </c>
      <c r="F287" s="5" t="s">
        <v>108</v>
      </c>
      <c r="I287" s="5" t="s">
        <v>109</v>
      </c>
      <c r="K287" s="5" t="s">
        <v>110</v>
      </c>
      <c r="L287" s="54" t="s">
        <v>63</v>
      </c>
      <c r="M287" s="159">
        <f>IF(ROUND(E$287/F$206,4)&lt;ROUND(E$288/F$206,4),1,ROUND(E287/F$206,4))</f>
        <v>1</v>
      </c>
    </row>
    <row r="288" spans="1:13" x14ac:dyDescent="0.2">
      <c r="A288" s="33"/>
      <c r="B288" s="54" t="s">
        <v>66</v>
      </c>
      <c r="C288" s="111">
        <f>+C283/C284</f>
        <v>0.60043709079388197</v>
      </c>
      <c r="E288" s="106">
        <f>+C283/SUMPRODUCT(O45:V45,C84:J84)*1000</f>
        <v>89.560234520565501</v>
      </c>
      <c r="F288" s="5" t="s">
        <v>108</v>
      </c>
      <c r="I288" s="5" t="s">
        <v>132</v>
      </c>
      <c r="L288" s="54" t="s">
        <v>66</v>
      </c>
      <c r="M288" s="159">
        <f>IF(ROUND(E$287/F$206,4)&lt;ROUND(E$288/F$206,4),1,ROUND(E288/F$206,4))</f>
        <v>1</v>
      </c>
    </row>
    <row r="289" spans="1:6" x14ac:dyDescent="0.2">
      <c r="A289" s="33"/>
    </row>
    <row r="290" spans="1:6" x14ac:dyDescent="0.2">
      <c r="A290" s="33"/>
    </row>
    <row r="291" spans="1:6" x14ac:dyDescent="0.2">
      <c r="A291" s="32"/>
      <c r="B291" s="3" t="s">
        <v>114</v>
      </c>
      <c r="F291" s="106"/>
    </row>
    <row r="292" spans="1:6" x14ac:dyDescent="0.2">
      <c r="A292" s="33"/>
      <c r="B292" s="7" t="s">
        <v>115</v>
      </c>
      <c r="C292" s="190">
        <f>D156</f>
        <v>163.32</v>
      </c>
      <c r="D292" s="108"/>
      <c r="E292" s="5" t="s">
        <v>116</v>
      </c>
      <c r="F292" s="5" t="s">
        <v>117</v>
      </c>
    </row>
    <row r="293" spans="1:6" x14ac:dyDescent="0.2">
      <c r="A293" s="33"/>
      <c r="B293" s="7" t="s">
        <v>118</v>
      </c>
      <c r="C293" s="190">
        <f>D157</f>
        <v>163.32</v>
      </c>
      <c r="D293" s="108"/>
      <c r="E293" s="5" t="s">
        <v>116</v>
      </c>
      <c r="F293" s="5" t="s">
        <v>119</v>
      </c>
    </row>
    <row r="294" spans="1:6" x14ac:dyDescent="0.2">
      <c r="A294" s="33"/>
      <c r="B294" s="7" t="s">
        <v>120</v>
      </c>
      <c r="C294" s="41">
        <f>+E153</f>
        <v>54394.707751513772</v>
      </c>
      <c r="D294" s="41"/>
      <c r="E294" s="105" t="s">
        <v>61</v>
      </c>
    </row>
    <row r="295" spans="1:6" x14ac:dyDescent="0.2">
      <c r="A295" s="33"/>
      <c r="B295" s="7" t="s">
        <v>121</v>
      </c>
      <c r="C295" s="36">
        <f>+E169</f>
        <v>2</v>
      </c>
      <c r="D295" s="36"/>
      <c r="E295" s="5" t="s">
        <v>131</v>
      </c>
      <c r="F295" s="78"/>
    </row>
    <row r="296" spans="1:6" x14ac:dyDescent="0.2">
      <c r="A296" s="33"/>
      <c r="B296" s="183" t="s">
        <v>249</v>
      </c>
      <c r="C296" s="36">
        <f>E170</f>
        <v>16.72</v>
      </c>
      <c r="D296" s="36"/>
      <c r="E296" s="5" t="s">
        <v>131</v>
      </c>
      <c r="F296" s="78"/>
    </row>
    <row r="297" spans="1:6" x14ac:dyDescent="0.2">
      <c r="A297" s="33"/>
      <c r="B297" s="7" t="s">
        <v>122</v>
      </c>
      <c r="C297" s="138" t="s">
        <v>269</v>
      </c>
    </row>
    <row r="298" spans="1:6" x14ac:dyDescent="0.2">
      <c r="A298" s="33"/>
      <c r="B298" s="7" t="s">
        <v>123</v>
      </c>
      <c r="C298" s="27" t="s">
        <v>238</v>
      </c>
      <c r="D298" s="27"/>
    </row>
    <row r="299" spans="1:6" x14ac:dyDescent="0.2">
      <c r="A299" s="33"/>
      <c r="B299" s="7" t="s">
        <v>124</v>
      </c>
      <c r="C299" s="138" t="s">
        <v>270</v>
      </c>
    </row>
    <row r="300" spans="1:6" x14ac:dyDescent="0.2">
      <c r="A300" s="33"/>
      <c r="B300" s="7" t="s">
        <v>125</v>
      </c>
      <c r="C300" s="5" t="s">
        <v>243</v>
      </c>
    </row>
    <row r="301" spans="1:6" x14ac:dyDescent="0.2">
      <c r="A301" s="33"/>
      <c r="B301" s="7" t="s">
        <v>126</v>
      </c>
      <c r="C301" s="5" t="s">
        <v>206</v>
      </c>
    </row>
    <row r="302" spans="1:6" x14ac:dyDescent="0.2">
      <c r="A302" s="33"/>
      <c r="C302" s="5" t="s">
        <v>207</v>
      </c>
    </row>
    <row r="305" spans="1:19" x14ac:dyDescent="0.2">
      <c r="A305" s="32" t="s">
        <v>224</v>
      </c>
      <c r="B305" s="3" t="s">
        <v>241</v>
      </c>
    </row>
    <row r="306" spans="1:19" x14ac:dyDescent="0.2">
      <c r="A306" s="33"/>
      <c r="B306" s="4" t="s">
        <v>254</v>
      </c>
      <c r="N306" s="18"/>
      <c r="O306" s="18"/>
      <c r="P306" s="18"/>
      <c r="Q306" s="18"/>
      <c r="R306" s="18"/>
      <c r="S306" s="18"/>
    </row>
    <row r="307" spans="1:19" x14ac:dyDescent="0.2">
      <c r="A307" s="33"/>
      <c r="B307" s="4" t="s">
        <v>35</v>
      </c>
      <c r="N307" s="18"/>
      <c r="O307" s="18"/>
      <c r="P307" s="18"/>
      <c r="Q307" s="18"/>
      <c r="R307" s="18"/>
      <c r="S307" s="18"/>
    </row>
    <row r="308" spans="1:19" x14ac:dyDescent="0.2">
      <c r="A308" s="33"/>
      <c r="B308" s="4"/>
      <c r="N308" s="18"/>
      <c r="O308" s="18"/>
      <c r="P308" s="18"/>
      <c r="Q308" s="18"/>
      <c r="R308" s="18"/>
      <c r="S308" s="18"/>
    </row>
    <row r="309" spans="1:19" x14ac:dyDescent="0.2">
      <c r="A309" s="33"/>
      <c r="B309" s="83" t="s">
        <v>225</v>
      </c>
      <c r="C309" s="160">
        <f>'Attachment 3'!C32</f>
        <v>85.436999999999998</v>
      </c>
      <c r="D309" s="84"/>
      <c r="E309" s="108"/>
      <c r="N309" s="18"/>
      <c r="O309" s="132"/>
      <c r="P309" s="132"/>
      <c r="Q309" s="75"/>
      <c r="R309" s="75"/>
      <c r="S309" s="18"/>
    </row>
    <row r="310" spans="1:19" x14ac:dyDescent="0.2">
      <c r="A310" s="33"/>
      <c r="B310" s="85" t="s">
        <v>226</v>
      </c>
      <c r="C310" s="161">
        <f>K176*K57/SUMPRODUCT(C57:J57,C80:J80)</f>
        <v>18.121111132846185</v>
      </c>
      <c r="D310" s="84"/>
      <c r="N310" s="18"/>
      <c r="O310" s="74"/>
      <c r="P310" s="74"/>
      <c r="Q310" s="75"/>
      <c r="R310" s="75"/>
      <c r="S310" s="18"/>
    </row>
    <row r="311" spans="1:19" x14ac:dyDescent="0.2">
      <c r="A311" s="33"/>
      <c r="B311" s="86" t="s">
        <v>227</v>
      </c>
      <c r="C311" s="179">
        <f>C309-C310</f>
        <v>67.315888867153816</v>
      </c>
      <c r="D311" s="87"/>
      <c r="E311" s="136"/>
      <c r="N311" s="18"/>
      <c r="O311" s="76"/>
      <c r="P311" s="76"/>
      <c r="Q311" s="76"/>
      <c r="R311" s="76"/>
      <c r="S311" s="18"/>
    </row>
    <row r="312" spans="1:19" x14ac:dyDescent="0.2">
      <c r="A312" s="33"/>
      <c r="B312" s="4"/>
      <c r="N312" s="18"/>
      <c r="O312" s="133"/>
      <c r="P312" s="133"/>
      <c r="Q312" s="133"/>
      <c r="R312" s="133"/>
      <c r="S312" s="18"/>
    </row>
    <row r="313" spans="1:19" x14ac:dyDescent="0.2">
      <c r="A313" s="33"/>
      <c r="C313" s="21" t="s">
        <v>5</v>
      </c>
      <c r="D313" s="50" t="s">
        <v>139</v>
      </c>
      <c r="E313" s="21" t="s">
        <v>6</v>
      </c>
      <c r="F313" s="21" t="s">
        <v>7</v>
      </c>
      <c r="G313" s="21" t="s">
        <v>8</v>
      </c>
      <c r="H313" s="21" t="s">
        <v>9</v>
      </c>
      <c r="I313" s="21" t="s">
        <v>10</v>
      </c>
      <c r="J313" s="21" t="s">
        <v>11</v>
      </c>
      <c r="N313" s="18"/>
      <c r="O313" s="18"/>
      <c r="P313" s="18"/>
      <c r="Q313" s="18"/>
      <c r="R313" s="18"/>
      <c r="S313" s="18"/>
    </row>
    <row r="314" spans="1:19" x14ac:dyDescent="0.2">
      <c r="A314" s="33"/>
      <c r="B314" s="34" t="s">
        <v>44</v>
      </c>
      <c r="D314" s="110">
        <f>$C$311*D256*'Attachment 3'!E103</f>
        <v>74.222722553674828</v>
      </c>
      <c r="E314" s="110">
        <f>$C$311*E256*'Attachment 3'!$E$103</f>
        <v>68.952470064656509</v>
      </c>
      <c r="F314" s="110">
        <f>$C$311*F256*'Attachment 3'!$E$103</f>
        <v>61.925466745965394</v>
      </c>
      <c r="G314" s="110">
        <f>$C$311*G256*'Attachment 3'!$E$103</f>
        <v>65.072978649129126</v>
      </c>
      <c r="H314" s="110">
        <f>$C$311*H256*'Attachment 3'!$E$103</f>
        <v>62.43785240461996</v>
      </c>
      <c r="I314" s="110">
        <f>$C$311*I256*'Attachment 3'!$E$103</f>
        <v>47.139480596219528</v>
      </c>
      <c r="J314" s="110">
        <f>$C$311*J256*'Attachment 3'!$E$103</f>
        <v>58.631558940328944</v>
      </c>
      <c r="L314" s="113"/>
      <c r="M314" s="113"/>
      <c r="N314" s="18"/>
      <c r="O314" s="18"/>
      <c r="P314" s="18"/>
      <c r="Q314" s="134"/>
      <c r="R314" s="134"/>
      <c r="S314" s="18"/>
    </row>
    <row r="315" spans="1:19" x14ac:dyDescent="0.2">
      <c r="A315" s="33"/>
      <c r="B315" s="35" t="s">
        <v>134</v>
      </c>
      <c r="D315" s="110">
        <f>$C$311*D257*'Attachment 3'!E103</f>
        <v>81.249725872365957</v>
      </c>
      <c r="E315" s="110"/>
      <c r="F315" s="110"/>
      <c r="G315" s="110"/>
      <c r="H315" s="110"/>
      <c r="I315" s="110"/>
      <c r="J315" s="110"/>
      <c r="N315" s="18"/>
      <c r="O315" s="18"/>
      <c r="P315" s="18"/>
      <c r="Q315" s="18"/>
      <c r="R315" s="18"/>
      <c r="S315" s="18"/>
    </row>
    <row r="316" spans="1:19" x14ac:dyDescent="0.2">
      <c r="A316" s="33"/>
      <c r="B316" s="35" t="s">
        <v>37</v>
      </c>
      <c r="D316" s="110">
        <f>$C$311*D258*'Attachment 3'!E103</f>
        <v>46.041511327674037</v>
      </c>
      <c r="E316" s="110"/>
      <c r="F316" s="110"/>
      <c r="G316" s="110"/>
      <c r="H316" s="110"/>
      <c r="I316" s="110"/>
      <c r="J316" s="110"/>
      <c r="N316" s="18"/>
      <c r="O316" s="18"/>
      <c r="P316" s="18"/>
      <c r="Q316" s="18"/>
      <c r="R316" s="18"/>
      <c r="S316" s="18"/>
    </row>
    <row r="317" spans="1:19" x14ac:dyDescent="0.2">
      <c r="A317" s="33"/>
      <c r="B317" s="7" t="s">
        <v>73</v>
      </c>
      <c r="C317" s="110">
        <f>($C$311*$C$259+C260)*'Attachment 3'!E103</f>
        <v>66.545306692704358</v>
      </c>
      <c r="D317" s="110"/>
      <c r="E317" s="110"/>
      <c r="F317" s="110"/>
      <c r="G317" s="110"/>
      <c r="H317" s="110"/>
      <c r="I317" s="110"/>
      <c r="J317" s="110"/>
      <c r="N317" s="18"/>
      <c r="O317" s="18"/>
      <c r="P317" s="18"/>
      <c r="Q317" s="18"/>
      <c r="R317" s="18"/>
      <c r="S317" s="18"/>
    </row>
    <row r="318" spans="1:19" x14ac:dyDescent="0.2">
      <c r="A318" s="33"/>
      <c r="B318" s="7" t="s">
        <v>74</v>
      </c>
      <c r="C318" s="110">
        <f>($C$311*$C$259+C261)*'Attachment 3'!E103</f>
        <v>75.953318452704352</v>
      </c>
      <c r="D318" s="110"/>
      <c r="E318" s="110"/>
      <c r="F318" s="110"/>
      <c r="G318" s="110"/>
      <c r="H318" s="110"/>
      <c r="I318" s="110"/>
      <c r="J318" s="110"/>
      <c r="N318" s="18"/>
      <c r="O318" s="18"/>
      <c r="P318" s="18"/>
      <c r="Q318" s="18"/>
      <c r="R318" s="18"/>
      <c r="S318" s="18"/>
    </row>
    <row r="319" spans="1:19" x14ac:dyDescent="0.2">
      <c r="A319" s="33"/>
      <c r="B319" s="34" t="s">
        <v>45</v>
      </c>
      <c r="C319" s="110">
        <f>$C$311*C263*'Attachment 3'!E104</f>
        <v>76.905983024518463</v>
      </c>
      <c r="D319" s="110">
        <f>$C$311*D263*'Attachment 3'!E104</f>
        <v>84.450757946132384</v>
      </c>
      <c r="E319" s="110">
        <f>$C$311*E263*'Attachment 3'!$E$104</f>
        <v>68.283383114102534</v>
      </c>
      <c r="F319" s="110">
        <f>$C$311*F263*'Attachment 3'!$E$104</f>
        <v>57.251527346364526</v>
      </c>
      <c r="G319" s="110">
        <f>$C$311*G263*'Attachment 3'!$E$104</f>
        <v>63.781878749105992</v>
      </c>
      <c r="H319" s="110">
        <f>$C$311*H263*'Attachment 3'!$E$104</f>
        <v>59.343775854038974</v>
      </c>
      <c r="I319" s="110">
        <f>$C$311*I263*'Attachment 3'!$E$104</f>
        <v>46.980489217780857</v>
      </c>
      <c r="J319" s="110">
        <f>$C$311*J263*'Attachment 3'!$E$104</f>
        <v>57.441731756153118</v>
      </c>
      <c r="N319" s="18"/>
      <c r="O319" s="18"/>
      <c r="P319" s="18"/>
      <c r="Q319" s="134"/>
      <c r="R319" s="134"/>
      <c r="S319" s="18"/>
    </row>
    <row r="320" spans="1:19" x14ac:dyDescent="0.2">
      <c r="A320" s="33"/>
      <c r="B320" s="35" t="s">
        <v>134</v>
      </c>
      <c r="C320" s="110"/>
      <c r="D320" s="110">
        <f>$C$311*D264*'Attachment 3'!E104</f>
        <v>88.762057901340341</v>
      </c>
      <c r="E320" s="110"/>
      <c r="F320" s="110"/>
      <c r="G320" s="110"/>
      <c r="H320" s="110"/>
      <c r="I320" s="110"/>
      <c r="J320" s="110"/>
      <c r="N320" s="18"/>
      <c r="O320" s="18"/>
      <c r="P320" s="18"/>
      <c r="Q320" s="18"/>
      <c r="R320" s="18"/>
      <c r="S320" s="18"/>
    </row>
    <row r="321" spans="1:19" x14ac:dyDescent="0.2">
      <c r="A321" s="33"/>
      <c r="B321" s="35" t="s">
        <v>37</v>
      </c>
      <c r="C321" s="110"/>
      <c r="D321" s="110">
        <f>$C$311*D265*'Attachment 3'!E104</f>
        <v>46.473277458344626</v>
      </c>
      <c r="E321" s="110"/>
      <c r="F321" s="110"/>
      <c r="G321" s="110"/>
      <c r="H321" s="110"/>
      <c r="I321" s="110"/>
      <c r="J321" s="110"/>
      <c r="N321" s="18"/>
      <c r="O321" s="18"/>
      <c r="P321" s="18"/>
      <c r="Q321" s="18"/>
      <c r="R321" s="18"/>
      <c r="S321" s="18"/>
    </row>
    <row r="322" spans="1:19" x14ac:dyDescent="0.2">
      <c r="A322" s="33"/>
      <c r="B322" s="5" t="s">
        <v>46</v>
      </c>
      <c r="C322" s="110">
        <f t="shared" ref="C322:J322" si="63">$C$311*C266</f>
        <v>73.845530087267733</v>
      </c>
      <c r="D322" s="110">
        <f>$C$311*D266</f>
        <v>61.324774757977131</v>
      </c>
      <c r="E322" s="110">
        <f t="shared" si="63"/>
        <v>68.931470199965503</v>
      </c>
      <c r="F322" s="110">
        <f t="shared" si="63"/>
        <v>59.574561647431125</v>
      </c>
      <c r="G322" s="110">
        <f t="shared" si="63"/>
        <v>64.623253312467668</v>
      </c>
      <c r="H322" s="110">
        <f t="shared" si="63"/>
        <v>61.055511202508512</v>
      </c>
      <c r="I322" s="110">
        <f t="shared" si="63"/>
        <v>47.79428109567921</v>
      </c>
      <c r="J322" s="110">
        <f t="shared" si="63"/>
        <v>58.160927981220894</v>
      </c>
      <c r="N322" s="18"/>
      <c r="O322" s="18"/>
      <c r="P322" s="18"/>
      <c r="Q322" s="134"/>
      <c r="R322" s="134"/>
      <c r="S322" s="18"/>
    </row>
    <row r="323" spans="1:19" x14ac:dyDescent="0.2">
      <c r="A323" s="33"/>
      <c r="C323" s="162"/>
      <c r="D323" s="162"/>
      <c r="E323" s="162"/>
      <c r="F323" s="162"/>
      <c r="G323" s="162"/>
      <c r="H323" s="162"/>
      <c r="I323" s="162"/>
      <c r="J323" s="162"/>
      <c r="N323" s="18"/>
      <c r="O323" s="18"/>
      <c r="P323" s="18"/>
      <c r="Q323" s="135"/>
      <c r="R323" s="135"/>
      <c r="S323" s="18"/>
    </row>
    <row r="324" spans="1:19" x14ac:dyDescent="0.2">
      <c r="A324" s="19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N324" s="18"/>
      <c r="O324" s="18"/>
      <c r="P324" s="18"/>
      <c r="Q324" s="18"/>
      <c r="R324" s="18"/>
      <c r="S324" s="18"/>
    </row>
    <row r="325" spans="1:19" ht="12.75" customHeight="1" x14ac:dyDescent="0.2">
      <c r="A325" s="32" t="s">
        <v>228</v>
      </c>
      <c r="B325" s="17" t="s">
        <v>242</v>
      </c>
      <c r="C325" s="18"/>
      <c r="D325" s="18"/>
      <c r="E325" s="18"/>
      <c r="F325" s="18"/>
      <c r="G325" s="18"/>
      <c r="H325" s="18"/>
      <c r="I325" s="18"/>
      <c r="J325" s="18"/>
      <c r="K325" s="18"/>
      <c r="N325" s="18"/>
      <c r="O325" s="18"/>
      <c r="P325" s="18"/>
      <c r="Q325" s="18"/>
      <c r="R325" s="18"/>
      <c r="S325" s="18"/>
    </row>
    <row r="326" spans="1:19" x14ac:dyDescent="0.2">
      <c r="A326" s="33"/>
      <c r="B326" s="20" t="s">
        <v>256</v>
      </c>
      <c r="C326" s="18"/>
      <c r="D326" s="18"/>
      <c r="E326" s="18"/>
      <c r="F326" s="18"/>
      <c r="G326" s="18"/>
      <c r="H326" s="18"/>
      <c r="I326" s="18"/>
      <c r="J326" s="18"/>
      <c r="K326" s="18"/>
      <c r="N326" s="18"/>
      <c r="O326" s="18"/>
      <c r="P326" s="18"/>
      <c r="Q326" s="18"/>
      <c r="R326" s="18"/>
      <c r="S326" s="18"/>
    </row>
    <row r="327" spans="1:19" x14ac:dyDescent="0.2">
      <c r="A327" s="33"/>
      <c r="B327" s="20" t="s">
        <v>229</v>
      </c>
      <c r="C327" s="18"/>
      <c r="D327" s="18"/>
      <c r="E327" s="18"/>
      <c r="F327" s="18"/>
      <c r="G327" s="18"/>
      <c r="H327" s="18"/>
      <c r="I327" s="18"/>
      <c r="J327" s="18"/>
      <c r="K327" s="18"/>
      <c r="N327" s="18"/>
      <c r="O327" s="18"/>
      <c r="P327" s="18"/>
      <c r="Q327" s="18"/>
      <c r="R327" s="18"/>
      <c r="S327" s="18"/>
    </row>
    <row r="328" spans="1:19" x14ac:dyDescent="0.2">
      <c r="A328" s="33"/>
      <c r="B328" s="114" t="s">
        <v>230</v>
      </c>
      <c r="C328" s="18">
        <f>1/(1-(0.002311335+0.000552639))</f>
        <v>1.0028721999058532</v>
      </c>
      <c r="D328" s="18"/>
      <c r="E328" s="169"/>
      <c r="F328" s="18"/>
      <c r="G328" s="18"/>
      <c r="H328" s="18"/>
      <c r="I328" s="18"/>
      <c r="J328" s="18"/>
      <c r="K328" s="18"/>
      <c r="N328" s="18"/>
      <c r="O328" s="18"/>
      <c r="P328" s="18"/>
      <c r="Q328" s="18"/>
      <c r="R328" s="18"/>
      <c r="S328" s="18"/>
    </row>
    <row r="329" spans="1:19" x14ac:dyDescent="0.2">
      <c r="A329" s="33"/>
      <c r="B329" s="114" t="s">
        <v>231</v>
      </c>
      <c r="C329" s="18"/>
      <c r="D329" s="18"/>
      <c r="E329" s="18"/>
      <c r="F329" s="18"/>
      <c r="G329" s="18"/>
      <c r="H329" s="18"/>
      <c r="I329" s="18"/>
      <c r="J329" s="18"/>
      <c r="K329" s="18"/>
      <c r="N329" s="18"/>
      <c r="O329" s="115"/>
      <c r="P329" s="18"/>
      <c r="Q329" s="18"/>
      <c r="R329" s="18"/>
      <c r="S329" s="18"/>
    </row>
    <row r="330" spans="1:19" x14ac:dyDescent="0.2">
      <c r="A330" s="33"/>
      <c r="B330" s="20"/>
      <c r="C330" s="18"/>
      <c r="D330" s="18"/>
      <c r="E330" s="18"/>
      <c r="F330" s="18"/>
      <c r="G330" s="18"/>
      <c r="H330" s="18"/>
      <c r="I330" s="18"/>
      <c r="J330" s="18"/>
      <c r="K330" s="18"/>
      <c r="N330" s="18"/>
      <c r="O330" s="18"/>
      <c r="P330" s="18"/>
      <c r="Q330" s="18"/>
      <c r="R330" s="18"/>
      <c r="S330" s="18"/>
    </row>
    <row r="331" spans="1:19" x14ac:dyDescent="0.2">
      <c r="A331" s="33"/>
      <c r="B331" s="18"/>
      <c r="C331" s="21" t="s">
        <v>5</v>
      </c>
      <c r="D331" s="21" t="s">
        <v>139</v>
      </c>
      <c r="E331" s="21" t="s">
        <v>6</v>
      </c>
      <c r="F331" s="21" t="s">
        <v>7</v>
      </c>
      <c r="G331" s="21" t="s">
        <v>8</v>
      </c>
      <c r="H331" s="21" t="s">
        <v>9</v>
      </c>
      <c r="I331" s="21" t="s">
        <v>10</v>
      </c>
      <c r="J331" s="21" t="s">
        <v>11</v>
      </c>
      <c r="K331" s="18"/>
      <c r="N331" s="18"/>
      <c r="O331" s="18"/>
      <c r="P331" s="18"/>
      <c r="Q331" s="18"/>
      <c r="R331" s="18"/>
      <c r="S331" s="18"/>
    </row>
    <row r="332" spans="1:19" x14ac:dyDescent="0.2">
      <c r="A332" s="33"/>
      <c r="B332" s="23" t="s">
        <v>44</v>
      </c>
      <c r="C332" s="163"/>
      <c r="D332" s="163"/>
      <c r="E332" s="115">
        <f t="shared" ref="E332:J332" si="64">ROUND((E314*$C$328*1.06625)/1000,6)</f>
        <v>7.3732000000000006E-2</v>
      </c>
      <c r="F332" s="115">
        <f t="shared" si="64"/>
        <v>6.6217999999999999E-2</v>
      </c>
      <c r="G332" s="115">
        <f t="shared" si="64"/>
        <v>6.9583000000000006E-2</v>
      </c>
      <c r="H332" s="115">
        <f t="shared" si="64"/>
        <v>6.6766000000000006E-2</v>
      </c>
      <c r="I332" s="115">
        <f t="shared" si="64"/>
        <v>5.0407E-2</v>
      </c>
      <c r="J332" s="115">
        <f t="shared" si="64"/>
        <v>6.2695000000000001E-2</v>
      </c>
      <c r="K332" s="18"/>
    </row>
    <row r="333" spans="1:19" x14ac:dyDescent="0.2">
      <c r="A333" s="33"/>
      <c r="B333" s="116" t="s">
        <v>134</v>
      </c>
      <c r="C333" s="163"/>
      <c r="D333" s="115">
        <f>ROUND((D315*$C$328*1.06625)/1000,6)</f>
        <v>8.6881E-2</v>
      </c>
      <c r="E333" s="115"/>
      <c r="F333" s="115"/>
      <c r="G333" s="115"/>
      <c r="H333" s="115"/>
      <c r="I333" s="115"/>
      <c r="J333" s="164"/>
      <c r="K333" s="18"/>
    </row>
    <row r="334" spans="1:19" x14ac:dyDescent="0.2">
      <c r="A334" s="33"/>
      <c r="B334" s="116" t="s">
        <v>37</v>
      </c>
      <c r="C334" s="163"/>
      <c r="D334" s="115">
        <f>ROUND((D316*$C$328*1.06625)/1000,6)</f>
        <v>4.9232999999999999E-2</v>
      </c>
      <c r="E334" s="115"/>
      <c r="F334" s="115"/>
      <c r="G334" s="115"/>
      <c r="H334" s="115"/>
      <c r="I334" s="115"/>
      <c r="J334" s="164"/>
      <c r="K334" s="18"/>
    </row>
    <row r="335" spans="1:19" x14ac:dyDescent="0.2">
      <c r="A335" s="33"/>
      <c r="B335" s="73" t="s">
        <v>73</v>
      </c>
      <c r="C335" s="115">
        <f>ROUND((C317*$C$328*1.06625)/1000,6)</f>
        <v>7.1157999999999999E-2</v>
      </c>
      <c r="D335" s="115"/>
      <c r="E335" s="115"/>
      <c r="F335" s="115"/>
      <c r="G335" s="115"/>
      <c r="H335" s="115"/>
      <c r="I335" s="115"/>
      <c r="J335" s="18"/>
      <c r="K335" s="18"/>
    </row>
    <row r="336" spans="1:19" x14ac:dyDescent="0.2">
      <c r="A336" s="33"/>
      <c r="B336" s="73" t="s">
        <v>74</v>
      </c>
      <c r="C336" s="115">
        <f>ROUND((C318*$C$328*1.06625)/1000,6)</f>
        <v>8.1217999999999999E-2</v>
      </c>
      <c r="D336" s="115"/>
      <c r="E336" s="115"/>
      <c r="F336" s="115"/>
      <c r="G336" s="115"/>
      <c r="H336" s="115"/>
      <c r="I336" s="115"/>
      <c r="J336" s="18"/>
      <c r="K336" s="18"/>
    </row>
    <row r="337" spans="1:11" x14ac:dyDescent="0.2">
      <c r="A337" s="33"/>
      <c r="B337" s="23" t="s">
        <v>45</v>
      </c>
      <c r="C337" s="115">
        <f>ROUND((C319*$C$328*1.06625)/1000,6)</f>
        <v>8.2237000000000005E-2</v>
      </c>
      <c r="D337" s="115"/>
      <c r="E337" s="115">
        <f t="shared" ref="E337:J337" si="65">ROUND((E319*$C$328*1.06625)/1000,6)</f>
        <v>7.3015999999999998E-2</v>
      </c>
      <c r="F337" s="115">
        <f t="shared" si="65"/>
        <v>6.1219999999999997E-2</v>
      </c>
      <c r="G337" s="115">
        <f t="shared" si="65"/>
        <v>6.8203E-2</v>
      </c>
      <c r="H337" s="115">
        <f t="shared" si="65"/>
        <v>6.3457E-2</v>
      </c>
      <c r="I337" s="115">
        <f t="shared" si="65"/>
        <v>5.0236999999999997E-2</v>
      </c>
      <c r="J337" s="115">
        <f t="shared" si="65"/>
        <v>6.1422999999999998E-2</v>
      </c>
      <c r="K337" s="18"/>
    </row>
    <row r="338" spans="1:11" x14ac:dyDescent="0.2">
      <c r="A338" s="33"/>
      <c r="B338" s="116" t="s">
        <v>134</v>
      </c>
      <c r="C338" s="115"/>
      <c r="D338" s="115">
        <f>ROUND((D320*$C$328*1.06625)/1000,6)</f>
        <v>9.4913999999999998E-2</v>
      </c>
      <c r="E338" s="115"/>
      <c r="F338" s="115"/>
      <c r="G338" s="115"/>
      <c r="H338" s="115"/>
      <c r="I338" s="115"/>
      <c r="J338" s="164"/>
      <c r="K338" s="18"/>
    </row>
    <row r="339" spans="1:11" x14ac:dyDescent="0.2">
      <c r="A339" s="33"/>
      <c r="B339" s="116" t="s">
        <v>37</v>
      </c>
      <c r="C339" s="115"/>
      <c r="D339" s="115">
        <f>ROUND((D321*$C$328*1.06625)/1000,6)</f>
        <v>4.9694000000000002E-2</v>
      </c>
      <c r="E339" s="115"/>
      <c r="F339" s="115"/>
      <c r="G339" s="115"/>
      <c r="H339" s="115"/>
      <c r="I339" s="115"/>
      <c r="J339" s="164"/>
      <c r="K339" s="18"/>
    </row>
    <row r="340" spans="1:11" x14ac:dyDescent="0.2">
      <c r="A340" s="33"/>
      <c r="B340" s="18" t="s">
        <v>46</v>
      </c>
      <c r="C340" s="115">
        <f>ROUND((C322*$C$328*1.06625)/1000,6)</f>
        <v>7.8964000000000006E-2</v>
      </c>
      <c r="D340" s="115">
        <f>ROUND((D322*$C$328*1.06625)/1000,6)</f>
        <v>6.5574999999999994E-2</v>
      </c>
      <c r="E340" s="115">
        <f t="shared" ref="E340:J340" si="66">ROUND((E322*$C$328*1.06625)/1000,6)</f>
        <v>7.3708999999999997E-2</v>
      </c>
      <c r="F340" s="115">
        <f t="shared" si="66"/>
        <v>6.3703999999999997E-2</v>
      </c>
      <c r="G340" s="115">
        <f t="shared" si="66"/>
        <v>6.9101999999999997E-2</v>
      </c>
      <c r="H340" s="115">
        <f t="shared" si="66"/>
        <v>6.5286999999999998E-2</v>
      </c>
      <c r="I340" s="115">
        <f t="shared" si="66"/>
        <v>5.1107E-2</v>
      </c>
      <c r="J340" s="115">
        <f t="shared" si="66"/>
        <v>6.2191999999999997E-2</v>
      </c>
      <c r="K340" s="18"/>
    </row>
    <row r="341" spans="1:11" x14ac:dyDescent="0.2">
      <c r="C341" s="136"/>
    </row>
    <row r="342" spans="1:11" x14ac:dyDescent="0.2">
      <c r="C342" s="136"/>
    </row>
    <row r="343" spans="1:11" x14ac:dyDescent="0.2">
      <c r="C343" s="18"/>
      <c r="D343" s="189"/>
    </row>
    <row r="344" spans="1:11" x14ac:dyDescent="0.2">
      <c r="C344" s="138"/>
    </row>
    <row r="347" spans="1:11" x14ac:dyDescent="0.2">
      <c r="D347" s="108"/>
    </row>
    <row r="348" spans="1:11" x14ac:dyDescent="0.2">
      <c r="D348" s="108"/>
    </row>
    <row r="353" spans="4:4" x14ac:dyDescent="0.2">
      <c r="D353" s="136"/>
    </row>
    <row r="354" spans="4:4" x14ac:dyDescent="0.2">
      <c r="D354" s="136"/>
    </row>
    <row r="355" spans="4:4" x14ac:dyDescent="0.2">
      <c r="D355" s="136"/>
    </row>
    <row r="356" spans="4:4" x14ac:dyDescent="0.2">
      <c r="D356" s="136"/>
    </row>
    <row r="357" spans="4:4" x14ac:dyDescent="0.2">
      <c r="D357" s="136"/>
    </row>
    <row r="358" spans="4:4" x14ac:dyDescent="0.2">
      <c r="D358" s="136"/>
    </row>
    <row r="359" spans="4:4" x14ac:dyDescent="0.2">
      <c r="D359" s="136"/>
    </row>
    <row r="360" spans="4:4" x14ac:dyDescent="0.2">
      <c r="D360" s="136"/>
    </row>
  </sheetData>
  <customSheetViews>
    <customSheetView guid="{E387223A-F425-4996-A843-D576BB2C4D04}" scale="87" showPageBreaks="1" printArea="1" hiddenRows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1"/>
      <headerFooter alignWithMargins="0">
        <oddHeader>&amp;L&amp;12Atlantic City Electric Company
Attachment 2</oddHeader>
        <oddFooter>&amp;CPage &amp;P of &amp;N</oddFooter>
      </headerFooter>
    </customSheetView>
    <customSheetView guid="{689761CC-C80B-4574-9251-22E069AE5A7E}" scale="87" showPageBreaks="1" printArea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2"/>
      <headerFooter alignWithMargins="0">
        <oddHeader>&amp;L&amp;12Atlantic City Electric Company
Attachment 2</oddHeader>
        <oddFooter>&amp;CPage &amp;P of &amp;N</oddFooter>
      </headerFooter>
    </customSheetView>
  </customSheetViews>
  <phoneticPr fontId="10" type="noConversion"/>
  <pageMargins left="0.75" right="0.75" top="1" bottom="1" header="0.5" footer="0.5"/>
  <pageSetup scale="47" orientation="landscape" r:id="rId3"/>
  <headerFooter alignWithMargins="0">
    <oddHeader>&amp;L&amp;"Arial,Bold"Atlantic City Electric Company &amp;"Arial,Regular"
Development of BGS Rates
June 2020 - May 2021
&amp;RAttachment 2
Page &amp;P of &amp;N</oddHeader>
  </headerFooter>
  <rowBreaks count="6" manualBreakCount="6">
    <brk id="58" max="12" man="1"/>
    <brk id="120" max="12" man="1"/>
    <brk id="182" max="12" man="1"/>
    <brk id="227" max="12" man="1"/>
    <brk id="267" max="12" man="1"/>
    <brk id="30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2"/>
  <sheetViews>
    <sheetView zoomScale="80" zoomScaleNormal="80" workbookViewId="0"/>
  </sheetViews>
  <sheetFormatPr defaultColWidth="9.140625" defaultRowHeight="12.75" x14ac:dyDescent="0.2"/>
  <cols>
    <col min="1" max="1" width="12.85546875" style="5" customWidth="1"/>
    <col min="2" max="2" width="36.28515625" style="5" customWidth="1"/>
    <col min="3" max="5" width="13.140625" style="5" customWidth="1"/>
    <col min="6" max="6" width="11.85546875" style="5" customWidth="1"/>
    <col min="7" max="8" width="10.7109375" style="5" customWidth="1"/>
    <col min="9" max="9" width="11" style="5" customWidth="1"/>
    <col min="10" max="11" width="10.7109375" style="5" customWidth="1"/>
    <col min="12" max="12" width="14.28515625" style="5" bestFit="1" customWidth="1"/>
    <col min="13" max="13" width="9.85546875" style="5" bestFit="1" customWidth="1"/>
    <col min="14" max="14" width="11.5703125" style="5" bestFit="1" customWidth="1"/>
    <col min="15" max="15" width="9.85546875" style="5" bestFit="1" customWidth="1"/>
    <col min="16" max="16" width="11.5703125" style="5" bestFit="1" customWidth="1"/>
    <col min="17" max="17" width="10" style="5" bestFit="1" customWidth="1"/>
    <col min="18" max="18" width="11.5703125" style="5" bestFit="1" customWidth="1"/>
    <col min="19" max="19" width="10" style="5" bestFit="1" customWidth="1"/>
    <col min="20" max="20" width="11.42578125" style="5" bestFit="1" customWidth="1"/>
    <col min="21" max="21" width="9.140625" style="5"/>
    <col min="22" max="22" width="12.28515625" style="5" bestFit="1" customWidth="1"/>
    <col min="23" max="23" width="9.140625" style="5"/>
    <col min="24" max="24" width="11.28515625" style="5" bestFit="1" customWidth="1"/>
    <col min="25" max="16384" width="9.140625" style="5"/>
  </cols>
  <sheetData>
    <row r="1" spans="1:15" x14ac:dyDescent="0.2">
      <c r="A1" s="3" t="s">
        <v>237</v>
      </c>
    </row>
    <row r="2" spans="1:15" x14ac:dyDescent="0.2">
      <c r="A2" s="138" t="s">
        <v>264</v>
      </c>
    </row>
    <row r="3" spans="1:15" x14ac:dyDescent="0.2">
      <c r="A3" s="138" t="s">
        <v>265</v>
      </c>
    </row>
    <row r="5" spans="1:15" x14ac:dyDescent="0.2">
      <c r="A5" s="32" t="s">
        <v>221</v>
      </c>
      <c r="B5" s="3" t="s">
        <v>222</v>
      </c>
    </row>
    <row r="6" spans="1:15" ht="51" x14ac:dyDescent="0.2">
      <c r="A6" s="54" t="s">
        <v>166</v>
      </c>
      <c r="B6" s="3" t="s">
        <v>167</v>
      </c>
      <c r="C6" s="139" t="s">
        <v>257</v>
      </c>
      <c r="D6" s="139" t="s">
        <v>266</v>
      </c>
      <c r="E6" s="139" t="s">
        <v>267</v>
      </c>
      <c r="G6" s="139" t="s">
        <v>168</v>
      </c>
    </row>
    <row r="8" spans="1:15" x14ac:dyDescent="0.2">
      <c r="A8" s="54">
        <v>1</v>
      </c>
      <c r="B8" s="5" t="s">
        <v>169</v>
      </c>
      <c r="C8" s="6">
        <v>81.23</v>
      </c>
      <c r="D8" s="6">
        <v>87.4</v>
      </c>
      <c r="E8" s="6">
        <v>87.4</v>
      </c>
      <c r="F8" s="108"/>
      <c r="G8" s="5" t="s">
        <v>170</v>
      </c>
      <c r="O8" s="108"/>
    </row>
    <row r="9" spans="1:15" x14ac:dyDescent="0.2">
      <c r="A9" s="189" t="s">
        <v>271</v>
      </c>
      <c r="B9" s="193" t="s">
        <v>272</v>
      </c>
      <c r="C9" s="194"/>
      <c r="D9" s="194"/>
      <c r="E9" s="195">
        <v>0</v>
      </c>
      <c r="F9" s="108"/>
      <c r="G9" s="138" t="s">
        <v>274</v>
      </c>
      <c r="O9" s="108"/>
    </row>
    <row r="10" spans="1:15" x14ac:dyDescent="0.2">
      <c r="A10" s="189" t="s">
        <v>276</v>
      </c>
      <c r="B10" s="193" t="s">
        <v>273</v>
      </c>
      <c r="C10" s="6">
        <f>C8</f>
        <v>81.23</v>
      </c>
      <c r="D10" s="6">
        <f>D8</f>
        <v>87.4</v>
      </c>
      <c r="E10" s="6">
        <f>SUM(E8:E9)</f>
        <v>87.4</v>
      </c>
      <c r="F10" s="108"/>
      <c r="G10" s="178" t="s">
        <v>275</v>
      </c>
      <c r="O10" s="108"/>
    </row>
    <row r="11" spans="1:15" x14ac:dyDescent="0.2">
      <c r="A11" s="54"/>
      <c r="C11" s="6"/>
      <c r="D11" s="6"/>
      <c r="E11" s="6"/>
      <c r="F11" s="108"/>
      <c r="O11" s="108"/>
    </row>
    <row r="12" spans="1:15" x14ac:dyDescent="0.2">
      <c r="A12" s="54">
        <v>2</v>
      </c>
      <c r="B12" s="289" t="s">
        <v>171</v>
      </c>
      <c r="C12" s="43">
        <v>7</v>
      </c>
      <c r="D12" s="43">
        <v>7</v>
      </c>
      <c r="E12" s="43">
        <v>8</v>
      </c>
      <c r="G12" s="5" t="s">
        <v>172</v>
      </c>
    </row>
    <row r="13" spans="1:15" x14ac:dyDescent="0.2">
      <c r="A13" s="54">
        <v>3</v>
      </c>
      <c r="B13" s="5" t="s">
        <v>173</v>
      </c>
      <c r="C13" s="43">
        <v>22</v>
      </c>
      <c r="D13" s="43">
        <v>22</v>
      </c>
      <c r="E13" s="43">
        <f>+D13</f>
        <v>22</v>
      </c>
      <c r="G13" s="5" t="s">
        <v>172</v>
      </c>
    </row>
    <row r="14" spans="1:15" x14ac:dyDescent="0.2">
      <c r="A14" s="54"/>
      <c r="C14" s="140"/>
      <c r="D14" s="140"/>
      <c r="E14" s="140"/>
    </row>
    <row r="15" spans="1:15" x14ac:dyDescent="0.2">
      <c r="A15" s="54"/>
      <c r="B15" s="5" t="s">
        <v>174</v>
      </c>
    </row>
    <row r="16" spans="1:15" x14ac:dyDescent="0.2">
      <c r="A16" s="54">
        <v>4</v>
      </c>
      <c r="B16" s="141" t="s">
        <v>175</v>
      </c>
      <c r="C16" s="81">
        <v>1</v>
      </c>
      <c r="D16" s="81">
        <v>1</v>
      </c>
      <c r="E16" s="142">
        <f>'Attachment 2'!M287</f>
        <v>1</v>
      </c>
      <c r="G16" s="5" t="s">
        <v>176</v>
      </c>
      <c r="K16" s="81"/>
    </row>
    <row r="17" spans="1:11" x14ac:dyDescent="0.2">
      <c r="A17" s="54">
        <v>5</v>
      </c>
      <c r="B17" s="141" t="s">
        <v>177</v>
      </c>
      <c r="C17" s="81">
        <v>1</v>
      </c>
      <c r="D17" s="81">
        <v>1</v>
      </c>
      <c r="E17" s="142">
        <f>'Attachment 2'!M288</f>
        <v>1</v>
      </c>
      <c r="G17" s="5" t="s">
        <v>176</v>
      </c>
      <c r="K17" s="81"/>
    </row>
    <row r="18" spans="1:11" x14ac:dyDescent="0.2">
      <c r="A18" s="54"/>
    </row>
    <row r="19" spans="1:11" x14ac:dyDescent="0.2">
      <c r="A19" s="54"/>
      <c r="B19" s="5" t="s">
        <v>178</v>
      </c>
    </row>
    <row r="20" spans="1:11" x14ac:dyDescent="0.2">
      <c r="A20" s="54">
        <v>6</v>
      </c>
      <c r="B20" s="5" t="s">
        <v>179</v>
      </c>
      <c r="C20" s="44">
        <f>SUMPRODUCT('Attachment 2'!O$48:V$48,'Attachment 2'!C$84:J$84)</f>
        <v>2556812.0835283948</v>
      </c>
      <c r="D20" s="44"/>
      <c r="E20" s="45"/>
      <c r="G20" s="5" t="s">
        <v>180</v>
      </c>
    </row>
    <row r="21" spans="1:11" x14ac:dyDescent="0.2">
      <c r="A21" s="54">
        <v>7</v>
      </c>
      <c r="B21" s="5" t="s">
        <v>181</v>
      </c>
      <c r="C21" s="44">
        <f>SUMPRODUCT('Attachment 2'!O$45:V$45,'Attachment 2'!C$84:J$84)</f>
        <v>3329360.4842075976</v>
      </c>
      <c r="D21" s="44"/>
      <c r="E21" s="45"/>
    </row>
    <row r="22" spans="1:11" x14ac:dyDescent="0.2">
      <c r="A22" s="54"/>
      <c r="D22" s="38"/>
    </row>
    <row r="23" spans="1:11" x14ac:dyDescent="0.2">
      <c r="A23" s="54"/>
      <c r="B23" s="5" t="s">
        <v>182</v>
      </c>
    </row>
    <row r="24" spans="1:11" x14ac:dyDescent="0.2">
      <c r="A24" s="54">
        <v>8</v>
      </c>
      <c r="B24" s="141" t="s">
        <v>175</v>
      </c>
      <c r="C24" s="55">
        <f t="shared" ref="C24:E25" si="0">(+C$10*C$12/C$13*C16*$C20/1000)</f>
        <v>66083.132673412751</v>
      </c>
      <c r="D24" s="55">
        <f t="shared" si="0"/>
        <v>71102.619668303276</v>
      </c>
      <c r="E24" s="55">
        <f t="shared" si="0"/>
        <v>81260.136763775168</v>
      </c>
      <c r="G24" s="178" t="s">
        <v>278</v>
      </c>
    </row>
    <row r="25" spans="1:11" x14ac:dyDescent="0.2">
      <c r="A25" s="54">
        <v>9</v>
      </c>
      <c r="B25" s="141" t="s">
        <v>177</v>
      </c>
      <c r="C25" s="181">
        <f t="shared" si="0"/>
        <v>86050.348405694647</v>
      </c>
      <c r="D25" s="181">
        <f t="shared" si="0"/>
        <v>92586.488374464025</v>
      </c>
      <c r="E25" s="181">
        <f t="shared" si="0"/>
        <v>105813.12957081603</v>
      </c>
      <c r="G25" s="178" t="s">
        <v>277</v>
      </c>
    </row>
    <row r="26" spans="1:11" x14ac:dyDescent="0.2">
      <c r="A26" s="54">
        <v>10</v>
      </c>
      <c r="B26" s="5" t="s">
        <v>183</v>
      </c>
      <c r="C26" s="41">
        <f>+C25+C24</f>
        <v>152133.48107910738</v>
      </c>
      <c r="D26" s="41">
        <f>+D25+D24</f>
        <v>163689.1080427673</v>
      </c>
      <c r="E26" s="41">
        <f>+E25+E24</f>
        <v>187073.2663345912</v>
      </c>
    </row>
    <row r="27" spans="1:11" x14ac:dyDescent="0.2">
      <c r="A27" s="54"/>
    </row>
    <row r="28" spans="1:11" x14ac:dyDescent="0.2">
      <c r="A28" s="54"/>
      <c r="B28" s="5" t="s">
        <v>184</v>
      </c>
    </row>
    <row r="29" spans="1:11" x14ac:dyDescent="0.2">
      <c r="A29" s="54">
        <v>11</v>
      </c>
      <c r="B29" s="141" t="s">
        <v>175</v>
      </c>
      <c r="C29" s="143">
        <f>ROUND(+SUM(C24:E24)/C20*1000,3)</f>
        <v>85.436999999999998</v>
      </c>
      <c r="D29" s="109"/>
      <c r="G29" s="178" t="s">
        <v>258</v>
      </c>
    </row>
    <row r="30" spans="1:11" x14ac:dyDescent="0.2">
      <c r="A30" s="54">
        <v>12</v>
      </c>
      <c r="B30" s="141" t="s">
        <v>177</v>
      </c>
      <c r="C30" s="130">
        <f>ROUND(+SUM(C25:E25)/C21*1000,3)</f>
        <v>85.436999999999998</v>
      </c>
      <c r="G30" s="178" t="s">
        <v>259</v>
      </c>
    </row>
    <row r="31" spans="1:11" x14ac:dyDescent="0.2">
      <c r="A31" s="54"/>
      <c r="B31" s="141"/>
      <c r="C31" s="144"/>
      <c r="G31" s="105"/>
    </row>
    <row r="32" spans="1:11" x14ac:dyDescent="0.2">
      <c r="A32" s="54">
        <v>13</v>
      </c>
      <c r="B32" s="5" t="s">
        <v>185</v>
      </c>
      <c r="C32" s="145">
        <f>ROUND(+SUM(C26:E26)/(C20+C21)*1000,3)</f>
        <v>85.436999999999998</v>
      </c>
      <c r="D32" s="5" t="s">
        <v>186</v>
      </c>
      <c r="G32" s="178" t="s">
        <v>260</v>
      </c>
    </row>
    <row r="33" spans="1:13" x14ac:dyDescent="0.2">
      <c r="D33" s="5" t="s">
        <v>187</v>
      </c>
      <c r="G33" s="5" t="s">
        <v>188</v>
      </c>
    </row>
    <row r="34" spans="1:13" x14ac:dyDescent="0.2">
      <c r="C34" s="109"/>
    </row>
    <row r="35" spans="1:13" x14ac:dyDescent="0.2">
      <c r="B35" s="27" t="s">
        <v>189</v>
      </c>
      <c r="D35" s="109"/>
    </row>
    <row r="36" spans="1:13" x14ac:dyDescent="0.2">
      <c r="A36" s="54">
        <v>14</v>
      </c>
      <c r="B36" s="7" t="s">
        <v>190</v>
      </c>
      <c r="C36" s="41">
        <f>(C32*(C21+C20))/1000</f>
        <v>502896.92566965998</v>
      </c>
      <c r="D36" s="109"/>
      <c r="G36" s="178" t="s">
        <v>261</v>
      </c>
    </row>
    <row r="37" spans="1:13" ht="15" x14ac:dyDescent="0.35">
      <c r="A37" s="54">
        <v>15</v>
      </c>
      <c r="B37" s="7" t="s">
        <v>191</v>
      </c>
      <c r="C37" s="57">
        <f>SUM(C26:E26)</f>
        <v>502895.85545646586</v>
      </c>
      <c r="D37" s="109"/>
      <c r="G37" s="178" t="s">
        <v>262</v>
      </c>
    </row>
    <row r="38" spans="1:13" x14ac:dyDescent="0.2">
      <c r="A38" s="54">
        <v>16</v>
      </c>
      <c r="B38" s="7" t="s">
        <v>192</v>
      </c>
      <c r="C38" s="55">
        <f>+C36-C37</f>
        <v>1.0702131941216066</v>
      </c>
      <c r="D38" s="109"/>
      <c r="G38" s="178" t="s">
        <v>263</v>
      </c>
    </row>
    <row r="39" spans="1:13" x14ac:dyDescent="0.2">
      <c r="B39" s="7"/>
      <c r="D39" s="109"/>
    </row>
    <row r="41" spans="1:13" x14ac:dyDescent="0.2">
      <c r="A41" s="32" t="s">
        <v>223</v>
      </c>
      <c r="B41" s="3" t="s">
        <v>193</v>
      </c>
      <c r="G41" s="4" t="s">
        <v>194</v>
      </c>
    </row>
    <row r="42" spans="1:13" x14ac:dyDescent="0.2">
      <c r="A42" s="33"/>
      <c r="B42" s="3"/>
      <c r="G42" s="4" t="s">
        <v>212</v>
      </c>
    </row>
    <row r="43" spans="1:13" x14ac:dyDescent="0.2">
      <c r="B43" s="3"/>
    </row>
    <row r="44" spans="1:13" x14ac:dyDescent="0.2">
      <c r="B44" s="4" t="s">
        <v>255</v>
      </c>
    </row>
    <row r="45" spans="1:13" x14ac:dyDescent="0.2">
      <c r="B45" s="3"/>
    </row>
    <row r="46" spans="1:13" x14ac:dyDescent="0.2">
      <c r="C46" s="28" t="s">
        <v>5</v>
      </c>
      <c r="D46" s="28" t="s">
        <v>139</v>
      </c>
      <c r="E46" s="28" t="s">
        <v>6</v>
      </c>
      <c r="F46" s="28" t="s">
        <v>7</v>
      </c>
      <c r="G46" s="28" t="s">
        <v>8</v>
      </c>
      <c r="H46" s="28" t="s">
        <v>9</v>
      </c>
      <c r="I46" s="28" t="s">
        <v>10</v>
      </c>
      <c r="J46" s="28" t="s">
        <v>11</v>
      </c>
      <c r="K46" s="28" t="s">
        <v>29</v>
      </c>
    </row>
    <row r="47" spans="1:13" x14ac:dyDescent="0.2">
      <c r="C47" s="28"/>
      <c r="D47" s="28"/>
      <c r="E47" s="28"/>
      <c r="F47" s="28"/>
      <c r="G47" s="28"/>
    </row>
    <row r="48" spans="1:13" x14ac:dyDescent="0.2">
      <c r="B48" s="34" t="s">
        <v>44</v>
      </c>
      <c r="D48" s="180">
        <f>'Attachment 2'!D214</f>
        <v>1.1120000000000001</v>
      </c>
      <c r="E48" s="3">
        <f>'Attachment 2'!E214</f>
        <v>0.93</v>
      </c>
      <c r="F48" s="3">
        <f>'Attachment 2'!F214</f>
        <v>0.79100000000000004</v>
      </c>
      <c r="G48" s="3">
        <f>'Attachment 2'!G214</f>
        <v>0.83699999999999997</v>
      </c>
      <c r="H48" s="3">
        <f>'Attachment 2'!H214</f>
        <v>0.81399999999999995</v>
      </c>
      <c r="I48" s="3">
        <f>'Attachment 2'!I214</f>
        <v>0.503</v>
      </c>
      <c r="J48" s="3">
        <f>'Attachment 2'!J214</f>
        <v>0.71</v>
      </c>
      <c r="K48" s="46"/>
      <c r="L48" s="46"/>
      <c r="M48" s="46"/>
    </row>
    <row r="49" spans="2:13" x14ac:dyDescent="0.2">
      <c r="B49" s="35" t="s">
        <v>134</v>
      </c>
      <c r="D49" s="180">
        <f>'Attachment 2'!D215</f>
        <v>1.1870000000000001</v>
      </c>
      <c r="E49" s="3"/>
      <c r="F49" s="3"/>
      <c r="G49" s="3"/>
      <c r="H49" s="3"/>
      <c r="I49" s="3"/>
      <c r="J49" s="3"/>
      <c r="K49" s="46"/>
      <c r="L49" s="46"/>
      <c r="M49" s="46"/>
    </row>
    <row r="50" spans="2:13" x14ac:dyDescent="0.2">
      <c r="B50" s="35" t="s">
        <v>37</v>
      </c>
      <c r="D50" s="180">
        <f>'Attachment 2'!D216</f>
        <v>0.49099999999999999</v>
      </c>
      <c r="E50" s="3"/>
      <c r="F50" s="3"/>
      <c r="G50" s="3"/>
      <c r="H50" s="3"/>
      <c r="I50" s="3"/>
      <c r="J50" s="3"/>
      <c r="K50" s="49"/>
      <c r="L50" s="46"/>
      <c r="M50" s="46"/>
    </row>
    <row r="51" spans="2:13" x14ac:dyDescent="0.2">
      <c r="E51" s="25"/>
      <c r="F51" s="47"/>
      <c r="G51" s="47"/>
      <c r="L51" s="46"/>
      <c r="M51" s="46"/>
    </row>
    <row r="52" spans="2:13" x14ac:dyDescent="0.2">
      <c r="B52" s="14" t="s">
        <v>91</v>
      </c>
      <c r="C52" s="30">
        <f>'Attachment 2'!C217</f>
        <v>1.016</v>
      </c>
      <c r="D52" s="30"/>
      <c r="E52" s="25"/>
      <c r="F52" s="47"/>
      <c r="G52" s="47"/>
      <c r="H52" s="47"/>
      <c r="I52" s="47"/>
      <c r="J52" s="47"/>
      <c r="K52" s="46"/>
      <c r="L52" s="46"/>
      <c r="M52" s="46"/>
    </row>
    <row r="53" spans="2:13" x14ac:dyDescent="0.2">
      <c r="B53" s="14" t="s">
        <v>92</v>
      </c>
      <c r="C53" s="30">
        <f>'Attachment 2'!C218</f>
        <v>-3.3580979445735295</v>
      </c>
      <c r="D53" s="30"/>
      <c r="E53" s="42" t="s">
        <v>93</v>
      </c>
      <c r="F53" s="47"/>
      <c r="G53" s="47"/>
      <c r="H53" s="47"/>
      <c r="I53" s="47"/>
      <c r="J53" s="47"/>
      <c r="K53" s="46"/>
      <c r="L53" s="46"/>
      <c r="M53" s="46"/>
    </row>
    <row r="54" spans="2:13" x14ac:dyDescent="0.2">
      <c r="B54" s="14" t="s">
        <v>92</v>
      </c>
      <c r="C54" s="30">
        <f>'Attachment 2'!C219</f>
        <v>5.2939020554264715</v>
      </c>
      <c r="D54" s="30"/>
      <c r="E54" s="42" t="s">
        <v>94</v>
      </c>
      <c r="F54" s="47"/>
      <c r="G54" s="47"/>
      <c r="H54" s="47"/>
      <c r="I54" s="47"/>
      <c r="J54" s="47"/>
      <c r="K54" s="46"/>
      <c r="L54" s="46"/>
      <c r="M54" s="46"/>
    </row>
    <row r="55" spans="2:13" x14ac:dyDescent="0.2">
      <c r="G55" s="47"/>
      <c r="H55" s="47"/>
      <c r="I55" s="47"/>
      <c r="J55" s="47"/>
      <c r="K55" s="46"/>
      <c r="L55" s="46"/>
      <c r="M55" s="46"/>
    </row>
    <row r="56" spans="2:13" x14ac:dyDescent="0.2">
      <c r="H56" s="47"/>
      <c r="I56" s="47"/>
      <c r="J56" s="47"/>
      <c r="K56" s="46"/>
      <c r="L56" s="46"/>
      <c r="M56" s="46"/>
    </row>
    <row r="57" spans="2:13" x14ac:dyDescent="0.2">
      <c r="C57" s="47"/>
      <c r="D57" s="47"/>
      <c r="E57" s="47"/>
      <c r="F57" s="47"/>
      <c r="G57" s="47"/>
      <c r="H57" s="47"/>
      <c r="I57" s="47"/>
      <c r="J57" s="47"/>
      <c r="K57" s="46"/>
      <c r="L57" s="46"/>
      <c r="M57" s="46"/>
    </row>
    <row r="58" spans="2:13" x14ac:dyDescent="0.2">
      <c r="B58" s="34" t="s">
        <v>45</v>
      </c>
      <c r="C58" s="30">
        <f>'Attachment 2'!C221</f>
        <v>1.2150000000000001</v>
      </c>
      <c r="D58" s="30">
        <f>'Attachment 2'!D221</f>
        <v>1.36</v>
      </c>
      <c r="E58" s="30">
        <f>'Attachment 2'!E221</f>
        <v>1.036</v>
      </c>
      <c r="F58" s="30">
        <f>'Attachment 2'!F221</f>
        <v>0.83599999999999997</v>
      </c>
      <c r="G58" s="30">
        <f>'Attachment 2'!G221</f>
        <v>0.92900000000000005</v>
      </c>
      <c r="H58" s="30">
        <f>'Attachment 2'!H221</f>
        <v>0.879</v>
      </c>
      <c r="I58" s="30">
        <f>'Attachment 2'!I221</f>
        <v>0.57899999999999996</v>
      </c>
      <c r="J58" s="30">
        <f>'Attachment 2'!J221</f>
        <v>0.79200000000000004</v>
      </c>
      <c r="K58" s="46"/>
      <c r="L58" s="46"/>
      <c r="M58" s="46"/>
    </row>
    <row r="59" spans="2:13" x14ac:dyDescent="0.2">
      <c r="B59" s="35" t="s">
        <v>134</v>
      </c>
      <c r="C59" s="30"/>
      <c r="D59" s="30">
        <f>'Attachment 2'!D222</f>
        <v>1.4139999999999999</v>
      </c>
      <c r="E59" s="30"/>
      <c r="F59" s="30"/>
      <c r="G59" s="30"/>
      <c r="H59" s="30"/>
      <c r="I59" s="30"/>
      <c r="J59" s="30"/>
      <c r="K59" s="46"/>
      <c r="L59" s="46"/>
      <c r="M59" s="46"/>
    </row>
    <row r="60" spans="2:13" x14ac:dyDescent="0.2">
      <c r="B60" s="35" t="s">
        <v>37</v>
      </c>
      <c r="C60" s="30"/>
      <c r="D60" s="30">
        <f>'Attachment 2'!D223</f>
        <v>0.57199999999999995</v>
      </c>
      <c r="E60" s="30"/>
      <c r="F60" s="30"/>
      <c r="G60" s="30"/>
      <c r="H60" s="30"/>
      <c r="I60" s="30"/>
      <c r="J60" s="30"/>
      <c r="K60" s="49"/>
      <c r="L60" s="46"/>
      <c r="M60" s="46"/>
    </row>
    <row r="61" spans="2:13" x14ac:dyDescent="0.2">
      <c r="C61" s="51"/>
      <c r="D61" s="51"/>
      <c r="E61" s="51"/>
      <c r="F61" s="51"/>
      <c r="G61" s="51"/>
      <c r="K61" s="46"/>
      <c r="L61" s="46"/>
      <c r="M61" s="46"/>
    </row>
    <row r="62" spans="2:13" x14ac:dyDescent="0.2">
      <c r="B62" s="5" t="s">
        <v>195</v>
      </c>
      <c r="C62" s="59">
        <f>'Attachment 2'!C225</f>
        <v>1.1240000000000001</v>
      </c>
      <c r="D62" s="59">
        <f>'Attachment 2'!D225</f>
        <v>0.83499999999999996</v>
      </c>
      <c r="E62" s="59">
        <f>'Attachment 2'!E225</f>
        <v>0.99399999999999999</v>
      </c>
      <c r="F62" s="59">
        <f>'Attachment 2'!F225</f>
        <v>0.82199999999999995</v>
      </c>
      <c r="G62" s="59">
        <f>'Attachment 2'!G225</f>
        <v>0.89300000000000002</v>
      </c>
      <c r="H62" s="59">
        <f>'Attachment 2'!H225</f>
        <v>0.85599999999999998</v>
      </c>
      <c r="I62" s="59">
        <f>'Attachment 2'!I225</f>
        <v>0.55400000000000005</v>
      </c>
      <c r="J62" s="59">
        <f>'Attachment 2'!J225</f>
        <v>0.76</v>
      </c>
      <c r="K62" s="46"/>
      <c r="L62" s="46"/>
      <c r="M62" s="46"/>
    </row>
    <row r="65" spans="1:13" x14ac:dyDescent="0.2">
      <c r="A65" s="146" t="s">
        <v>215</v>
      </c>
      <c r="B65" s="53" t="s">
        <v>216</v>
      </c>
      <c r="C65" s="46"/>
      <c r="E65" s="46"/>
    </row>
    <row r="66" spans="1:13" x14ac:dyDescent="0.2">
      <c r="B66" s="4" t="s">
        <v>196</v>
      </c>
    </row>
    <row r="68" spans="1:13" x14ac:dyDescent="0.2">
      <c r="B68" s="4" t="s">
        <v>255</v>
      </c>
    </row>
    <row r="69" spans="1:13" x14ac:dyDescent="0.2">
      <c r="B69" s="3"/>
    </row>
    <row r="70" spans="1:13" x14ac:dyDescent="0.2">
      <c r="C70" s="28" t="str">
        <f t="shared" ref="C70:J70" si="1">+C46</f>
        <v>RS</v>
      </c>
      <c r="D70" s="28" t="str">
        <f t="shared" si="1"/>
        <v>RS TOU - BGS</v>
      </c>
      <c r="E70" s="28" t="str">
        <f t="shared" si="1"/>
        <v>MGS - SEC</v>
      </c>
      <c r="F70" s="28" t="str">
        <f t="shared" si="1"/>
        <v>MGS - PRI</v>
      </c>
      <c r="G70" s="28" t="str">
        <f t="shared" si="1"/>
        <v>AGS - SEC</v>
      </c>
      <c r="H70" s="28" t="str">
        <f t="shared" si="1"/>
        <v>AGS - PRI</v>
      </c>
      <c r="I70" s="28" t="str">
        <f t="shared" si="1"/>
        <v>SPL/CSL</v>
      </c>
      <c r="J70" s="28" t="str">
        <f t="shared" si="1"/>
        <v>DDC</v>
      </c>
    </row>
    <row r="71" spans="1:13" x14ac:dyDescent="0.2">
      <c r="C71" s="146"/>
      <c r="D71" s="146"/>
      <c r="E71" s="146"/>
      <c r="F71" s="147"/>
      <c r="G71" s="147"/>
      <c r="H71" s="147"/>
      <c r="I71" s="147"/>
      <c r="J71" s="147"/>
    </row>
    <row r="72" spans="1:13" x14ac:dyDescent="0.2">
      <c r="B72" s="34" t="s">
        <v>44</v>
      </c>
      <c r="C72" s="147"/>
      <c r="D72" s="147">
        <f>ROUND(($C$32*D48)/10,4)</f>
        <v>9.5006000000000004</v>
      </c>
      <c r="E72" s="147">
        <f t="shared" ref="E72:J72" si="2">ROUND(($C$32*E48)/10,4)</f>
        <v>7.9455999999999998</v>
      </c>
      <c r="F72" s="147">
        <f t="shared" si="2"/>
        <v>6.7580999999999998</v>
      </c>
      <c r="G72" s="147">
        <f t="shared" si="2"/>
        <v>7.1510999999999996</v>
      </c>
      <c r="H72" s="147">
        <f t="shared" si="2"/>
        <v>6.9546000000000001</v>
      </c>
      <c r="I72" s="147">
        <f t="shared" si="2"/>
        <v>4.2975000000000003</v>
      </c>
      <c r="J72" s="147">
        <f t="shared" si="2"/>
        <v>6.0659999999999998</v>
      </c>
      <c r="L72" s="46"/>
      <c r="M72" s="46"/>
    </row>
    <row r="73" spans="1:13" x14ac:dyDescent="0.2">
      <c r="B73" s="35" t="s">
        <v>134</v>
      </c>
      <c r="C73" s="146"/>
      <c r="D73" s="147">
        <f>ROUND(($C$32*D49)/10,4)</f>
        <v>10.141400000000001</v>
      </c>
      <c r="E73" s="147"/>
      <c r="F73" s="146"/>
      <c r="G73" s="146"/>
      <c r="H73" s="146"/>
      <c r="I73" s="146"/>
      <c r="J73" s="146"/>
      <c r="L73" s="46"/>
      <c r="M73" s="46"/>
    </row>
    <row r="74" spans="1:13" x14ac:dyDescent="0.2">
      <c r="B74" s="35" t="s">
        <v>37</v>
      </c>
      <c r="C74" s="146"/>
      <c r="D74" s="147">
        <f>ROUND(($C$32*D50)/10,4)</f>
        <v>4.1950000000000003</v>
      </c>
      <c r="E74" s="147"/>
      <c r="F74" s="146"/>
      <c r="G74" s="146"/>
      <c r="H74" s="146"/>
      <c r="I74" s="146"/>
      <c r="J74" s="146"/>
      <c r="L74" s="46"/>
      <c r="M74" s="46"/>
    </row>
    <row r="75" spans="1:13" x14ac:dyDescent="0.2">
      <c r="B75" s="50"/>
      <c r="C75" s="146"/>
      <c r="D75" s="146"/>
      <c r="E75" s="146"/>
      <c r="F75" s="146"/>
      <c r="G75" s="146"/>
      <c r="H75" s="146"/>
      <c r="I75" s="146"/>
      <c r="J75" s="146"/>
      <c r="L75" s="46"/>
      <c r="M75" s="46"/>
    </row>
    <row r="76" spans="1:13" x14ac:dyDescent="0.2">
      <c r="B76" s="42" t="s">
        <v>93</v>
      </c>
      <c r="C76" s="147">
        <f>ROUND((+$C$32*C52+C53)/10,4)</f>
        <v>8.3445999999999998</v>
      </c>
      <c r="D76" s="147"/>
      <c r="E76" s="146"/>
      <c r="F76" s="146"/>
      <c r="G76" s="146"/>
      <c r="H76" s="146"/>
      <c r="I76" s="146"/>
      <c r="J76" s="146"/>
      <c r="L76" s="46"/>
      <c r="M76" s="46"/>
    </row>
    <row r="77" spans="1:13" x14ac:dyDescent="0.2">
      <c r="B77" s="42" t="s">
        <v>94</v>
      </c>
      <c r="C77" s="147">
        <f>ROUND((+$C$32*C52+C54)/10,4)</f>
        <v>9.2097999999999995</v>
      </c>
      <c r="D77" s="147"/>
      <c r="E77" s="146"/>
      <c r="F77" s="146"/>
      <c r="G77" s="146"/>
      <c r="H77" s="146"/>
      <c r="I77" s="146"/>
      <c r="J77" s="146"/>
      <c r="L77" s="46"/>
      <c r="M77" s="46"/>
    </row>
    <row r="78" spans="1:13" x14ac:dyDescent="0.2">
      <c r="C78" s="147"/>
      <c r="D78" s="147"/>
      <c r="E78" s="146"/>
      <c r="F78" s="146"/>
      <c r="G78" s="146"/>
      <c r="H78" s="146"/>
      <c r="I78" s="146"/>
      <c r="J78" s="146"/>
      <c r="L78" s="46"/>
      <c r="M78" s="46"/>
    </row>
    <row r="79" spans="1:13" x14ac:dyDescent="0.2">
      <c r="B79" s="34" t="s">
        <v>45</v>
      </c>
      <c r="C79" s="147">
        <f>ROUND(($C$32*C58)/10,4)</f>
        <v>10.380599999999999</v>
      </c>
      <c r="D79" s="147">
        <f t="shared" ref="D79:I79" si="3">ROUND(($C$32*D58)/10,4)</f>
        <v>11.619400000000001</v>
      </c>
      <c r="E79" s="147">
        <f t="shared" si="3"/>
        <v>8.8513000000000002</v>
      </c>
      <c r="F79" s="147">
        <f t="shared" si="3"/>
        <v>7.1425000000000001</v>
      </c>
      <c r="G79" s="147">
        <f t="shared" si="3"/>
        <v>7.9371</v>
      </c>
      <c r="H79" s="147">
        <f t="shared" si="3"/>
        <v>7.5099</v>
      </c>
      <c r="I79" s="147">
        <f t="shared" si="3"/>
        <v>4.9467999999999996</v>
      </c>
      <c r="J79" s="147">
        <f>ROUND(($C$32*J58)/10,4)</f>
        <v>6.7666000000000004</v>
      </c>
      <c r="L79" s="46"/>
      <c r="M79" s="46"/>
    </row>
    <row r="80" spans="1:13" x14ac:dyDescent="0.2">
      <c r="B80" s="35" t="s">
        <v>134</v>
      </c>
      <c r="C80" s="146"/>
      <c r="D80" s="147">
        <f>ROUND(($C$32*D59)/10,4)</f>
        <v>12.0808</v>
      </c>
      <c r="E80" s="147"/>
      <c r="F80" s="146"/>
      <c r="G80" s="146"/>
      <c r="H80" s="146"/>
      <c r="I80" s="146"/>
      <c r="J80" s="146"/>
      <c r="L80" s="46"/>
      <c r="M80" s="46"/>
    </row>
    <row r="81" spans="1:24" x14ac:dyDescent="0.2">
      <c r="B81" s="35" t="s">
        <v>37</v>
      </c>
      <c r="C81" s="146"/>
      <c r="D81" s="147">
        <f>ROUND(($C$32*D60)/10,4)</f>
        <v>4.8869999999999996</v>
      </c>
      <c r="E81" s="147"/>
      <c r="F81" s="146"/>
      <c r="G81" s="146"/>
      <c r="H81" s="146"/>
      <c r="I81" s="146"/>
      <c r="J81" s="146"/>
      <c r="L81" s="46"/>
      <c r="M81" s="46"/>
    </row>
    <row r="82" spans="1:24" x14ac:dyDescent="0.2">
      <c r="C82" s="52"/>
      <c r="D82" s="48"/>
      <c r="E82" s="52"/>
      <c r="F82" s="48"/>
    </row>
    <row r="84" spans="1:24" x14ac:dyDescent="0.2">
      <c r="A84" s="146" t="s">
        <v>213</v>
      </c>
      <c r="B84" s="3" t="s">
        <v>214</v>
      </c>
      <c r="C84" s="46"/>
      <c r="E84" s="46"/>
    </row>
    <row r="85" spans="1:24" x14ac:dyDescent="0.2">
      <c r="C85" s="46"/>
      <c r="E85" s="46"/>
    </row>
    <row r="86" spans="1:24" x14ac:dyDescent="0.2">
      <c r="C86" s="28" t="str">
        <f>C70</f>
        <v>RS</v>
      </c>
      <c r="D86" s="28" t="str">
        <f t="shared" ref="D86:J86" si="4">D70</f>
        <v>RS TOU - BGS</v>
      </c>
      <c r="E86" s="28" t="str">
        <f t="shared" si="4"/>
        <v>MGS - SEC</v>
      </c>
      <c r="F86" s="28" t="str">
        <f t="shared" si="4"/>
        <v>MGS - PRI</v>
      </c>
      <c r="G86" s="28" t="str">
        <f t="shared" si="4"/>
        <v>AGS - SEC</v>
      </c>
      <c r="H86" s="28" t="str">
        <f t="shared" si="4"/>
        <v>AGS - PRI</v>
      </c>
      <c r="I86" s="28" t="str">
        <f t="shared" si="4"/>
        <v>SPL/CSL</v>
      </c>
      <c r="J86" s="28" t="str">
        <f t="shared" si="4"/>
        <v>DDC</v>
      </c>
      <c r="K86" s="22"/>
      <c r="L86" s="22"/>
    </row>
    <row r="87" spans="1:24" x14ac:dyDescent="0.2">
      <c r="B87" s="5" t="s">
        <v>164</v>
      </c>
      <c r="K87" s="18"/>
      <c r="L87" s="18"/>
    </row>
    <row r="88" spans="1:24" x14ac:dyDescent="0.2">
      <c r="B88" s="54" t="s">
        <v>63</v>
      </c>
      <c r="C88" s="55">
        <f>+C76/100*'Attachment 2'!$O52+C77/100*'Attachment 2'!$O53</f>
        <v>145474.8497416536</v>
      </c>
      <c r="D88" s="55">
        <f>(D73/100*'Attachment 2'!$P49)+(D74/100*'Attachment 2'!$P50)</f>
        <v>115.90201721185412</v>
      </c>
      <c r="E88" s="56">
        <f>E72/100*'Attachment 2'!$Q48</f>
        <v>27577.535213226896</v>
      </c>
      <c r="F88" s="56">
        <f>F72/100*'Attachment 2'!R48</f>
        <v>355.5637447422431</v>
      </c>
      <c r="G88" s="56">
        <f>G72/100*'Attachment 2'!$S48</f>
        <v>24947.326640893247</v>
      </c>
      <c r="H88" s="56">
        <f>H72/100*'Attachment 2'!$T48</f>
        <v>1527.053988820222</v>
      </c>
      <c r="I88" s="56">
        <f>I72/100*'Attachment 2'!$U48</f>
        <v>654.67144680011882</v>
      </c>
      <c r="J88" s="56">
        <f>J72/100*'Attachment 2'!$V48</f>
        <v>239.34755641475996</v>
      </c>
      <c r="K88" s="60"/>
      <c r="P88" s="63">
        <f>'Attachment 2'!$O52+'Attachment 2'!$O53</f>
        <v>1675898.4101711735</v>
      </c>
      <c r="Q88" s="63">
        <f>('Attachment 2'!$P49)+('Attachment 2'!$P50)</f>
        <v>1562.5454140444765</v>
      </c>
      <c r="R88" s="64">
        <f>'Attachment 2'!$Q48</f>
        <v>347079.32960666151</v>
      </c>
      <c r="S88" s="64">
        <f>'Attachment 2'!$R48</f>
        <v>5261.2974762469203</v>
      </c>
      <c r="T88" s="64">
        <f>'Attachment 2'!$S48</f>
        <v>348859.98854572373</v>
      </c>
      <c r="U88" s="64">
        <f>'Attachment 2'!$T48</f>
        <v>21957.466839505105</v>
      </c>
      <c r="V88" s="64">
        <f>'Attachment 2'!$U48</f>
        <v>15233.774212917247</v>
      </c>
      <c r="W88" s="64">
        <f>'Attachment 2'!$V48</f>
        <v>3945.7229873847668</v>
      </c>
      <c r="X88" s="131">
        <f>SUM(P88:W88)</f>
        <v>2419798.535253657</v>
      </c>
    </row>
    <row r="89" spans="1:24" ht="15" x14ac:dyDescent="0.35">
      <c r="B89" s="54" t="s">
        <v>66</v>
      </c>
      <c r="C89" s="40">
        <f>+C79/100*'Attachment 2'!$O45</f>
        <v>205118.45592153919</v>
      </c>
      <c r="D89" s="40">
        <f>(D80/100*'Attachment 2'!$P46)+(D81/100*'Attachment 2'!$P47)</f>
        <v>171.31948007499443</v>
      </c>
      <c r="E89" s="40">
        <f>E79/100*'Attachment 2'!$Q45</f>
        <v>47289.442868641403</v>
      </c>
      <c r="F89" s="40">
        <f>F79/100*'Attachment 2'!R45</f>
        <v>809.56376539078349</v>
      </c>
      <c r="G89" s="40">
        <f>G79/100*'Attachment 2'!$S45</f>
        <v>43663.135849453232</v>
      </c>
      <c r="H89" s="40">
        <f>H79/100*'Attachment 2'!$T45</f>
        <v>2957.1558689055178</v>
      </c>
      <c r="I89" s="40">
        <f>I79/100*'Attachment 2'!$U45</f>
        <v>1591.6232692797539</v>
      </c>
      <c r="J89" s="40">
        <f>J79/100*'Attachment 2'!$V45</f>
        <v>411.17235007407913</v>
      </c>
      <c r="K89" s="61"/>
      <c r="P89" s="65">
        <f>'Attachment 2'!$O45</f>
        <v>1975978.8058642005</v>
      </c>
      <c r="Q89" s="65">
        <f>('Attachment 2'!$P46)+('Attachment 2'!$P47)</f>
        <v>2026.1229245180893</v>
      </c>
      <c r="R89" s="65">
        <f>'Attachment 2'!$Q45</f>
        <v>534265.50753721374</v>
      </c>
      <c r="S89" s="65">
        <f>'Attachment 2'!$R45</f>
        <v>11334.459438442891</v>
      </c>
      <c r="T89" s="65">
        <f>'Attachment 2'!$S45</f>
        <v>550114.47316341277</v>
      </c>
      <c r="U89" s="65">
        <f>'Attachment 2'!$T45</f>
        <v>39376.767585527341</v>
      </c>
      <c r="V89" s="65">
        <f>'Attachment 2'!$U45</f>
        <v>32174.805314137502</v>
      </c>
      <c r="W89" s="65">
        <f>'Attachment 2'!$V45</f>
        <v>6076.4985380261742</v>
      </c>
      <c r="X89" s="131">
        <f>SUM(P89:W89)</f>
        <v>3151347.4403654789</v>
      </c>
    </row>
    <row r="90" spans="1:24" x14ac:dyDescent="0.2">
      <c r="B90" s="54" t="s">
        <v>29</v>
      </c>
      <c r="C90" s="41">
        <f t="shared" ref="C90:J90" si="5">+C89+C88</f>
        <v>350593.30566319276</v>
      </c>
      <c r="D90" s="41">
        <f t="shared" si="5"/>
        <v>287.22149728684855</v>
      </c>
      <c r="E90" s="41">
        <f t="shared" si="5"/>
        <v>74866.978081868292</v>
      </c>
      <c r="F90" s="41">
        <f t="shared" si="5"/>
        <v>1165.1275101330266</v>
      </c>
      <c r="G90" s="41">
        <f t="shared" si="5"/>
        <v>68610.462490346486</v>
      </c>
      <c r="H90" s="41">
        <f t="shared" si="5"/>
        <v>4484.2098577257402</v>
      </c>
      <c r="I90" s="41">
        <f t="shared" si="5"/>
        <v>2246.2947160798726</v>
      </c>
      <c r="J90" s="41">
        <f t="shared" si="5"/>
        <v>650.51990648883907</v>
      </c>
      <c r="K90" s="62"/>
      <c r="P90" s="66">
        <f t="shared" ref="P90:W90" si="6">+P89+P88</f>
        <v>3651877.216035374</v>
      </c>
      <c r="Q90" s="66">
        <f t="shared" si="6"/>
        <v>3588.6683385625656</v>
      </c>
      <c r="R90" s="66">
        <f t="shared" si="6"/>
        <v>881344.83714387519</v>
      </c>
      <c r="S90" s="66">
        <f t="shared" si="6"/>
        <v>16595.756914689809</v>
      </c>
      <c r="T90" s="66">
        <f t="shared" si="6"/>
        <v>898974.46170913649</v>
      </c>
      <c r="U90" s="66">
        <f t="shared" si="6"/>
        <v>61334.234425032446</v>
      </c>
      <c r="V90" s="66">
        <f t="shared" si="6"/>
        <v>47408.579527054753</v>
      </c>
      <c r="W90" s="66">
        <f t="shared" si="6"/>
        <v>10022.221525410941</v>
      </c>
      <c r="X90" s="131">
        <f>SUM(P90:W90)</f>
        <v>5571145.9756191364</v>
      </c>
    </row>
    <row r="91" spans="1:24" x14ac:dyDescent="0.2">
      <c r="B91" s="54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24" x14ac:dyDescent="0.2">
      <c r="B92" s="54" t="s">
        <v>197</v>
      </c>
      <c r="C92" s="41">
        <f>SUM(C88:J88)</f>
        <v>200892.25034976294</v>
      </c>
      <c r="D92" s="41"/>
      <c r="E92" s="41"/>
      <c r="F92" s="41"/>
      <c r="G92" s="41"/>
      <c r="H92" s="41"/>
      <c r="I92" s="41"/>
      <c r="J92" s="41"/>
      <c r="K92" s="41"/>
      <c r="L92" s="41"/>
    </row>
    <row r="93" spans="1:24" ht="15" x14ac:dyDescent="0.35">
      <c r="B93" s="54" t="s">
        <v>198</v>
      </c>
      <c r="C93" s="57">
        <f>SUM(C89:J89)</f>
        <v>302011.86937335902</v>
      </c>
      <c r="E93" s="46"/>
    </row>
    <row r="94" spans="1:24" x14ac:dyDescent="0.2">
      <c r="B94" s="54" t="s">
        <v>199</v>
      </c>
      <c r="C94" s="41">
        <f>+C93+C92</f>
        <v>502904.11972312198</v>
      </c>
      <c r="E94" s="46"/>
    </row>
    <row r="95" spans="1:24" x14ac:dyDescent="0.2">
      <c r="B95" s="54"/>
      <c r="C95" s="46"/>
      <c r="E95" s="46"/>
    </row>
    <row r="96" spans="1:24" x14ac:dyDescent="0.2"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0" x14ac:dyDescent="0.2">
      <c r="B97" s="5" t="s">
        <v>165</v>
      </c>
    </row>
    <row r="98" spans="1:10" x14ac:dyDescent="0.2">
      <c r="B98" s="54" t="s">
        <v>63</v>
      </c>
      <c r="C98" s="41">
        <f>+C24+D24+E24</f>
        <v>218445.88910549119</v>
      </c>
    </row>
    <row r="99" spans="1:10" ht="15" x14ac:dyDescent="0.35">
      <c r="B99" s="54" t="s">
        <v>66</v>
      </c>
      <c r="C99" s="57">
        <f>+C25+D25+E25</f>
        <v>284449.96635097475</v>
      </c>
      <c r="E99" s="67"/>
      <c r="F99" s="68"/>
      <c r="G99" s="68"/>
      <c r="H99" s="69"/>
    </row>
    <row r="100" spans="1:10" x14ac:dyDescent="0.2">
      <c r="B100" s="54" t="s">
        <v>29</v>
      </c>
      <c r="C100" s="41">
        <f>+C99+C98</f>
        <v>502895.85545646597</v>
      </c>
      <c r="E100" s="70" t="s">
        <v>208</v>
      </c>
      <c r="F100" s="18"/>
      <c r="G100" s="18"/>
      <c r="H100" s="148"/>
      <c r="J100" s="10" t="s">
        <v>201</v>
      </c>
    </row>
    <row r="101" spans="1:10" x14ac:dyDescent="0.2">
      <c r="C101" s="46"/>
      <c r="E101" s="70" t="s">
        <v>209</v>
      </c>
      <c r="F101" s="20" t="s">
        <v>210</v>
      </c>
      <c r="G101" s="18"/>
      <c r="H101" s="148"/>
      <c r="J101" s="58">
        <f>+C103/C98</f>
        <v>8.0356919636291754E-2</v>
      </c>
    </row>
    <row r="102" spans="1:10" x14ac:dyDescent="0.2">
      <c r="B102" s="27" t="s">
        <v>200</v>
      </c>
      <c r="C102" s="41"/>
      <c r="E102" s="149" t="s">
        <v>211</v>
      </c>
      <c r="F102" s="18"/>
      <c r="G102" s="18"/>
      <c r="H102" s="148"/>
      <c r="J102" s="58">
        <f>+C104/C99</f>
        <v>-6.1739866759959947E-2</v>
      </c>
    </row>
    <row r="103" spans="1:10" x14ac:dyDescent="0.2">
      <c r="B103" s="54" t="s">
        <v>63</v>
      </c>
      <c r="C103" s="41">
        <f>+C98-C92</f>
        <v>17553.638755728258</v>
      </c>
      <c r="E103" s="71">
        <f>ROUND(1+(C103/C92),5)</f>
        <v>1.08738</v>
      </c>
      <c r="F103" s="18"/>
      <c r="G103" s="18"/>
      <c r="H103" s="148"/>
      <c r="J103" s="58">
        <f>+C105/C100</f>
        <v>-1.6433356064372289E-5</v>
      </c>
    </row>
    <row r="104" spans="1:10" ht="15" x14ac:dyDescent="0.35">
      <c r="B104" s="54" t="s">
        <v>66</v>
      </c>
      <c r="C104" s="57">
        <f>+C99-C93</f>
        <v>-17561.903022384271</v>
      </c>
      <c r="E104" s="71">
        <f>ROUND(1+(C104/C93),5)</f>
        <v>0.94184999999999997</v>
      </c>
      <c r="F104" s="18"/>
      <c r="G104" s="18"/>
      <c r="H104" s="148"/>
    </row>
    <row r="105" spans="1:10" x14ac:dyDescent="0.2">
      <c r="B105" s="54" t="s">
        <v>29</v>
      </c>
      <c r="C105" s="41">
        <f>+C100-C94</f>
        <v>-8.2642666560132056</v>
      </c>
      <c r="E105" s="150"/>
      <c r="F105" s="151"/>
      <c r="G105" s="151"/>
      <c r="H105" s="152"/>
    </row>
    <row r="107" spans="1:10" x14ac:dyDescent="0.2">
      <c r="C107" s="5" t="s">
        <v>202</v>
      </c>
    </row>
    <row r="108" spans="1:10" x14ac:dyDescent="0.2">
      <c r="C108" s="5" t="s">
        <v>203</v>
      </c>
    </row>
    <row r="111" spans="1:10" x14ac:dyDescent="0.2">
      <c r="A111" s="146" t="s">
        <v>217</v>
      </c>
      <c r="B111" s="53" t="s">
        <v>218</v>
      </c>
      <c r="C111" s="46"/>
      <c r="E111" s="46"/>
    </row>
    <row r="112" spans="1:10" x14ac:dyDescent="0.2">
      <c r="B112" s="4" t="s">
        <v>196</v>
      </c>
    </row>
    <row r="114" spans="2:10" x14ac:dyDescent="0.2">
      <c r="B114" s="4" t="s">
        <v>255</v>
      </c>
    </row>
    <row r="115" spans="2:10" x14ac:dyDescent="0.2">
      <c r="B115" s="3"/>
    </row>
    <row r="116" spans="2:10" x14ac:dyDescent="0.2">
      <c r="C116" s="28" t="s">
        <v>5</v>
      </c>
      <c r="D116" s="28" t="s">
        <v>139</v>
      </c>
      <c r="E116" s="28" t="s">
        <v>6</v>
      </c>
      <c r="F116" s="28" t="s">
        <v>7</v>
      </c>
      <c r="G116" s="28" t="s">
        <v>8</v>
      </c>
      <c r="H116" s="28" t="s">
        <v>9</v>
      </c>
      <c r="I116" s="28" t="s">
        <v>10</v>
      </c>
      <c r="J116" s="28" t="s">
        <v>11</v>
      </c>
    </row>
    <row r="117" spans="2:10" x14ac:dyDescent="0.2">
      <c r="C117" s="146"/>
      <c r="D117" s="146"/>
      <c r="E117" s="146"/>
      <c r="F117" s="147"/>
      <c r="G117" s="147"/>
      <c r="H117" s="147"/>
      <c r="I117" s="147"/>
      <c r="J117" s="147"/>
    </row>
    <row r="118" spans="2:10" x14ac:dyDescent="0.2">
      <c r="B118" s="34" t="s">
        <v>44</v>
      </c>
      <c r="C118" s="147"/>
      <c r="D118" s="147">
        <f>ROUND(D72*$E$103,4)</f>
        <v>10.3308</v>
      </c>
      <c r="E118" s="147">
        <f t="shared" ref="E118:J118" si="7">ROUND(E72*$E$103,4)</f>
        <v>8.6399000000000008</v>
      </c>
      <c r="F118" s="147">
        <f t="shared" si="7"/>
        <v>7.3486000000000002</v>
      </c>
      <c r="G118" s="147">
        <f t="shared" si="7"/>
        <v>7.7759999999999998</v>
      </c>
      <c r="H118" s="147">
        <f t="shared" si="7"/>
        <v>7.5622999999999996</v>
      </c>
      <c r="I118" s="147">
        <f t="shared" si="7"/>
        <v>4.673</v>
      </c>
      <c r="J118" s="147">
        <f t="shared" si="7"/>
        <v>6.5960000000000001</v>
      </c>
    </row>
    <row r="119" spans="2:10" x14ac:dyDescent="0.2">
      <c r="B119" s="35" t="s">
        <v>134</v>
      </c>
      <c r="C119" s="146"/>
      <c r="D119" s="147">
        <f>ROUND(D73*$E$103,4)</f>
        <v>11.0276</v>
      </c>
      <c r="E119" s="147"/>
      <c r="F119" s="146"/>
      <c r="G119" s="146"/>
      <c r="H119" s="146"/>
      <c r="I119" s="146"/>
      <c r="J119" s="146"/>
    </row>
    <row r="120" spans="2:10" x14ac:dyDescent="0.2">
      <c r="B120" s="35" t="s">
        <v>37</v>
      </c>
      <c r="C120" s="146"/>
      <c r="D120" s="147">
        <f>ROUND(D74*$E$103,4)</f>
        <v>4.5616000000000003</v>
      </c>
      <c r="E120" s="147"/>
      <c r="F120" s="146"/>
      <c r="G120" s="146"/>
      <c r="H120" s="146"/>
      <c r="I120" s="146"/>
      <c r="J120" s="146"/>
    </row>
    <row r="121" spans="2:10" x14ac:dyDescent="0.2">
      <c r="B121" s="50"/>
      <c r="C121" s="146"/>
      <c r="D121" s="146"/>
      <c r="E121" s="146"/>
      <c r="F121" s="146"/>
      <c r="G121" s="146"/>
      <c r="H121" s="146"/>
      <c r="I121" s="146"/>
      <c r="J121" s="146"/>
    </row>
    <row r="122" spans="2:10" x14ac:dyDescent="0.2">
      <c r="B122" s="42" t="s">
        <v>93</v>
      </c>
      <c r="C122" s="147">
        <f>ROUND(C76*$E$103,4)</f>
        <v>9.0738000000000003</v>
      </c>
      <c r="D122" s="147"/>
      <c r="E122" s="146"/>
      <c r="F122" s="146"/>
      <c r="G122" s="146"/>
      <c r="H122" s="146"/>
      <c r="I122" s="146"/>
      <c r="J122" s="146"/>
    </row>
    <row r="123" spans="2:10" x14ac:dyDescent="0.2">
      <c r="B123" s="42" t="s">
        <v>94</v>
      </c>
      <c r="C123" s="147">
        <f>ROUND(C77*$E$103,4)</f>
        <v>10.0146</v>
      </c>
      <c r="D123" s="147"/>
      <c r="E123" s="146"/>
      <c r="F123" s="146"/>
      <c r="G123" s="146"/>
      <c r="H123" s="146"/>
      <c r="I123" s="146"/>
      <c r="J123" s="146"/>
    </row>
    <row r="124" spans="2:10" x14ac:dyDescent="0.2">
      <c r="C124" s="147"/>
      <c r="D124" s="147"/>
      <c r="E124" s="146"/>
      <c r="F124" s="146"/>
      <c r="G124" s="146"/>
      <c r="H124" s="146"/>
      <c r="I124" s="146"/>
      <c r="J124" s="146"/>
    </row>
    <row r="125" spans="2:10" x14ac:dyDescent="0.2">
      <c r="B125" s="34" t="s">
        <v>45</v>
      </c>
      <c r="C125" s="147">
        <f t="shared" ref="C125:J125" si="8">ROUND(C79*$E$104,4)</f>
        <v>9.7769999999999992</v>
      </c>
      <c r="D125" s="147">
        <f t="shared" si="8"/>
        <v>10.9437</v>
      </c>
      <c r="E125" s="147">
        <f t="shared" si="8"/>
        <v>8.3366000000000007</v>
      </c>
      <c r="F125" s="147">
        <f t="shared" si="8"/>
        <v>6.7271999999999998</v>
      </c>
      <c r="G125" s="147">
        <f t="shared" si="8"/>
        <v>7.4756</v>
      </c>
      <c r="H125" s="147">
        <f t="shared" si="8"/>
        <v>7.0731999999999999</v>
      </c>
      <c r="I125" s="147">
        <f t="shared" si="8"/>
        <v>4.6590999999999996</v>
      </c>
      <c r="J125" s="147">
        <f t="shared" si="8"/>
        <v>6.3731</v>
      </c>
    </row>
    <row r="126" spans="2:10" x14ac:dyDescent="0.2">
      <c r="B126" s="35" t="s">
        <v>134</v>
      </c>
      <c r="C126" s="146"/>
      <c r="D126" s="147">
        <f>ROUND(D80*$E$104,4)</f>
        <v>11.378299999999999</v>
      </c>
      <c r="E126" s="147"/>
      <c r="F126" s="146"/>
      <c r="G126" s="146"/>
      <c r="H126" s="146"/>
      <c r="I126" s="146"/>
      <c r="J126" s="146"/>
    </row>
    <row r="127" spans="2:10" x14ac:dyDescent="0.2">
      <c r="B127" s="35" t="s">
        <v>37</v>
      </c>
      <c r="C127" s="146"/>
      <c r="D127" s="147">
        <f>ROUND(D81*$E$104,4)</f>
        <v>4.6028000000000002</v>
      </c>
      <c r="E127" s="147"/>
      <c r="F127" s="146"/>
      <c r="G127" s="146"/>
      <c r="H127" s="146"/>
      <c r="I127" s="146"/>
      <c r="J127" s="146"/>
    </row>
    <row r="131" spans="1:10" x14ac:dyDescent="0.2">
      <c r="A131" s="146" t="s">
        <v>219</v>
      </c>
      <c r="B131" s="3" t="s">
        <v>220</v>
      </c>
      <c r="C131" s="46"/>
      <c r="E131" s="46"/>
    </row>
    <row r="133" spans="1:10" x14ac:dyDescent="0.2">
      <c r="C133" s="28" t="s">
        <v>5</v>
      </c>
      <c r="D133" s="28" t="s">
        <v>139</v>
      </c>
      <c r="E133" s="28" t="s">
        <v>6</v>
      </c>
      <c r="F133" s="28" t="s">
        <v>7</v>
      </c>
      <c r="G133" s="28" t="s">
        <v>8</v>
      </c>
      <c r="H133" s="28" t="s">
        <v>9</v>
      </c>
      <c r="I133" s="28" t="s">
        <v>10</v>
      </c>
      <c r="J133" s="28" t="s">
        <v>11</v>
      </c>
    </row>
    <row r="134" spans="1:10" x14ac:dyDescent="0.2">
      <c r="B134" s="5" t="s">
        <v>164</v>
      </c>
      <c r="C134" s="72"/>
    </row>
    <row r="135" spans="1:10" x14ac:dyDescent="0.2">
      <c r="B135" s="54" t="s">
        <v>63</v>
      </c>
      <c r="C135" s="72">
        <f>+C122/100*'Attachment 2'!O52+'Attachment 3'!C123/100*'Attachment 2'!O53</f>
        <v>158187.25317249162</v>
      </c>
      <c r="D135" s="39">
        <f>D119/100*'Attachment 2'!P49+D120/100*'Attachment 2'!P50</f>
        <v>126.0302047701974</v>
      </c>
      <c r="E135" s="72">
        <f>E118/100*'Attachment 2'!Q48</f>
        <v>29987.306998685948</v>
      </c>
      <c r="F135" s="72">
        <f>F118/100*'Attachment 2'!R48</f>
        <v>386.63170633948118</v>
      </c>
      <c r="G135" s="72">
        <f>G118/100*'Attachment 2'!S48</f>
        <v>27127.352709315477</v>
      </c>
      <c r="H135" s="72">
        <f>H118/100*'Attachment 2'!T48</f>
        <v>1660.4895148038945</v>
      </c>
      <c r="I135" s="72">
        <f>I118/100*'Attachment 2'!U48</f>
        <v>711.87426896962302</v>
      </c>
      <c r="J135" s="72">
        <f>J118/100*'Attachment 2'!V48</f>
        <v>260.25988824789926</v>
      </c>
    </row>
    <row r="136" spans="1:10" ht="15" x14ac:dyDescent="0.35">
      <c r="B136" s="54" t="s">
        <v>66</v>
      </c>
      <c r="C136" s="40">
        <f>+C125/100*'Attachment 2'!O45</f>
        <v>193191.44784934286</v>
      </c>
      <c r="D136" s="40">
        <f>D126/100*'Attachment 2'!P46+'Attachment 3'!D127/100*'Attachment 2'!P47</f>
        <v>161.3570235233538</v>
      </c>
      <c r="E136" s="40">
        <f>E125/100*'Attachment 2'!Q45</f>
        <v>44539.578301347363</v>
      </c>
      <c r="F136" s="40">
        <f>F125/100*'Attachment 2'!R45</f>
        <v>762.49175534293011</v>
      </c>
      <c r="G136" s="40">
        <f>G125/100*'Attachment 2'!S45</f>
        <v>41124.357555804083</v>
      </c>
      <c r="H136" s="40">
        <f>H125/100*'Attachment 2'!T45</f>
        <v>2785.1975248595199</v>
      </c>
      <c r="I136" s="40">
        <f>I125/100*'Attachment 2'!U45</f>
        <v>1499.0563543909802</v>
      </c>
      <c r="J136" s="40">
        <f>J125/100*'Attachment 2'!V45</f>
        <v>387.26132832694606</v>
      </c>
    </row>
    <row r="137" spans="1:10" x14ac:dyDescent="0.2">
      <c r="B137" s="54" t="s">
        <v>29</v>
      </c>
      <c r="C137" s="41">
        <f t="shared" ref="C137:J137" si="9">+C136+C135</f>
        <v>351378.70102183451</v>
      </c>
      <c r="D137" s="41">
        <f t="shared" si="9"/>
        <v>287.38722829355117</v>
      </c>
      <c r="E137" s="41">
        <f t="shared" si="9"/>
        <v>74526.885300033318</v>
      </c>
      <c r="F137" s="41">
        <f t="shared" si="9"/>
        <v>1149.1234616824113</v>
      </c>
      <c r="G137" s="41">
        <f t="shared" si="9"/>
        <v>68251.71026511956</v>
      </c>
      <c r="H137" s="41">
        <f t="shared" si="9"/>
        <v>4445.6870396634149</v>
      </c>
      <c r="I137" s="41">
        <f t="shared" si="9"/>
        <v>2210.930623360603</v>
      </c>
      <c r="J137" s="41">
        <f t="shared" si="9"/>
        <v>647.52121657484531</v>
      </c>
    </row>
    <row r="138" spans="1:10" x14ac:dyDescent="0.2">
      <c r="B138" s="54"/>
      <c r="C138" s="41"/>
      <c r="D138" s="41"/>
      <c r="E138" s="41"/>
      <c r="F138" s="41"/>
      <c r="G138" s="41"/>
      <c r="H138" s="41"/>
      <c r="I138" s="41"/>
      <c r="J138" s="41"/>
    </row>
    <row r="139" spans="1:10" x14ac:dyDescent="0.2">
      <c r="B139" s="54" t="s">
        <v>197</v>
      </c>
      <c r="C139" s="41">
        <f>SUM(C135:J135)</f>
        <v>218447.19846362417</v>
      </c>
      <c r="D139" s="41"/>
      <c r="E139" s="41"/>
      <c r="F139" s="41"/>
      <c r="G139" s="41"/>
      <c r="H139" s="41"/>
      <c r="I139" s="41"/>
      <c r="J139" s="41"/>
    </row>
    <row r="140" spans="1:10" ht="15" x14ac:dyDescent="0.35">
      <c r="B140" s="54" t="s">
        <v>198</v>
      </c>
      <c r="C140" s="57">
        <f>SUM(C136:J136)</f>
        <v>284450.74769293802</v>
      </c>
      <c r="E140" s="46"/>
    </row>
    <row r="141" spans="1:10" x14ac:dyDescent="0.2">
      <c r="B141" s="54" t="s">
        <v>199</v>
      </c>
      <c r="C141" s="41">
        <f>+C140+C139</f>
        <v>502897.94615656219</v>
      </c>
      <c r="E141" s="46"/>
    </row>
    <row r="142" spans="1:10" x14ac:dyDescent="0.2">
      <c r="B142" s="54"/>
    </row>
    <row r="144" spans="1:10" x14ac:dyDescent="0.2">
      <c r="B144" s="5" t="s">
        <v>165</v>
      </c>
    </row>
    <row r="145" spans="2:3" x14ac:dyDescent="0.2">
      <c r="B145" s="54" t="s">
        <v>63</v>
      </c>
      <c r="C145" s="41">
        <f>C98</f>
        <v>218445.88910549119</v>
      </c>
    </row>
    <row r="146" spans="2:3" ht="15" x14ac:dyDescent="0.35">
      <c r="B146" s="54" t="s">
        <v>66</v>
      </c>
      <c r="C146" s="57">
        <f>C99</f>
        <v>284449.96635097475</v>
      </c>
    </row>
    <row r="147" spans="2:3" x14ac:dyDescent="0.2">
      <c r="B147" s="54" t="s">
        <v>29</v>
      </c>
      <c r="C147" s="41">
        <f>+C146+C145</f>
        <v>502895.85545646597</v>
      </c>
    </row>
    <row r="149" spans="2:3" x14ac:dyDescent="0.2">
      <c r="B149" s="27" t="s">
        <v>200</v>
      </c>
    </row>
    <row r="150" spans="2:3" x14ac:dyDescent="0.2">
      <c r="B150" s="54" t="s">
        <v>63</v>
      </c>
      <c r="C150" s="41">
        <f>+C139-C145</f>
        <v>1.3093581329740118</v>
      </c>
    </row>
    <row r="151" spans="2:3" ht="15" x14ac:dyDescent="0.35">
      <c r="B151" s="54" t="s">
        <v>66</v>
      </c>
      <c r="C151" s="57">
        <f>+C140-C146</f>
        <v>0.78134196327300742</v>
      </c>
    </row>
    <row r="152" spans="2:3" x14ac:dyDescent="0.2">
      <c r="B152" s="54" t="s">
        <v>29</v>
      </c>
      <c r="C152" s="41">
        <f>+C151+C150</f>
        <v>2.0907000962470192</v>
      </c>
    </row>
  </sheetData>
  <customSheetViews>
    <customSheetView guid="{E387223A-F425-4996-A843-D576BB2C4D04}" scale="87" showPageBreaks="1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1"/>
      <headerFooter alignWithMargins="0"/>
    </customSheetView>
    <customSheetView guid="{689761CC-C80B-4574-9251-22E069AE5A7E}" scale="87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2"/>
      <headerFooter alignWithMargins="0"/>
    </customSheetView>
  </customSheetViews>
  <phoneticPr fontId="0" type="noConversion"/>
  <pageMargins left="0.75" right="0.75" top="1" bottom="1" header="0.5" footer="0.5"/>
  <pageSetup scale="47" fitToHeight="0" orientation="landscape" r:id="rId3"/>
  <headerFooter alignWithMargins="0">
    <oddHeader>&amp;L&amp;"Arial,Bold"Atlantic City Electric Company &amp;"Arial,Regular"
Development of BGS Rates
June 2020 - May 2021&amp;RAttachment 3
Page &amp;P of &amp;N</oddHeader>
  </headerFooter>
  <rowBreaks count="3" manualBreakCount="3">
    <brk id="40" max="11" man="1"/>
    <brk id="83" max="11" man="1"/>
    <brk id="11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423E-5BFE-4A9C-BBBC-B33D486C928C}">
  <sheetPr>
    <pageSetUpPr fitToPage="1"/>
  </sheetPr>
  <dimension ref="A1:H28"/>
  <sheetViews>
    <sheetView zoomScale="80" zoomScaleNormal="80" zoomScaleSheetLayoutView="100" workbookViewId="0"/>
  </sheetViews>
  <sheetFormatPr defaultColWidth="9.140625" defaultRowHeight="12.75" x14ac:dyDescent="0.2"/>
  <cols>
    <col min="1" max="1" width="3.28515625" style="196" bestFit="1" customWidth="1"/>
    <col min="2" max="2" width="81.140625" style="196" customWidth="1"/>
    <col min="3" max="3" width="14" style="196" bestFit="1" customWidth="1"/>
    <col min="4" max="8" width="9.140625" style="196"/>
    <col min="9" max="9" width="12.42578125" style="196" customWidth="1"/>
    <col min="10" max="16384" width="9.140625" style="196"/>
  </cols>
  <sheetData>
    <row r="1" spans="1:8" ht="15.75" x14ac:dyDescent="0.25">
      <c r="B1" s="197" t="s">
        <v>279</v>
      </c>
    </row>
    <row r="2" spans="1:8" ht="15.75" x14ac:dyDescent="0.25">
      <c r="B2" s="198" t="s">
        <v>320</v>
      </c>
    </row>
    <row r="3" spans="1:8" ht="25.5" x14ac:dyDescent="0.2">
      <c r="C3" s="199" t="s">
        <v>297</v>
      </c>
      <c r="E3" s="200" t="s">
        <v>168</v>
      </c>
    </row>
    <row r="4" spans="1:8" x14ac:dyDescent="0.2">
      <c r="A4" s="196">
        <v>1</v>
      </c>
      <c r="B4" s="201" t="s">
        <v>281</v>
      </c>
      <c r="C4" s="202">
        <v>163.32</v>
      </c>
      <c r="D4" s="203"/>
      <c r="E4" s="204" t="s">
        <v>282</v>
      </c>
    </row>
    <row r="5" spans="1:8" x14ac:dyDescent="0.2">
      <c r="A5" s="196">
        <v>2</v>
      </c>
      <c r="B5" s="201" t="s">
        <v>283</v>
      </c>
      <c r="C5" s="220" t="s">
        <v>298</v>
      </c>
      <c r="E5" s="204"/>
      <c r="F5" s="204"/>
      <c r="G5" s="204"/>
      <c r="H5" s="204"/>
    </row>
    <row r="6" spans="1:8" x14ac:dyDescent="0.2">
      <c r="C6" s="199"/>
      <c r="E6" s="200"/>
    </row>
    <row r="7" spans="1:8" x14ac:dyDescent="0.2">
      <c r="A7" s="196">
        <v>3</v>
      </c>
      <c r="B7" s="201" t="s">
        <v>284</v>
      </c>
      <c r="C7" s="221" t="s">
        <v>298</v>
      </c>
      <c r="E7" s="204" t="s">
        <v>285</v>
      </c>
    </row>
    <row r="8" spans="1:8" x14ac:dyDescent="0.2">
      <c r="A8" s="196">
        <v>4</v>
      </c>
      <c r="B8" s="201" t="s">
        <v>286</v>
      </c>
      <c r="C8" s="205">
        <f>'Attachment 2'!K144</f>
        <v>1646.0513095000001</v>
      </c>
      <c r="E8" s="206"/>
    </row>
    <row r="9" spans="1:8" x14ac:dyDescent="0.2">
      <c r="A9" s="196">
        <v>5</v>
      </c>
      <c r="B9" s="201" t="s">
        <v>287</v>
      </c>
      <c r="C9" s="207">
        <v>365</v>
      </c>
    </row>
    <row r="10" spans="1:8" x14ac:dyDescent="0.2">
      <c r="A10" s="196">
        <v>6</v>
      </c>
      <c r="B10" s="201" t="s">
        <v>299</v>
      </c>
      <c r="C10" s="222" t="s">
        <v>298</v>
      </c>
      <c r="E10" s="204" t="s">
        <v>288</v>
      </c>
    </row>
    <row r="11" spans="1:8" x14ac:dyDescent="0.2">
      <c r="B11" s="201"/>
      <c r="C11" s="208"/>
      <c r="E11" s="204"/>
    </row>
    <row r="12" spans="1:8" x14ac:dyDescent="0.2">
      <c r="A12" s="196">
        <v>7</v>
      </c>
      <c r="B12" s="288" t="s">
        <v>289</v>
      </c>
      <c r="C12" s="209">
        <v>8</v>
      </c>
      <c r="E12" s="204" t="s">
        <v>290</v>
      </c>
    </row>
    <row r="13" spans="1:8" x14ac:dyDescent="0.2">
      <c r="A13" s="196">
        <v>8</v>
      </c>
      <c r="B13" s="201" t="s">
        <v>291</v>
      </c>
      <c r="C13" s="210">
        <f>'Attachment 3'!E13</f>
        <v>22</v>
      </c>
      <c r="E13" s="204" t="s">
        <v>290</v>
      </c>
    </row>
    <row r="14" spans="1:8" x14ac:dyDescent="0.2">
      <c r="A14" s="196">
        <v>9</v>
      </c>
      <c r="B14" s="201" t="s">
        <v>318</v>
      </c>
      <c r="C14" s="211">
        <f>+C12/C13</f>
        <v>0.36363636363636365</v>
      </c>
      <c r="E14" s="204" t="s">
        <v>292</v>
      </c>
    </row>
    <row r="15" spans="1:8" x14ac:dyDescent="0.2">
      <c r="B15" s="201"/>
      <c r="C15" s="208"/>
      <c r="E15" s="204"/>
    </row>
    <row r="16" spans="1:8" x14ac:dyDescent="0.2">
      <c r="A16" s="196">
        <v>10</v>
      </c>
      <c r="B16" s="201" t="s">
        <v>300</v>
      </c>
      <c r="C16" s="208">
        <v>0</v>
      </c>
      <c r="E16" s="204" t="s">
        <v>293</v>
      </c>
    </row>
    <row r="17" spans="1:5" x14ac:dyDescent="0.2">
      <c r="B17" s="201"/>
      <c r="C17" s="208"/>
      <c r="E17" s="204"/>
    </row>
    <row r="18" spans="1:5" x14ac:dyDescent="0.2">
      <c r="A18" s="196">
        <v>11</v>
      </c>
      <c r="B18" s="3" t="s">
        <v>316</v>
      </c>
      <c r="C18" s="212">
        <f>'Attachment 3'!C20+'Attachment 3'!C21</f>
        <v>5886172.5677359924</v>
      </c>
      <c r="E18" s="213"/>
    </row>
    <row r="19" spans="1:5" x14ac:dyDescent="0.2">
      <c r="A19" s="196">
        <v>12</v>
      </c>
      <c r="B19" s="201" t="s">
        <v>317</v>
      </c>
      <c r="C19" s="214">
        <f>+C14*C18</f>
        <v>2140426.3882676335</v>
      </c>
      <c r="E19" s="204" t="s">
        <v>294</v>
      </c>
    </row>
    <row r="20" spans="1:5" x14ac:dyDescent="0.2">
      <c r="B20" s="201"/>
      <c r="C20" s="215"/>
      <c r="E20" s="204"/>
    </row>
    <row r="21" spans="1:5" ht="13.5" thickBot="1" x14ac:dyDescent="0.25">
      <c r="A21" s="196">
        <v>13</v>
      </c>
      <c r="B21" s="201" t="s">
        <v>295</v>
      </c>
      <c r="C21" s="216">
        <f>ROUND(+C16/C19,2)</f>
        <v>0</v>
      </c>
      <c r="E21" s="217" t="s">
        <v>296</v>
      </c>
    </row>
    <row r="22" spans="1:5" ht="13.5" thickTop="1" x14ac:dyDescent="0.2">
      <c r="B22" s="201"/>
      <c r="C22" s="215"/>
      <c r="E22" s="204"/>
    </row>
    <row r="23" spans="1:5" x14ac:dyDescent="0.2">
      <c r="B23" s="201"/>
      <c r="C23" s="215"/>
      <c r="E23" s="204"/>
    </row>
    <row r="24" spans="1:5" x14ac:dyDescent="0.2">
      <c r="B24" s="201"/>
      <c r="C24" s="215"/>
      <c r="E24" s="204"/>
    </row>
    <row r="25" spans="1:5" x14ac:dyDescent="0.2">
      <c r="B25" s="206"/>
    </row>
    <row r="26" spans="1:5" x14ac:dyDescent="0.2">
      <c r="B26" s="206"/>
      <c r="C26" s="218"/>
      <c r="E26" s="213"/>
    </row>
    <row r="27" spans="1:5" x14ac:dyDescent="0.2">
      <c r="B27" s="206"/>
    </row>
    <row r="28" spans="1:5" x14ac:dyDescent="0.2">
      <c r="B28" s="201"/>
      <c r="C28" s="219"/>
      <c r="E28" s="204"/>
    </row>
  </sheetData>
  <pageMargins left="0.7" right="0.7" top="1" bottom="0.75" header="0.3" footer="0.3"/>
  <pageSetup scale="78" fitToHeight="0" orientation="landscape" r:id="rId1"/>
  <headerFooter>
    <oddHeader>&amp;L&amp;"Arial,Bold"Atlantic City Electric
&amp;"Arial,Regular"Development of BGS Rates
June 2020 - May 2021&amp;RAttachment 4
Page 1 of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D3A6-D034-45B2-AE12-45660F383F9C}">
  <sheetPr>
    <pageSetUpPr fitToPage="1"/>
  </sheetPr>
  <dimension ref="A1:H28"/>
  <sheetViews>
    <sheetView zoomScale="80" zoomScaleNormal="80" zoomScaleSheetLayoutView="100" workbookViewId="0"/>
  </sheetViews>
  <sheetFormatPr defaultColWidth="9.140625" defaultRowHeight="12.75" x14ac:dyDescent="0.2"/>
  <cols>
    <col min="1" max="1" width="3.28515625" style="196" bestFit="1" customWidth="1"/>
    <col min="2" max="2" width="81.140625" style="196" customWidth="1"/>
    <col min="3" max="3" width="14" style="196" bestFit="1" customWidth="1"/>
    <col min="4" max="8" width="9.140625" style="196"/>
    <col min="9" max="9" width="12.42578125" style="196" customWidth="1"/>
    <col min="10" max="16384" width="9.140625" style="196"/>
  </cols>
  <sheetData>
    <row r="1" spans="1:8" ht="15.75" x14ac:dyDescent="0.25">
      <c r="B1" s="197" t="s">
        <v>279</v>
      </c>
    </row>
    <row r="2" spans="1:8" ht="15.75" x14ac:dyDescent="0.25">
      <c r="B2" s="198" t="s">
        <v>301</v>
      </c>
    </row>
    <row r="3" spans="1:8" ht="25.5" x14ac:dyDescent="0.2">
      <c r="C3" s="199" t="s">
        <v>280</v>
      </c>
      <c r="E3" s="200" t="s">
        <v>168</v>
      </c>
    </row>
    <row r="4" spans="1:8" x14ac:dyDescent="0.2">
      <c r="A4" s="196">
        <v>1</v>
      </c>
      <c r="B4" s="201" t="s">
        <v>281</v>
      </c>
      <c r="C4" s="202">
        <v>155</v>
      </c>
      <c r="D4" s="203"/>
      <c r="E4" s="204" t="s">
        <v>302</v>
      </c>
    </row>
    <row r="5" spans="1:8" x14ac:dyDescent="0.2">
      <c r="A5" s="196">
        <v>2</v>
      </c>
      <c r="B5" s="201" t="s">
        <v>283</v>
      </c>
      <c r="C5" s="220">
        <v>152.06</v>
      </c>
      <c r="E5" s="204" t="s">
        <v>303</v>
      </c>
      <c r="F5" s="204"/>
      <c r="G5" s="204"/>
      <c r="H5" s="204"/>
    </row>
    <row r="6" spans="1:8" x14ac:dyDescent="0.2">
      <c r="C6" s="199"/>
      <c r="E6" s="200"/>
    </row>
    <row r="7" spans="1:8" x14ac:dyDescent="0.2">
      <c r="A7" s="196">
        <v>3</v>
      </c>
      <c r="B7" s="201" t="s">
        <v>284</v>
      </c>
      <c r="C7" s="221">
        <f>C4-C5</f>
        <v>2.9399999999999977</v>
      </c>
      <c r="E7" s="204" t="s">
        <v>285</v>
      </c>
    </row>
    <row r="8" spans="1:8" x14ac:dyDescent="0.2">
      <c r="A8" s="196">
        <v>4</v>
      </c>
      <c r="B8" s="201" t="s">
        <v>286</v>
      </c>
      <c r="C8" s="205">
        <f>'Attachment 2'!K144</f>
        <v>1646.0513095000001</v>
      </c>
      <c r="E8" s="206"/>
    </row>
    <row r="9" spans="1:8" x14ac:dyDescent="0.2">
      <c r="A9" s="196">
        <v>5</v>
      </c>
      <c r="B9" s="201" t="s">
        <v>287</v>
      </c>
      <c r="C9" s="207">
        <v>365</v>
      </c>
    </row>
    <row r="10" spans="1:8" x14ac:dyDescent="0.2">
      <c r="A10" s="196">
        <v>6</v>
      </c>
      <c r="B10" s="201" t="s">
        <v>299</v>
      </c>
      <c r="C10" s="222">
        <f>C7*C8*C9</f>
        <v>1766377.6602244489</v>
      </c>
      <c r="E10" s="204" t="s">
        <v>288</v>
      </c>
    </row>
    <row r="11" spans="1:8" x14ac:dyDescent="0.2">
      <c r="B11" s="201"/>
      <c r="C11" s="208"/>
      <c r="E11" s="204"/>
    </row>
    <row r="12" spans="1:8" x14ac:dyDescent="0.2">
      <c r="A12" s="196">
        <v>7</v>
      </c>
      <c r="B12" s="288" t="s">
        <v>289</v>
      </c>
      <c r="C12" s="209">
        <f>'Attachment 3'!E12</f>
        <v>8</v>
      </c>
      <c r="E12" s="204" t="s">
        <v>290</v>
      </c>
    </row>
    <row r="13" spans="1:8" x14ac:dyDescent="0.2">
      <c r="A13" s="196">
        <v>8</v>
      </c>
      <c r="B13" s="201" t="s">
        <v>291</v>
      </c>
      <c r="C13" s="210">
        <f>'Attachment 3'!E13</f>
        <v>22</v>
      </c>
      <c r="E13" s="204" t="s">
        <v>290</v>
      </c>
    </row>
    <row r="14" spans="1:8" x14ac:dyDescent="0.2">
      <c r="A14" s="196">
        <v>9</v>
      </c>
      <c r="B14" s="201" t="str">
        <f>'Attachment 4 Pg1'!B14</f>
        <v>% of tranches eligible for payment</v>
      </c>
      <c r="C14" s="211">
        <f>+C12/C13</f>
        <v>0.36363636363636365</v>
      </c>
      <c r="E14" s="204" t="s">
        <v>292</v>
      </c>
    </row>
    <row r="15" spans="1:8" x14ac:dyDescent="0.2">
      <c r="B15" s="201"/>
      <c r="C15" s="208"/>
      <c r="E15" s="204"/>
    </row>
    <row r="16" spans="1:8" x14ac:dyDescent="0.2">
      <c r="A16" s="196">
        <v>10</v>
      </c>
      <c r="B16" s="201" t="s">
        <v>300</v>
      </c>
      <c r="C16" s="208">
        <f>C10*C14</f>
        <v>642319.1491725269</v>
      </c>
      <c r="E16" s="204" t="s">
        <v>293</v>
      </c>
    </row>
    <row r="17" spans="1:5" x14ac:dyDescent="0.2">
      <c r="B17" s="201"/>
      <c r="C17" s="208"/>
      <c r="E17" s="204"/>
    </row>
    <row r="18" spans="1:5" x14ac:dyDescent="0.2">
      <c r="A18" s="196">
        <v>11</v>
      </c>
      <c r="B18" s="3" t="s">
        <v>316</v>
      </c>
      <c r="C18" s="212">
        <f>'Attachment 3'!C20+'Attachment 3'!C21</f>
        <v>5886172.5677359924</v>
      </c>
      <c r="E18" s="213"/>
    </row>
    <row r="19" spans="1:5" x14ac:dyDescent="0.2">
      <c r="A19" s="196">
        <v>12</v>
      </c>
      <c r="B19" s="201" t="s">
        <v>317</v>
      </c>
      <c r="C19" s="214">
        <f>+C14*C18</f>
        <v>2140426.3882676335</v>
      </c>
      <c r="E19" s="204" t="s">
        <v>294</v>
      </c>
    </row>
    <row r="20" spans="1:5" x14ac:dyDescent="0.2">
      <c r="B20" s="201"/>
      <c r="C20" s="215"/>
      <c r="E20" s="204"/>
    </row>
    <row r="21" spans="1:5" ht="13.5" thickBot="1" x14ac:dyDescent="0.25">
      <c r="A21" s="196">
        <v>13</v>
      </c>
      <c r="B21" s="201" t="s">
        <v>295</v>
      </c>
      <c r="C21" s="216">
        <f>ROUND(+C16/C19,2)</f>
        <v>0.3</v>
      </c>
      <c r="E21" s="217" t="s">
        <v>296</v>
      </c>
    </row>
    <row r="22" spans="1:5" ht="13.5" thickTop="1" x14ac:dyDescent="0.2">
      <c r="B22" s="201"/>
      <c r="C22" s="215"/>
      <c r="E22" s="204"/>
    </row>
    <row r="23" spans="1:5" x14ac:dyDescent="0.2">
      <c r="B23" s="201"/>
      <c r="C23" s="215"/>
      <c r="E23" s="204"/>
    </row>
    <row r="24" spans="1:5" x14ac:dyDescent="0.2">
      <c r="B24" s="201"/>
      <c r="C24" s="215"/>
      <c r="E24" s="204"/>
    </row>
    <row r="25" spans="1:5" x14ac:dyDescent="0.2">
      <c r="B25" s="206"/>
    </row>
    <row r="26" spans="1:5" x14ac:dyDescent="0.2">
      <c r="B26" s="206"/>
      <c r="C26" s="218"/>
      <c r="E26" s="213"/>
    </row>
    <row r="27" spans="1:5" x14ac:dyDescent="0.2">
      <c r="B27" s="206"/>
    </row>
    <row r="28" spans="1:5" x14ac:dyDescent="0.2">
      <c r="B28" s="201"/>
      <c r="C28" s="219"/>
      <c r="E28" s="204"/>
    </row>
  </sheetData>
  <pageMargins left="0.7" right="0.7" top="1" bottom="0.75" header="0.3" footer="0.3"/>
  <pageSetup scale="74" fitToHeight="0" orientation="landscape" r:id="rId1"/>
  <headerFooter>
    <oddHeader>&amp;L&amp;"Arial,Bold"Atlantic City Electric
&amp;"Arial,Regular"Development of BGS Rates
June 2020 - May 2021&amp;RAttachment 4
Page 2 of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F278-24A9-40C9-A0FB-EB69EA0ED3C8}">
  <sheetPr>
    <pageSetUpPr fitToPage="1"/>
  </sheetPr>
  <dimension ref="A1:M274"/>
  <sheetViews>
    <sheetView zoomScale="80" zoomScaleNormal="80" zoomScaleSheetLayoutView="80" workbookViewId="0"/>
  </sheetViews>
  <sheetFormatPr defaultColWidth="9.140625" defaultRowHeight="12.75" outlineLevelRow="1" x14ac:dyDescent="0.2"/>
  <cols>
    <col min="1" max="1" width="12.28515625" style="213" bestFit="1" customWidth="1"/>
    <col min="2" max="2" width="46" style="213" customWidth="1"/>
    <col min="3" max="3" width="17.85546875" style="213" customWidth="1"/>
    <col min="4" max="5" width="13.140625" style="213" customWidth="1"/>
    <col min="6" max="7" width="12.140625" style="213" customWidth="1"/>
    <col min="8" max="8" width="11.85546875" style="213" customWidth="1"/>
    <col min="9" max="9" width="11" style="213" customWidth="1"/>
    <col min="10" max="10" width="13.140625" style="213" customWidth="1"/>
    <col min="11" max="11" width="12.5703125" style="213" customWidth="1"/>
    <col min="12" max="12" width="21" style="213" customWidth="1"/>
    <col min="13" max="13" width="14.28515625" style="213" bestFit="1" customWidth="1"/>
    <col min="14" max="14" width="24.140625" style="213" bestFit="1" customWidth="1"/>
    <col min="15" max="16" width="10.85546875" style="213" bestFit="1" customWidth="1"/>
    <col min="17" max="17" width="14.42578125" style="213" bestFit="1" customWidth="1"/>
    <col min="18" max="16384" width="9.140625" style="213"/>
  </cols>
  <sheetData>
    <row r="1" spans="1:11" ht="20.25" x14ac:dyDescent="0.3">
      <c r="A1" s="223" t="s">
        <v>304</v>
      </c>
    </row>
    <row r="2" spans="1:11" ht="15.75" x14ac:dyDescent="0.25">
      <c r="A2" s="224" t="s">
        <v>305</v>
      </c>
    </row>
    <row r="3" spans="1:11" x14ac:dyDescent="0.2">
      <c r="A3" s="225" t="s">
        <v>319</v>
      </c>
    </row>
    <row r="5" spans="1:11" x14ac:dyDescent="0.2">
      <c r="A5" s="227" t="s">
        <v>221</v>
      </c>
      <c r="B5" s="201" t="s">
        <v>222</v>
      </c>
    </row>
    <row r="6" spans="1:11" ht="51" customHeight="1" x14ac:dyDescent="0.2">
      <c r="A6" s="228" t="s">
        <v>166</v>
      </c>
      <c r="B6" s="201" t="s">
        <v>306</v>
      </c>
      <c r="C6" s="200" t="s">
        <v>307</v>
      </c>
      <c r="D6" s="200" t="s">
        <v>308</v>
      </c>
      <c r="E6" s="200" t="s">
        <v>309</v>
      </c>
      <c r="G6" s="200" t="s">
        <v>168</v>
      </c>
    </row>
    <row r="8" spans="1:11" x14ac:dyDescent="0.2">
      <c r="A8" s="228">
        <v>1</v>
      </c>
      <c r="B8" s="201" t="s">
        <v>169</v>
      </c>
      <c r="C8" s="6">
        <v>87.4</v>
      </c>
      <c r="D8" s="6">
        <v>87.4</v>
      </c>
      <c r="E8" s="6">
        <v>87.4</v>
      </c>
      <c r="G8" s="5" t="s">
        <v>170</v>
      </c>
    </row>
    <row r="9" spans="1:11" x14ac:dyDescent="0.2">
      <c r="A9" s="229" t="s">
        <v>271</v>
      </c>
      <c r="B9" s="201" t="s">
        <v>310</v>
      </c>
      <c r="C9" s="195">
        <f>'Attachment 4 Pg2'!C21</f>
        <v>0.3</v>
      </c>
      <c r="D9" s="230"/>
      <c r="E9" s="230"/>
      <c r="G9" s="138" t="s">
        <v>274</v>
      </c>
    </row>
    <row r="10" spans="1:11" x14ac:dyDescent="0.2">
      <c r="A10" s="228" t="s">
        <v>276</v>
      </c>
      <c r="B10" s="201" t="s">
        <v>311</v>
      </c>
      <c r="C10" s="231">
        <f>+C8+C9</f>
        <v>87.7</v>
      </c>
      <c r="D10" s="231">
        <f>+D8+D9</f>
        <v>87.4</v>
      </c>
      <c r="E10" s="231">
        <f>+E8+E9</f>
        <v>87.4</v>
      </c>
      <c r="G10" s="178" t="s">
        <v>275</v>
      </c>
    </row>
    <row r="11" spans="1:11" x14ac:dyDescent="0.2">
      <c r="A11" s="228"/>
      <c r="B11" s="201"/>
      <c r="C11" s="231"/>
      <c r="D11" s="231"/>
      <c r="E11" s="231"/>
      <c r="G11" s="232"/>
    </row>
    <row r="12" spans="1:11" x14ac:dyDescent="0.2">
      <c r="A12" s="228">
        <v>2</v>
      </c>
      <c r="B12" s="288" t="s">
        <v>312</v>
      </c>
      <c r="C12" s="233">
        <v>8</v>
      </c>
      <c r="D12" s="233">
        <v>7</v>
      </c>
      <c r="E12" s="233">
        <v>7</v>
      </c>
      <c r="G12" s="5" t="s">
        <v>172</v>
      </c>
    </row>
    <row r="13" spans="1:11" x14ac:dyDescent="0.2">
      <c r="A13" s="228">
        <v>3</v>
      </c>
      <c r="B13" s="201" t="s">
        <v>313</v>
      </c>
      <c r="C13" s="233">
        <v>22</v>
      </c>
      <c r="D13" s="233">
        <v>22</v>
      </c>
      <c r="E13" s="233">
        <v>22</v>
      </c>
      <c r="G13" s="5" t="s">
        <v>172</v>
      </c>
    </row>
    <row r="14" spans="1:11" x14ac:dyDescent="0.2">
      <c r="A14" s="228"/>
      <c r="B14" s="201"/>
      <c r="C14" s="233"/>
      <c r="D14" s="233"/>
      <c r="E14" s="233"/>
      <c r="G14" s="5"/>
    </row>
    <row r="15" spans="1:11" x14ac:dyDescent="0.2">
      <c r="A15" s="228"/>
      <c r="B15" s="201" t="s">
        <v>174</v>
      </c>
    </row>
    <row r="16" spans="1:11" x14ac:dyDescent="0.2">
      <c r="A16" s="228">
        <v>4</v>
      </c>
      <c r="B16" s="234" t="s">
        <v>175</v>
      </c>
      <c r="C16" s="81">
        <f>'Attachment 3'!C16</f>
        <v>1</v>
      </c>
      <c r="D16" s="81">
        <f>'Attachment 3'!D16</f>
        <v>1</v>
      </c>
      <c r="E16" s="142">
        <f>'Attachment 3'!E16</f>
        <v>1</v>
      </c>
      <c r="G16" s="5" t="s">
        <v>176</v>
      </c>
      <c r="K16" s="235"/>
    </row>
    <row r="17" spans="1:12" x14ac:dyDescent="0.2">
      <c r="A17" s="228">
        <v>5</v>
      </c>
      <c r="B17" s="234" t="s">
        <v>177</v>
      </c>
      <c r="C17" s="81">
        <f>'Attachment 3'!C17</f>
        <v>1</v>
      </c>
      <c r="D17" s="81">
        <f>'Attachment 3'!D17</f>
        <v>1</v>
      </c>
      <c r="E17" s="142">
        <f>'Attachment 3'!E17</f>
        <v>1</v>
      </c>
      <c r="G17" s="5" t="s">
        <v>176</v>
      </c>
      <c r="K17" s="235"/>
    </row>
    <row r="18" spans="1:12" x14ac:dyDescent="0.2">
      <c r="A18" s="228"/>
    </row>
    <row r="19" spans="1:12" x14ac:dyDescent="0.2">
      <c r="A19" s="228"/>
      <c r="B19" s="3" t="s">
        <v>178</v>
      </c>
    </row>
    <row r="20" spans="1:12" x14ac:dyDescent="0.2">
      <c r="A20" s="228">
        <v>6</v>
      </c>
      <c r="B20" s="213" t="s">
        <v>179</v>
      </c>
      <c r="C20" s="236">
        <f>'Attachment 3'!C20</f>
        <v>2556812.0835283948</v>
      </c>
      <c r="D20" s="237"/>
      <c r="E20" s="237"/>
      <c r="G20" s="5" t="s">
        <v>180</v>
      </c>
    </row>
    <row r="21" spans="1:12" x14ac:dyDescent="0.2">
      <c r="A21" s="228">
        <v>7</v>
      </c>
      <c r="B21" s="213" t="s">
        <v>181</v>
      </c>
      <c r="C21" s="236">
        <f>'Attachment 3'!C21</f>
        <v>3329360.4842075976</v>
      </c>
      <c r="D21" s="237"/>
      <c r="E21" s="237"/>
    </row>
    <row r="22" spans="1:12" x14ac:dyDescent="0.2">
      <c r="A22" s="228"/>
    </row>
    <row r="23" spans="1:12" x14ac:dyDescent="0.2">
      <c r="A23" s="228"/>
      <c r="B23" s="201" t="s">
        <v>314</v>
      </c>
    </row>
    <row r="24" spans="1:12" x14ac:dyDescent="0.2">
      <c r="A24" s="228">
        <v>8</v>
      </c>
      <c r="B24" s="234" t="s">
        <v>175</v>
      </c>
      <c r="C24" s="238">
        <f t="shared" ref="C24:E25" si="0">(+C$10*C$12/C$13*C16*$C20/1000)</f>
        <v>81539.061718341909</v>
      </c>
      <c r="D24" s="238">
        <f t="shared" si="0"/>
        <v>71102.619668303276</v>
      </c>
      <c r="E24" s="238">
        <f t="shared" si="0"/>
        <v>71102.619668303276</v>
      </c>
      <c r="F24" s="239"/>
      <c r="G24" s="178" t="s">
        <v>278</v>
      </c>
      <c r="J24" s="240"/>
      <c r="L24" s="240"/>
    </row>
    <row r="25" spans="1:12" ht="15" x14ac:dyDescent="0.35">
      <c r="A25" s="228">
        <v>9</v>
      </c>
      <c r="B25" s="234" t="s">
        <v>177</v>
      </c>
      <c r="C25" s="241">
        <f t="shared" si="0"/>
        <v>106176.33253272956</v>
      </c>
      <c r="D25" s="241">
        <f t="shared" si="0"/>
        <v>92586.488374464025</v>
      </c>
      <c r="E25" s="241">
        <f t="shared" si="0"/>
        <v>92586.488374464025</v>
      </c>
      <c r="F25" s="239"/>
      <c r="G25" s="178" t="s">
        <v>277</v>
      </c>
    </row>
    <row r="26" spans="1:12" x14ac:dyDescent="0.2">
      <c r="A26" s="228">
        <v>10</v>
      </c>
      <c r="B26" s="213" t="s">
        <v>183</v>
      </c>
      <c r="C26" s="240">
        <f>+C25+C24</f>
        <v>187715.39425107147</v>
      </c>
      <c r="D26" s="240">
        <f>+D25+D24</f>
        <v>163689.1080427673</v>
      </c>
      <c r="E26" s="240">
        <f>+E25+E24</f>
        <v>163689.1080427673</v>
      </c>
      <c r="J26" s="240"/>
      <c r="L26" s="240"/>
    </row>
    <row r="27" spans="1:12" x14ac:dyDescent="0.2">
      <c r="A27" s="228"/>
    </row>
    <row r="28" spans="1:12" x14ac:dyDescent="0.2">
      <c r="A28" s="228"/>
      <c r="B28" s="201" t="s">
        <v>315</v>
      </c>
    </row>
    <row r="29" spans="1:12" x14ac:dyDescent="0.2">
      <c r="A29" s="228">
        <v>11</v>
      </c>
      <c r="B29" s="234" t="s">
        <v>175</v>
      </c>
      <c r="C29" s="284">
        <f>ROUND(+SUM(C24:E24)/C20*1000,3)</f>
        <v>87.509</v>
      </c>
      <c r="D29" s="242"/>
      <c r="G29" s="178" t="s">
        <v>258</v>
      </c>
    </row>
    <row r="30" spans="1:12" x14ac:dyDescent="0.2">
      <c r="A30" s="228">
        <v>12</v>
      </c>
      <c r="B30" s="234" t="s">
        <v>177</v>
      </c>
      <c r="C30" s="285">
        <f>ROUND(+SUM(C25:E25)/C21*1000,3)</f>
        <v>87.509</v>
      </c>
      <c r="G30" s="178" t="s">
        <v>259</v>
      </c>
    </row>
    <row r="31" spans="1:12" x14ac:dyDescent="0.2">
      <c r="A31" s="228"/>
      <c r="B31" s="234"/>
      <c r="C31" s="244"/>
      <c r="G31" s="243"/>
    </row>
    <row r="32" spans="1:12" x14ac:dyDescent="0.2">
      <c r="A32" s="228">
        <v>13</v>
      </c>
      <c r="B32" s="213" t="s">
        <v>185</v>
      </c>
      <c r="C32" s="286">
        <f>ROUND(+SUM(C26:E26)/(C20+C21)*1000,3)</f>
        <v>87.509</v>
      </c>
      <c r="D32" s="213" t="s">
        <v>186</v>
      </c>
      <c r="G32" s="178" t="s">
        <v>260</v>
      </c>
    </row>
    <row r="33" spans="1:13" x14ac:dyDescent="0.2">
      <c r="D33" s="213" t="s">
        <v>187</v>
      </c>
      <c r="G33" s="5" t="s">
        <v>188</v>
      </c>
    </row>
    <row r="34" spans="1:13" x14ac:dyDescent="0.2">
      <c r="C34" s="242"/>
    </row>
    <row r="35" spans="1:13" x14ac:dyDescent="0.2">
      <c r="B35" s="245"/>
      <c r="D35" s="242"/>
    </row>
    <row r="36" spans="1:13" x14ac:dyDescent="0.2">
      <c r="A36" s="228"/>
      <c r="B36" s="246"/>
      <c r="C36" s="240"/>
      <c r="D36" s="242"/>
      <c r="G36" s="243"/>
    </row>
    <row r="37" spans="1:13" ht="15" x14ac:dyDescent="0.35">
      <c r="A37" s="228"/>
      <c r="B37" s="246"/>
      <c r="C37" s="247"/>
      <c r="D37" s="242"/>
      <c r="G37" s="243"/>
    </row>
    <row r="38" spans="1:13" x14ac:dyDescent="0.2">
      <c r="A38" s="228"/>
      <c r="B38" s="246"/>
      <c r="C38" s="248"/>
      <c r="D38" s="242"/>
      <c r="G38" s="243"/>
    </row>
    <row r="39" spans="1:13" x14ac:dyDescent="0.2">
      <c r="B39" s="246"/>
      <c r="D39" s="242"/>
    </row>
    <row r="41" spans="1:13" x14ac:dyDescent="0.2">
      <c r="A41" s="249"/>
      <c r="B41" s="201"/>
      <c r="G41" s="226"/>
    </row>
    <row r="42" spans="1:13" x14ac:dyDescent="0.2">
      <c r="A42" s="249"/>
      <c r="B42" s="201"/>
      <c r="G42" s="226"/>
    </row>
    <row r="43" spans="1:13" x14ac:dyDescent="0.2">
      <c r="B43" s="201"/>
    </row>
    <row r="44" spans="1:13" x14ac:dyDescent="0.2">
      <c r="B44" s="226"/>
    </row>
    <row r="45" spans="1:13" x14ac:dyDescent="0.2">
      <c r="B45" s="201"/>
    </row>
    <row r="46" spans="1:13" x14ac:dyDescent="0.2">
      <c r="C46" s="250"/>
      <c r="D46" s="250"/>
      <c r="E46" s="250"/>
      <c r="F46" s="250"/>
      <c r="G46" s="250"/>
      <c r="H46" s="250"/>
      <c r="I46" s="250"/>
      <c r="J46" s="250"/>
    </row>
    <row r="47" spans="1:13" x14ac:dyDescent="0.2">
      <c r="C47" s="250"/>
      <c r="D47" s="250"/>
      <c r="E47" s="250"/>
      <c r="F47" s="250"/>
      <c r="G47" s="250"/>
    </row>
    <row r="48" spans="1:13" x14ac:dyDescent="0.2">
      <c r="B48" s="251"/>
      <c r="E48" s="252"/>
      <c r="F48" s="30"/>
      <c r="G48" s="30"/>
      <c r="H48" s="30"/>
      <c r="I48" s="252"/>
      <c r="J48" s="252"/>
      <c r="K48" s="253"/>
      <c r="L48" s="253"/>
      <c r="M48" s="253"/>
    </row>
    <row r="49" spans="2:13" x14ac:dyDescent="0.2">
      <c r="B49" s="254"/>
      <c r="C49" s="25"/>
      <c r="D49" s="255"/>
      <c r="E49" s="30"/>
      <c r="F49" s="252"/>
      <c r="G49" s="252"/>
      <c r="H49" s="252"/>
      <c r="I49" s="206"/>
      <c r="J49" s="256"/>
      <c r="K49" s="253"/>
      <c r="L49" s="253"/>
      <c r="M49" s="253"/>
    </row>
    <row r="50" spans="2:13" x14ac:dyDescent="0.2">
      <c r="B50" s="254"/>
      <c r="C50" s="25"/>
      <c r="D50" s="255"/>
      <c r="E50" s="30"/>
      <c r="F50" s="252"/>
      <c r="G50" s="252"/>
      <c r="H50" s="257"/>
      <c r="I50" s="206"/>
      <c r="J50" s="256"/>
      <c r="K50" s="258"/>
      <c r="L50" s="253"/>
      <c r="M50" s="253"/>
    </row>
    <row r="51" spans="2:13" x14ac:dyDescent="0.2">
      <c r="E51" s="25"/>
      <c r="F51" s="255"/>
      <c r="G51" s="255"/>
      <c r="L51" s="253"/>
      <c r="M51" s="253"/>
    </row>
    <row r="52" spans="2:13" x14ac:dyDescent="0.2">
      <c r="B52" s="259"/>
      <c r="C52" s="30"/>
      <c r="D52" s="30"/>
      <c r="E52" s="25"/>
      <c r="F52" s="255"/>
      <c r="G52" s="255"/>
      <c r="H52" s="255"/>
      <c r="I52" s="255"/>
      <c r="J52" s="255"/>
      <c r="K52" s="253"/>
      <c r="L52" s="253"/>
      <c r="M52" s="253"/>
    </row>
    <row r="53" spans="2:13" x14ac:dyDescent="0.2">
      <c r="B53" s="259"/>
      <c r="C53" s="260"/>
      <c r="D53" s="260"/>
      <c r="E53" s="261"/>
      <c r="F53" s="255"/>
      <c r="G53" s="255"/>
      <c r="H53" s="255"/>
      <c r="I53" s="255"/>
      <c r="J53" s="255"/>
      <c r="K53" s="253"/>
      <c r="L53" s="253"/>
      <c r="M53" s="253"/>
    </row>
    <row r="54" spans="2:13" x14ac:dyDescent="0.2">
      <c r="B54" s="259"/>
      <c r="C54" s="260"/>
      <c r="D54" s="260"/>
      <c r="E54" s="261"/>
      <c r="F54" s="255"/>
      <c r="G54" s="255"/>
      <c r="H54" s="255"/>
      <c r="I54" s="255"/>
      <c r="J54" s="255"/>
      <c r="K54" s="253"/>
      <c r="L54" s="253"/>
      <c r="M54" s="253"/>
    </row>
    <row r="55" spans="2:13" x14ac:dyDescent="0.2">
      <c r="G55" s="255"/>
      <c r="H55" s="255"/>
      <c r="I55" s="255"/>
      <c r="J55" s="255"/>
      <c r="K55" s="253"/>
      <c r="L55" s="253"/>
      <c r="M55" s="253"/>
    </row>
    <row r="56" spans="2:13" x14ac:dyDescent="0.2">
      <c r="H56" s="255"/>
      <c r="I56" s="255"/>
      <c r="J56" s="255"/>
      <c r="K56" s="253"/>
      <c r="L56" s="253"/>
      <c r="M56" s="253"/>
    </row>
    <row r="57" spans="2:13" x14ac:dyDescent="0.2">
      <c r="C57" s="255"/>
      <c r="D57" s="255"/>
      <c r="E57" s="255"/>
      <c r="F57" s="255"/>
      <c r="G57" s="255"/>
      <c r="H57" s="255"/>
      <c r="I57" s="255"/>
      <c r="J57" s="255"/>
      <c r="K57" s="253"/>
      <c r="L57" s="253"/>
      <c r="M57" s="253"/>
    </row>
    <row r="58" spans="2:13" x14ac:dyDescent="0.2">
      <c r="B58" s="251"/>
      <c r="C58" s="30"/>
      <c r="D58" s="30"/>
      <c r="E58" s="252"/>
      <c r="F58" s="30"/>
      <c r="G58" s="30"/>
      <c r="H58" s="30"/>
      <c r="I58" s="252"/>
      <c r="J58" s="252"/>
      <c r="K58" s="253"/>
      <c r="L58" s="253"/>
      <c r="M58" s="253"/>
    </row>
    <row r="59" spans="2:13" x14ac:dyDescent="0.2">
      <c r="B59" s="254"/>
      <c r="C59" s="255"/>
      <c r="D59" s="255"/>
      <c r="E59" s="30"/>
      <c r="F59" s="255"/>
      <c r="G59" s="255"/>
      <c r="H59" s="255"/>
      <c r="J59" s="256"/>
      <c r="K59" s="253"/>
      <c r="L59" s="253"/>
      <c r="M59" s="253"/>
    </row>
    <row r="60" spans="2:13" x14ac:dyDescent="0.2">
      <c r="B60" s="254"/>
      <c r="C60" s="255"/>
      <c r="D60" s="255"/>
      <c r="E60" s="30"/>
      <c r="F60" s="255"/>
      <c r="G60" s="255"/>
      <c r="J60" s="256"/>
      <c r="K60" s="258"/>
      <c r="L60" s="253"/>
      <c r="M60" s="253"/>
    </row>
    <row r="61" spans="2:13" x14ac:dyDescent="0.2">
      <c r="C61" s="262"/>
      <c r="D61" s="262"/>
      <c r="E61" s="262"/>
      <c r="F61" s="262"/>
      <c r="G61" s="262"/>
      <c r="K61" s="253"/>
      <c r="L61" s="253"/>
      <c r="M61" s="253"/>
    </row>
    <row r="62" spans="2:13" x14ac:dyDescent="0.2">
      <c r="C62" s="263"/>
      <c r="D62" s="263"/>
      <c r="E62" s="263"/>
      <c r="F62" s="263"/>
      <c r="G62" s="263"/>
      <c r="H62" s="263"/>
      <c r="I62" s="263"/>
      <c r="J62" s="263"/>
      <c r="K62" s="253"/>
      <c r="L62" s="253"/>
      <c r="M62" s="253"/>
    </row>
    <row r="65" spans="2:11" x14ac:dyDescent="0.2">
      <c r="B65" s="201"/>
    </row>
    <row r="66" spans="2:11" x14ac:dyDescent="0.2">
      <c r="B66" s="226"/>
    </row>
    <row r="67" spans="2:11" x14ac:dyDescent="0.2">
      <c r="B67" s="206"/>
    </row>
    <row r="68" spans="2:11" x14ac:dyDescent="0.2">
      <c r="C68" s="250"/>
      <c r="D68" s="250"/>
      <c r="E68" s="250"/>
      <c r="F68" s="250"/>
      <c r="H68" s="201"/>
      <c r="I68" s="250"/>
      <c r="J68" s="250"/>
    </row>
    <row r="69" spans="2:11" x14ac:dyDescent="0.2">
      <c r="C69" s="250"/>
      <c r="D69" s="264"/>
      <c r="E69" s="250"/>
      <c r="F69" s="264"/>
    </row>
    <row r="70" spans="2:11" x14ac:dyDescent="0.2">
      <c r="B70" s="251"/>
      <c r="C70" s="30"/>
      <c r="D70" s="258"/>
      <c r="E70" s="257"/>
      <c r="F70" s="257"/>
      <c r="H70" s="265"/>
    </row>
    <row r="71" spans="2:11" x14ac:dyDescent="0.2">
      <c r="B71" s="254"/>
      <c r="C71" s="252"/>
      <c r="D71" s="258"/>
      <c r="E71" s="30"/>
      <c r="F71" s="258"/>
      <c r="H71" s="246"/>
      <c r="I71" s="266"/>
      <c r="J71" s="266"/>
      <c r="K71" s="243"/>
    </row>
    <row r="72" spans="2:11" x14ac:dyDescent="0.2">
      <c r="B72" s="254"/>
      <c r="C72" s="252"/>
      <c r="D72" s="258"/>
      <c r="E72" s="30"/>
      <c r="F72" s="258"/>
      <c r="H72" s="246"/>
      <c r="I72" s="266"/>
      <c r="J72" s="266"/>
      <c r="K72" s="243"/>
    </row>
    <row r="73" spans="2:11" x14ac:dyDescent="0.2">
      <c r="C73" s="252"/>
      <c r="D73" s="258"/>
      <c r="E73" s="252"/>
      <c r="F73" s="258"/>
      <c r="H73" s="246"/>
      <c r="I73" s="266"/>
      <c r="J73" s="266"/>
      <c r="K73" s="243"/>
    </row>
    <row r="74" spans="2:11" x14ac:dyDescent="0.2">
      <c r="B74" s="251"/>
      <c r="C74" s="30"/>
      <c r="D74" s="258"/>
      <c r="E74" s="30"/>
      <c r="F74" s="258"/>
      <c r="H74" s="265"/>
      <c r="I74" s="242"/>
      <c r="J74" s="242"/>
    </row>
    <row r="75" spans="2:11" x14ac:dyDescent="0.2">
      <c r="B75" s="254"/>
      <c r="C75" s="252"/>
      <c r="D75" s="257"/>
      <c r="E75" s="30"/>
      <c r="F75" s="258"/>
      <c r="H75" s="246"/>
      <c r="I75" s="266"/>
      <c r="J75" s="266"/>
      <c r="K75" s="243"/>
    </row>
    <row r="76" spans="2:11" x14ac:dyDescent="0.2">
      <c r="B76" s="254"/>
      <c r="C76" s="252"/>
      <c r="D76" s="257"/>
      <c r="E76" s="30"/>
      <c r="F76" s="258"/>
    </row>
    <row r="77" spans="2:11" x14ac:dyDescent="0.2">
      <c r="C77" s="263"/>
      <c r="D77" s="257"/>
      <c r="E77" s="263"/>
      <c r="F77" s="257"/>
    </row>
    <row r="78" spans="2:11" x14ac:dyDescent="0.2">
      <c r="C78" s="263"/>
      <c r="D78" s="257"/>
      <c r="E78" s="263"/>
      <c r="F78" s="257"/>
    </row>
    <row r="79" spans="2:11" x14ac:dyDescent="0.2">
      <c r="C79" s="263"/>
      <c r="D79" s="257"/>
      <c r="E79" s="263"/>
      <c r="F79" s="257"/>
    </row>
    <row r="80" spans="2:11" x14ac:dyDescent="0.2">
      <c r="C80" s="253"/>
      <c r="E80" s="253"/>
    </row>
    <row r="81" spans="1:13" x14ac:dyDescent="0.2">
      <c r="A81" s="267"/>
      <c r="B81" s="245"/>
      <c r="C81" s="253"/>
      <c r="E81" s="253"/>
    </row>
    <row r="82" spans="1:13" x14ac:dyDescent="0.2">
      <c r="A82" s="267"/>
      <c r="B82" s="226"/>
    </row>
    <row r="84" spans="1:13" x14ac:dyDescent="0.2">
      <c r="B84" s="201"/>
    </row>
    <row r="85" spans="1:13" x14ac:dyDescent="0.2">
      <c r="B85" s="226"/>
    </row>
    <row r="86" spans="1:13" x14ac:dyDescent="0.2">
      <c r="B86" s="201"/>
    </row>
    <row r="87" spans="1:13" x14ac:dyDescent="0.2">
      <c r="C87" s="250"/>
      <c r="D87" s="250"/>
      <c r="E87" s="250"/>
      <c r="F87" s="250"/>
      <c r="G87" s="250"/>
      <c r="H87" s="250"/>
      <c r="I87" s="250"/>
      <c r="J87" s="250"/>
    </row>
    <row r="88" spans="1:13" x14ac:dyDescent="0.2">
      <c r="C88" s="267"/>
      <c r="D88" s="267"/>
      <c r="E88" s="267"/>
      <c r="F88" s="268"/>
      <c r="G88" s="268"/>
      <c r="H88" s="268"/>
      <c r="I88" s="268"/>
      <c r="J88" s="268"/>
    </row>
    <row r="89" spans="1:13" x14ac:dyDescent="0.2">
      <c r="B89" s="251"/>
      <c r="C89" s="267"/>
      <c r="D89" s="267"/>
      <c r="E89" s="267"/>
      <c r="F89" s="268"/>
      <c r="G89" s="268"/>
      <c r="H89" s="268"/>
      <c r="I89" s="268"/>
      <c r="J89" s="268"/>
      <c r="L89" s="253"/>
      <c r="M89" s="253"/>
    </row>
    <row r="90" spans="1:13" x14ac:dyDescent="0.2">
      <c r="B90" s="254"/>
      <c r="C90" s="267"/>
      <c r="D90" s="267"/>
      <c r="E90" s="268"/>
      <c r="F90" s="267"/>
      <c r="G90" s="268"/>
      <c r="H90" s="268"/>
      <c r="I90" s="268"/>
      <c r="J90" s="267"/>
      <c r="L90" s="253"/>
      <c r="M90" s="253"/>
    </row>
    <row r="91" spans="1:13" x14ac:dyDescent="0.2">
      <c r="B91" s="254"/>
      <c r="C91" s="267"/>
      <c r="D91" s="267"/>
      <c r="E91" s="268"/>
      <c r="F91" s="267"/>
      <c r="G91" s="267"/>
      <c r="H91" s="267"/>
      <c r="I91" s="267"/>
      <c r="J91" s="267"/>
      <c r="L91" s="253"/>
      <c r="M91" s="253"/>
    </row>
    <row r="92" spans="1:13" x14ac:dyDescent="0.2">
      <c r="B92" s="259"/>
      <c r="C92" s="267"/>
      <c r="D92" s="267"/>
      <c r="E92" s="267"/>
      <c r="F92" s="267"/>
      <c r="G92" s="267"/>
      <c r="H92" s="267"/>
      <c r="I92" s="267"/>
      <c r="J92" s="267"/>
      <c r="L92" s="253"/>
      <c r="M92" s="253"/>
    </row>
    <row r="93" spans="1:13" x14ac:dyDescent="0.2">
      <c r="B93" s="261"/>
      <c r="C93" s="268"/>
      <c r="D93" s="268"/>
      <c r="E93" s="267"/>
      <c r="F93" s="267"/>
      <c r="G93" s="267"/>
      <c r="H93" s="267"/>
      <c r="I93" s="267"/>
      <c r="J93" s="267"/>
      <c r="L93" s="253"/>
      <c r="M93" s="253"/>
    </row>
    <row r="94" spans="1:13" x14ac:dyDescent="0.2">
      <c r="B94" s="261"/>
      <c r="C94" s="268"/>
      <c r="D94" s="268"/>
      <c r="E94" s="267"/>
      <c r="F94" s="267"/>
      <c r="G94" s="267"/>
      <c r="H94" s="267"/>
      <c r="I94" s="267"/>
      <c r="J94" s="267"/>
      <c r="L94" s="253"/>
      <c r="M94" s="253"/>
    </row>
    <row r="95" spans="1:13" x14ac:dyDescent="0.2">
      <c r="C95" s="268"/>
      <c r="D95" s="268"/>
      <c r="E95" s="267"/>
      <c r="F95" s="267"/>
      <c r="G95" s="267"/>
      <c r="H95" s="267"/>
      <c r="I95" s="267"/>
      <c r="J95" s="267"/>
      <c r="L95" s="253"/>
      <c r="M95" s="253"/>
    </row>
    <row r="96" spans="1:13" x14ac:dyDescent="0.2">
      <c r="B96" s="251"/>
      <c r="C96" s="268"/>
      <c r="D96" s="268"/>
      <c r="E96" s="267"/>
      <c r="F96" s="268"/>
      <c r="G96" s="268"/>
      <c r="H96" s="268"/>
      <c r="I96" s="268"/>
      <c r="J96" s="268"/>
      <c r="L96" s="253"/>
      <c r="M96" s="253"/>
    </row>
    <row r="97" spans="2:13" x14ac:dyDescent="0.2">
      <c r="B97" s="254"/>
      <c r="C97" s="267"/>
      <c r="D97" s="267"/>
      <c r="E97" s="268"/>
      <c r="F97" s="267"/>
      <c r="G97" s="267"/>
      <c r="H97" s="267"/>
      <c r="I97" s="267"/>
      <c r="J97" s="267"/>
      <c r="L97" s="253"/>
      <c r="M97" s="253"/>
    </row>
    <row r="98" spans="2:13" x14ac:dyDescent="0.2">
      <c r="B98" s="254"/>
      <c r="C98" s="267"/>
      <c r="D98" s="267"/>
      <c r="E98" s="268"/>
      <c r="F98" s="267"/>
      <c r="G98" s="267"/>
      <c r="H98" s="267"/>
      <c r="I98" s="267"/>
      <c r="J98" s="267"/>
      <c r="L98" s="253"/>
      <c r="M98" s="253"/>
    </row>
    <row r="99" spans="2:13" x14ac:dyDescent="0.2">
      <c r="C99" s="267"/>
      <c r="D99" s="267"/>
      <c r="E99" s="268"/>
      <c r="F99" s="267"/>
      <c r="G99" s="267"/>
      <c r="H99" s="267"/>
      <c r="I99" s="267"/>
      <c r="J99" s="267"/>
      <c r="L99" s="253"/>
      <c r="M99" s="253"/>
    </row>
    <row r="102" spans="2:13" x14ac:dyDescent="0.2">
      <c r="B102" s="201"/>
    </row>
    <row r="103" spans="2:13" x14ac:dyDescent="0.2">
      <c r="B103" s="226"/>
    </row>
    <row r="104" spans="2:13" x14ac:dyDescent="0.2">
      <c r="B104" s="206"/>
    </row>
    <row r="105" spans="2:13" x14ac:dyDescent="0.2">
      <c r="C105" s="250"/>
      <c r="D105" s="250"/>
      <c r="E105" s="250"/>
      <c r="F105" s="250"/>
      <c r="H105" s="201"/>
      <c r="I105" s="250"/>
      <c r="J105" s="250"/>
    </row>
    <row r="106" spans="2:13" x14ac:dyDescent="0.2">
      <c r="F106" s="264"/>
    </row>
    <row r="107" spans="2:13" x14ac:dyDescent="0.2">
      <c r="B107" s="251"/>
      <c r="C107" s="268"/>
      <c r="D107" s="268"/>
      <c r="E107" s="268"/>
      <c r="F107" s="257"/>
      <c r="H107" s="265"/>
    </row>
    <row r="108" spans="2:13" x14ac:dyDescent="0.2">
      <c r="B108" s="254"/>
      <c r="C108" s="268"/>
      <c r="D108" s="268"/>
      <c r="E108" s="268"/>
      <c r="F108" s="258"/>
      <c r="H108" s="246"/>
      <c r="I108" s="269"/>
      <c r="J108" s="269"/>
      <c r="K108" s="243"/>
    </row>
    <row r="109" spans="2:13" x14ac:dyDescent="0.2">
      <c r="B109" s="254"/>
      <c r="C109" s="268"/>
      <c r="D109" s="268"/>
      <c r="E109" s="268"/>
      <c r="F109" s="258"/>
      <c r="H109" s="246"/>
      <c r="I109" s="269"/>
      <c r="J109" s="269"/>
      <c r="K109" s="243"/>
    </row>
    <row r="110" spans="2:13" x14ac:dyDescent="0.2">
      <c r="C110" s="268"/>
      <c r="D110" s="268"/>
      <c r="E110" s="268"/>
      <c r="F110" s="258"/>
      <c r="H110" s="246"/>
      <c r="I110" s="266"/>
      <c r="J110" s="266"/>
      <c r="K110" s="243"/>
    </row>
    <row r="111" spans="2:13" x14ac:dyDescent="0.2">
      <c r="B111" s="251"/>
      <c r="C111" s="268"/>
      <c r="D111" s="268"/>
      <c r="E111" s="268"/>
      <c r="F111" s="258"/>
      <c r="H111" s="265"/>
      <c r="I111" s="242"/>
      <c r="J111" s="242"/>
    </row>
    <row r="112" spans="2:13" x14ac:dyDescent="0.2">
      <c r="B112" s="254"/>
      <c r="C112" s="268"/>
      <c r="D112" s="268"/>
      <c r="E112" s="268"/>
      <c r="F112" s="258"/>
      <c r="H112" s="246"/>
      <c r="I112" s="269"/>
      <c r="J112" s="269"/>
      <c r="K112" s="243"/>
    </row>
    <row r="113" spans="1:12" x14ac:dyDescent="0.2">
      <c r="B113" s="254"/>
      <c r="C113" s="268"/>
      <c r="D113" s="268"/>
      <c r="E113" s="268"/>
      <c r="F113" s="258"/>
    </row>
    <row r="114" spans="1:12" x14ac:dyDescent="0.2">
      <c r="C114" s="263"/>
      <c r="D114" s="257"/>
      <c r="E114" s="263"/>
      <c r="F114" s="257"/>
    </row>
    <row r="115" spans="1:12" x14ac:dyDescent="0.2">
      <c r="C115" s="263"/>
      <c r="D115" s="257"/>
      <c r="E115" s="263"/>
      <c r="F115" s="257"/>
    </row>
    <row r="117" spans="1:12" x14ac:dyDescent="0.2">
      <c r="A117" s="267"/>
      <c r="B117" s="201"/>
      <c r="C117" s="253"/>
      <c r="E117" s="253"/>
    </row>
    <row r="118" spans="1:12" x14ac:dyDescent="0.2">
      <c r="C118" s="253"/>
      <c r="E118" s="253"/>
    </row>
    <row r="119" spans="1:12" x14ac:dyDescent="0.2">
      <c r="C119" s="250"/>
      <c r="D119" s="250"/>
      <c r="E119" s="250"/>
      <c r="F119" s="250"/>
      <c r="G119" s="250"/>
      <c r="H119" s="250"/>
      <c r="I119" s="250"/>
      <c r="J119" s="250"/>
    </row>
    <row r="121" spans="1:12" x14ac:dyDescent="0.2">
      <c r="B121" s="228"/>
      <c r="C121" s="248"/>
      <c r="D121" s="248"/>
      <c r="E121" s="270"/>
      <c r="F121" s="248"/>
      <c r="G121" s="248"/>
      <c r="H121" s="248"/>
      <c r="I121" s="248"/>
      <c r="J121" s="248"/>
    </row>
    <row r="122" spans="1:12" ht="15" x14ac:dyDescent="0.35">
      <c r="B122" s="228"/>
      <c r="C122" s="271"/>
      <c r="D122" s="271"/>
      <c r="E122" s="271"/>
      <c r="F122" s="271"/>
      <c r="G122" s="271"/>
      <c r="H122" s="271"/>
      <c r="I122" s="271"/>
      <c r="J122" s="271"/>
    </row>
    <row r="123" spans="1:12" x14ac:dyDescent="0.2">
      <c r="B123" s="228"/>
      <c r="C123" s="240"/>
      <c r="D123" s="240"/>
      <c r="E123" s="240"/>
      <c r="F123" s="240"/>
      <c r="G123" s="240"/>
      <c r="H123" s="240"/>
      <c r="I123" s="240"/>
      <c r="J123" s="240"/>
    </row>
    <row r="124" spans="1:12" x14ac:dyDescent="0.2">
      <c r="B124" s="228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</row>
    <row r="125" spans="1:12" x14ac:dyDescent="0.2">
      <c r="B125" s="228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</row>
    <row r="126" spans="1:12" x14ac:dyDescent="0.2">
      <c r="B126" s="228"/>
      <c r="C126" s="250"/>
      <c r="D126" s="250"/>
      <c r="F126" s="250"/>
      <c r="G126" s="250"/>
      <c r="H126" s="240"/>
      <c r="I126" s="240"/>
      <c r="J126" s="240"/>
      <c r="K126" s="240"/>
      <c r="L126" s="240"/>
    </row>
    <row r="127" spans="1:12" x14ac:dyDescent="0.2">
      <c r="B127" s="228"/>
      <c r="C127" s="250"/>
      <c r="D127" s="250"/>
      <c r="F127" s="250"/>
      <c r="G127" s="250"/>
      <c r="H127" s="240"/>
      <c r="I127" s="240"/>
      <c r="J127" s="240"/>
      <c r="K127" s="240"/>
      <c r="L127" s="240"/>
    </row>
    <row r="128" spans="1:12" x14ac:dyDescent="0.2">
      <c r="B128" s="228"/>
      <c r="G128" s="240"/>
      <c r="H128" s="240"/>
      <c r="I128" s="240"/>
      <c r="J128" s="240"/>
      <c r="K128" s="240"/>
      <c r="L128" s="240"/>
    </row>
    <row r="129" spans="2:12" x14ac:dyDescent="0.2">
      <c r="B129" s="228"/>
      <c r="C129" s="270"/>
      <c r="D129" s="270"/>
      <c r="F129" s="270"/>
      <c r="G129" s="270"/>
      <c r="H129" s="240"/>
      <c r="I129" s="240"/>
      <c r="J129" s="240"/>
      <c r="K129" s="240"/>
      <c r="L129" s="240"/>
    </row>
    <row r="130" spans="2:12" ht="15" x14ac:dyDescent="0.35">
      <c r="B130" s="228"/>
      <c r="C130" s="272"/>
      <c r="D130" s="272"/>
      <c r="F130" s="272"/>
      <c r="G130" s="272"/>
      <c r="H130" s="240"/>
      <c r="I130" s="240"/>
      <c r="J130" s="240"/>
      <c r="K130" s="240"/>
      <c r="L130" s="240"/>
    </row>
    <row r="131" spans="2:12" x14ac:dyDescent="0.2">
      <c r="B131" s="228"/>
      <c r="C131" s="240"/>
      <c r="D131" s="240"/>
      <c r="F131" s="240"/>
      <c r="G131" s="240"/>
      <c r="H131" s="240"/>
      <c r="I131" s="240"/>
      <c r="J131" s="240"/>
      <c r="K131" s="240"/>
      <c r="L131" s="240"/>
    </row>
    <row r="132" spans="2:12" x14ac:dyDescent="0.2">
      <c r="B132" s="228"/>
      <c r="C132" s="240"/>
      <c r="F132" s="240"/>
      <c r="G132" s="240"/>
      <c r="H132" s="240"/>
      <c r="I132" s="240"/>
      <c r="J132" s="240"/>
      <c r="K132" s="240"/>
      <c r="L132" s="240"/>
    </row>
    <row r="133" spans="2:12" x14ac:dyDescent="0.2">
      <c r="B133" s="228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</row>
    <row r="134" spans="2:12" x14ac:dyDescent="0.2">
      <c r="B134" s="228"/>
      <c r="C134" s="250"/>
      <c r="D134" s="250"/>
      <c r="E134" s="250"/>
      <c r="F134" s="240"/>
      <c r="G134" s="240"/>
      <c r="H134" s="240"/>
      <c r="I134" s="240"/>
      <c r="J134" s="240"/>
      <c r="K134" s="240"/>
      <c r="L134" s="240"/>
    </row>
    <row r="135" spans="2:12" x14ac:dyDescent="0.2">
      <c r="B135" s="228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</row>
    <row r="136" spans="2:12" ht="15" x14ac:dyDescent="0.35">
      <c r="B136" s="228"/>
      <c r="C136" s="247"/>
      <c r="D136" s="247"/>
      <c r="E136" s="247"/>
    </row>
    <row r="137" spans="2:12" x14ac:dyDescent="0.2">
      <c r="B137" s="228"/>
      <c r="C137" s="240"/>
      <c r="D137" s="240"/>
      <c r="E137" s="273"/>
    </row>
    <row r="138" spans="2:12" x14ac:dyDescent="0.2">
      <c r="B138" s="228"/>
      <c r="C138" s="253"/>
      <c r="E138" s="253"/>
    </row>
    <row r="139" spans="2:12" x14ac:dyDescent="0.2"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</row>
    <row r="141" spans="2:12" x14ac:dyDescent="0.2">
      <c r="B141" s="228"/>
      <c r="C141" s="240"/>
    </row>
    <row r="142" spans="2:12" ht="15" x14ac:dyDescent="0.35">
      <c r="B142" s="228"/>
      <c r="C142" s="247"/>
    </row>
    <row r="143" spans="2:12" x14ac:dyDescent="0.2">
      <c r="B143" s="228"/>
      <c r="C143" s="240"/>
    </row>
    <row r="144" spans="2:12" x14ac:dyDescent="0.2">
      <c r="C144" s="253"/>
    </row>
    <row r="145" spans="1:10" x14ac:dyDescent="0.2">
      <c r="B145" s="274"/>
      <c r="C145" s="229"/>
    </row>
    <row r="146" spans="1:10" x14ac:dyDescent="0.2">
      <c r="B146" s="228"/>
      <c r="C146" s="240"/>
    </row>
    <row r="147" spans="1:10" ht="15" x14ac:dyDescent="0.35">
      <c r="B147" s="228"/>
      <c r="C147" s="247"/>
    </row>
    <row r="148" spans="1:10" x14ac:dyDescent="0.2">
      <c r="B148" s="228"/>
      <c r="C148" s="240"/>
    </row>
    <row r="151" spans="1:10" x14ac:dyDescent="0.2">
      <c r="D151" s="275"/>
      <c r="E151" s="275"/>
      <c r="F151" s="275"/>
      <c r="G151" s="275"/>
      <c r="H151" s="275"/>
      <c r="I151" s="275"/>
    </row>
    <row r="152" spans="1:10" x14ac:dyDescent="0.2">
      <c r="D152" s="275"/>
      <c r="E152" s="275"/>
      <c r="F152" s="275"/>
      <c r="G152" s="275"/>
      <c r="H152" s="275"/>
      <c r="I152" s="275"/>
    </row>
    <row r="153" spans="1:10" x14ac:dyDescent="0.2">
      <c r="A153" s="267"/>
      <c r="B153" s="245"/>
      <c r="C153" s="253"/>
      <c r="E153" s="253"/>
    </row>
    <row r="154" spans="1:10" x14ac:dyDescent="0.2">
      <c r="B154" s="226"/>
    </row>
    <row r="156" spans="1:10" x14ac:dyDescent="0.2">
      <c r="B156" s="201"/>
    </row>
    <row r="157" spans="1:10" x14ac:dyDescent="0.2">
      <c r="B157" s="226"/>
    </row>
    <row r="158" spans="1:10" x14ac:dyDescent="0.2">
      <c r="B158" s="201"/>
    </row>
    <row r="159" spans="1:10" x14ac:dyDescent="0.2">
      <c r="C159" s="250"/>
      <c r="D159" s="250"/>
      <c r="E159" s="250"/>
      <c r="F159" s="250"/>
      <c r="G159" s="250"/>
      <c r="H159" s="250"/>
      <c r="I159" s="250"/>
      <c r="J159" s="250"/>
    </row>
    <row r="160" spans="1:10" x14ac:dyDescent="0.2">
      <c r="C160" s="267"/>
      <c r="D160" s="267"/>
      <c r="E160" s="267"/>
      <c r="F160" s="268"/>
      <c r="G160" s="268"/>
      <c r="H160" s="268"/>
      <c r="I160" s="268"/>
      <c r="J160" s="268"/>
    </row>
    <row r="161" spans="2:10" x14ac:dyDescent="0.2">
      <c r="B161" s="251"/>
      <c r="C161" s="267"/>
      <c r="D161" s="267"/>
      <c r="E161" s="267"/>
      <c r="F161" s="268"/>
      <c r="G161" s="268"/>
      <c r="H161" s="268"/>
      <c r="I161" s="268"/>
      <c r="J161" s="268"/>
    </row>
    <row r="162" spans="2:10" x14ac:dyDescent="0.2">
      <c r="B162" s="254"/>
      <c r="C162" s="267"/>
      <c r="D162" s="267"/>
      <c r="E162" s="268"/>
      <c r="G162" s="268"/>
      <c r="H162" s="268"/>
      <c r="I162" s="268"/>
      <c r="J162" s="267"/>
    </row>
    <row r="163" spans="2:10" x14ac:dyDescent="0.2">
      <c r="B163" s="254"/>
      <c r="C163" s="267"/>
      <c r="D163" s="267"/>
      <c r="E163" s="268"/>
      <c r="F163" s="267"/>
      <c r="G163" s="267"/>
      <c r="H163" s="267"/>
      <c r="I163" s="267"/>
      <c r="J163" s="267"/>
    </row>
    <row r="164" spans="2:10" x14ac:dyDescent="0.2">
      <c r="B164" s="259"/>
      <c r="C164" s="267"/>
      <c r="D164" s="267"/>
      <c r="E164" s="267"/>
      <c r="F164" s="267"/>
      <c r="G164" s="267"/>
      <c r="H164" s="267"/>
      <c r="I164" s="267"/>
      <c r="J164" s="267"/>
    </row>
    <row r="165" spans="2:10" x14ac:dyDescent="0.2">
      <c r="B165" s="261"/>
      <c r="C165" s="268"/>
      <c r="D165" s="268"/>
      <c r="E165" s="267"/>
      <c r="F165" s="267"/>
      <c r="G165" s="267"/>
      <c r="H165" s="267"/>
      <c r="I165" s="267"/>
      <c r="J165" s="267"/>
    </row>
    <row r="166" spans="2:10" x14ac:dyDescent="0.2">
      <c r="B166" s="261"/>
      <c r="C166" s="268"/>
      <c r="D166" s="268"/>
      <c r="E166" s="267"/>
      <c r="F166" s="267"/>
      <c r="G166" s="267"/>
      <c r="H166" s="267"/>
      <c r="I166" s="267"/>
      <c r="J166" s="267"/>
    </row>
    <row r="167" spans="2:10" x14ac:dyDescent="0.2">
      <c r="C167" s="268"/>
      <c r="D167" s="268"/>
      <c r="E167" s="267"/>
      <c r="F167" s="267"/>
      <c r="G167" s="267"/>
      <c r="H167" s="267"/>
      <c r="I167" s="267"/>
      <c r="J167" s="267"/>
    </row>
    <row r="168" spans="2:10" x14ac:dyDescent="0.2">
      <c r="B168" s="251"/>
      <c r="C168" s="268"/>
      <c r="D168" s="268"/>
      <c r="E168" s="267"/>
      <c r="F168" s="268"/>
      <c r="G168" s="268"/>
      <c r="H168" s="268"/>
      <c r="I168" s="268"/>
      <c r="J168" s="268"/>
    </row>
    <row r="169" spans="2:10" x14ac:dyDescent="0.2">
      <c r="B169" s="254"/>
      <c r="C169" s="267"/>
      <c r="D169" s="267"/>
      <c r="E169" s="268"/>
      <c r="F169" s="267"/>
      <c r="G169" s="267"/>
      <c r="H169" s="267"/>
      <c r="I169" s="267"/>
      <c r="J169" s="267"/>
    </row>
    <row r="170" spans="2:10" x14ac:dyDescent="0.2">
      <c r="B170" s="254"/>
      <c r="C170" s="267"/>
      <c r="D170" s="267"/>
      <c r="E170" s="268"/>
      <c r="F170" s="267"/>
      <c r="G170" s="267"/>
      <c r="H170" s="267"/>
      <c r="I170" s="267"/>
      <c r="J170" s="267"/>
    </row>
    <row r="171" spans="2:10" x14ac:dyDescent="0.2">
      <c r="C171" s="267"/>
      <c r="D171" s="267"/>
      <c r="E171" s="268"/>
      <c r="F171" s="267"/>
      <c r="G171" s="267"/>
      <c r="H171" s="267"/>
      <c r="I171" s="267"/>
      <c r="J171" s="267"/>
    </row>
    <row r="174" spans="2:10" x14ac:dyDescent="0.2">
      <c r="B174" s="201"/>
    </row>
    <row r="175" spans="2:10" x14ac:dyDescent="0.2">
      <c r="B175" s="226"/>
    </row>
    <row r="176" spans="2:10" x14ac:dyDescent="0.2">
      <c r="B176" s="206"/>
    </row>
    <row r="177" spans="1:12" x14ac:dyDescent="0.2">
      <c r="C177" s="250"/>
      <c r="D177" s="250"/>
      <c r="E177" s="250"/>
      <c r="F177" s="250"/>
      <c r="H177" s="201"/>
      <c r="I177" s="250"/>
      <c r="J177" s="250"/>
    </row>
    <row r="178" spans="1:12" x14ac:dyDescent="0.2">
      <c r="F178" s="264"/>
    </row>
    <row r="179" spans="1:12" x14ac:dyDescent="0.2">
      <c r="B179" s="251"/>
      <c r="C179" s="268"/>
      <c r="D179" s="268"/>
      <c r="E179" s="268"/>
      <c r="F179" s="257"/>
      <c r="H179" s="265"/>
    </row>
    <row r="180" spans="1:12" x14ac:dyDescent="0.2">
      <c r="B180" s="254"/>
      <c r="C180" s="268"/>
      <c r="D180" s="268"/>
      <c r="E180" s="268"/>
      <c r="F180" s="258"/>
      <c r="H180" s="246"/>
      <c r="I180" s="276"/>
      <c r="J180" s="276"/>
    </row>
    <row r="181" spans="1:12" x14ac:dyDescent="0.2">
      <c r="B181" s="254"/>
      <c r="C181" s="268"/>
      <c r="D181" s="268"/>
      <c r="E181" s="268"/>
      <c r="F181" s="258"/>
      <c r="H181" s="246"/>
      <c r="I181" s="276"/>
      <c r="J181" s="276"/>
    </row>
    <row r="182" spans="1:12" x14ac:dyDescent="0.2">
      <c r="C182" s="268"/>
      <c r="D182" s="268"/>
      <c r="E182" s="268"/>
      <c r="F182" s="258"/>
      <c r="H182" s="246"/>
      <c r="I182" s="266"/>
      <c r="J182" s="266"/>
    </row>
    <row r="183" spans="1:12" x14ac:dyDescent="0.2">
      <c r="B183" s="251"/>
      <c r="C183" s="268"/>
      <c r="D183" s="268"/>
      <c r="E183" s="268"/>
      <c r="F183" s="258"/>
      <c r="H183" s="265"/>
      <c r="I183" s="242"/>
      <c r="J183" s="242"/>
    </row>
    <row r="184" spans="1:12" x14ac:dyDescent="0.2">
      <c r="B184" s="254"/>
      <c r="C184" s="268"/>
      <c r="D184" s="268"/>
      <c r="E184" s="268"/>
      <c r="F184" s="258"/>
      <c r="H184" s="246"/>
      <c r="I184" s="276"/>
      <c r="J184" s="276"/>
    </row>
    <row r="185" spans="1:12" x14ac:dyDescent="0.2">
      <c r="B185" s="254"/>
      <c r="C185" s="268"/>
      <c r="D185" s="268"/>
      <c r="E185" s="268"/>
      <c r="F185" s="258"/>
    </row>
    <row r="189" spans="1:12" x14ac:dyDescent="0.2">
      <c r="A189" s="267"/>
      <c r="B189" s="201"/>
      <c r="C189" s="253"/>
      <c r="E189" s="253"/>
    </row>
    <row r="190" spans="1:12" x14ac:dyDescent="0.2">
      <c r="C190" s="253"/>
      <c r="E190" s="253"/>
    </row>
    <row r="191" spans="1:12" x14ac:dyDescent="0.2"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</row>
    <row r="193" spans="2:12" x14ac:dyDescent="0.2">
      <c r="B193" s="228"/>
      <c r="C193" s="248"/>
      <c r="D193" s="248"/>
      <c r="E193" s="270"/>
      <c r="F193" s="248"/>
      <c r="G193" s="248"/>
      <c r="H193" s="248"/>
      <c r="I193" s="248"/>
      <c r="J193" s="248"/>
      <c r="K193" s="270"/>
      <c r="L193" s="270"/>
    </row>
    <row r="194" spans="2:12" ht="15" x14ac:dyDescent="0.35">
      <c r="B194" s="228"/>
      <c r="C194" s="271"/>
      <c r="D194" s="271"/>
      <c r="E194" s="271"/>
      <c r="F194" s="271"/>
      <c r="G194" s="271"/>
      <c r="H194" s="271"/>
      <c r="I194" s="271"/>
      <c r="J194" s="271"/>
      <c r="K194" s="272"/>
      <c r="L194" s="272"/>
    </row>
    <row r="195" spans="2:12" x14ac:dyDescent="0.2">
      <c r="B195" s="228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</row>
    <row r="196" spans="2:12" x14ac:dyDescent="0.2">
      <c r="B196" s="228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</row>
    <row r="197" spans="2:12" x14ac:dyDescent="0.2">
      <c r="B197" s="228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</row>
    <row r="198" spans="2:12" ht="15" x14ac:dyDescent="0.35">
      <c r="B198" s="228"/>
      <c r="C198" s="247"/>
      <c r="E198" s="253"/>
    </row>
    <row r="199" spans="2:12" x14ac:dyDescent="0.2">
      <c r="B199" s="228"/>
      <c r="C199" s="240"/>
      <c r="E199" s="253"/>
    </row>
    <row r="200" spans="2:12" x14ac:dyDescent="0.2">
      <c r="B200" s="228"/>
      <c r="C200" s="253"/>
      <c r="E200" s="253"/>
    </row>
    <row r="201" spans="2:12" x14ac:dyDescent="0.2"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</row>
    <row r="203" spans="2:12" x14ac:dyDescent="0.2">
      <c r="B203" s="228"/>
      <c r="C203" s="240"/>
    </row>
    <row r="204" spans="2:12" ht="15" x14ac:dyDescent="0.35">
      <c r="B204" s="228"/>
      <c r="C204" s="247"/>
    </row>
    <row r="205" spans="2:12" x14ac:dyDescent="0.2">
      <c r="B205" s="228"/>
      <c r="C205" s="240"/>
      <c r="D205" s="240"/>
      <c r="G205" s="228"/>
    </row>
    <row r="206" spans="2:12" x14ac:dyDescent="0.2">
      <c r="C206" s="253"/>
      <c r="E206" s="253"/>
      <c r="G206" s="228"/>
    </row>
    <row r="207" spans="2:12" x14ac:dyDescent="0.2">
      <c r="B207" s="274"/>
      <c r="C207" s="240"/>
      <c r="E207" s="277"/>
      <c r="G207" s="277"/>
    </row>
    <row r="208" spans="2:12" x14ac:dyDescent="0.2">
      <c r="B208" s="228"/>
      <c r="C208" s="240"/>
      <c r="E208" s="165"/>
    </row>
    <row r="209" spans="1:10" ht="15" x14ac:dyDescent="0.35">
      <c r="B209" s="228"/>
      <c r="C209" s="247"/>
      <c r="E209" s="278"/>
    </row>
    <row r="210" spans="1:10" x14ac:dyDescent="0.2">
      <c r="B210" s="228"/>
      <c r="C210" s="240"/>
      <c r="E210" s="165"/>
    </row>
    <row r="212" spans="1:10" x14ac:dyDescent="0.2">
      <c r="C212" s="279"/>
    </row>
    <row r="213" spans="1:10" outlineLevel="1" x14ac:dyDescent="0.2">
      <c r="A213" s="201"/>
    </row>
    <row r="214" spans="1:10" outlineLevel="1" x14ac:dyDescent="0.2">
      <c r="A214" s="267"/>
      <c r="B214" s="245"/>
      <c r="C214" s="253"/>
      <c r="E214" s="253"/>
    </row>
    <row r="215" spans="1:10" outlineLevel="1" x14ac:dyDescent="0.2">
      <c r="B215" s="226"/>
    </row>
    <row r="216" spans="1:10" outlineLevel="1" x14ac:dyDescent="0.2">
      <c r="A216" s="267"/>
    </row>
    <row r="217" spans="1:10" outlineLevel="1" x14ac:dyDescent="0.2">
      <c r="B217" s="201"/>
    </row>
    <row r="218" spans="1:10" outlineLevel="1" x14ac:dyDescent="0.2">
      <c r="B218" s="226"/>
    </row>
    <row r="219" spans="1:10" outlineLevel="1" x14ac:dyDescent="0.2">
      <c r="B219" s="201"/>
    </row>
    <row r="220" spans="1:10" outlineLevel="1" x14ac:dyDescent="0.2">
      <c r="C220" s="250"/>
      <c r="D220" s="250"/>
      <c r="E220" s="250"/>
      <c r="F220" s="250"/>
      <c r="G220" s="250"/>
      <c r="H220" s="250"/>
      <c r="I220" s="250"/>
      <c r="J220" s="250"/>
    </row>
    <row r="221" spans="1:10" outlineLevel="1" x14ac:dyDescent="0.2">
      <c r="C221" s="267"/>
      <c r="D221" s="267"/>
      <c r="E221" s="267"/>
      <c r="F221" s="268"/>
      <c r="G221" s="268"/>
      <c r="H221" s="268"/>
      <c r="I221" s="268"/>
      <c r="J221" s="268"/>
    </row>
    <row r="222" spans="1:10" outlineLevel="1" x14ac:dyDescent="0.2">
      <c r="B222" s="251"/>
      <c r="C222" s="267"/>
      <c r="D222" s="267"/>
      <c r="E222" s="267"/>
      <c r="F222" s="268"/>
      <c r="G222" s="268"/>
      <c r="H222" s="268"/>
      <c r="I222" s="268"/>
      <c r="J222" s="268"/>
    </row>
    <row r="223" spans="1:10" outlineLevel="1" x14ac:dyDescent="0.2">
      <c r="B223" s="254"/>
      <c r="C223" s="267"/>
      <c r="D223" s="267"/>
      <c r="E223" s="268"/>
    </row>
    <row r="224" spans="1:10" outlineLevel="1" x14ac:dyDescent="0.2">
      <c r="B224" s="254"/>
      <c r="C224" s="267"/>
      <c r="D224" s="267"/>
      <c r="E224" s="268"/>
      <c r="F224" s="267"/>
      <c r="G224" s="267"/>
      <c r="H224" s="267"/>
      <c r="I224" s="267"/>
      <c r="J224" s="267"/>
    </row>
    <row r="225" spans="2:10" outlineLevel="1" x14ac:dyDescent="0.2">
      <c r="B225" s="259"/>
      <c r="C225" s="267"/>
      <c r="D225" s="267"/>
      <c r="E225" s="267"/>
      <c r="F225" s="267"/>
      <c r="G225" s="267"/>
      <c r="H225" s="267"/>
      <c r="I225" s="267"/>
      <c r="J225" s="267"/>
    </row>
    <row r="226" spans="2:10" outlineLevel="1" x14ac:dyDescent="0.2">
      <c r="B226" s="261"/>
      <c r="C226" s="268"/>
      <c r="D226" s="268"/>
      <c r="E226" s="267"/>
      <c r="F226" s="267"/>
      <c r="G226" s="267"/>
      <c r="H226" s="267"/>
      <c r="I226" s="267"/>
      <c r="J226" s="267"/>
    </row>
    <row r="227" spans="2:10" outlineLevel="1" x14ac:dyDescent="0.2">
      <c r="B227" s="261"/>
      <c r="C227" s="268"/>
      <c r="D227" s="268"/>
      <c r="E227" s="267"/>
      <c r="F227" s="267"/>
      <c r="G227" s="267"/>
      <c r="H227" s="267"/>
      <c r="I227" s="267"/>
      <c r="J227" s="267"/>
    </row>
    <row r="228" spans="2:10" outlineLevel="1" x14ac:dyDescent="0.2">
      <c r="C228" s="268"/>
      <c r="D228" s="268"/>
      <c r="E228" s="267"/>
      <c r="F228" s="267"/>
      <c r="G228" s="267"/>
      <c r="H228" s="267"/>
      <c r="I228" s="267"/>
      <c r="J228" s="267"/>
    </row>
    <row r="229" spans="2:10" outlineLevel="1" x14ac:dyDescent="0.2">
      <c r="B229" s="251"/>
      <c r="C229" s="268"/>
      <c r="D229" s="268"/>
      <c r="E229" s="267"/>
      <c r="F229" s="268"/>
      <c r="G229" s="268"/>
      <c r="H229" s="268"/>
      <c r="I229" s="268"/>
      <c r="J229" s="268"/>
    </row>
    <row r="230" spans="2:10" outlineLevel="1" x14ac:dyDescent="0.2">
      <c r="B230" s="254"/>
      <c r="C230" s="267"/>
      <c r="D230" s="267"/>
      <c r="E230" s="268"/>
      <c r="F230" s="267"/>
      <c r="G230" s="267"/>
      <c r="H230" s="267"/>
      <c r="I230" s="267"/>
      <c r="J230" s="267"/>
    </row>
    <row r="231" spans="2:10" outlineLevel="1" x14ac:dyDescent="0.2">
      <c r="B231" s="254"/>
      <c r="C231" s="267"/>
      <c r="D231" s="267"/>
      <c r="E231" s="268"/>
      <c r="F231" s="267"/>
      <c r="G231" s="267"/>
      <c r="H231" s="267"/>
      <c r="I231" s="267"/>
      <c r="J231" s="267"/>
    </row>
    <row r="232" spans="2:10" outlineLevel="1" x14ac:dyDescent="0.2">
      <c r="C232" s="267"/>
      <c r="D232" s="267"/>
      <c r="E232" s="268"/>
      <c r="F232" s="267"/>
      <c r="G232" s="267"/>
      <c r="H232" s="267"/>
      <c r="I232" s="267"/>
      <c r="J232" s="267"/>
    </row>
    <row r="233" spans="2:10" outlineLevel="1" x14ac:dyDescent="0.2"/>
    <row r="234" spans="2:10" outlineLevel="1" x14ac:dyDescent="0.2"/>
    <row r="235" spans="2:10" outlineLevel="1" x14ac:dyDescent="0.2">
      <c r="B235" s="201"/>
    </row>
    <row r="236" spans="2:10" outlineLevel="1" x14ac:dyDescent="0.2">
      <c r="B236" s="226"/>
    </row>
    <row r="237" spans="2:10" outlineLevel="1" x14ac:dyDescent="0.2">
      <c r="B237" s="206"/>
    </row>
    <row r="238" spans="2:10" outlineLevel="1" x14ac:dyDescent="0.2">
      <c r="C238" s="250"/>
      <c r="D238" s="250"/>
      <c r="E238" s="250"/>
      <c r="F238" s="250"/>
      <c r="H238" s="201"/>
      <c r="I238" s="250"/>
      <c r="J238" s="250"/>
    </row>
    <row r="239" spans="2:10" outlineLevel="1" x14ac:dyDescent="0.2">
      <c r="F239" s="264"/>
    </row>
    <row r="240" spans="2:10" outlineLevel="1" x14ac:dyDescent="0.2">
      <c r="B240" s="251"/>
      <c r="C240" s="268"/>
      <c r="D240" s="268"/>
      <c r="E240" s="268"/>
      <c r="F240" s="257"/>
      <c r="H240" s="265"/>
    </row>
    <row r="241" spans="1:12" outlineLevel="1" x14ac:dyDescent="0.2">
      <c r="B241" s="254"/>
      <c r="C241" s="268"/>
      <c r="D241" s="268"/>
      <c r="E241" s="268"/>
      <c r="F241" s="258"/>
      <c r="H241" s="246"/>
      <c r="I241" s="276"/>
      <c r="J241" s="276"/>
    </row>
    <row r="242" spans="1:12" outlineLevel="1" x14ac:dyDescent="0.2">
      <c r="B242" s="254"/>
      <c r="C242" s="268"/>
      <c r="D242" s="268"/>
      <c r="E242" s="268"/>
      <c r="F242" s="258"/>
      <c r="H242" s="246"/>
      <c r="I242" s="276"/>
      <c r="J242" s="276"/>
    </row>
    <row r="243" spans="1:12" outlineLevel="1" x14ac:dyDescent="0.2">
      <c r="C243" s="268"/>
      <c r="D243" s="268"/>
      <c r="E243" s="268"/>
      <c r="F243" s="258"/>
      <c r="H243" s="246"/>
      <c r="I243" s="266"/>
      <c r="J243" s="266"/>
    </row>
    <row r="244" spans="1:12" outlineLevel="1" x14ac:dyDescent="0.2">
      <c r="B244" s="251"/>
      <c r="C244" s="268"/>
      <c r="D244" s="268"/>
      <c r="E244" s="268"/>
      <c r="F244" s="258"/>
      <c r="H244" s="265"/>
      <c r="I244" s="242"/>
      <c r="J244" s="242"/>
    </row>
    <row r="245" spans="1:12" outlineLevel="1" x14ac:dyDescent="0.2">
      <c r="B245" s="254"/>
      <c r="C245" s="268"/>
      <c r="D245" s="268"/>
      <c r="E245" s="268"/>
      <c r="F245" s="258"/>
      <c r="H245" s="246"/>
      <c r="I245" s="276"/>
      <c r="J245" s="276"/>
    </row>
    <row r="246" spans="1:12" outlineLevel="1" x14ac:dyDescent="0.2">
      <c r="B246" s="254"/>
      <c r="C246" s="268"/>
      <c r="D246" s="268"/>
      <c r="E246" s="268"/>
      <c r="F246" s="258"/>
    </row>
    <row r="247" spans="1:12" outlineLevel="1" x14ac:dyDescent="0.2"/>
    <row r="248" spans="1:12" outlineLevel="1" x14ac:dyDescent="0.2"/>
    <row r="249" spans="1:12" outlineLevel="1" x14ac:dyDescent="0.2"/>
    <row r="250" spans="1:12" outlineLevel="1" x14ac:dyDescent="0.2"/>
    <row r="251" spans="1:12" outlineLevel="1" x14ac:dyDescent="0.2">
      <c r="A251" s="267"/>
      <c r="B251" s="201"/>
      <c r="C251" s="253"/>
      <c r="E251" s="253"/>
    </row>
    <row r="252" spans="1:12" outlineLevel="1" x14ac:dyDescent="0.2">
      <c r="C252" s="253"/>
      <c r="E252" s="253"/>
    </row>
    <row r="253" spans="1:12" outlineLevel="1" x14ac:dyDescent="0.2">
      <c r="C253" s="250"/>
      <c r="D253" s="250"/>
      <c r="E253" s="250"/>
      <c r="F253" s="250"/>
      <c r="G253" s="250"/>
      <c r="H253" s="250"/>
      <c r="I253" s="250"/>
      <c r="J253" s="250"/>
      <c r="K253" s="250"/>
      <c r="L253" s="250"/>
    </row>
    <row r="254" spans="1:12" outlineLevel="1" x14ac:dyDescent="0.2"/>
    <row r="255" spans="1:12" outlineLevel="1" x14ac:dyDescent="0.2">
      <c r="B255" s="228"/>
      <c r="C255" s="248"/>
      <c r="D255" s="248"/>
      <c r="E255" s="270"/>
      <c r="F255" s="248"/>
      <c r="G255" s="248"/>
      <c r="H255" s="248"/>
      <c r="I255" s="248"/>
      <c r="J255" s="248"/>
      <c r="K255" s="270"/>
      <c r="L255" s="270"/>
    </row>
    <row r="256" spans="1:12" ht="15" outlineLevel="1" x14ac:dyDescent="0.35">
      <c r="B256" s="228"/>
      <c r="C256" s="271"/>
      <c r="D256" s="271"/>
      <c r="E256" s="271"/>
      <c r="F256" s="280"/>
      <c r="G256" s="280"/>
      <c r="H256" s="280"/>
      <c r="I256" s="280"/>
      <c r="J256" s="280"/>
      <c r="K256" s="272"/>
      <c r="L256" s="272"/>
    </row>
    <row r="257" spans="2:12" outlineLevel="1" x14ac:dyDescent="0.2">
      <c r="B257" s="228"/>
      <c r="C257" s="240"/>
      <c r="D257" s="240"/>
      <c r="E257" s="240"/>
      <c r="F257" s="240"/>
      <c r="G257" s="240"/>
      <c r="H257" s="240"/>
      <c r="I257" s="240"/>
      <c r="J257" s="240"/>
      <c r="K257" s="240"/>
      <c r="L257" s="240"/>
    </row>
    <row r="258" spans="2:12" outlineLevel="1" x14ac:dyDescent="0.2">
      <c r="B258" s="228"/>
      <c r="C258" s="240"/>
      <c r="D258" s="240"/>
      <c r="E258" s="240"/>
      <c r="F258" s="240"/>
      <c r="G258" s="240"/>
      <c r="H258" s="240"/>
      <c r="I258" s="240"/>
      <c r="J258" s="240"/>
      <c r="K258" s="240"/>
      <c r="L258" s="240"/>
    </row>
    <row r="259" spans="2:12" outlineLevel="1" x14ac:dyDescent="0.2">
      <c r="B259" s="228"/>
      <c r="C259" s="240"/>
      <c r="D259" s="240"/>
      <c r="E259" s="240"/>
      <c r="F259" s="240"/>
      <c r="G259" s="240"/>
      <c r="H259" s="240"/>
      <c r="I259" s="240"/>
      <c r="J259" s="240"/>
      <c r="K259" s="240"/>
      <c r="L259" s="240"/>
    </row>
    <row r="260" spans="2:12" ht="15" outlineLevel="1" x14ac:dyDescent="0.35">
      <c r="B260" s="228"/>
      <c r="C260" s="247"/>
      <c r="E260" s="253"/>
    </row>
    <row r="261" spans="2:12" outlineLevel="1" x14ac:dyDescent="0.2">
      <c r="B261" s="228"/>
      <c r="C261" s="240"/>
      <c r="E261" s="253"/>
    </row>
    <row r="262" spans="2:12" outlineLevel="1" x14ac:dyDescent="0.2">
      <c r="B262" s="228"/>
      <c r="C262" s="253"/>
      <c r="E262" s="253"/>
    </row>
    <row r="263" spans="2:12" outlineLevel="1" x14ac:dyDescent="0.2">
      <c r="C263" s="250"/>
      <c r="D263" s="250"/>
      <c r="E263" s="250"/>
      <c r="F263" s="250"/>
      <c r="G263" s="250"/>
      <c r="H263" s="250"/>
      <c r="I263" s="250"/>
      <c r="J263" s="250"/>
      <c r="K263" s="250"/>
      <c r="L263" s="250"/>
    </row>
    <row r="264" spans="2:12" outlineLevel="1" x14ac:dyDescent="0.2"/>
    <row r="265" spans="2:12" outlineLevel="1" x14ac:dyDescent="0.2">
      <c r="C265" s="281"/>
      <c r="D265" s="281"/>
      <c r="E265" s="281"/>
    </row>
    <row r="266" spans="2:12" outlineLevel="1" x14ac:dyDescent="0.2">
      <c r="B266" s="228"/>
      <c r="C266" s="240"/>
      <c r="D266" s="279"/>
      <c r="E266" s="240"/>
    </row>
    <row r="267" spans="2:12" outlineLevel="1" x14ac:dyDescent="0.2">
      <c r="B267" s="228"/>
      <c r="C267" s="282"/>
      <c r="D267" s="283"/>
      <c r="E267" s="282"/>
    </row>
    <row r="268" spans="2:12" outlineLevel="1" x14ac:dyDescent="0.2">
      <c r="B268" s="228"/>
      <c r="C268" s="240"/>
      <c r="D268" s="240"/>
      <c r="E268" s="240"/>
      <c r="G268" s="228"/>
    </row>
    <row r="269" spans="2:12" outlineLevel="1" x14ac:dyDescent="0.2">
      <c r="C269" s="253"/>
      <c r="E269" s="253"/>
      <c r="G269" s="228"/>
    </row>
    <row r="270" spans="2:12" outlineLevel="1" x14ac:dyDescent="0.2">
      <c r="B270" s="274"/>
      <c r="C270" s="240"/>
      <c r="E270" s="277"/>
      <c r="G270" s="277"/>
    </row>
    <row r="271" spans="2:12" outlineLevel="1" x14ac:dyDescent="0.2">
      <c r="B271" s="228"/>
      <c r="C271" s="240"/>
      <c r="E271" s="165"/>
    </row>
    <row r="272" spans="2:12" outlineLevel="1" x14ac:dyDescent="0.2">
      <c r="B272" s="228"/>
      <c r="C272" s="282"/>
      <c r="E272" s="278"/>
    </row>
    <row r="273" spans="2:5" outlineLevel="1" x14ac:dyDescent="0.2">
      <c r="B273" s="228"/>
      <c r="C273" s="240"/>
      <c r="E273" s="165"/>
    </row>
    <row r="274" spans="2:5" outlineLevel="1" x14ac:dyDescent="0.2"/>
  </sheetData>
  <pageMargins left="0.75" right="0.75" top="1" bottom="1" header="0.5" footer="0.5"/>
  <pageSetup scale="75" fitToHeight="0" orientation="landscape" r:id="rId1"/>
  <headerFooter alignWithMargins="0">
    <oddHeader>&amp;L&amp;"Arial,Bold"Atlantic City Electric
&amp;"Arial,Regular"Development of BGS Rates
June 2020 - May 2021&amp;"Arial,Bold"
&amp;RAttachment 4
Page 3 of 3</oddHeader>
  </headerFooter>
  <rowBreaks count="7" manualBreakCount="7">
    <brk id="33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Attachment 2</vt:lpstr>
      <vt:lpstr>Attachment 3</vt:lpstr>
      <vt:lpstr>Attachment 4 Pg1</vt:lpstr>
      <vt:lpstr>Attachment 4 Pg2</vt:lpstr>
      <vt:lpstr>Attachment 4 Pg3</vt:lpstr>
      <vt:lpstr>'Attachment 2'!Print_Area</vt:lpstr>
      <vt:lpstr>'Attachment 3'!Print_Area</vt:lpstr>
      <vt:lpstr>'Attachment 4 Pg1'!Print_Area</vt:lpstr>
      <vt:lpstr>'Attachment 4 Pg2'!Print_Area</vt:lpstr>
      <vt:lpstr>'Attachment 4 Pg3'!Print_Area</vt:lpstr>
      <vt:lpstr>'Attachment 3'!Print_Titles</vt:lpstr>
      <vt:lpstr>'Attachment 4 Pg3'!Print_Titles</vt:lpstr>
    </vt:vector>
  </TitlesOfParts>
  <Company>Conectiv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JJanocha</dc:creator>
  <cp:lastModifiedBy>Author</cp:lastModifiedBy>
  <cp:lastPrinted>2019-11-21T14:57:41Z</cp:lastPrinted>
  <dcterms:created xsi:type="dcterms:W3CDTF">2003-06-13T18:49:24Z</dcterms:created>
  <dcterms:modified xsi:type="dcterms:W3CDTF">2020-01-22T17:02:22Z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