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chel.Northcutt\Desktop\3\BGS\2019 Auction\0 RSCP rate tool\Compliance Filing\0 to post\"/>
    </mc:Choice>
  </mc:AlternateContent>
  <xr:revisionPtr revIDLastSave="0" documentId="8_{604E5C77-473B-4CB5-91EF-18C67228AC0A}" xr6:coauthVersionLast="31" xr6:coauthVersionMax="31" xr10:uidLastSave="{00000000-0000-0000-0000-000000000000}"/>
  <bookViews>
    <workbookView xWindow="0" yWindow="0" windowWidth="22605" windowHeight="10110" xr2:uid="{00000000-000D-0000-FFFF-FFFF00000000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Calc'!$A$1:$N$49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3" i="1" l="1"/>
  <c r="D279" i="3" l="1"/>
  <c r="U271" i="3"/>
  <c r="J271" i="3"/>
  <c r="K271" i="3"/>
  <c r="M271" i="3" s="1"/>
  <c r="U270" i="3"/>
  <c r="J270" i="3"/>
  <c r="K270" i="3"/>
  <c r="M270" i="3" s="1"/>
  <c r="U269" i="3"/>
  <c r="O269" i="3"/>
  <c r="K269" i="3"/>
  <c r="M269" i="3" s="1"/>
  <c r="J269" i="3"/>
  <c r="U268" i="3"/>
  <c r="J268" i="3"/>
  <c r="K268" i="3"/>
  <c r="U267" i="3"/>
  <c r="J267" i="3"/>
  <c r="K267" i="3"/>
  <c r="M267" i="3" s="1"/>
  <c r="U266" i="3"/>
  <c r="O266" i="3"/>
  <c r="J266" i="3"/>
  <c r="K266" i="3"/>
  <c r="M266" i="3" s="1"/>
  <c r="U265" i="3"/>
  <c r="K265" i="3"/>
  <c r="J265" i="3"/>
  <c r="U264" i="3"/>
  <c r="J264" i="3"/>
  <c r="K264" i="3"/>
  <c r="U263" i="3"/>
  <c r="J263" i="3"/>
  <c r="K263" i="3"/>
  <c r="M263" i="3" s="1"/>
  <c r="U262" i="3"/>
  <c r="J262" i="3"/>
  <c r="K262" i="3"/>
  <c r="M262" i="3" s="1"/>
  <c r="U261" i="3"/>
  <c r="O261" i="3"/>
  <c r="K261" i="3"/>
  <c r="M261" i="3" s="1"/>
  <c r="J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D253" i="3"/>
  <c r="F252" i="3"/>
  <c r="F251" i="3"/>
  <c r="F253" i="3" s="1"/>
  <c r="E253" i="3"/>
  <c r="E246" i="3"/>
  <c r="F244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D231" i="3"/>
  <c r="C231" i="3"/>
  <c r="I230" i="3"/>
  <c r="H230" i="3"/>
  <c r="G230" i="3"/>
  <c r="F230" i="3"/>
  <c r="D230" i="3"/>
  <c r="C230" i="3"/>
  <c r="E229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I222" i="3"/>
  <c r="H222" i="3"/>
  <c r="G222" i="3"/>
  <c r="F222" i="3"/>
  <c r="E222" i="3"/>
  <c r="I221" i="3"/>
  <c r="H221" i="3"/>
  <c r="G221" i="3"/>
  <c r="F221" i="3"/>
  <c r="E221" i="3"/>
  <c r="I220" i="3"/>
  <c r="H220" i="3"/>
  <c r="G220" i="3"/>
  <c r="F220" i="3"/>
  <c r="D220" i="3"/>
  <c r="C220" i="3"/>
  <c r="I219" i="3"/>
  <c r="H219" i="3"/>
  <c r="G219" i="3"/>
  <c r="F219" i="3"/>
  <c r="D219" i="3"/>
  <c r="C219" i="3"/>
  <c r="E218" i="3"/>
  <c r="I211" i="3"/>
  <c r="I210" i="3"/>
  <c r="I209" i="3"/>
  <c r="H209" i="3"/>
  <c r="G209" i="3"/>
  <c r="F209" i="3"/>
  <c r="E209" i="3"/>
  <c r="D209" i="3"/>
  <c r="C209" i="3"/>
  <c r="D208" i="3"/>
  <c r="D190" i="3"/>
  <c r="I167" i="3"/>
  <c r="H167" i="3"/>
  <c r="G167" i="3"/>
  <c r="F167" i="3"/>
  <c r="E167" i="3"/>
  <c r="D167" i="3"/>
  <c r="C167" i="3"/>
  <c r="V126" i="3"/>
  <c r="AE126" i="3" s="1"/>
  <c r="I118" i="3"/>
  <c r="H118" i="3"/>
  <c r="G118" i="3"/>
  <c r="F118" i="3"/>
  <c r="E118" i="3"/>
  <c r="D118" i="3"/>
  <c r="C118" i="3"/>
  <c r="D100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C55" i="3"/>
  <c r="C208" i="3" s="1"/>
  <c r="H40" i="3"/>
  <c r="H39" i="3"/>
  <c r="J37" i="3"/>
  <c r="I37" i="3"/>
  <c r="H37" i="3"/>
  <c r="D33" i="3"/>
  <c r="C33" i="3"/>
  <c r="H12" i="3"/>
  <c r="G12" i="3"/>
  <c r="F12" i="3"/>
  <c r="E12" i="3"/>
  <c r="D12" i="3"/>
  <c r="C12" i="3"/>
  <c r="A2" i="3"/>
  <c r="I40" i="2"/>
  <c r="D39" i="2"/>
  <c r="D27" i="2"/>
  <c r="D23" i="2"/>
  <c r="E28" i="2" s="1"/>
  <c r="D22" i="2"/>
  <c r="I10" i="2"/>
  <c r="G9" i="2"/>
  <c r="D28" i="2" s="1"/>
  <c r="E6" i="2"/>
  <c r="D6" i="2"/>
  <c r="A2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H561" i="1"/>
  <c r="G561" i="1"/>
  <c r="F561" i="1"/>
  <c r="E561" i="1"/>
  <c r="D561" i="1"/>
  <c r="C561" i="1"/>
  <c r="I560" i="1"/>
  <c r="H560" i="1"/>
  <c r="G560" i="1"/>
  <c r="F560" i="1"/>
  <c r="E560" i="1"/>
  <c r="D560" i="1"/>
  <c r="C560" i="1"/>
  <c r="I559" i="1"/>
  <c r="H559" i="1"/>
  <c r="G559" i="1"/>
  <c r="F559" i="1"/>
  <c r="D559" i="1"/>
  <c r="C559" i="1"/>
  <c r="I558" i="1"/>
  <c r="H558" i="1"/>
  <c r="G558" i="1"/>
  <c r="F558" i="1"/>
  <c r="D558" i="1"/>
  <c r="C558" i="1"/>
  <c r="E557" i="1"/>
  <c r="H554" i="1"/>
  <c r="G554" i="1"/>
  <c r="F554" i="1"/>
  <c r="E554" i="1"/>
  <c r="D554" i="1"/>
  <c r="C554" i="1"/>
  <c r="I553" i="1"/>
  <c r="H553" i="1"/>
  <c r="G553" i="1"/>
  <c r="F553" i="1"/>
  <c r="E553" i="1"/>
  <c r="D553" i="1"/>
  <c r="C553" i="1"/>
  <c r="I552" i="1"/>
  <c r="H552" i="1"/>
  <c r="G552" i="1"/>
  <c r="F552" i="1"/>
  <c r="E552" i="1"/>
  <c r="I551" i="1"/>
  <c r="H551" i="1"/>
  <c r="G551" i="1"/>
  <c r="F551" i="1"/>
  <c r="E551" i="1"/>
  <c r="I550" i="1"/>
  <c r="H550" i="1"/>
  <c r="G550" i="1"/>
  <c r="F550" i="1"/>
  <c r="E550" i="1"/>
  <c r="I549" i="1"/>
  <c r="H549" i="1"/>
  <c r="G549" i="1"/>
  <c r="F549" i="1"/>
  <c r="D549" i="1"/>
  <c r="C549" i="1"/>
  <c r="I548" i="1"/>
  <c r="H548" i="1"/>
  <c r="G548" i="1"/>
  <c r="F548" i="1"/>
  <c r="D548" i="1"/>
  <c r="C548" i="1"/>
  <c r="E547" i="1"/>
  <c r="H537" i="1"/>
  <c r="D537" i="1"/>
  <c r="I491" i="1"/>
  <c r="I537" i="1" s="1"/>
  <c r="H491" i="1"/>
  <c r="G491" i="1"/>
  <c r="G537" i="1" s="1"/>
  <c r="F491" i="1"/>
  <c r="F537" i="1" s="1"/>
  <c r="E491" i="1"/>
  <c r="E537" i="1" s="1"/>
  <c r="D491" i="1"/>
  <c r="C491" i="1"/>
  <c r="C537" i="1" s="1"/>
  <c r="C474" i="1"/>
  <c r="C473" i="1"/>
  <c r="C472" i="1"/>
  <c r="C468" i="1"/>
  <c r="C467" i="1"/>
  <c r="C466" i="1"/>
  <c r="M465" i="1"/>
  <c r="L49" i="3" s="1"/>
  <c r="G461" i="1"/>
  <c r="F461" i="1"/>
  <c r="P457" i="1"/>
  <c r="Q456" i="1"/>
  <c r="Q455" i="1"/>
  <c r="Q454" i="1"/>
  <c r="Q453" i="1"/>
  <c r="Q452" i="1"/>
  <c r="R451" i="1"/>
  <c r="C451" i="1"/>
  <c r="D451" i="1" s="1"/>
  <c r="R450" i="1"/>
  <c r="R449" i="1"/>
  <c r="R457" i="1" s="1"/>
  <c r="D449" i="1"/>
  <c r="D420" i="1"/>
  <c r="E420" i="1" s="1"/>
  <c r="D419" i="1"/>
  <c r="E419" i="1" s="1"/>
  <c r="G418" i="1"/>
  <c r="D418" i="1"/>
  <c r="F417" i="1"/>
  <c r="F415" i="1"/>
  <c r="I415" i="1" s="1"/>
  <c r="E412" i="1"/>
  <c r="D412" i="1"/>
  <c r="G411" i="1"/>
  <c r="D411" i="1"/>
  <c r="E411" i="1" s="1"/>
  <c r="J411" i="1" s="1"/>
  <c r="G410" i="1"/>
  <c r="D410" i="1"/>
  <c r="J409" i="1"/>
  <c r="G419" i="1"/>
  <c r="E409" i="1"/>
  <c r="D413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D346" i="1"/>
  <c r="C346" i="1"/>
  <c r="H325" i="1"/>
  <c r="G325" i="1"/>
  <c r="F325" i="1"/>
  <c r="E325" i="1"/>
  <c r="D325" i="1"/>
  <c r="C325" i="1"/>
  <c r="J296" i="1"/>
  <c r="J350" i="1" s="1"/>
  <c r="I296" i="1"/>
  <c r="I350" i="1" s="1"/>
  <c r="C292" i="1"/>
  <c r="H271" i="1"/>
  <c r="G271" i="1"/>
  <c r="F271" i="1"/>
  <c r="E271" i="1"/>
  <c r="D271" i="1"/>
  <c r="C271" i="1"/>
  <c r="C253" i="1"/>
  <c r="D253" i="1" s="1"/>
  <c r="H231" i="1"/>
  <c r="G231" i="1"/>
  <c r="F231" i="1"/>
  <c r="E231" i="1"/>
  <c r="D231" i="1"/>
  <c r="C231" i="1"/>
  <c r="M217" i="1"/>
  <c r="M211" i="1"/>
  <c r="H206" i="1"/>
  <c r="H263" i="1" s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8" i="1"/>
  <c r="I157" i="1"/>
  <c r="H154" i="1"/>
  <c r="C154" i="1"/>
  <c r="E147" i="1"/>
  <c r="H146" i="1"/>
  <c r="E145" i="1"/>
  <c r="E144" i="1"/>
  <c r="J141" i="1"/>
  <c r="M137" i="1"/>
  <c r="I137" i="1"/>
  <c r="H137" i="1"/>
  <c r="G137" i="1"/>
  <c r="F137" i="1"/>
  <c r="E137" i="1"/>
  <c r="D137" i="1"/>
  <c r="C137" i="1"/>
  <c r="M136" i="1"/>
  <c r="M138" i="1" s="1"/>
  <c r="B136" i="1"/>
  <c r="I122" i="1"/>
  <c r="H122" i="1"/>
  <c r="G122" i="1"/>
  <c r="F122" i="1"/>
  <c r="E122" i="1"/>
  <c r="D122" i="1"/>
  <c r="C122" i="1"/>
  <c r="I104" i="1"/>
  <c r="H104" i="1"/>
  <c r="G104" i="1"/>
  <c r="F104" i="1"/>
  <c r="E104" i="1"/>
  <c r="D104" i="1"/>
  <c r="C104" i="1"/>
  <c r="I86" i="1"/>
  <c r="H86" i="1"/>
  <c r="G86" i="1"/>
  <c r="F86" i="1"/>
  <c r="E86" i="1"/>
  <c r="D86" i="1"/>
  <c r="C86" i="1"/>
  <c r="I76" i="1"/>
  <c r="H76" i="1"/>
  <c r="G76" i="1"/>
  <c r="F76" i="1"/>
  <c r="E76" i="1"/>
  <c r="D76" i="1"/>
  <c r="C76" i="1"/>
  <c r="S60" i="1"/>
  <c r="S84" i="1" s="1"/>
  <c r="Q48" i="1"/>
  <c r="N48" i="1"/>
  <c r="S78" i="1"/>
  <c r="S66" i="1"/>
  <c r="R48" i="1"/>
  <c r="O48" i="1"/>
  <c r="H56" i="1"/>
  <c r="D56" i="1"/>
  <c r="S42" i="1"/>
  <c r="R42" i="1"/>
  <c r="Q42" i="1"/>
  <c r="P42" i="1"/>
  <c r="O42" i="1"/>
  <c r="N42" i="1"/>
  <c r="M42" i="1"/>
  <c r="I42" i="1"/>
  <c r="H42" i="1"/>
  <c r="G42" i="1"/>
  <c r="F42" i="1"/>
  <c r="E42" i="1"/>
  <c r="D42" i="1"/>
  <c r="C42" i="1"/>
  <c r="B41" i="1"/>
  <c r="O37" i="1"/>
  <c r="O36" i="1"/>
  <c r="O35" i="1"/>
  <c r="O34" i="1"/>
  <c r="O33" i="1"/>
  <c r="O32" i="1"/>
  <c r="S67" i="1"/>
  <c r="T67" i="1" s="1"/>
  <c r="O30" i="1"/>
  <c r="O29" i="1"/>
  <c r="O28" i="1"/>
  <c r="O27" i="1"/>
  <c r="O26" i="1"/>
  <c r="S24" i="1"/>
  <c r="R24" i="1"/>
  <c r="Q24" i="1"/>
  <c r="P24" i="1"/>
  <c r="O24" i="1"/>
  <c r="N24" i="1"/>
  <c r="M24" i="1"/>
  <c r="I24" i="1"/>
  <c r="H24" i="1"/>
  <c r="G24" i="1"/>
  <c r="F24" i="1"/>
  <c r="E24" i="1"/>
  <c r="D24" i="1"/>
  <c r="C24" i="1"/>
  <c r="O23" i="1"/>
  <c r="Q19" i="1"/>
  <c r="M19" i="1"/>
  <c r="S19" i="1"/>
  <c r="H19" i="1"/>
  <c r="R19" i="1" s="1"/>
  <c r="P19" i="1"/>
  <c r="O19" i="1"/>
  <c r="N19" i="1"/>
  <c r="S18" i="1"/>
  <c r="O18" i="1"/>
  <c r="H18" i="1"/>
  <c r="R18" i="1" s="1"/>
  <c r="Q18" i="1"/>
  <c r="P18" i="1"/>
  <c r="N18" i="1"/>
  <c r="M18" i="1"/>
  <c r="Q17" i="1"/>
  <c r="M17" i="1"/>
  <c r="S17" i="1"/>
  <c r="H17" i="1"/>
  <c r="R17" i="1" s="1"/>
  <c r="P17" i="1"/>
  <c r="O17" i="1"/>
  <c r="N17" i="1"/>
  <c r="S16" i="1"/>
  <c r="O16" i="1"/>
  <c r="H16" i="1"/>
  <c r="R16" i="1" s="1"/>
  <c r="Q16" i="1"/>
  <c r="P16" i="1"/>
  <c r="N16" i="1"/>
  <c r="M16" i="1"/>
  <c r="Q15" i="1"/>
  <c r="M15" i="1"/>
  <c r="S15" i="1"/>
  <c r="H15" i="1"/>
  <c r="R15" i="1" s="1"/>
  <c r="P15" i="1"/>
  <c r="O15" i="1"/>
  <c r="N15" i="1"/>
  <c r="S14" i="1"/>
  <c r="O14" i="1"/>
  <c r="H14" i="1"/>
  <c r="R14" i="1" s="1"/>
  <c r="Q14" i="1"/>
  <c r="P14" i="1"/>
  <c r="N14" i="1"/>
  <c r="M14" i="1"/>
  <c r="Q13" i="1"/>
  <c r="M13" i="1"/>
  <c r="S13" i="1"/>
  <c r="H13" i="1"/>
  <c r="R13" i="1" s="1"/>
  <c r="O13" i="1"/>
  <c r="S12" i="1"/>
  <c r="O12" i="1"/>
  <c r="H12" i="1"/>
  <c r="R12" i="1" s="1"/>
  <c r="Q12" i="1"/>
  <c r="P12" i="1"/>
  <c r="N12" i="1"/>
  <c r="M12" i="1"/>
  <c r="Q11" i="1"/>
  <c r="M11" i="1"/>
  <c r="S11" i="1"/>
  <c r="H11" i="1"/>
  <c r="R11" i="1" s="1"/>
  <c r="P11" i="1"/>
  <c r="O11" i="1"/>
  <c r="N11" i="1"/>
  <c r="S10" i="1"/>
  <c r="O10" i="1"/>
  <c r="H10" i="1"/>
  <c r="R10" i="1" s="1"/>
  <c r="Q10" i="1"/>
  <c r="P10" i="1"/>
  <c r="N10" i="1"/>
  <c r="M10" i="1"/>
  <c r="Q9" i="1"/>
  <c r="M9" i="1"/>
  <c r="S9" i="1"/>
  <c r="H9" i="1"/>
  <c r="R9" i="1" s="1"/>
  <c r="P9" i="1"/>
  <c r="S74" i="1"/>
  <c r="N9" i="1"/>
  <c r="S8" i="1"/>
  <c r="O8" i="1"/>
  <c r="H8" i="1"/>
  <c r="P8" i="1"/>
  <c r="M8" i="1"/>
  <c r="S6" i="1"/>
  <c r="R6" i="1"/>
  <c r="Q6" i="1"/>
  <c r="P6" i="1"/>
  <c r="O6" i="1"/>
  <c r="N6" i="1"/>
  <c r="M6" i="1"/>
  <c r="M4" i="1"/>
  <c r="E3" i="1"/>
  <c r="B1" i="1"/>
  <c r="Q457" i="1" l="1"/>
  <c r="S457" i="1" s="1"/>
  <c r="D167" i="1"/>
  <c r="S71" i="1"/>
  <c r="D24" i="2"/>
  <c r="S92" i="1"/>
  <c r="S79" i="1"/>
  <c r="O45" i="1"/>
  <c r="S77" i="1"/>
  <c r="T78" i="1" s="1"/>
  <c r="J139" i="1"/>
  <c r="G416" i="1"/>
  <c r="G417" i="1"/>
  <c r="G415" i="1"/>
  <c r="N13" i="1"/>
  <c r="O31" i="1"/>
  <c r="S68" i="1" s="1"/>
  <c r="C56" i="1"/>
  <c r="C167" i="1" s="1"/>
  <c r="G56" i="1"/>
  <c r="G167" i="1" s="1"/>
  <c r="M44" i="1"/>
  <c r="Q44" i="1"/>
  <c r="O49" i="1"/>
  <c r="O50" i="1" s="1"/>
  <c r="M133" i="1"/>
  <c r="D29" i="2"/>
  <c r="J412" i="1"/>
  <c r="Q8" i="1"/>
  <c r="O9" i="1"/>
  <c r="S75" i="1" s="1"/>
  <c r="S63" i="1"/>
  <c r="S87" i="1" s="1"/>
  <c r="N44" i="1"/>
  <c r="R44" i="1"/>
  <c r="M48" i="1"/>
  <c r="H167" i="1"/>
  <c r="E413" i="1"/>
  <c r="D417" i="1"/>
  <c r="D416" i="1"/>
  <c r="E416" i="1" s="1"/>
  <c r="J416" i="1" s="1"/>
  <c r="D415" i="1"/>
  <c r="E415" i="1" s="1"/>
  <c r="J415" i="1" s="1"/>
  <c r="N8" i="1"/>
  <c r="R8" i="1"/>
  <c r="P13" i="1"/>
  <c r="S64" i="1"/>
  <c r="S73" i="1"/>
  <c r="T74" i="1" s="1"/>
  <c r="E56" i="1"/>
  <c r="E167" i="1" s="1"/>
  <c r="O44" i="1"/>
  <c r="O46" i="1" s="1"/>
  <c r="S62" i="1"/>
  <c r="F419" i="1"/>
  <c r="I419" i="1" s="1"/>
  <c r="F411" i="1"/>
  <c r="I411" i="1" s="1"/>
  <c r="F420" i="1"/>
  <c r="I420" i="1" s="1"/>
  <c r="F418" i="1"/>
  <c r="I418" i="1" s="1"/>
  <c r="F412" i="1"/>
  <c r="I412" i="1" s="1"/>
  <c r="F410" i="1"/>
  <c r="I410" i="1" s="1"/>
  <c r="F413" i="1"/>
  <c r="I413" i="1" s="1"/>
  <c r="I417" i="1"/>
  <c r="E417" i="1"/>
  <c r="J417" i="1" s="1"/>
  <c r="J419" i="1"/>
  <c r="L48" i="3"/>
  <c r="L50" i="3" s="1"/>
  <c r="M466" i="1"/>
  <c r="F245" i="3"/>
  <c r="D246" i="3"/>
  <c r="O268" i="3"/>
  <c r="M268" i="3"/>
  <c r="E410" i="1"/>
  <c r="J410" i="1" s="1"/>
  <c r="G413" i="1"/>
  <c r="F416" i="1"/>
  <c r="I416" i="1" s="1"/>
  <c r="E418" i="1"/>
  <c r="J418" i="1" s="1"/>
  <c r="I409" i="1"/>
  <c r="G420" i="1"/>
  <c r="J420" i="1" s="1"/>
  <c r="G412" i="1"/>
  <c r="E414" i="1"/>
  <c r="J414" i="1" s="1"/>
  <c r="I414" i="1"/>
  <c r="E27" i="2"/>
  <c r="E29" i="2" s="1"/>
  <c r="M265" i="3"/>
  <c r="O265" i="3"/>
  <c r="H273" i="3"/>
  <c r="J260" i="3"/>
  <c r="J273" i="3" s="1"/>
  <c r="D280" i="3" s="1"/>
  <c r="U273" i="3"/>
  <c r="D283" i="3" s="1"/>
  <c r="O267" i="3"/>
  <c r="O262" i="3"/>
  <c r="M264" i="3"/>
  <c r="O264" i="3"/>
  <c r="O270" i="3"/>
  <c r="F246" i="3"/>
  <c r="K260" i="3"/>
  <c r="O263" i="3"/>
  <c r="O271" i="3"/>
  <c r="D273" i="3"/>
  <c r="D285" i="3" s="1"/>
  <c r="E279" i="3" l="1"/>
  <c r="N53" i="1"/>
  <c r="M52" i="1"/>
  <c r="M53" i="1" s="1"/>
  <c r="O260" i="3"/>
  <c r="O273" i="3" s="1"/>
  <c r="K273" i="3"/>
  <c r="M260" i="3"/>
  <c r="M273" i="3" s="1"/>
  <c r="D281" i="3" s="1"/>
  <c r="E447" i="1"/>
  <c r="E39" i="2"/>
  <c r="D447" i="1"/>
  <c r="E283" i="3"/>
  <c r="J413" i="1"/>
  <c r="N52" i="1"/>
  <c r="N54" i="1" s="1"/>
  <c r="E280" i="3"/>
  <c r="T63" i="1"/>
  <c r="E281" i="3" l="1"/>
  <c r="G459" i="1"/>
  <c r="J429" i="1"/>
  <c r="N273" i="3"/>
  <c r="D282" i="3"/>
  <c r="D182" i="3"/>
  <c r="D93" i="3"/>
  <c r="D183" i="3"/>
  <c r="D195" i="3" s="1"/>
  <c r="C599" i="1"/>
  <c r="C598" i="1"/>
  <c r="J428" i="1"/>
  <c r="F459" i="1"/>
  <c r="F425" i="1"/>
  <c r="F449" i="1"/>
  <c r="F451" i="1"/>
  <c r="J53" i="1"/>
  <c r="J48" i="1"/>
  <c r="G39" i="2"/>
  <c r="E45" i="2" s="1"/>
  <c r="J52" i="1"/>
  <c r="J45" i="1"/>
  <c r="J44" i="1" l="1"/>
  <c r="F56" i="1"/>
  <c r="F167" i="1" s="1"/>
  <c r="P44" i="1"/>
  <c r="J51" i="1"/>
  <c r="P48" i="1"/>
  <c r="E282" i="3"/>
  <c r="E284" i="3" s="1"/>
  <c r="D284" i="3"/>
  <c r="D286" i="3" s="1"/>
  <c r="E40" i="2" s="1"/>
  <c r="J50" i="1"/>
  <c r="J54" i="1"/>
  <c r="D94" i="3"/>
  <c r="D104" i="3" s="1"/>
  <c r="H461" i="1"/>
  <c r="D161" i="1" s="1"/>
  <c r="C469" i="1" s="1"/>
  <c r="J55" i="1"/>
  <c r="J47" i="1"/>
  <c r="C465" i="1"/>
  <c r="D150" i="1"/>
  <c r="G430" i="1"/>
  <c r="C64" i="1" s="1"/>
  <c r="H432" i="1"/>
  <c r="D66" i="1" s="1"/>
  <c r="H431" i="1"/>
  <c r="D65" i="1" s="1"/>
  <c r="G429" i="1"/>
  <c r="C63" i="1" s="1"/>
  <c r="H439" i="1"/>
  <c r="D73" i="1" s="1"/>
  <c r="H438" i="1"/>
  <c r="D72" i="1" s="1"/>
  <c r="H437" i="1"/>
  <c r="D71" i="1" s="1"/>
  <c r="H436" i="1"/>
  <c r="D70" i="1" s="1"/>
  <c r="H435" i="1"/>
  <c r="D69" i="1" s="1"/>
  <c r="H434" i="1"/>
  <c r="D68" i="1" s="1"/>
  <c r="H433" i="1"/>
  <c r="H430" i="1"/>
  <c r="D64" i="1" s="1"/>
  <c r="G428" i="1"/>
  <c r="G436" i="1"/>
  <c r="C70" i="1" s="1"/>
  <c r="G431" i="1"/>
  <c r="C65" i="1" s="1"/>
  <c r="G437" i="1"/>
  <c r="C71" i="1" s="1"/>
  <c r="G433" i="1"/>
  <c r="G432" i="1"/>
  <c r="C66" i="1" s="1"/>
  <c r="G438" i="1"/>
  <c r="C72" i="1" s="1"/>
  <c r="G434" i="1"/>
  <c r="C68" i="1" s="1"/>
  <c r="G439" i="1"/>
  <c r="C73" i="1" s="1"/>
  <c r="G435" i="1"/>
  <c r="C69" i="1" s="1"/>
  <c r="H429" i="1"/>
  <c r="D63" i="1" s="1"/>
  <c r="H428" i="1"/>
  <c r="D103" i="3"/>
  <c r="D95" i="3"/>
  <c r="C464" i="1"/>
  <c r="D149" i="1"/>
  <c r="C600" i="1"/>
  <c r="D194" i="3"/>
  <c r="D196" i="3" s="1"/>
  <c r="D184" i="3"/>
  <c r="C188" i="3" l="1"/>
  <c r="E188" i="3" s="1"/>
  <c r="C98" i="3"/>
  <c r="E98" i="3" s="1"/>
  <c r="C99" i="3"/>
  <c r="K40" i="2"/>
  <c r="C189" i="3"/>
  <c r="E43" i="2"/>
  <c r="E44" i="2" s="1"/>
  <c r="G170" i="1"/>
  <c r="C170" i="1"/>
  <c r="I149" i="1"/>
  <c r="G171" i="1"/>
  <c r="E170" i="1"/>
  <c r="F171" i="1"/>
  <c r="D170" i="1"/>
  <c r="D171" i="1"/>
  <c r="F170" i="1"/>
  <c r="H170" i="1"/>
  <c r="H171" i="1"/>
  <c r="C171" i="1"/>
  <c r="E171" i="1"/>
  <c r="Q213" i="1"/>
  <c r="Q432" i="1"/>
  <c r="Q429" i="1"/>
  <c r="C62" i="1"/>
  <c r="D105" i="3"/>
  <c r="D67" i="1"/>
  <c r="R428" i="1"/>
  <c r="Q428" i="1"/>
  <c r="C67" i="1"/>
  <c r="D62" i="1"/>
  <c r="R432" i="1"/>
  <c r="R429" i="1"/>
  <c r="G172" i="1"/>
  <c r="I150" i="1"/>
  <c r="H172" i="1"/>
  <c r="F172" i="1"/>
  <c r="D172" i="1"/>
  <c r="C172" i="1"/>
  <c r="Q214" i="1"/>
  <c r="E172" i="1"/>
  <c r="R430" i="1" l="1"/>
  <c r="Q217" i="1"/>
  <c r="C94" i="1"/>
  <c r="C112" i="1" s="1"/>
  <c r="E94" i="1"/>
  <c r="H94" i="1"/>
  <c r="H112" i="1" s="1"/>
  <c r="G94" i="1"/>
  <c r="G112" i="1" s="1"/>
  <c r="D94" i="1"/>
  <c r="D112" i="1" s="1"/>
  <c r="F94" i="1"/>
  <c r="F112" i="1" s="1"/>
  <c r="G93" i="1"/>
  <c r="G111" i="1" s="1"/>
  <c r="C93" i="1"/>
  <c r="C111" i="1" s="1"/>
  <c r="D92" i="1"/>
  <c r="D110" i="1" s="1"/>
  <c r="D128" i="1" s="1"/>
  <c r="D188" i="1" s="1"/>
  <c r="C92" i="1"/>
  <c r="C110" i="1" s="1"/>
  <c r="C128" i="1" s="1"/>
  <c r="C188" i="1" s="1"/>
  <c r="E92" i="1"/>
  <c r="E110" i="1" s="1"/>
  <c r="E128" i="1" s="1"/>
  <c r="E188" i="1" s="1"/>
  <c r="D93" i="1"/>
  <c r="D111" i="1" s="1"/>
  <c r="H93" i="1"/>
  <c r="H111" i="1" s="1"/>
  <c r="G92" i="1"/>
  <c r="G110" i="1" s="1"/>
  <c r="G128" i="1" s="1"/>
  <c r="G188" i="1" s="1"/>
  <c r="E93" i="1"/>
  <c r="H92" i="1"/>
  <c r="H110" i="1" s="1"/>
  <c r="H128" i="1" s="1"/>
  <c r="H188" i="1" s="1"/>
  <c r="F92" i="1"/>
  <c r="F110" i="1" s="1"/>
  <c r="F128" i="1" s="1"/>
  <c r="F188" i="1" s="1"/>
  <c r="F93" i="1"/>
  <c r="F111" i="1" s="1"/>
  <c r="C190" i="3"/>
  <c r="E189" i="3"/>
  <c r="H89" i="1"/>
  <c r="H107" i="1" s="1"/>
  <c r="H88" i="1"/>
  <c r="D89" i="1"/>
  <c r="D107" i="1" s="1"/>
  <c r="C88" i="1"/>
  <c r="D88" i="1"/>
  <c r="E88" i="1"/>
  <c r="G89" i="1"/>
  <c r="G107" i="1" s="1"/>
  <c r="C89" i="1"/>
  <c r="C107" i="1" s="1"/>
  <c r="G88" i="1"/>
  <c r="E89" i="1"/>
  <c r="F88" i="1"/>
  <c r="F89" i="1"/>
  <c r="F107" i="1" s="1"/>
  <c r="I93" i="1"/>
  <c r="I111" i="1" s="1"/>
  <c r="G90" i="1"/>
  <c r="G108" i="1" s="1"/>
  <c r="C90" i="1"/>
  <c r="C108" i="1" s="1"/>
  <c r="H90" i="1"/>
  <c r="H108" i="1" s="1"/>
  <c r="E90" i="1"/>
  <c r="D90" i="1"/>
  <c r="D108" i="1" s="1"/>
  <c r="F90" i="1"/>
  <c r="F108" i="1" s="1"/>
  <c r="S432" i="1"/>
  <c r="C100" i="3"/>
  <c r="E99" i="3"/>
  <c r="E100" i="3" s="1"/>
  <c r="E190" i="3"/>
  <c r="Q430" i="1"/>
  <c r="G106" i="1" l="1"/>
  <c r="G96" i="1"/>
  <c r="E111" i="1"/>
  <c r="S88" i="1"/>
  <c r="S89" i="1" s="1"/>
  <c r="E129" i="1" s="1"/>
  <c r="E189" i="1" s="1"/>
  <c r="R213" i="1"/>
  <c r="E108" i="1"/>
  <c r="C106" i="1"/>
  <c r="C96" i="1"/>
  <c r="G364" i="1"/>
  <c r="G280" i="1"/>
  <c r="C280" i="1"/>
  <c r="C364" i="1"/>
  <c r="E130" i="1"/>
  <c r="E190" i="1" s="1"/>
  <c r="E112" i="1"/>
  <c r="D96" i="1"/>
  <c r="D106" i="1"/>
  <c r="E280" i="1"/>
  <c r="E386" i="1" s="1"/>
  <c r="E364" i="1"/>
  <c r="F96" i="1"/>
  <c r="F106" i="1"/>
  <c r="F280" i="1"/>
  <c r="F364" i="1"/>
  <c r="D364" i="1"/>
  <c r="D280" i="1"/>
  <c r="S48" i="1"/>
  <c r="I90" i="1"/>
  <c r="I108" i="1" s="1"/>
  <c r="I89" i="1"/>
  <c r="I107" i="1" s="1"/>
  <c r="I88" i="1"/>
  <c r="J49" i="1"/>
  <c r="J46" i="1"/>
  <c r="S44" i="1"/>
  <c r="I94" i="1"/>
  <c r="I112" i="1" s="1"/>
  <c r="I56" i="1"/>
  <c r="E107" i="1"/>
  <c r="S93" i="1"/>
  <c r="S94" i="1" s="1"/>
  <c r="E125" i="1" s="1"/>
  <c r="E182" i="1" s="1"/>
  <c r="E106" i="1"/>
  <c r="E96" i="1"/>
  <c r="H96" i="1"/>
  <c r="H106" i="1"/>
  <c r="I92" i="1"/>
  <c r="I110" i="1" s="1"/>
  <c r="I128" i="1" s="1"/>
  <c r="C202" i="1" s="1"/>
  <c r="H364" i="1"/>
  <c r="H280" i="1"/>
  <c r="E281" i="1" l="1"/>
  <c r="E274" i="1"/>
  <c r="C298" i="1"/>
  <c r="H124" i="1"/>
  <c r="H114" i="1"/>
  <c r="I106" i="1"/>
  <c r="I96" i="1"/>
  <c r="C98" i="1" s="1"/>
  <c r="F124" i="1"/>
  <c r="F114" i="1"/>
  <c r="D124" i="1"/>
  <c r="D114" i="1"/>
  <c r="G386" i="1"/>
  <c r="E114" i="1"/>
  <c r="E124" i="1"/>
  <c r="F386" i="1"/>
  <c r="C114" i="1"/>
  <c r="C124" i="1"/>
  <c r="H386" i="1"/>
  <c r="E126" i="1"/>
  <c r="E183" i="1" s="1"/>
  <c r="E282" i="1"/>
  <c r="J56" i="1"/>
  <c r="D386" i="1"/>
  <c r="C386" i="1"/>
  <c r="R214" i="1"/>
  <c r="G114" i="1"/>
  <c r="G124" i="1"/>
  <c r="C181" i="1" l="1"/>
  <c r="C132" i="1"/>
  <c r="C192" i="1" s="1"/>
  <c r="E181" i="1"/>
  <c r="E132" i="1"/>
  <c r="E192" i="1" s="1"/>
  <c r="F132" i="1"/>
  <c r="F192" i="1" s="1"/>
  <c r="F181" i="1"/>
  <c r="I114" i="1"/>
  <c r="I124" i="1"/>
  <c r="G181" i="1"/>
  <c r="G132" i="1"/>
  <c r="G192" i="1" s="1"/>
  <c r="E275" i="1"/>
  <c r="C116" i="1"/>
  <c r="C133" i="1" s="1"/>
  <c r="S213" i="1"/>
  <c r="T213" i="1" s="1"/>
  <c r="V213" i="1"/>
  <c r="W213" i="1" s="1"/>
  <c r="D132" i="1"/>
  <c r="D192" i="1" s="1"/>
  <c r="D181" i="1"/>
  <c r="H132" i="1"/>
  <c r="H192" i="1" s="1"/>
  <c r="H181" i="1"/>
  <c r="N213" i="1" l="1"/>
  <c r="H213" i="1" s="1"/>
  <c r="D284" i="1"/>
  <c r="F284" i="1"/>
  <c r="E273" i="1"/>
  <c r="E385" i="1" s="1"/>
  <c r="E363" i="1"/>
  <c r="H273" i="1"/>
  <c r="H363" i="1"/>
  <c r="C198" i="1"/>
  <c r="I132" i="1"/>
  <c r="C206" i="1" s="1"/>
  <c r="C284" i="1"/>
  <c r="H284" i="1"/>
  <c r="G284" i="1"/>
  <c r="C184" i="1"/>
  <c r="C273" i="1"/>
  <c r="D273" i="1"/>
  <c r="D184" i="1"/>
  <c r="G363" i="1"/>
  <c r="G273" i="1"/>
  <c r="F363" i="1"/>
  <c r="F273" i="1"/>
  <c r="E284" i="1"/>
  <c r="S214" i="1"/>
  <c r="T214" i="1" s="1"/>
  <c r="M214" i="1"/>
  <c r="V214" i="1"/>
  <c r="W214" i="1" s="1"/>
  <c r="I259" i="1" l="1"/>
  <c r="I298" i="1" s="1"/>
  <c r="I352" i="1" s="1"/>
  <c r="O213" i="1"/>
  <c r="AA213" i="1" s="1"/>
  <c r="AB213" i="1" s="1"/>
  <c r="N214" i="1"/>
  <c r="I260" i="1" s="1"/>
  <c r="I299" i="1" s="1"/>
  <c r="I64" i="3"/>
  <c r="I202" i="1"/>
  <c r="C238" i="1"/>
  <c r="C185" i="1"/>
  <c r="C239" i="1" s="1"/>
  <c r="H385" i="1"/>
  <c r="F385" i="1"/>
  <c r="G385" i="1"/>
  <c r="I39" i="3"/>
  <c r="I500" i="1"/>
  <c r="D276" i="1"/>
  <c r="C294" i="1"/>
  <c r="C302" i="1"/>
  <c r="G365" i="1"/>
  <c r="G369" i="1" s="1"/>
  <c r="C276" i="1"/>
  <c r="E365" i="1"/>
  <c r="E369" i="1" s="1"/>
  <c r="D238" i="1"/>
  <c r="D185" i="1"/>
  <c r="D239" i="1" s="1"/>
  <c r="F365" i="1"/>
  <c r="F369" i="1" s="1"/>
  <c r="I213" i="1"/>
  <c r="C210" i="1" s="1"/>
  <c r="H365" i="1"/>
  <c r="H369" i="1" s="1"/>
  <c r="E387" i="1"/>
  <c r="E391" i="1" s="1"/>
  <c r="O214" i="1" l="1"/>
  <c r="H214" i="1"/>
  <c r="J259" i="1"/>
  <c r="J298" i="1" s="1"/>
  <c r="J352" i="1" s="1"/>
  <c r="D363" i="1"/>
  <c r="E368" i="1"/>
  <c r="D255" i="1"/>
  <c r="E390" i="1"/>
  <c r="F368" i="1"/>
  <c r="G368" i="1"/>
  <c r="J260" i="1"/>
  <c r="J299" i="1" s="1"/>
  <c r="J353" i="1" s="1"/>
  <c r="I214" i="1"/>
  <c r="C214" i="1" s="1"/>
  <c r="D365" i="1"/>
  <c r="D369" i="1" s="1"/>
  <c r="F387" i="1"/>
  <c r="F391" i="1" s="1"/>
  <c r="J39" i="3"/>
  <c r="I501" i="1"/>
  <c r="I523" i="1" s="1"/>
  <c r="C385" i="1"/>
  <c r="C277" i="1"/>
  <c r="C333" i="1" s="1"/>
  <c r="C20" i="3" s="1"/>
  <c r="C332" i="1"/>
  <c r="C19" i="3" s="1"/>
  <c r="C218" i="1"/>
  <c r="H387" i="1"/>
  <c r="H391" i="1" s="1"/>
  <c r="C363" i="1"/>
  <c r="I72" i="3"/>
  <c r="I203" i="1"/>
  <c r="I554" i="1"/>
  <c r="I522" i="1"/>
  <c r="H368" i="1"/>
  <c r="I65" i="3"/>
  <c r="J202" i="1"/>
  <c r="I385" i="1"/>
  <c r="C305" i="1"/>
  <c r="D348" i="1" s="1"/>
  <c r="D35" i="3" s="1"/>
  <c r="D332" i="1"/>
  <c r="D19" i="3" s="1"/>
  <c r="D277" i="1"/>
  <c r="D333" i="1" s="1"/>
  <c r="D20" i="3" s="1"/>
  <c r="G387" i="1"/>
  <c r="G391" i="1" s="1"/>
  <c r="I353" i="1"/>
  <c r="I386" i="1"/>
  <c r="C313" i="1" l="1"/>
  <c r="C309" i="1"/>
  <c r="D352" i="1" s="1"/>
  <c r="D39" i="3" s="1"/>
  <c r="G390" i="1"/>
  <c r="H390" i="1"/>
  <c r="F390" i="1"/>
  <c r="D368" i="1"/>
  <c r="I508" i="1"/>
  <c r="I40" i="3"/>
  <c r="D385" i="1"/>
  <c r="C394" i="1" s="1"/>
  <c r="D259" i="1"/>
  <c r="I73" i="3"/>
  <c r="J203" i="1"/>
  <c r="C316" i="1"/>
  <c r="C387" i="1"/>
  <c r="C391" i="1" s="1"/>
  <c r="J40" i="3"/>
  <c r="I509" i="1"/>
  <c r="I531" i="1" s="1"/>
  <c r="C372" i="1"/>
  <c r="C365" i="1"/>
  <c r="C369" i="1" s="1"/>
  <c r="I387" i="1"/>
  <c r="I390" i="1" s="1"/>
  <c r="C395" i="1"/>
  <c r="C221" i="1"/>
  <c r="E377" i="1" l="1"/>
  <c r="I391" i="1"/>
  <c r="D317" i="1"/>
  <c r="D318" i="1"/>
  <c r="I561" i="1"/>
  <c r="I530" i="1"/>
  <c r="I365" i="1"/>
  <c r="I368" i="1" s="1"/>
  <c r="C373" i="1"/>
  <c r="D222" i="1"/>
  <c r="D223" i="1"/>
  <c r="E399" i="1"/>
  <c r="C396" i="1"/>
  <c r="C399" i="1" s="1"/>
  <c r="E400" i="1"/>
  <c r="C368" i="1"/>
  <c r="C390" i="1"/>
  <c r="D387" i="1"/>
  <c r="D391" i="1" s="1"/>
  <c r="J400" i="1" l="1"/>
  <c r="C400" i="1"/>
  <c r="J399" i="1"/>
  <c r="C568" i="1"/>
  <c r="D484" i="1"/>
  <c r="L52" i="3"/>
  <c r="F486" i="1"/>
  <c r="M468" i="1"/>
  <c r="F242" i="1"/>
  <c r="G242" i="1"/>
  <c r="D242" i="1"/>
  <c r="C242" i="1"/>
  <c r="H242" i="1"/>
  <c r="E243" i="1"/>
  <c r="E244" i="1"/>
  <c r="E234" i="1"/>
  <c r="E235" i="1"/>
  <c r="D246" i="1"/>
  <c r="H246" i="1"/>
  <c r="C233" i="1"/>
  <c r="D233" i="1"/>
  <c r="F233" i="1"/>
  <c r="E246" i="1"/>
  <c r="F246" i="1"/>
  <c r="G233" i="1"/>
  <c r="C246" i="1"/>
  <c r="H233" i="1"/>
  <c r="G246" i="1"/>
  <c r="C255" i="1"/>
  <c r="C263" i="1"/>
  <c r="C259" i="1"/>
  <c r="E378" i="1"/>
  <c r="J378" i="1" s="1"/>
  <c r="C374" i="1"/>
  <c r="C377" i="1" s="1"/>
  <c r="J377" i="1"/>
  <c r="D390" i="1"/>
  <c r="I369" i="1"/>
  <c r="C336" i="1"/>
  <c r="F336" i="1"/>
  <c r="D336" i="1"/>
  <c r="G336" i="1"/>
  <c r="H336" i="1"/>
  <c r="E328" i="1"/>
  <c r="E337" i="1"/>
  <c r="E338" i="1"/>
  <c r="E329" i="1"/>
  <c r="H327" i="1"/>
  <c r="C327" i="1"/>
  <c r="C14" i="3" s="1"/>
  <c r="G327" i="1"/>
  <c r="D327" i="1"/>
  <c r="D14" i="3" s="1"/>
  <c r="D340" i="1"/>
  <c r="D27" i="3" s="1"/>
  <c r="H340" i="1"/>
  <c r="H27" i="3" s="1"/>
  <c r="E340" i="1"/>
  <c r="E27" i="3" s="1"/>
  <c r="F327" i="1"/>
  <c r="F340" i="1"/>
  <c r="F27" i="3" s="1"/>
  <c r="G340" i="1"/>
  <c r="G27" i="3" s="1"/>
  <c r="C340" i="1"/>
  <c r="C27" i="3" s="1"/>
  <c r="C352" i="1"/>
  <c r="C356" i="1"/>
  <c r="C43" i="3" s="1"/>
  <c r="C348" i="1"/>
  <c r="C39" i="3" l="1"/>
  <c r="F14" i="3"/>
  <c r="E16" i="3"/>
  <c r="H23" i="3"/>
  <c r="C23" i="3"/>
  <c r="F50" i="3"/>
  <c r="I52" i="3"/>
  <c r="L53" i="3" s="1"/>
  <c r="L54" i="3" s="1"/>
  <c r="D49" i="3" s="1"/>
  <c r="F52" i="3"/>
  <c r="E15" i="3"/>
  <c r="F18" i="2"/>
  <c r="F27" i="2" s="1"/>
  <c r="C569" i="1"/>
  <c r="C571" i="1" s="1"/>
  <c r="G14" i="3"/>
  <c r="E25" i="3"/>
  <c r="G23" i="3"/>
  <c r="C570" i="1"/>
  <c r="C572" i="1" s="1"/>
  <c r="F19" i="2"/>
  <c r="F28" i="2" s="1"/>
  <c r="G28" i="2" s="1"/>
  <c r="H14" i="3"/>
  <c r="F23" i="3"/>
  <c r="C35" i="3"/>
  <c r="E24" i="3"/>
  <c r="D23" i="3"/>
  <c r="C378" i="1"/>
  <c r="F11" i="2"/>
  <c r="F488" i="1"/>
  <c r="M469" i="1"/>
  <c r="M470" i="1" s="1"/>
  <c r="D485" i="1" s="1"/>
  <c r="D486" i="1" s="1"/>
  <c r="C497" i="1" l="1"/>
  <c r="D496" i="1"/>
  <c r="D493" i="1"/>
  <c r="C496" i="1"/>
  <c r="C493" i="1"/>
  <c r="D497" i="1"/>
  <c r="C504" i="1"/>
  <c r="E506" i="1"/>
  <c r="H493" i="1"/>
  <c r="D504" i="1"/>
  <c r="I504" i="1"/>
  <c r="E495" i="1"/>
  <c r="F504" i="1"/>
  <c r="F493" i="1"/>
  <c r="H504" i="1"/>
  <c r="E494" i="1"/>
  <c r="G504" i="1"/>
  <c r="E505" i="1"/>
  <c r="G493" i="1"/>
  <c r="I493" i="1"/>
  <c r="I589" i="1"/>
  <c r="E589" i="1"/>
  <c r="H589" i="1"/>
  <c r="D589" i="1"/>
  <c r="G589" i="1"/>
  <c r="C589" i="1"/>
  <c r="F589" i="1"/>
  <c r="H588" i="1"/>
  <c r="D588" i="1"/>
  <c r="G588" i="1"/>
  <c r="C588" i="1"/>
  <c r="F588" i="1"/>
  <c r="I588" i="1"/>
  <c r="E588" i="1"/>
  <c r="D42" i="2"/>
  <c r="D45" i="2" s="1"/>
  <c r="G45" i="2" s="1"/>
  <c r="F12" i="2"/>
  <c r="F13" i="2" s="1"/>
  <c r="E11" i="2"/>
  <c r="D11" i="2"/>
  <c r="F14" i="2"/>
  <c r="C183" i="3"/>
  <c r="C94" i="3"/>
  <c r="D33" i="2"/>
  <c r="F29" i="2"/>
  <c r="G27" i="2"/>
  <c r="D590" i="1" l="1"/>
  <c r="G29" i="2"/>
  <c r="D34" i="2" s="1"/>
  <c r="D40" i="2" s="1"/>
  <c r="D43" i="2" s="1"/>
  <c r="D44" i="2" s="1"/>
  <c r="G44" i="2" s="1"/>
  <c r="G46" i="2" s="1"/>
  <c r="D48" i="3" s="1"/>
  <c r="D50" i="3" s="1"/>
  <c r="C182" i="3"/>
  <c r="C93" i="3"/>
  <c r="D32" i="2"/>
  <c r="D12" i="2"/>
  <c r="D13" i="2" s="1"/>
  <c r="D14" i="2"/>
  <c r="I515" i="1"/>
  <c r="I547" i="1"/>
  <c r="E548" i="1"/>
  <c r="E577" i="1"/>
  <c r="E516" i="1"/>
  <c r="E549" i="1"/>
  <c r="E517" i="1"/>
  <c r="E528" i="1"/>
  <c r="E559" i="1"/>
  <c r="C550" i="1"/>
  <c r="C518" i="1"/>
  <c r="E12" i="2"/>
  <c r="E13" i="2" s="1"/>
  <c r="E14" i="2"/>
  <c r="C593" i="1"/>
  <c r="C603" i="1" s="1"/>
  <c r="F590" i="1"/>
  <c r="H590" i="1"/>
  <c r="G577" i="1"/>
  <c r="G547" i="1"/>
  <c r="G515" i="1"/>
  <c r="H578" i="1"/>
  <c r="H557" i="1"/>
  <c r="H526" i="1"/>
  <c r="I557" i="1"/>
  <c r="I526" i="1"/>
  <c r="C578" i="1"/>
  <c r="C526" i="1"/>
  <c r="C557" i="1"/>
  <c r="D547" i="1"/>
  <c r="D577" i="1"/>
  <c r="E94" i="3"/>
  <c r="C104" i="3"/>
  <c r="C590" i="1"/>
  <c r="C594" i="1"/>
  <c r="E590" i="1"/>
  <c r="E527" i="1"/>
  <c r="E558" i="1"/>
  <c r="E578" i="1"/>
  <c r="F577" i="1"/>
  <c r="F547" i="1"/>
  <c r="F515" i="1"/>
  <c r="D578" i="1"/>
  <c r="D526" i="1"/>
  <c r="D557" i="1"/>
  <c r="D551" i="1"/>
  <c r="D519" i="1"/>
  <c r="D518" i="1"/>
  <c r="D550" i="1"/>
  <c r="C184" i="3"/>
  <c r="E183" i="3"/>
  <c r="C195" i="3"/>
  <c r="G590" i="1"/>
  <c r="I590" i="1"/>
  <c r="G578" i="1"/>
  <c r="G526" i="1"/>
  <c r="G557" i="1"/>
  <c r="F557" i="1"/>
  <c r="F526" i="1"/>
  <c r="F578" i="1"/>
  <c r="H547" i="1"/>
  <c r="H515" i="1"/>
  <c r="H577" i="1"/>
  <c r="C577" i="1"/>
  <c r="C547" i="1"/>
  <c r="C551" i="1"/>
  <c r="C519" i="1"/>
  <c r="I579" i="1" l="1"/>
  <c r="H579" i="1"/>
  <c r="F579" i="1"/>
  <c r="D579" i="1"/>
  <c r="E104" i="3"/>
  <c r="D110" i="3" s="1"/>
  <c r="E93" i="3"/>
  <c r="E95" i="3" s="1"/>
  <c r="C103" i="3"/>
  <c r="E103" i="3" s="1"/>
  <c r="C582" i="1"/>
  <c r="C608" i="1" s="1"/>
  <c r="G579" i="1"/>
  <c r="E579" i="1"/>
  <c r="C604" i="1"/>
  <c r="C595" i="1"/>
  <c r="C95" i="3"/>
  <c r="G14" i="2"/>
  <c r="E182" i="3"/>
  <c r="E184" i="3" s="1"/>
  <c r="C194" i="3"/>
  <c r="E194" i="3" s="1"/>
  <c r="E195" i="3"/>
  <c r="D202" i="3" s="1"/>
  <c r="C583" i="1"/>
  <c r="C579" i="1"/>
  <c r="G13" i="2"/>
  <c r="D61" i="3"/>
  <c r="C61" i="3"/>
  <c r="D60" i="3"/>
  <c r="D57" i="3"/>
  <c r="C60" i="3"/>
  <c r="C57" i="3"/>
  <c r="G68" i="3"/>
  <c r="C68" i="3"/>
  <c r="E59" i="3"/>
  <c r="E58" i="3"/>
  <c r="F68" i="3"/>
  <c r="I57" i="3"/>
  <c r="I68" i="3"/>
  <c r="D68" i="3"/>
  <c r="H68" i="3"/>
  <c r="G57" i="3"/>
  <c r="H57" i="3"/>
  <c r="F57" i="3"/>
  <c r="E69" i="3"/>
  <c r="E70" i="3"/>
  <c r="G15" i="2" l="1"/>
  <c r="C196" i="3"/>
  <c r="C584" i="1"/>
  <c r="G80" i="3"/>
  <c r="C81" i="3"/>
  <c r="C609" i="1"/>
  <c r="C610" i="1" s="1"/>
  <c r="E81" i="3"/>
  <c r="E82" i="3" s="1"/>
  <c r="F81" i="3"/>
  <c r="F80" i="3"/>
  <c r="D81" i="3"/>
  <c r="E80" i="3"/>
  <c r="C80" i="3"/>
  <c r="C605" i="1"/>
  <c r="I80" i="3"/>
  <c r="D80" i="3"/>
  <c r="D109" i="3"/>
  <c r="D111" i="3" s="1"/>
  <c r="E105" i="3"/>
  <c r="H81" i="3"/>
  <c r="G81" i="3"/>
  <c r="H80" i="3"/>
  <c r="I81" i="3"/>
  <c r="D201" i="3"/>
  <c r="E196" i="3"/>
  <c r="C105" i="3"/>
  <c r="I82" i="3" l="1"/>
  <c r="G82" i="3"/>
  <c r="C85" i="3"/>
  <c r="C109" i="3" s="1"/>
  <c r="E109" i="3" s="1"/>
  <c r="G109" i="3" s="1"/>
  <c r="C86" i="3"/>
  <c r="C82" i="3"/>
  <c r="H82" i="3"/>
  <c r="D82" i="3"/>
  <c r="D203" i="3"/>
  <c r="F82" i="3"/>
  <c r="I128" i="3" l="1"/>
  <c r="I129" i="3"/>
  <c r="C121" i="3"/>
  <c r="D121" i="3"/>
  <c r="E123" i="3"/>
  <c r="G121" i="3"/>
  <c r="F121" i="3"/>
  <c r="E122" i="3"/>
  <c r="C125" i="3"/>
  <c r="H121" i="3"/>
  <c r="C124" i="3"/>
  <c r="D124" i="3"/>
  <c r="I121" i="3"/>
  <c r="D125" i="3"/>
  <c r="C110" i="3"/>
  <c r="C87" i="3"/>
  <c r="E219" i="3" l="1"/>
  <c r="W122" i="3"/>
  <c r="AF122" i="3" s="1"/>
  <c r="E144" i="3"/>
  <c r="E169" i="3"/>
  <c r="C111" i="3"/>
  <c r="E110" i="3"/>
  <c r="C221" i="3"/>
  <c r="U124" i="3"/>
  <c r="AD124" i="3" s="1"/>
  <c r="C146" i="3"/>
  <c r="F218" i="3"/>
  <c r="F169" i="3"/>
  <c r="F143" i="3"/>
  <c r="X121" i="3"/>
  <c r="AG121" i="3" s="1"/>
  <c r="C218" i="3"/>
  <c r="C169" i="3"/>
  <c r="U121" i="3"/>
  <c r="AD121" i="3" s="1"/>
  <c r="D221" i="3"/>
  <c r="V124" i="3"/>
  <c r="AE124" i="3" s="1"/>
  <c r="D146" i="3"/>
  <c r="D147" i="3"/>
  <c r="D222" i="3"/>
  <c r="V125" i="3"/>
  <c r="AE125" i="3" s="1"/>
  <c r="H218" i="3"/>
  <c r="Z121" i="3"/>
  <c r="AI121" i="3" s="1"/>
  <c r="H143" i="3"/>
  <c r="H169" i="3"/>
  <c r="G218" i="3"/>
  <c r="G169" i="3"/>
  <c r="G143" i="3"/>
  <c r="Y121" i="3"/>
  <c r="AH121" i="3" s="1"/>
  <c r="I226" i="3"/>
  <c r="I151" i="3"/>
  <c r="V121" i="3"/>
  <c r="AE121" i="3" s="1"/>
  <c r="D218" i="3"/>
  <c r="D169" i="3"/>
  <c r="AA121" i="3"/>
  <c r="AJ121" i="3" s="1"/>
  <c r="I169" i="3"/>
  <c r="I218" i="3"/>
  <c r="I143" i="3"/>
  <c r="C222" i="3"/>
  <c r="C147" i="3"/>
  <c r="U125" i="3"/>
  <c r="AD125" i="3" s="1"/>
  <c r="E220" i="3"/>
  <c r="E145" i="3"/>
  <c r="W123" i="3"/>
  <c r="AF123" i="3" s="1"/>
  <c r="AA128" i="3"/>
  <c r="AJ128" i="3" s="1"/>
  <c r="I225" i="3"/>
  <c r="I150" i="3"/>
  <c r="C174" i="3" l="1"/>
  <c r="C201" i="3" s="1"/>
  <c r="E201" i="3" s="1"/>
  <c r="E111" i="3"/>
  <c r="G110" i="3"/>
  <c r="I136" i="3" l="1"/>
  <c r="I137" i="3"/>
  <c r="E134" i="3"/>
  <c r="C132" i="3"/>
  <c r="I132" i="3"/>
  <c r="D132" i="3"/>
  <c r="H132" i="3"/>
  <c r="F132" i="3"/>
  <c r="E133" i="3"/>
  <c r="G132" i="3"/>
  <c r="E231" i="3" l="1"/>
  <c r="W133" i="3"/>
  <c r="AF133" i="3" s="1"/>
  <c r="E156" i="3"/>
  <c r="C229" i="3"/>
  <c r="C170" i="3"/>
  <c r="C154" i="3"/>
  <c r="U131" i="3"/>
  <c r="AD131" i="3" s="1"/>
  <c r="G229" i="3"/>
  <c r="G170" i="3"/>
  <c r="G171" i="3" s="1"/>
  <c r="G154" i="3"/>
  <c r="Y131" i="3"/>
  <c r="AH131" i="3" s="1"/>
  <c r="D229" i="3"/>
  <c r="D154" i="3"/>
  <c r="V131" i="3"/>
  <c r="AE131" i="3" s="1"/>
  <c r="D170" i="3"/>
  <c r="D171" i="3" s="1"/>
  <c r="I159" i="3"/>
  <c r="I234" i="3"/>
  <c r="F170" i="3"/>
  <c r="F171" i="3" s="1"/>
  <c r="F229" i="3"/>
  <c r="F154" i="3"/>
  <c r="X131" i="3"/>
  <c r="AG131" i="3" s="1"/>
  <c r="H229" i="3"/>
  <c r="H154" i="3"/>
  <c r="Z131" i="3"/>
  <c r="AI131" i="3" s="1"/>
  <c r="H170" i="3"/>
  <c r="H171" i="3" s="1"/>
  <c r="E230" i="3"/>
  <c r="E155" i="3"/>
  <c r="E170" i="3"/>
  <c r="E171" i="3" s="1"/>
  <c r="W132" i="3"/>
  <c r="AF132" i="3" s="1"/>
  <c r="I154" i="3"/>
  <c r="AA131" i="3"/>
  <c r="AJ131" i="3" s="1"/>
  <c r="I229" i="3"/>
  <c r="I170" i="3"/>
  <c r="I171" i="3" s="1"/>
  <c r="I233" i="3"/>
  <c r="I158" i="3"/>
  <c r="AA135" i="3"/>
  <c r="AJ135" i="3" s="1"/>
  <c r="C175" i="3" l="1"/>
  <c r="C171" i="3"/>
  <c r="C202" i="3" l="1"/>
  <c r="C176" i="3"/>
  <c r="C203" i="3" l="1"/>
  <c r="E202" i="3"/>
  <c r="E203" i="3" s="1"/>
</calcChain>
</file>

<file path=xl/sharedStrings.xml><?xml version="1.0" encoding="utf-8"?>
<sst xmlns="http://schemas.openxmlformats.org/spreadsheetml/2006/main" count="1147" uniqueCount="401">
  <si>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</si>
  <si>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</si>
  <si>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</si>
  <si>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</si>
  <si>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</si>
  <si>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</si>
  <si>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</si>
  <si>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</si>
  <si>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</si>
  <si>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</si>
  <si>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</si>
  <si>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</si>
  <si>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</si>
  <si>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</si>
  <si>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</si>
  <si>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</si>
  <si>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</si>
  <si>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</si>
  <si>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</si>
  <si>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</si>
  <si>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</si>
  <si>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</si>
  <si>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</si>
  <si>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</si>
  <si>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</si>
  <si>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</si>
  <si>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</si>
  <si>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</si>
  <si>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</si>
  <si>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</si>
  <si>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</si>
  <si>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</si>
  <si>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</si>
  <si>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</si>
  <si>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</si>
  <si>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</si>
  <si>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</si>
  <si>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</si>
  <si>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</si>
  <si>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</si>
  <si>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</si>
  <si>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</si>
  <si>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</si>
  <si>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</si>
  <si>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</si>
  <si>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</si>
  <si>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</si>
  <si>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</si>
  <si>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</si>
  <si>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</si>
  <si>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</si>
  <si>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</si>
  <si>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</si>
  <si>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</si>
  <si>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</si>
  <si>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</si>
  <si>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</si>
  <si>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</si>
  <si>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</si>
  <si>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</si>
  <si>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</si>
  <si>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</si>
  <si>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</si>
  <si>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</si>
  <si>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</si>
  <si>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</si>
  <si>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</si>
  <si>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</si>
  <si>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</si>
  <si>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</si>
  <si>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</si>
  <si>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</si>
  <si>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</si>
  <si>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</si>
  <si>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</si>
  <si>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</si>
  <si>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</si>
  <si>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</si>
  <si>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</si>
  <si>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</si>
  <si>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</si>
  <si>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</si>
  <si>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</si>
  <si>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</si>
  <si>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</si>
  <si>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</si>
  <si>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</si>
  <si>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</si>
  <si>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</si>
  <si>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</si>
  <si>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</si>
  <si>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</si>
  <si>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</si>
  <si>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</si>
  <si>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</si>
  <si>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</si>
  <si>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</si>
  <si>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</si>
  <si>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</si>
  <si>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</si>
  <si>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</si>
  <si>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</si>
  <si>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</si>
  <si>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</si>
  <si>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</si>
  <si>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</si>
  <si>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</si>
  <si>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</si>
  <si>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</si>
  <si>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</si>
  <si>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Chgs (¢/kWh)</t>
  </si>
  <si>
    <t>Differences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</si>
  <si>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</si>
  <si>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</si>
  <si>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</si>
  <si>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</si>
  <si>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</si>
  <si>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</si>
  <si>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</si>
  <si>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</si>
  <si>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</si>
  <si>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</si>
  <si>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</si>
  <si>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</si>
  <si>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</si>
  <si>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</si>
  <si>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</si>
  <si>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</si>
  <si>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</si>
  <si>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</si>
  <si>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</si>
  <si>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</si>
  <si>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</si>
  <si>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</si>
  <si>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</si>
  <si>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</si>
  <si>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</si>
  <si>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</si>
  <si>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</si>
  <si>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</si>
  <si>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</si>
  <si>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</si>
  <si>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</si>
  <si>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</si>
  <si>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</si>
  <si>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</si>
  <si>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</si>
  <si>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</si>
  <si>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</si>
  <si>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</si>
  <si>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</si>
  <si>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</si>
  <si>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</si>
  <si>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</si>
  <si>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</si>
  <si>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</si>
  <si>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</si>
  <si>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</si>
  <si>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</si>
  <si>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</si>
  <si>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</si>
  <si>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</si>
  <si>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</si>
  <si>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</si>
  <si>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</si>
  <si>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</si>
  <si>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</si>
  <si>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</si>
  <si>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</si>
  <si>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</si>
  <si>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</si>
  <si>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</si>
  <si>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</si>
  <si>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</si>
  <si>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</si>
  <si>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</si>
  <si>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</si>
  <si>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</si>
  <si>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</si>
  <si>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</si>
  <si>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</si>
  <si>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</si>
  <si>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</si>
  <si>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</si>
  <si>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</si>
  <si>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</si>
  <si>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</si>
  <si>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</si>
  <si>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</si>
  <si>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</si>
  <si>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</si>
  <si>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</si>
  <si>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</si>
  <si>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</si>
  <si>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</si>
  <si>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</si>
  <si>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</si>
  <si>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</si>
  <si>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</si>
  <si>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</si>
  <si>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</si>
  <si>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</si>
  <si>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</si>
  <si>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</si>
  <si>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</si>
  <si>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</si>
  <si>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</si>
  <si>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</si>
  <si>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</si>
  <si>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</si>
  <si>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</si>
  <si>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</si>
  <si>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</si>
  <si>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</si>
  <si>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</si>
  <si>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</si>
  <si>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</si>
  <si>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</si>
  <si>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</si>
  <si>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</si>
  <si>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</si>
  <si>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</si>
  <si>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</si>
  <si>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</si>
  <si>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</si>
  <si>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</si>
  <si>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</si>
  <si>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</si>
  <si>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</si>
  <si>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</si>
  <si>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</si>
  <si>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</si>
  <si>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</si>
  <si>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</si>
  <si>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</si>
  <si>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</si>
  <si>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</si>
  <si>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</si>
  <si>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</si>
  <si>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</si>
  <si>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</si>
  <si>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</si>
  <si>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</si>
  <si>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</si>
  <si>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</si>
  <si>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</si>
  <si>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</si>
  <si>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</si>
  <si>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</si>
  <si>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</si>
  <si>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</si>
  <si>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</si>
  <si>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</si>
  <si>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</si>
  <si>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</si>
  <si>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</si>
  <si>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</si>
  <si>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</si>
  <si>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</si>
  <si>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</si>
  <si>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</si>
  <si>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</si>
  <si>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</si>
  <si>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</si>
  <si>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</si>
  <si>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</si>
  <si>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</si>
  <si>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</si>
  <si>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</si>
  <si>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</si>
  <si>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</si>
  <si>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</si>
  <si>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</si>
  <si>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</si>
  <si>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</si>
  <si>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</si>
  <si>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</si>
  <si>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</si>
  <si>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</si>
  <si>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</si>
  <si>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</si>
  <si>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</si>
  <si>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</si>
  <si>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</si>
  <si>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</si>
  <si>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</si>
  <si>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</si>
  <si>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</si>
  <si>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</si>
  <si>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</si>
  <si>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</si>
  <si>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</si>
  <si>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</si>
  <si>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</si>
  <si>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</si>
  <si>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</si>
  <si>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</si>
  <si>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</si>
  <si>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</si>
  <si>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</si>
  <si>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</si>
  <si>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</si>
  <si>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</si>
  <si>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Winning Bid Price (¢/kWh)*</t>
  </si>
  <si>
    <t>Transmission (¢/kWh)</t>
  </si>
  <si>
    <t>Average transmission cost included in bid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</si>
  <si>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</si>
  <si>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</si>
  <si>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</si>
  <si>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</si>
  <si>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</si>
  <si>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</si>
  <si>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</si>
  <si>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</si>
  <si>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</si>
  <si>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</si>
  <si>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</si>
  <si>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</si>
  <si>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</si>
  <si>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</si>
  <si>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</si>
  <si>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</si>
  <si>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</si>
  <si>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</si>
  <si>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</si>
  <si>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</si>
  <si>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</si>
  <si>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</si>
  <si>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</si>
  <si>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</si>
  <si>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</si>
  <si>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</si>
  <si>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</si>
  <si>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</si>
  <si>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</si>
  <si>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</si>
  <si>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</si>
  <si>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</si>
  <si>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</si>
  <si>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</si>
  <si>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</si>
  <si>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</si>
  <si>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</si>
  <si>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</si>
  <si>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</si>
  <si>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</si>
  <si>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</si>
  <si>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</si>
  <si>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</si>
  <si>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</si>
  <si>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</si>
  <si>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</si>
  <si>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</si>
  <si>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</si>
  <si>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</si>
  <si>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</si>
  <si>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</si>
  <si>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</si>
  <si>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</si>
  <si>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</si>
  <si>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</si>
  <si>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</si>
  <si>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</si>
  <si>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</si>
  <si>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</si>
  <si>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</si>
  <si>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</si>
  <si>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</si>
  <si>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</si>
  <si>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</si>
  <si>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</si>
  <si>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</si>
  <si>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</si>
  <si>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</si>
  <si>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</si>
  <si>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</si>
  <si>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</si>
  <si>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</si>
  <si>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</si>
  <si>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</si>
  <si>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</si>
  <si>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</si>
  <si>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</si>
  <si>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</si>
  <si>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</si>
  <si>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</si>
  <si>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</si>
  <si>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</si>
  <si>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</si>
  <si>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</si>
  <si>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</si>
  <si>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</si>
  <si>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</si>
  <si>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</si>
  <si>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</si>
  <si>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</si>
  <si>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</si>
  <si>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</si>
  <si>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</si>
  <si>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2019 to May 2020 Forwards @ PJM West as of November 08, 2018</t>
  </si>
  <si>
    <t>Based on Nov  2018 to Oct 2019 Forwards @ NYISO Zone G and Lower Hudson Valley (LHV) as of June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</si>
</sst>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&quot;$&quot;#,##0.00"/>
    <numFmt numFmtId="176" formatCode="0.000%"/>
    <numFmt numFmtId="177" formatCode="_(* #,##0.000000_);_(* \(#,##0.000000\);_(* &quot;-&quot;??_);_(@_)"/>
    <numFmt numFmtId="178" formatCode="0.0000"/>
    <numFmt numFmtId="179" formatCode="#,##0.000_);\(#,##0.000\)"/>
    <numFmt numFmtId="180" formatCode="0.0"/>
    <numFmt numFmtId="181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horizontal="left"/>
    </xf>
    <xf numFmtId="0" fontId="5" fillId="0" borderId="0" xfId="0" quotePrefix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10" fontId="2" fillId="0" borderId="0" xfId="3" quotePrefix="1" applyNumberFormat="1" applyFont="1" applyFill="1"/>
    <xf numFmtId="0" fontId="7" fillId="0" borderId="0" xfId="0" applyFont="1"/>
    <xf numFmtId="3" fontId="2" fillId="0" borderId="0" xfId="0" applyNumberFormat="1" applyFont="1" applyFill="1"/>
    <xf numFmtId="3" fontId="9" fillId="0" borderId="0" xfId="0" applyNumberFormat="1" applyFont="1" applyFill="1"/>
    <xf numFmtId="4" fontId="2" fillId="0" borderId="0" xfId="0" applyNumberFormat="1" applyFont="1" applyFill="1"/>
    <xf numFmtId="0" fontId="6" fillId="0" borderId="0" xfId="0" quotePrefix="1" applyFont="1" applyAlignment="1">
      <alignment horizontal="left"/>
    </xf>
    <xf numFmtId="0" fontId="5" fillId="0" borderId="0" xfId="0" applyFont="1" applyFill="1" applyAlignment="1">
      <alignment horizontal="left"/>
    </xf>
    <xf numFmtId="44" fontId="2" fillId="0" borderId="0" xfId="2" quotePrefix="1" applyNumberFormat="1" applyFont="1" applyFill="1"/>
    <xf numFmtId="166" fontId="2" fillId="0" borderId="0" xfId="2" quotePrefix="1" applyNumberFormat="1" applyFont="1" applyFill="1"/>
    <xf numFmtId="167" fontId="2" fillId="0" borderId="0" xfId="0" applyNumberFormat="1" applyFont="1" applyFill="1"/>
    <xf numFmtId="7" fontId="2" fillId="0" borderId="0" xfId="2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 applyBorder="1"/>
    <xf numFmtId="0" fontId="2" fillId="0" borderId="4" xfId="0" applyFont="1" applyFill="1" applyBorder="1"/>
    <xf numFmtId="10" fontId="2" fillId="0" borderId="0" xfId="0" applyNumberFormat="1" applyFont="1" applyFill="1"/>
    <xf numFmtId="170" fontId="2" fillId="0" borderId="0" xfId="0" applyNumberFormat="1" applyFont="1" applyFill="1"/>
    <xf numFmtId="0" fontId="5" fillId="0" borderId="0" xfId="0" applyFont="1" applyFill="1" applyBorder="1"/>
    <xf numFmtId="7" fontId="2" fillId="0" borderId="0" xfId="0" applyNumberFormat="1" applyFont="1" applyFill="1"/>
    <xf numFmtId="44" fontId="2" fillId="0" borderId="0" xfId="2" quotePrefix="1" applyFont="1" applyFill="1" applyAlignment="1">
      <alignment horizontal="left"/>
    </xf>
    <xf numFmtId="44" fontId="2" fillId="0" borderId="0" xfId="2" quotePrefix="1" applyFont="1" applyFill="1"/>
    <xf numFmtId="171" fontId="2" fillId="0" borderId="0" xfId="2" quotePrefix="1" applyNumberFormat="1" applyFont="1" applyFill="1"/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43" fontId="2" fillId="0" borderId="0" xfId="1" quotePrefix="1" applyFont="1" applyFill="1"/>
    <xf numFmtId="0" fontId="7" fillId="0" borderId="0" xfId="0" applyFont="1" applyAlignment="1">
      <alignment horizontal="left"/>
    </xf>
    <xf numFmtId="4" fontId="2" fillId="0" borderId="5" xfId="0" applyNumberFormat="1" applyFont="1" applyFill="1" applyBorder="1"/>
    <xf numFmtId="9" fontId="2" fillId="0" borderId="0" xfId="3" applyNumberFormat="1" applyFont="1" applyFill="1"/>
    <xf numFmtId="9" fontId="2" fillId="0" borderId="0" xfId="3" applyFont="1" applyFill="1"/>
    <xf numFmtId="2" fontId="2" fillId="0" borderId="0" xfId="0" applyNumberFormat="1" applyFont="1" applyFill="1"/>
    <xf numFmtId="9" fontId="2" fillId="0" borderId="0" xfId="1" applyNumberFormat="1" applyFont="1" applyFill="1"/>
    <xf numFmtId="0" fontId="8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6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8" fillId="0" borderId="0" xfId="0" applyFont="1"/>
    <xf numFmtId="0" fontId="10" fillId="0" borderId="0" xfId="0" applyFont="1"/>
    <xf numFmtId="170" fontId="10" fillId="0" borderId="0" xfId="0" applyNumberFormat="1" applyFont="1" applyFill="1" applyBorder="1"/>
    <xf numFmtId="0" fontId="10" fillId="0" borderId="0" xfId="0" applyFont="1" applyFill="1"/>
    <xf numFmtId="178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6" fillId="0" borderId="0" xfId="0" applyFont="1" applyFill="1"/>
    <xf numFmtId="3" fontId="10" fillId="0" borderId="0" xfId="0" applyNumberFormat="1" applyFont="1" applyFill="1"/>
    <xf numFmtId="3" fontId="16" fillId="0" borderId="0" xfId="0" applyNumberFormat="1" applyFont="1" applyFill="1"/>
    <xf numFmtId="0" fontId="10" fillId="0" borderId="0" xfId="0" applyFont="1" applyFill="1" applyBorder="1"/>
    <xf numFmtId="170" fontId="17" fillId="0" borderId="15" xfId="0" applyNumberFormat="1" applyFont="1" applyFill="1" applyBorder="1"/>
    <xf numFmtId="44" fontId="7" fillId="0" borderId="0" xfId="2" quotePrefix="1" applyNumberFormat="1" applyFont="1" applyFill="1" applyBorder="1"/>
    <xf numFmtId="173" fontId="2" fillId="0" borderId="0" xfId="1" quotePrefix="1" applyNumberFormat="1" applyFont="1" applyFill="1" applyBorder="1"/>
    <xf numFmtId="0" fontId="0" fillId="0" borderId="0" xfId="0" applyFill="1" applyAlignment="1">
      <alignment horizontal="left"/>
    </xf>
    <xf numFmtId="44" fontId="2" fillId="0" borderId="0" xfId="0" quotePrefix="1" applyNumberFormat="1" applyFont="1" applyFill="1"/>
    <xf numFmtId="170" fontId="2" fillId="0" borderId="0" xfId="0" quotePrefix="1" applyNumberFormat="1" applyFont="1" applyFill="1" applyAlignment="1">
      <alignment horizontal="right"/>
    </xf>
    <xf numFmtId="43" fontId="18" fillId="0" borderId="0" xfId="1" applyFont="1" applyFill="1" applyAlignment="1">
      <alignment horizontal="right"/>
    </xf>
    <xf numFmtId="166" fontId="18" fillId="0" borderId="0" xfId="0" applyNumberFormat="1" applyFont="1" applyFill="1"/>
    <xf numFmtId="166" fontId="2" fillId="0" borderId="0" xfId="0" applyNumberFormat="1" applyFont="1" applyFill="1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9" fillId="3" borderId="0" xfId="0" applyFont="1" applyFill="1"/>
    <xf numFmtId="0" fontId="0" fillId="3" borderId="0" xfId="0" quotePrefix="1" applyFill="1" applyAlignment="1">
      <alignment horizontal="left"/>
    </xf>
    <xf numFmtId="179" fontId="0" fillId="3" borderId="0" xfId="0" quotePrefix="1" applyNumberFormat="1" applyFill="1" applyAlignment="1">
      <alignment horizontal="right"/>
    </xf>
    <xf numFmtId="179" fontId="0" fillId="3" borderId="0" xfId="0" applyNumberFormat="1" applyFill="1"/>
    <xf numFmtId="164" fontId="0" fillId="3" borderId="0" xfId="3" quotePrefix="1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179" fontId="2" fillId="3" borderId="0" xfId="0" applyNumberFormat="1" applyFont="1" applyFill="1"/>
    <xf numFmtId="0" fontId="2" fillId="3" borderId="0" xfId="0" quotePrefix="1" applyFont="1" applyFill="1" applyAlignment="1">
      <alignment horizontal="left"/>
    </xf>
    <xf numFmtId="179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left"/>
    </xf>
    <xf numFmtId="0" fontId="7" fillId="2" borderId="16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10" fontId="2" fillId="0" borderId="0" xfId="3" applyNumberFormat="1" applyFont="1" applyFill="1"/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65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0" fontId="2" fillId="0" borderId="0" xfId="0" quotePrefix="1" applyFont="1" applyFill="1"/>
    <xf numFmtId="5" fontId="2" fillId="0" borderId="0" xfId="0" applyNumberFormat="1" applyFont="1" applyFill="1"/>
    <xf numFmtId="17" fontId="2" fillId="0" borderId="0" xfId="0" applyNumberFormat="1" applyFont="1" applyFill="1"/>
    <xf numFmtId="17" fontId="2" fillId="0" borderId="0" xfId="0" applyNumberFormat="1" applyFont="1" applyFill="1" applyAlignment="1">
      <alignment horizontal="right"/>
    </xf>
    <xf numFmtId="166" fontId="2" fillId="0" borderId="0" xfId="2" quotePrefix="1" applyNumberFormat="1" applyFont="1" applyFill="1" applyAlignment="1">
      <alignment horizontal="left"/>
    </xf>
    <xf numFmtId="172" fontId="2" fillId="0" borderId="0" xfId="0" applyNumberFormat="1" applyFont="1" applyFill="1"/>
    <xf numFmtId="166" fontId="2" fillId="0" borderId="0" xfId="2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43" fontId="2" fillId="0" borderId="0" xfId="2" applyNumberFormat="1" applyFont="1" applyFill="1"/>
    <xf numFmtId="7" fontId="2" fillId="0" borderId="0" xfId="3" applyNumberFormat="1" applyFont="1" applyFill="1"/>
    <xf numFmtId="44" fontId="2" fillId="0" borderId="0" xfId="0" applyNumberFormat="1" applyFont="1" applyFill="1"/>
    <xf numFmtId="175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  <xf numFmtId="17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2" fillId="0" borderId="0" xfId="0" quotePrefix="1" applyNumberFormat="1" applyFont="1" applyFill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9" fontId="2" fillId="0" borderId="0" xfId="3" quotePrefix="1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3" fontId="2" fillId="0" borderId="0" xfId="0" quotePrefix="1" applyNumberFormat="1" applyFont="1" applyFill="1" applyBorder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5" xfId="0" applyFont="1" applyFill="1" applyBorder="1" applyAlignment="1"/>
    <xf numFmtId="0" fontId="6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166" fontId="2" fillId="0" borderId="0" xfId="2" applyNumberFormat="1" applyFont="1" applyFill="1" applyBorder="1"/>
    <xf numFmtId="44" fontId="2" fillId="0" borderId="0" xfId="0" applyNumberFormat="1" applyFont="1" applyFill="1" applyBorder="1"/>
    <xf numFmtId="44" fontId="2" fillId="0" borderId="0" xfId="2" applyFont="1" applyFill="1"/>
    <xf numFmtId="166" fontId="2" fillId="0" borderId="0" xfId="0" applyNumberFormat="1" applyFont="1" applyFill="1" applyBorder="1"/>
    <xf numFmtId="166" fontId="10" fillId="0" borderId="0" xfId="0" applyNumberFormat="1" applyFont="1" applyFill="1"/>
    <xf numFmtId="39" fontId="2" fillId="0" borderId="0" xfId="0" applyNumberFormat="1" applyFont="1" applyFill="1"/>
    <xf numFmtId="14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0" fontId="9" fillId="0" borderId="0" xfId="0" applyFont="1" applyFill="1" applyAlignment="1">
      <alignment horizontal="left"/>
    </xf>
    <xf numFmtId="44" fontId="2" fillId="0" borderId="0" xfId="2" applyNumberFormat="1" applyFont="1" applyFill="1"/>
    <xf numFmtId="0" fontId="6" fillId="0" borderId="0" xfId="0" applyFont="1" applyFill="1"/>
    <xf numFmtId="0" fontId="11" fillId="0" borderId="0" xfId="0" applyFont="1" applyFill="1"/>
    <xf numFmtId="0" fontId="12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9" fontId="12" fillId="0" borderId="0" xfId="0" applyNumberFormat="1" applyFont="1" applyFill="1"/>
    <xf numFmtId="171" fontId="12" fillId="0" borderId="0" xfId="2" quotePrefix="1" applyNumberFormat="1" applyFont="1" applyFill="1"/>
    <xf numFmtId="3" fontId="12" fillId="0" borderId="0" xfId="0" quotePrefix="1" applyNumberFormat="1" applyFont="1" applyFill="1"/>
    <xf numFmtId="3" fontId="12" fillId="0" borderId="0" xfId="0" applyNumberFormat="1" applyFont="1" applyFill="1"/>
    <xf numFmtId="0" fontId="13" fillId="0" borderId="0" xfId="0" applyFont="1" applyFill="1" applyAlignment="1">
      <alignment horizontal="left"/>
    </xf>
    <xf numFmtId="0" fontId="12" fillId="0" borderId="0" xfId="0" quotePrefix="1" applyFont="1" applyFill="1"/>
    <xf numFmtId="44" fontId="12" fillId="0" borderId="0" xfId="2" applyNumberFormat="1" applyFont="1" applyFill="1"/>
    <xf numFmtId="44" fontId="12" fillId="0" borderId="0" xfId="0" applyNumberFormat="1" applyFont="1" applyFill="1"/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43" fontId="2" fillId="0" borderId="0" xfId="1" quotePrefix="1" applyFont="1" applyFill="1" applyBorder="1"/>
    <xf numFmtId="43" fontId="7" fillId="0" borderId="0" xfId="1" quotePrefix="1" applyFont="1" applyFill="1" applyBorder="1"/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44" fontId="7" fillId="0" borderId="0" xfId="0" applyNumberFormat="1" applyFont="1" applyFill="1"/>
    <xf numFmtId="0" fontId="2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3" fontId="2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2" fillId="0" borderId="5" xfId="0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10" fillId="0" borderId="6" xfId="0" applyFont="1" applyFill="1" applyBorder="1"/>
    <xf numFmtId="2" fontId="2" fillId="0" borderId="12" xfId="0" applyNumberFormat="1" applyFont="1" applyFill="1" applyBorder="1"/>
    <xf numFmtId="0" fontId="10" fillId="0" borderId="8" xfId="0" applyFont="1" applyFill="1" applyBorder="1"/>
    <xf numFmtId="2" fontId="2" fillId="0" borderId="0" xfId="0" applyNumberFormat="1" applyFont="1" applyFill="1" applyBorder="1"/>
    <xf numFmtId="169" fontId="2" fillId="0" borderId="0" xfId="1" applyNumberFormat="1" applyFont="1" applyFill="1"/>
    <xf numFmtId="175" fontId="2" fillId="0" borderId="0" xfId="0" applyNumberFormat="1" applyFont="1" applyFill="1" applyBorder="1"/>
    <xf numFmtId="0" fontId="10" fillId="0" borderId="10" xfId="0" applyFont="1" applyFill="1" applyBorder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/>
    <xf numFmtId="44" fontId="9" fillId="0" borderId="0" xfId="0" applyNumberFormat="1" applyFont="1" applyFill="1"/>
    <xf numFmtId="44" fontId="10" fillId="0" borderId="0" xfId="0" applyNumberFormat="1" applyFont="1" applyFill="1"/>
    <xf numFmtId="177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0" fontId="8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170" fontId="10" fillId="0" borderId="0" xfId="0" applyNumberFormat="1" applyFont="1" applyFill="1"/>
    <xf numFmtId="170" fontId="17" fillId="0" borderId="0" xfId="0" applyNumberFormat="1" applyFont="1" applyFill="1"/>
    <xf numFmtId="9" fontId="10" fillId="0" borderId="0" xfId="3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0" fontId="10" fillId="0" borderId="0" xfId="0" applyFont="1" applyFill="1" applyAlignment="1">
      <alignment horizontal="left"/>
    </xf>
    <xf numFmtId="170" fontId="17" fillId="0" borderId="0" xfId="0" applyNumberFormat="1" applyFont="1" applyFill="1" applyBorder="1"/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7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9" xfId="0" applyFont="1" applyFill="1" applyBorder="1"/>
    <xf numFmtId="17" fontId="7" fillId="0" borderId="0" xfId="0" applyNumberFormat="1" applyFont="1" applyFill="1" applyBorder="1"/>
    <xf numFmtId="0" fontId="7" fillId="0" borderId="13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 applyAlignment="1"/>
    <xf numFmtId="181" fontId="9" fillId="0" borderId="0" xfId="0" applyNumberFormat="1" applyFont="1" applyFill="1" applyAlignment="1"/>
    <xf numFmtId="175" fontId="2" fillId="0" borderId="0" xfId="0" applyNumberFormat="1" applyFont="1" applyFill="1" applyAlignment="1">
      <alignment horizontal="left"/>
    </xf>
    <xf numFmtId="179" fontId="2" fillId="0" borderId="0" xfId="0" quotePrefix="1" applyNumberFormat="1" applyFont="1" applyFill="1" applyAlignment="1">
      <alignment horizontal="right"/>
    </xf>
    <xf numFmtId="178" fontId="2" fillId="0" borderId="0" xfId="0" quotePrefix="1" applyNumberFormat="1" applyFont="1" applyFill="1" applyAlignment="1">
      <alignment horizontal="right"/>
    </xf>
    <xf numFmtId="39" fontId="2" fillId="0" borderId="12" xfId="0" applyNumberFormat="1" applyFont="1" applyFill="1" applyBorder="1"/>
    <xf numFmtId="39" fontId="2" fillId="0" borderId="0" xfId="0" applyNumberFormat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7" fontId="2" fillId="0" borderId="0" xfId="0" applyNumberFormat="1" applyFont="1" applyFill="1" applyAlignment="1"/>
    <xf numFmtId="181" fontId="2" fillId="0" borderId="0" xfId="0" applyNumberFormat="1" applyFont="1" applyFill="1" applyAlignment="1"/>
    <xf numFmtId="2" fontId="2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%20JERSEY%20DEFERRAL%20RECOVERY%20CASE%202002/DEFERRAL%20CASE/Work%20Papers/Janocha%20Work%20Papers/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,%204Bs,%208Bs/8Bs/2006%208Bs/O&amp;R/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August%202003%20Rate%20Change/BPU%20Deferral%20Order/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May%20Board%20Retreat/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NNC%20SBC%20Rate%20Update/Update%20for%20June%20Actuals/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Chantale.LaCasse%20Group/Stored/BGS/Starting%20Prices%20-%202016/RSCP%20Starting%20Price/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1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13" refreshError="1"/>
      <sheetData sheetId="1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15" refreshError="1"/>
      <sheetData sheetId="16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35" refreshError="1"/>
      <sheetData sheetId="36" refreshError="1"/>
      <sheetData sheetId="37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38" refreshError="1"/>
      <sheetData sheetId="39" refreshError="1"/>
      <sheetData sheetId="40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41" refreshError="1"/>
      <sheetData sheetId="42" refreshError="1"/>
      <sheetData sheetId="43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030A0"/>
  </sheetPr>
  <dimension ref="A1:AB610"/>
  <sheetViews>
    <sheetView tabSelected="1" zoomScale="90" zoomScaleNormal="90" workbookViewId="0"/>
  </sheetViews>
  <sheetFormatPr defaultRowHeight="12.75" x14ac:dyDescent="0.2"/>
  <cols>
    <col min="1" max="1" width="10.7109375" style="117" customWidth="1"/>
    <col min="2" max="2" width="27.85546875" style="21" customWidth="1"/>
    <col min="3" max="3" width="16.42578125" style="21" customWidth="1"/>
    <col min="4" max="4" width="16.140625" style="21" customWidth="1"/>
    <col min="5" max="5" width="12.7109375" style="21" customWidth="1"/>
    <col min="6" max="7" width="13.42578125" style="21" customWidth="1"/>
    <col min="8" max="8" width="12.7109375" style="21" customWidth="1"/>
    <col min="9" max="9" width="14.85546875" style="21" customWidth="1"/>
    <col min="10" max="10" width="12.7109375" style="21" customWidth="1"/>
    <col min="11" max="11" width="17.28515625" style="21" customWidth="1"/>
    <col min="12" max="12" width="15.140625" style="21" bestFit="1" customWidth="1"/>
    <col min="13" max="13" width="13.42578125" style="21" customWidth="1"/>
    <col min="14" max="14" width="12" style="21" customWidth="1"/>
    <col min="15" max="15" width="11.140625" style="21" customWidth="1"/>
    <col min="16" max="16" width="9.85546875" style="21" bestFit="1" customWidth="1"/>
    <col min="17" max="17" width="13" style="21" customWidth="1"/>
    <col min="18" max="18" width="9.85546875" style="21" bestFit="1" customWidth="1"/>
    <col min="19" max="19" width="10.7109375" style="21" customWidth="1"/>
    <col min="20" max="22" width="11.7109375" style="21" customWidth="1"/>
    <col min="23" max="23" width="9.140625" style="21"/>
    <col min="24" max="24" width="11" style="21" bestFit="1" customWidth="1"/>
    <col min="25" max="26" width="9.140625" style="21"/>
    <col min="27" max="27" width="15.28515625" style="21" customWidth="1"/>
    <col min="28" max="28" width="13.5703125" style="21" customWidth="1"/>
    <col min="29" max="16384" width="9.140625" style="21"/>
  </cols>
  <sheetData>
    <row r="1" spans="1:28" ht="15.75" x14ac:dyDescent="0.25">
      <c r="B1" s="118" t="str">
        <f>"Development of BGS Cost and Bid Factors for Rates Effective June 1, " &amp;M1</f>
        <v>Development of BGS Cost and Bid Factors for Rates Effective June 1, 2019</v>
      </c>
      <c r="G1" s="119"/>
      <c r="M1" s="120">
        <v>2019</v>
      </c>
      <c r="N1" s="21" t="s">
        <v>0</v>
      </c>
    </row>
    <row r="2" spans="1:28" ht="15" x14ac:dyDescent="0.2">
      <c r="A2" s="121"/>
      <c r="I2" s="122"/>
    </row>
    <row r="3" spans="1:28" x14ac:dyDescent="0.2">
      <c r="E3" s="2" t="str">
        <f>"Based on " &amp;M1-2  &amp;" Load Profile Information"</f>
        <v>Based on 2017 Load Profile Information</v>
      </c>
    </row>
    <row r="4" spans="1:28" x14ac:dyDescent="0.2">
      <c r="A4" s="123" t="s">
        <v>1</v>
      </c>
      <c r="B4" s="124" t="s">
        <v>2</v>
      </c>
      <c r="C4" s="125"/>
      <c r="E4" s="16" t="s">
        <v>3</v>
      </c>
      <c r="L4" s="124"/>
      <c r="M4" s="126" t="str">
        <f>"'% usage during Off-Peak period (from "&amp;M1-1&amp;" profiles)"</f>
        <v>'% usage during Off-Peak period (from 2018 profiles)</v>
      </c>
    </row>
    <row r="5" spans="1:28" ht="38.25" x14ac:dyDescent="0.2">
      <c r="A5" s="11"/>
      <c r="C5" s="127" t="s">
        <v>4</v>
      </c>
      <c r="D5" s="127" t="s">
        <v>4</v>
      </c>
      <c r="E5" s="127" t="s">
        <v>4</v>
      </c>
      <c r="F5" s="127" t="s">
        <v>4</v>
      </c>
      <c r="G5" s="16" t="s">
        <v>5</v>
      </c>
      <c r="H5" s="128"/>
      <c r="I5" s="127" t="s">
        <v>4</v>
      </c>
      <c r="J5" s="127"/>
      <c r="K5" s="127"/>
      <c r="L5" s="16"/>
      <c r="M5" s="127" t="s">
        <v>4</v>
      </c>
      <c r="N5" s="127" t="s">
        <v>4</v>
      </c>
      <c r="O5" s="127" t="s">
        <v>4</v>
      </c>
      <c r="P5" s="127" t="s">
        <v>4</v>
      </c>
      <c r="Q5" s="16" t="s">
        <v>6</v>
      </c>
      <c r="R5" s="128"/>
      <c r="S5" s="127" t="s">
        <v>4</v>
      </c>
      <c r="T5" s="127"/>
    </row>
    <row r="6" spans="1:28" x14ac:dyDescent="0.2">
      <c r="A6" s="11"/>
      <c r="B6" s="129"/>
      <c r="C6" s="130" t="s">
        <v>7</v>
      </c>
      <c r="D6" s="130" t="s">
        <v>8</v>
      </c>
      <c r="E6" s="130" t="s">
        <v>9</v>
      </c>
      <c r="F6" s="130" t="s">
        <v>10</v>
      </c>
      <c r="G6" s="130" t="s">
        <v>11</v>
      </c>
      <c r="H6" s="130" t="s">
        <v>12</v>
      </c>
      <c r="I6" s="130" t="s">
        <v>13</v>
      </c>
      <c r="J6" s="51"/>
      <c r="K6" s="51"/>
      <c r="L6" s="131"/>
      <c r="M6" s="51" t="str">
        <f t="shared" ref="M6:S6" si="0">+C6</f>
        <v>SC1</v>
      </c>
      <c r="N6" s="51" t="str">
        <f t="shared" si="0"/>
        <v>SC5</v>
      </c>
      <c r="O6" s="51" t="str">
        <f t="shared" si="0"/>
        <v>SC3</v>
      </c>
      <c r="P6" s="51" t="str">
        <f t="shared" si="0"/>
        <v>SC2 ND</v>
      </c>
      <c r="Q6" s="51" t="str">
        <f t="shared" si="0"/>
        <v>SC4</v>
      </c>
      <c r="R6" s="51" t="str">
        <f t="shared" si="0"/>
        <v>SC6</v>
      </c>
      <c r="S6" s="51" t="str">
        <f t="shared" si="0"/>
        <v>SC2 Dem</v>
      </c>
      <c r="T6" s="51"/>
    </row>
    <row r="7" spans="1:28" x14ac:dyDescent="0.2">
      <c r="A7" s="11"/>
    </row>
    <row r="8" spans="1:28" x14ac:dyDescent="0.2">
      <c r="A8" s="11"/>
      <c r="B8" s="103" t="s">
        <v>14</v>
      </c>
      <c r="C8" s="5">
        <v>0.50741594714339899</v>
      </c>
      <c r="D8" s="5">
        <v>0.47374949141912553</v>
      </c>
      <c r="E8" s="5">
        <v>0.47683170455160201</v>
      </c>
      <c r="F8" s="5">
        <v>0.5120758221093793</v>
      </c>
      <c r="G8" s="5">
        <v>0.30414746543781601</v>
      </c>
      <c r="H8" s="5">
        <f>G8</f>
        <v>0.30414746543781601</v>
      </c>
      <c r="I8" s="5">
        <v>0.53471362898473385</v>
      </c>
      <c r="J8" s="132"/>
      <c r="K8" s="132"/>
      <c r="L8" s="133"/>
      <c r="M8" s="132">
        <f t="shared" ref="M8:S19" si="1">1-C8</f>
        <v>0.49258405285660101</v>
      </c>
      <c r="N8" s="132">
        <f t="shared" si="1"/>
        <v>0.52625050858087441</v>
      </c>
      <c r="O8" s="132">
        <f t="shared" si="1"/>
        <v>0.52316829544839805</v>
      </c>
      <c r="P8" s="132">
        <f t="shared" si="1"/>
        <v>0.4879241778906207</v>
      </c>
      <c r="Q8" s="132">
        <f t="shared" si="1"/>
        <v>0.69585253456218399</v>
      </c>
      <c r="R8" s="132">
        <f t="shared" si="1"/>
        <v>0.69585253456218399</v>
      </c>
      <c r="S8" s="132">
        <f t="shared" si="1"/>
        <v>0.46528637101526615</v>
      </c>
      <c r="T8" s="133"/>
      <c r="U8" s="27"/>
      <c r="V8" s="27"/>
      <c r="W8" s="27"/>
      <c r="X8" s="27"/>
      <c r="Y8" s="27"/>
      <c r="Z8" s="27"/>
      <c r="AA8" s="27"/>
      <c r="AB8" s="27"/>
    </row>
    <row r="9" spans="1:28" x14ac:dyDescent="0.2">
      <c r="A9" s="11"/>
      <c r="B9" s="103" t="s">
        <v>15</v>
      </c>
      <c r="C9" s="5">
        <v>0.50196252279369202</v>
      </c>
      <c r="D9" s="5">
        <v>0.45819288973769695</v>
      </c>
      <c r="E9" s="5">
        <v>0.48450236361312804</v>
      </c>
      <c r="F9" s="5">
        <v>0.52140482730109738</v>
      </c>
      <c r="G9" s="5">
        <v>0.30612244897956004</v>
      </c>
      <c r="H9" s="5">
        <f t="shared" ref="H9:H19" si="2">G9</f>
        <v>0.30612244897956004</v>
      </c>
      <c r="I9" s="5">
        <v>0.53929820101419323</v>
      </c>
      <c r="J9" s="132"/>
      <c r="K9" s="132"/>
      <c r="L9" s="133"/>
      <c r="M9" s="132">
        <f t="shared" si="1"/>
        <v>0.49803747720630798</v>
      </c>
      <c r="N9" s="132">
        <f t="shared" si="1"/>
        <v>0.54180711026230299</v>
      </c>
      <c r="O9" s="132">
        <f t="shared" si="1"/>
        <v>0.51549763638687196</v>
      </c>
      <c r="P9" s="132">
        <f t="shared" si="1"/>
        <v>0.47859517269890262</v>
      </c>
      <c r="Q9" s="132">
        <f t="shared" si="1"/>
        <v>0.69387755102044002</v>
      </c>
      <c r="R9" s="132">
        <f t="shared" si="1"/>
        <v>0.69387755102044002</v>
      </c>
      <c r="S9" s="132">
        <f t="shared" si="1"/>
        <v>0.46070179898580677</v>
      </c>
      <c r="T9" s="133"/>
      <c r="U9" s="27"/>
      <c r="V9" s="27"/>
      <c r="W9" s="27"/>
      <c r="X9" s="27"/>
      <c r="Y9" s="27"/>
      <c r="Z9" s="27"/>
      <c r="AA9" s="27"/>
      <c r="AB9" s="27"/>
    </row>
    <row r="10" spans="1:28" x14ac:dyDescent="0.2">
      <c r="A10" s="11"/>
      <c r="B10" s="103" t="s">
        <v>16</v>
      </c>
      <c r="C10" s="5">
        <v>0.48777606416316499</v>
      </c>
      <c r="D10" s="5">
        <v>0.44473838767769802</v>
      </c>
      <c r="E10" s="5">
        <v>0.45412935778242708</v>
      </c>
      <c r="F10" s="5">
        <v>0.49417968811453095</v>
      </c>
      <c r="G10" s="5">
        <v>0.29267609034116188</v>
      </c>
      <c r="H10" s="5">
        <f t="shared" si="2"/>
        <v>0.29267609034116188</v>
      </c>
      <c r="I10" s="5">
        <v>0.53195570931486003</v>
      </c>
      <c r="J10" s="132"/>
      <c r="K10" s="132"/>
      <c r="L10" s="133"/>
      <c r="M10" s="132">
        <f t="shared" si="1"/>
        <v>0.51222393583683501</v>
      </c>
      <c r="N10" s="132">
        <f t="shared" si="1"/>
        <v>0.55526161232230198</v>
      </c>
      <c r="O10" s="132">
        <f t="shared" si="1"/>
        <v>0.54587064221757298</v>
      </c>
      <c r="P10" s="132">
        <f t="shared" si="1"/>
        <v>0.50582031188546905</v>
      </c>
      <c r="Q10" s="132">
        <f t="shared" si="1"/>
        <v>0.70732390965883818</v>
      </c>
      <c r="R10" s="132">
        <f t="shared" si="1"/>
        <v>0.70732390965883818</v>
      </c>
      <c r="S10" s="132">
        <f t="shared" si="1"/>
        <v>0.46804429068513997</v>
      </c>
      <c r="T10" s="133"/>
      <c r="U10" s="27"/>
      <c r="V10" s="27"/>
      <c r="W10" s="27"/>
      <c r="X10" s="27"/>
      <c r="Y10" s="27"/>
      <c r="Z10" s="27"/>
      <c r="AA10" s="27"/>
      <c r="AB10" s="27"/>
    </row>
    <row r="11" spans="1:28" x14ac:dyDescent="0.2">
      <c r="A11" s="11"/>
      <c r="B11" s="103" t="s">
        <v>17</v>
      </c>
      <c r="C11" s="5">
        <v>0.49192908253663814</v>
      </c>
      <c r="D11" s="5">
        <v>0.4399977547281137</v>
      </c>
      <c r="E11" s="5">
        <v>0.47680926489530606</v>
      </c>
      <c r="F11" s="5">
        <v>0.57206913400239467</v>
      </c>
      <c r="G11" s="5">
        <v>0.28137255972545999</v>
      </c>
      <c r="H11" s="5">
        <f t="shared" si="2"/>
        <v>0.28137255972545999</v>
      </c>
      <c r="I11" s="5">
        <v>0.54442895284889237</v>
      </c>
      <c r="J11" s="132"/>
      <c r="K11" s="132"/>
      <c r="L11" s="133"/>
      <c r="M11" s="132">
        <f t="shared" si="1"/>
        <v>0.50807091746336186</v>
      </c>
      <c r="N11" s="132">
        <f t="shared" si="1"/>
        <v>0.56000224527188625</v>
      </c>
      <c r="O11" s="132">
        <f t="shared" si="1"/>
        <v>0.52319073510469394</v>
      </c>
      <c r="P11" s="132">
        <f t="shared" si="1"/>
        <v>0.42793086599760533</v>
      </c>
      <c r="Q11" s="132">
        <f t="shared" si="1"/>
        <v>0.71862744027454006</v>
      </c>
      <c r="R11" s="132">
        <f t="shared" si="1"/>
        <v>0.71862744027454006</v>
      </c>
      <c r="S11" s="132">
        <f t="shared" si="1"/>
        <v>0.45557104715110763</v>
      </c>
      <c r="T11" s="133"/>
      <c r="U11" s="27"/>
      <c r="V11" s="27"/>
      <c r="W11" s="27"/>
      <c r="X11" s="27"/>
      <c r="Y11" s="27"/>
      <c r="Z11" s="27"/>
      <c r="AA11" s="27"/>
      <c r="AB11" s="27"/>
    </row>
    <row r="12" spans="1:28" x14ac:dyDescent="0.2">
      <c r="A12" s="11"/>
      <c r="B12" s="103" t="s">
        <v>18</v>
      </c>
      <c r="C12" s="5">
        <v>0.53661688917396666</v>
      </c>
      <c r="D12" s="5">
        <v>0.49876873208259398</v>
      </c>
      <c r="E12" s="5">
        <v>0.51354995281108606</v>
      </c>
      <c r="F12" s="5">
        <v>0.61005315616493372</v>
      </c>
      <c r="G12" s="5">
        <v>0.23124977394235194</v>
      </c>
      <c r="H12" s="5">
        <f t="shared" si="2"/>
        <v>0.23124977394235194</v>
      </c>
      <c r="I12" s="5">
        <v>0.56702217630319629</v>
      </c>
      <c r="J12" s="132"/>
      <c r="K12" s="132"/>
      <c r="L12" s="133"/>
      <c r="M12" s="132">
        <f t="shared" si="1"/>
        <v>0.46338311082603334</v>
      </c>
      <c r="N12" s="132">
        <f t="shared" si="1"/>
        <v>0.50123126791740602</v>
      </c>
      <c r="O12" s="132">
        <f t="shared" si="1"/>
        <v>0.48645004718891394</v>
      </c>
      <c r="P12" s="132">
        <f t="shared" si="1"/>
        <v>0.38994684383506628</v>
      </c>
      <c r="Q12" s="132">
        <f t="shared" si="1"/>
        <v>0.76875022605764809</v>
      </c>
      <c r="R12" s="132">
        <f t="shared" si="1"/>
        <v>0.76875022605764809</v>
      </c>
      <c r="S12" s="132">
        <f t="shared" si="1"/>
        <v>0.43297782369680371</v>
      </c>
      <c r="T12" s="133"/>
      <c r="U12" s="27"/>
      <c r="V12" s="27"/>
      <c r="W12" s="27"/>
      <c r="X12" s="27"/>
      <c r="Y12" s="27"/>
      <c r="Z12" s="27"/>
      <c r="AA12" s="27"/>
      <c r="AB12" s="27"/>
    </row>
    <row r="13" spans="1:28" x14ac:dyDescent="0.2">
      <c r="A13" s="11"/>
      <c r="B13" s="103" t="s">
        <v>19</v>
      </c>
      <c r="C13" s="5">
        <v>0.53739554215225738</v>
      </c>
      <c r="D13" s="5">
        <v>0.5207210326963152</v>
      </c>
      <c r="E13" s="5">
        <v>0.51831047563467403</v>
      </c>
      <c r="F13" s="5">
        <v>0.61195289206951597</v>
      </c>
      <c r="G13" s="5">
        <v>0.20622586648020003</v>
      </c>
      <c r="H13" s="5">
        <f t="shared" si="2"/>
        <v>0.20622586648020003</v>
      </c>
      <c r="I13" s="5">
        <v>0.55680282267399406</v>
      </c>
      <c r="J13" s="132"/>
      <c r="K13" s="132"/>
      <c r="L13" s="133"/>
      <c r="M13" s="132">
        <f t="shared" si="1"/>
        <v>0.46260445784774262</v>
      </c>
      <c r="N13" s="132">
        <f t="shared" si="1"/>
        <v>0.4792789673036848</v>
      </c>
      <c r="O13" s="132">
        <f t="shared" si="1"/>
        <v>0.48168952436532597</v>
      </c>
      <c r="P13" s="132">
        <f t="shared" si="1"/>
        <v>0.38804710793048403</v>
      </c>
      <c r="Q13" s="132">
        <f t="shared" si="1"/>
        <v>0.79377413351979997</v>
      </c>
      <c r="R13" s="132">
        <f t="shared" si="1"/>
        <v>0.79377413351979997</v>
      </c>
      <c r="S13" s="132">
        <f t="shared" si="1"/>
        <v>0.44319717732600594</v>
      </c>
      <c r="T13" s="133"/>
      <c r="U13" s="27"/>
      <c r="V13" s="27"/>
      <c r="W13" s="27"/>
      <c r="X13" s="27"/>
      <c r="Y13" s="27"/>
      <c r="Z13" s="27"/>
      <c r="AA13" s="27"/>
      <c r="AB13" s="27"/>
    </row>
    <row r="14" spans="1:28" x14ac:dyDescent="0.2">
      <c r="A14" s="11"/>
      <c r="B14" s="103" t="s">
        <v>20</v>
      </c>
      <c r="C14" s="5">
        <v>0.52249975088265832</v>
      </c>
      <c r="D14" s="5">
        <v>0.51026513836441789</v>
      </c>
      <c r="E14" s="5">
        <v>0.508625077154651</v>
      </c>
      <c r="F14" s="5">
        <v>0.56117653126647327</v>
      </c>
      <c r="G14" s="5">
        <v>0.19692422104613999</v>
      </c>
      <c r="H14" s="5">
        <f t="shared" si="2"/>
        <v>0.19692422104613999</v>
      </c>
      <c r="I14" s="5">
        <v>0.53355634655849771</v>
      </c>
      <c r="J14" s="132"/>
      <c r="K14" s="132"/>
      <c r="L14" s="133"/>
      <c r="M14" s="132">
        <f t="shared" si="1"/>
        <v>0.47750024911734168</v>
      </c>
      <c r="N14" s="132">
        <f t="shared" si="1"/>
        <v>0.48973486163558211</v>
      </c>
      <c r="O14" s="132">
        <f t="shared" si="1"/>
        <v>0.491374922845349</v>
      </c>
      <c r="P14" s="132">
        <f t="shared" si="1"/>
        <v>0.43882346873352673</v>
      </c>
      <c r="Q14" s="132">
        <f t="shared" si="1"/>
        <v>0.80307577895386006</v>
      </c>
      <c r="R14" s="132">
        <f t="shared" si="1"/>
        <v>0.80307577895386006</v>
      </c>
      <c r="S14" s="132">
        <f t="shared" si="1"/>
        <v>0.46644365344150229</v>
      </c>
      <c r="T14" s="133"/>
      <c r="U14" s="27"/>
      <c r="V14" s="27"/>
      <c r="W14" s="27"/>
      <c r="X14" s="27"/>
      <c r="Y14" s="27"/>
      <c r="Z14" s="27"/>
      <c r="AA14" s="27"/>
      <c r="AB14" s="27"/>
    </row>
    <row r="15" spans="1:28" x14ac:dyDescent="0.2">
      <c r="A15" s="11"/>
      <c r="B15" s="103" t="s">
        <v>21</v>
      </c>
      <c r="C15" s="5">
        <v>0.5739682171349163</v>
      </c>
      <c r="D15" s="5">
        <v>0.56502578250876667</v>
      </c>
      <c r="E15" s="5">
        <v>0.5593483965187821</v>
      </c>
      <c r="F15" s="5">
        <v>0.62335314191716806</v>
      </c>
      <c r="G15" s="5">
        <v>0.22338053063701394</v>
      </c>
      <c r="H15" s="5">
        <f t="shared" si="2"/>
        <v>0.22338053063701394</v>
      </c>
      <c r="I15" s="5">
        <v>0.58008404850659756</v>
      </c>
      <c r="J15" s="132"/>
      <c r="K15" s="132"/>
      <c r="L15" s="133"/>
      <c r="M15" s="132">
        <f t="shared" si="1"/>
        <v>0.4260317828650837</v>
      </c>
      <c r="N15" s="132">
        <f t="shared" si="1"/>
        <v>0.43497421749123333</v>
      </c>
      <c r="O15" s="132">
        <f t="shared" si="1"/>
        <v>0.4406516034812179</v>
      </c>
      <c r="P15" s="132">
        <f t="shared" si="1"/>
        <v>0.37664685808283194</v>
      </c>
      <c r="Q15" s="132">
        <f t="shared" si="1"/>
        <v>0.77661946936298609</v>
      </c>
      <c r="R15" s="132">
        <f t="shared" si="1"/>
        <v>0.77661946936298609</v>
      </c>
      <c r="S15" s="132">
        <f t="shared" si="1"/>
        <v>0.41991595149340244</v>
      </c>
      <c r="T15" s="133"/>
      <c r="U15" s="27"/>
      <c r="V15" s="27"/>
      <c r="W15" s="27"/>
      <c r="X15" s="27"/>
      <c r="Y15" s="27"/>
      <c r="Z15" s="27"/>
      <c r="AA15" s="27"/>
      <c r="AB15" s="27"/>
    </row>
    <row r="16" spans="1:28" x14ac:dyDescent="0.2">
      <c r="A16" s="11"/>
      <c r="B16" s="103" t="s">
        <v>22</v>
      </c>
      <c r="C16" s="5">
        <v>0.48658536708723177</v>
      </c>
      <c r="D16" s="5">
        <v>0.47225823084848673</v>
      </c>
      <c r="E16" s="5">
        <v>0.46954628534566617</v>
      </c>
      <c r="F16" s="5">
        <v>0.56205453620858492</v>
      </c>
      <c r="G16" s="5">
        <v>0.25478926919154304</v>
      </c>
      <c r="H16" s="5">
        <f t="shared" si="2"/>
        <v>0.25478926919154304</v>
      </c>
      <c r="I16" s="5">
        <v>0.51947095004749078</v>
      </c>
      <c r="J16" s="132"/>
      <c r="K16" s="132"/>
      <c r="L16" s="133"/>
      <c r="M16" s="132">
        <f t="shared" si="1"/>
        <v>0.51341463291276823</v>
      </c>
      <c r="N16" s="132">
        <f t="shared" si="1"/>
        <v>0.52774176915151327</v>
      </c>
      <c r="O16" s="132">
        <f t="shared" si="1"/>
        <v>0.53045371465433377</v>
      </c>
      <c r="P16" s="132">
        <f t="shared" si="1"/>
        <v>0.43794546379141508</v>
      </c>
      <c r="Q16" s="132">
        <f t="shared" si="1"/>
        <v>0.74521073080845701</v>
      </c>
      <c r="R16" s="132">
        <f t="shared" si="1"/>
        <v>0.74521073080845701</v>
      </c>
      <c r="S16" s="132">
        <f t="shared" si="1"/>
        <v>0.48052904995250922</v>
      </c>
      <c r="T16" s="133"/>
      <c r="U16" s="27"/>
      <c r="V16" s="27"/>
      <c r="W16" s="27"/>
      <c r="X16" s="27"/>
      <c r="Y16" s="27"/>
      <c r="Z16" s="27"/>
      <c r="AA16" s="27"/>
      <c r="AB16" s="27"/>
    </row>
    <row r="17" spans="1:28" x14ac:dyDescent="0.2">
      <c r="A17" s="11"/>
      <c r="B17" s="103" t="s">
        <v>23</v>
      </c>
      <c r="C17" s="5">
        <v>0.53805105140209863</v>
      </c>
      <c r="D17" s="5">
        <v>0.51533474718220207</v>
      </c>
      <c r="E17" s="5">
        <v>0.529006955749589</v>
      </c>
      <c r="F17" s="5">
        <v>0.58814273158749231</v>
      </c>
      <c r="G17" s="95">
        <v>0.3051551990965749</v>
      </c>
      <c r="H17" s="5">
        <f t="shared" si="2"/>
        <v>0.3051551990965749</v>
      </c>
      <c r="I17" s="5">
        <v>0.57616380663131739</v>
      </c>
      <c r="J17" s="132"/>
      <c r="K17" s="132"/>
      <c r="L17" s="133"/>
      <c r="M17" s="132">
        <f t="shared" si="1"/>
        <v>0.46194894859790137</v>
      </c>
      <c r="N17" s="132">
        <f t="shared" si="1"/>
        <v>0.48466525281779793</v>
      </c>
      <c r="O17" s="132">
        <f t="shared" si="1"/>
        <v>0.470993044250411</v>
      </c>
      <c r="P17" s="132">
        <f t="shared" si="1"/>
        <v>0.41185726841250769</v>
      </c>
      <c r="Q17" s="132">
        <f t="shared" si="1"/>
        <v>0.69484480090342515</v>
      </c>
      <c r="R17" s="132">
        <f t="shared" si="1"/>
        <v>0.69484480090342515</v>
      </c>
      <c r="S17" s="132">
        <f t="shared" si="1"/>
        <v>0.42383619336868261</v>
      </c>
      <c r="T17" s="133"/>
      <c r="U17" s="27"/>
      <c r="V17" s="27"/>
      <c r="W17" s="27"/>
      <c r="X17" s="27"/>
      <c r="Y17" s="27"/>
      <c r="Z17" s="27"/>
      <c r="AA17" s="27"/>
      <c r="AB17" s="27"/>
    </row>
    <row r="18" spans="1:28" x14ac:dyDescent="0.2">
      <c r="A18" s="11"/>
      <c r="B18" s="103" t="s">
        <v>24</v>
      </c>
      <c r="C18" s="5">
        <v>0.49550969225298325</v>
      </c>
      <c r="D18" s="5">
        <v>0.43943328862359288</v>
      </c>
      <c r="E18" s="5">
        <v>0.46031561743666205</v>
      </c>
      <c r="F18" s="5">
        <v>0.51825762139453924</v>
      </c>
      <c r="G18" s="5">
        <v>0.29814815125926603</v>
      </c>
      <c r="H18" s="5">
        <f t="shared" si="2"/>
        <v>0.29814815125926603</v>
      </c>
      <c r="I18" s="5">
        <v>0.54496936945527441</v>
      </c>
      <c r="J18" s="132"/>
      <c r="K18" s="132"/>
      <c r="L18" s="133"/>
      <c r="M18" s="132">
        <f t="shared" si="1"/>
        <v>0.50449030774701675</v>
      </c>
      <c r="N18" s="132">
        <f t="shared" si="1"/>
        <v>0.56056671137640712</v>
      </c>
      <c r="O18" s="132">
        <f t="shared" si="1"/>
        <v>0.53968438256333795</v>
      </c>
      <c r="P18" s="132">
        <f t="shared" si="1"/>
        <v>0.48174237860546076</v>
      </c>
      <c r="Q18" s="132">
        <f t="shared" si="1"/>
        <v>0.70185184874073392</v>
      </c>
      <c r="R18" s="132">
        <f t="shared" si="1"/>
        <v>0.70185184874073392</v>
      </c>
      <c r="S18" s="132">
        <f t="shared" si="1"/>
        <v>0.45503063054472559</v>
      </c>
      <c r="T18" s="133"/>
      <c r="U18" s="27"/>
      <c r="V18" s="27"/>
      <c r="W18" s="27"/>
      <c r="X18" s="27"/>
      <c r="Y18" s="27"/>
      <c r="Z18" s="27"/>
      <c r="AA18" s="27"/>
      <c r="AB18" s="27"/>
    </row>
    <row r="19" spans="1:28" x14ac:dyDescent="0.2">
      <c r="A19" s="11"/>
      <c r="B19" s="103" t="s">
        <v>25</v>
      </c>
      <c r="C19" s="5">
        <v>0.45433594006612932</v>
      </c>
      <c r="D19" s="5">
        <v>0.39328126008758602</v>
      </c>
      <c r="E19" s="5">
        <v>0.43794415891095395</v>
      </c>
      <c r="F19" s="5">
        <v>0.47262190866766174</v>
      </c>
      <c r="G19" s="5">
        <v>0.27649769585256001</v>
      </c>
      <c r="H19" s="5">
        <f t="shared" si="2"/>
        <v>0.27649769585256001</v>
      </c>
      <c r="I19" s="5">
        <v>0.49355959746384548</v>
      </c>
      <c r="J19" s="132"/>
      <c r="K19" s="132"/>
      <c r="L19" s="133"/>
      <c r="M19" s="132">
        <f t="shared" si="1"/>
        <v>0.54566405993387068</v>
      </c>
      <c r="N19" s="132">
        <f t="shared" si="1"/>
        <v>0.60671873991241398</v>
      </c>
      <c r="O19" s="132">
        <f t="shared" si="1"/>
        <v>0.56205584108904605</v>
      </c>
      <c r="P19" s="132">
        <f t="shared" si="1"/>
        <v>0.52737809133233826</v>
      </c>
      <c r="Q19" s="132">
        <f t="shared" si="1"/>
        <v>0.72350230414743999</v>
      </c>
      <c r="R19" s="132">
        <f t="shared" si="1"/>
        <v>0.72350230414743999</v>
      </c>
      <c r="S19" s="132">
        <f t="shared" si="1"/>
        <v>0.50644040253615452</v>
      </c>
      <c r="T19" s="133"/>
      <c r="U19" s="27"/>
      <c r="V19" s="27"/>
      <c r="W19" s="27"/>
      <c r="X19" s="27"/>
      <c r="Y19" s="27"/>
      <c r="Z19" s="27"/>
      <c r="AA19" s="27"/>
      <c r="AB19" s="27"/>
    </row>
    <row r="20" spans="1:28" x14ac:dyDescent="0.2">
      <c r="A20" s="11"/>
      <c r="B20" s="103"/>
      <c r="C20" s="133"/>
      <c r="D20" s="133"/>
      <c r="E20" s="133"/>
      <c r="F20" s="133"/>
      <c r="G20" s="43"/>
      <c r="H20" s="4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8" x14ac:dyDescent="0.2">
      <c r="A21" s="11"/>
      <c r="B21" s="103"/>
      <c r="C21" s="133"/>
      <c r="D21" s="133"/>
      <c r="E21" s="133"/>
      <c r="F21" s="133"/>
      <c r="G21" s="43"/>
      <c r="H21" s="4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8" x14ac:dyDescent="0.2">
      <c r="A22" s="123" t="s">
        <v>26</v>
      </c>
      <c r="B22" s="126" t="s">
        <v>27</v>
      </c>
      <c r="C22" s="133"/>
      <c r="D22" s="133"/>
      <c r="E22" s="133"/>
      <c r="F22" s="134" t="s">
        <v>28</v>
      </c>
      <c r="G22" s="43"/>
      <c r="H22" s="4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8" ht="38.25" x14ac:dyDescent="0.2">
      <c r="A23" s="11"/>
      <c r="C23" s="127" t="s">
        <v>29</v>
      </c>
      <c r="D23" s="127" t="s">
        <v>29</v>
      </c>
      <c r="E23" s="127"/>
      <c r="F23" s="127" t="s">
        <v>29</v>
      </c>
      <c r="G23" s="127" t="s">
        <v>29</v>
      </c>
      <c r="H23" s="127" t="s">
        <v>29</v>
      </c>
      <c r="I23" s="127" t="s">
        <v>29</v>
      </c>
      <c r="J23" s="127"/>
      <c r="K23" s="127"/>
      <c r="L23" s="16"/>
      <c r="M23" s="127" t="s">
        <v>29</v>
      </c>
      <c r="N23" s="127" t="s">
        <v>29</v>
      </c>
      <c r="O23" s="135" t="str">
        <f>M1-2&amp;" Forecasted Billed Sales"</f>
        <v>2017 Forecasted Billed Sales</v>
      </c>
      <c r="P23" s="127" t="s">
        <v>29</v>
      </c>
      <c r="Q23" s="127" t="s">
        <v>29</v>
      </c>
      <c r="R23" s="127" t="s">
        <v>29</v>
      </c>
      <c r="S23" s="127" t="s">
        <v>29</v>
      </c>
      <c r="T23" s="127"/>
    </row>
    <row r="24" spans="1:28" x14ac:dyDescent="0.2">
      <c r="A24" s="11"/>
      <c r="B24" s="129" t="s">
        <v>30</v>
      </c>
      <c r="C24" s="130" t="str">
        <f>+C6</f>
        <v>SC1</v>
      </c>
      <c r="D24" s="130" t="str">
        <f t="shared" ref="D24:I24" si="3">+D6</f>
        <v>SC5</v>
      </c>
      <c r="E24" s="130" t="str">
        <f t="shared" si="3"/>
        <v>SC3</v>
      </c>
      <c r="F24" s="130" t="str">
        <f t="shared" si="3"/>
        <v>SC2 ND</v>
      </c>
      <c r="G24" s="130" t="str">
        <f t="shared" si="3"/>
        <v>SC4</v>
      </c>
      <c r="H24" s="130" t="str">
        <f t="shared" si="3"/>
        <v>SC6</v>
      </c>
      <c r="I24" s="130" t="str">
        <f t="shared" si="3"/>
        <v>SC2 Dem</v>
      </c>
      <c r="J24" s="51"/>
      <c r="K24" s="51"/>
      <c r="L24" s="131"/>
      <c r="M24" s="51" t="str">
        <f t="shared" ref="M24:S24" si="4">+C6</f>
        <v>SC1</v>
      </c>
      <c r="N24" s="51" t="str">
        <f t="shared" si="4"/>
        <v>SC5</v>
      </c>
      <c r="O24" s="51" t="str">
        <f t="shared" si="4"/>
        <v>SC3</v>
      </c>
      <c r="P24" s="51" t="str">
        <f t="shared" si="4"/>
        <v>SC2 ND</v>
      </c>
      <c r="Q24" s="51" t="str">
        <f t="shared" si="4"/>
        <v>SC4</v>
      </c>
      <c r="R24" s="51" t="str">
        <f t="shared" si="4"/>
        <v>SC6</v>
      </c>
      <c r="S24" s="51" t="str">
        <f t="shared" si="4"/>
        <v>SC2 Dem</v>
      </c>
      <c r="T24" s="51"/>
    </row>
    <row r="25" spans="1:28" x14ac:dyDescent="0.2">
      <c r="A25" s="11"/>
    </row>
    <row r="26" spans="1:28" x14ac:dyDescent="0.2">
      <c r="A26" s="11"/>
      <c r="B26" s="103" t="s">
        <v>14</v>
      </c>
      <c r="C26" s="136" t="s">
        <v>31</v>
      </c>
      <c r="D26" s="136" t="s">
        <v>31</v>
      </c>
      <c r="E26" s="96">
        <v>0.3408920922009927</v>
      </c>
      <c r="F26" s="136" t="s">
        <v>31</v>
      </c>
      <c r="G26" s="136" t="s">
        <v>31</v>
      </c>
      <c r="H26" s="136" t="s">
        <v>31</v>
      </c>
      <c r="I26" s="136" t="s">
        <v>31</v>
      </c>
      <c r="J26" s="132"/>
      <c r="K26" s="132"/>
      <c r="L26" s="133"/>
      <c r="M26" s="133"/>
      <c r="N26" s="133"/>
      <c r="O26" s="132">
        <f t="shared" ref="O26:O37" si="5">1-E26</f>
        <v>0.6591079077990073</v>
      </c>
      <c r="P26" s="133"/>
      <c r="Q26" s="133"/>
      <c r="R26" s="133"/>
      <c r="S26" s="133"/>
      <c r="T26" s="133"/>
    </row>
    <row r="27" spans="1:28" x14ac:dyDescent="0.2">
      <c r="A27" s="11"/>
      <c r="B27" s="103" t="s">
        <v>15</v>
      </c>
      <c r="C27" s="136" t="s">
        <v>31</v>
      </c>
      <c r="D27" s="136" t="s">
        <v>31</v>
      </c>
      <c r="E27" s="96">
        <v>0.3725081820886641</v>
      </c>
      <c r="F27" s="136" t="s">
        <v>31</v>
      </c>
      <c r="G27" s="136" t="s">
        <v>31</v>
      </c>
      <c r="H27" s="136" t="s">
        <v>31</v>
      </c>
      <c r="I27" s="136" t="s">
        <v>31</v>
      </c>
      <c r="J27" s="132"/>
      <c r="K27" s="132"/>
      <c r="L27" s="133"/>
      <c r="M27" s="133"/>
      <c r="N27" s="133"/>
      <c r="O27" s="132">
        <f t="shared" si="5"/>
        <v>0.6274918179113359</v>
      </c>
      <c r="P27" s="133"/>
      <c r="Q27" s="133"/>
      <c r="R27" s="133"/>
      <c r="S27" s="133"/>
      <c r="T27" s="133"/>
    </row>
    <row r="28" spans="1:28" x14ac:dyDescent="0.2">
      <c r="A28" s="11"/>
      <c r="B28" s="103" t="s">
        <v>16</v>
      </c>
      <c r="C28" s="136" t="s">
        <v>31</v>
      </c>
      <c r="D28" s="136" t="s">
        <v>31</v>
      </c>
      <c r="E28" s="96">
        <v>0.34465868103486663</v>
      </c>
      <c r="F28" s="136" t="s">
        <v>31</v>
      </c>
      <c r="G28" s="136" t="s">
        <v>31</v>
      </c>
      <c r="H28" s="136" t="s">
        <v>31</v>
      </c>
      <c r="I28" s="136" t="s">
        <v>31</v>
      </c>
      <c r="J28" s="132"/>
      <c r="K28" s="132"/>
      <c r="L28" s="133"/>
      <c r="M28" s="133"/>
      <c r="N28" s="133"/>
      <c r="O28" s="132">
        <f t="shared" si="5"/>
        <v>0.65534131896513337</v>
      </c>
      <c r="P28" s="133"/>
      <c r="Q28" s="133"/>
      <c r="R28" s="133"/>
      <c r="S28" s="133"/>
      <c r="T28" s="133"/>
    </row>
    <row r="29" spans="1:28" x14ac:dyDescent="0.2">
      <c r="A29" s="11"/>
      <c r="B29" s="103" t="s">
        <v>17</v>
      </c>
      <c r="C29" s="136" t="s">
        <v>31</v>
      </c>
      <c r="D29" s="136" t="s">
        <v>31</v>
      </c>
      <c r="E29" s="96">
        <v>0.34077012835472581</v>
      </c>
      <c r="F29" s="136" t="s">
        <v>31</v>
      </c>
      <c r="G29" s="136" t="s">
        <v>31</v>
      </c>
      <c r="H29" s="136" t="s">
        <v>31</v>
      </c>
      <c r="I29" s="136" t="s">
        <v>31</v>
      </c>
      <c r="J29" s="132"/>
      <c r="K29" s="132"/>
      <c r="L29" s="133"/>
      <c r="M29" s="133"/>
      <c r="N29" s="133"/>
      <c r="O29" s="132">
        <f t="shared" si="5"/>
        <v>0.65922987164527425</v>
      </c>
      <c r="P29" s="133"/>
      <c r="Q29" s="133"/>
      <c r="R29" s="133"/>
      <c r="S29" s="133"/>
      <c r="T29" s="133"/>
    </row>
    <row r="30" spans="1:28" x14ac:dyDescent="0.2">
      <c r="A30" s="11"/>
      <c r="B30" s="103" t="s">
        <v>18</v>
      </c>
      <c r="C30" s="136" t="s">
        <v>31</v>
      </c>
      <c r="D30" s="136" t="s">
        <v>31</v>
      </c>
      <c r="E30" s="96">
        <v>0.35256965944272445</v>
      </c>
      <c r="F30" s="136" t="s">
        <v>31</v>
      </c>
      <c r="G30" s="136" t="s">
        <v>31</v>
      </c>
      <c r="H30" s="136" t="s">
        <v>31</v>
      </c>
      <c r="I30" s="136" t="s">
        <v>31</v>
      </c>
      <c r="J30" s="132"/>
      <c r="K30" s="132"/>
      <c r="L30" s="133"/>
      <c r="M30" s="133"/>
      <c r="N30" s="133"/>
      <c r="O30" s="132">
        <f t="shared" si="5"/>
        <v>0.64743034055727555</v>
      </c>
      <c r="P30" s="133"/>
      <c r="Q30" s="133"/>
      <c r="R30" s="133"/>
      <c r="S30" s="133"/>
      <c r="T30" s="133"/>
    </row>
    <row r="31" spans="1:28" x14ac:dyDescent="0.2">
      <c r="A31" s="11"/>
      <c r="B31" s="103" t="s">
        <v>19</v>
      </c>
      <c r="C31" s="136" t="s">
        <v>31</v>
      </c>
      <c r="D31" s="136" t="s">
        <v>31</v>
      </c>
      <c r="E31" s="96">
        <v>0.34841918644735548</v>
      </c>
      <c r="F31" s="136" t="s">
        <v>31</v>
      </c>
      <c r="G31" s="136" t="s">
        <v>31</v>
      </c>
      <c r="H31" s="136" t="s">
        <v>31</v>
      </c>
      <c r="I31" s="136" t="s">
        <v>31</v>
      </c>
      <c r="J31" s="132"/>
      <c r="K31" s="132"/>
      <c r="L31" s="133"/>
      <c r="M31" s="133"/>
      <c r="N31" s="133"/>
      <c r="O31" s="132">
        <f t="shared" si="5"/>
        <v>0.65158081355264452</v>
      </c>
      <c r="P31" s="133"/>
      <c r="Q31" s="133"/>
      <c r="R31" s="133"/>
      <c r="S31" s="133"/>
      <c r="T31" s="133"/>
    </row>
    <row r="32" spans="1:28" x14ac:dyDescent="0.2">
      <c r="A32" s="11"/>
      <c r="B32" s="103" t="s">
        <v>20</v>
      </c>
      <c r="C32" s="136" t="s">
        <v>31</v>
      </c>
      <c r="D32" s="136" t="s">
        <v>31</v>
      </c>
      <c r="E32" s="96">
        <v>0.37661495716601068</v>
      </c>
      <c r="F32" s="136" t="s">
        <v>31</v>
      </c>
      <c r="G32" s="136" t="s">
        <v>31</v>
      </c>
      <c r="H32" s="136" t="s">
        <v>31</v>
      </c>
      <c r="I32" s="136" t="s">
        <v>31</v>
      </c>
      <c r="J32" s="132"/>
      <c r="K32" s="132"/>
      <c r="L32" s="133"/>
      <c r="M32" s="133"/>
      <c r="N32" s="133"/>
      <c r="O32" s="132">
        <f t="shared" si="5"/>
        <v>0.62338504283398932</v>
      </c>
      <c r="P32" s="133"/>
      <c r="Q32" s="133"/>
      <c r="R32" s="133"/>
      <c r="S32" s="133"/>
      <c r="T32" s="133"/>
    </row>
    <row r="33" spans="1:20" x14ac:dyDescent="0.2">
      <c r="A33" s="11"/>
      <c r="B33" s="103" t="s">
        <v>21</v>
      </c>
      <c r="C33" s="136" t="s">
        <v>31</v>
      </c>
      <c r="D33" s="136" t="s">
        <v>31</v>
      </c>
      <c r="E33" s="96">
        <v>0.41232900283919816</v>
      </c>
      <c r="F33" s="136" t="s">
        <v>31</v>
      </c>
      <c r="G33" s="136" t="s">
        <v>31</v>
      </c>
      <c r="H33" s="136" t="s">
        <v>31</v>
      </c>
      <c r="I33" s="136" t="s">
        <v>31</v>
      </c>
      <c r="J33" s="132"/>
      <c r="K33" s="132"/>
      <c r="L33" s="133"/>
      <c r="M33" s="133"/>
      <c r="N33" s="133"/>
      <c r="O33" s="132">
        <f t="shared" si="5"/>
        <v>0.58767099716080184</v>
      </c>
      <c r="P33" s="133"/>
      <c r="Q33" s="133"/>
      <c r="R33" s="133"/>
      <c r="S33" s="133"/>
      <c r="T33" s="133"/>
    </row>
    <row r="34" spans="1:20" x14ac:dyDescent="0.2">
      <c r="A34" s="11"/>
      <c r="B34" s="103" t="s">
        <v>22</v>
      </c>
      <c r="C34" s="136" t="s">
        <v>31</v>
      </c>
      <c r="D34" s="136" t="s">
        <v>31</v>
      </c>
      <c r="E34" s="96">
        <v>0.39051999999999998</v>
      </c>
      <c r="F34" s="136" t="s">
        <v>31</v>
      </c>
      <c r="G34" s="136" t="s">
        <v>31</v>
      </c>
      <c r="H34" s="136" t="s">
        <v>31</v>
      </c>
      <c r="I34" s="136" t="s">
        <v>31</v>
      </c>
      <c r="J34" s="132"/>
      <c r="K34" s="132"/>
      <c r="L34" s="133"/>
      <c r="M34" s="133"/>
      <c r="N34" s="133"/>
      <c r="O34" s="132">
        <f t="shared" si="5"/>
        <v>0.60948000000000002</v>
      </c>
      <c r="P34" s="133"/>
      <c r="Q34" s="133"/>
      <c r="R34" s="133"/>
      <c r="S34" s="133"/>
      <c r="T34" s="133"/>
    </row>
    <row r="35" spans="1:20" x14ac:dyDescent="0.2">
      <c r="A35" s="11"/>
      <c r="B35" s="103" t="s">
        <v>23</v>
      </c>
      <c r="C35" s="136" t="s">
        <v>31</v>
      </c>
      <c r="D35" s="136" t="s">
        <v>31</v>
      </c>
      <c r="E35" s="96">
        <v>0.40350776637817387</v>
      </c>
      <c r="F35" s="136" t="s">
        <v>31</v>
      </c>
      <c r="G35" s="136" t="s">
        <v>31</v>
      </c>
      <c r="H35" s="136" t="s">
        <v>31</v>
      </c>
      <c r="I35" s="136" t="s">
        <v>31</v>
      </c>
      <c r="J35" s="132"/>
      <c r="K35" s="132"/>
      <c r="L35" s="133"/>
      <c r="M35" s="133"/>
      <c r="N35" s="133"/>
      <c r="O35" s="132">
        <f t="shared" si="5"/>
        <v>0.59649223362182613</v>
      </c>
      <c r="P35" s="133"/>
      <c r="Q35" s="133"/>
      <c r="R35" s="133"/>
      <c r="S35" s="133"/>
      <c r="T35" s="133"/>
    </row>
    <row r="36" spans="1:20" x14ac:dyDescent="0.2">
      <c r="A36" s="11"/>
      <c r="B36" s="103" t="s">
        <v>24</v>
      </c>
      <c r="C36" s="136" t="s">
        <v>31</v>
      </c>
      <c r="D36" s="136" t="s">
        <v>31</v>
      </c>
      <c r="E36" s="96">
        <v>0.37501985492666912</v>
      </c>
      <c r="F36" s="136" t="s">
        <v>31</v>
      </c>
      <c r="G36" s="136" t="s">
        <v>31</v>
      </c>
      <c r="H36" s="136" t="s">
        <v>31</v>
      </c>
      <c r="I36" s="136" t="s">
        <v>31</v>
      </c>
      <c r="J36" s="132"/>
      <c r="K36" s="132"/>
      <c r="L36" s="133"/>
      <c r="M36" s="133"/>
      <c r="N36" s="133"/>
      <c r="O36" s="132">
        <f t="shared" si="5"/>
        <v>0.62498014507333088</v>
      </c>
      <c r="P36" s="133"/>
      <c r="Q36" s="133"/>
      <c r="R36" s="133"/>
      <c r="S36" s="133"/>
      <c r="T36" s="133"/>
    </row>
    <row r="37" spans="1:20" x14ac:dyDescent="0.2">
      <c r="A37" s="11"/>
      <c r="B37" s="103" t="s">
        <v>25</v>
      </c>
      <c r="C37" s="136" t="s">
        <v>31</v>
      </c>
      <c r="D37" s="136" t="s">
        <v>31</v>
      </c>
      <c r="E37" s="96">
        <v>0.36531613515866107</v>
      </c>
      <c r="F37" s="136" t="s">
        <v>31</v>
      </c>
      <c r="G37" s="136" t="s">
        <v>31</v>
      </c>
      <c r="H37" s="136" t="s">
        <v>31</v>
      </c>
      <c r="I37" s="136" t="s">
        <v>31</v>
      </c>
      <c r="J37" s="132"/>
      <c r="K37" s="132"/>
      <c r="L37" s="133"/>
      <c r="M37" s="133"/>
      <c r="N37" s="133"/>
      <c r="O37" s="132">
        <f t="shared" si="5"/>
        <v>0.63468386484133887</v>
      </c>
      <c r="P37" s="133"/>
      <c r="Q37" s="133"/>
      <c r="R37" s="133"/>
      <c r="S37" s="133"/>
      <c r="T37" s="133"/>
    </row>
    <row r="38" spans="1:20" x14ac:dyDescent="0.2">
      <c r="A38" s="11"/>
      <c r="B38" s="103"/>
      <c r="C38" s="133"/>
      <c r="D38" s="133"/>
      <c r="E38" s="133"/>
      <c r="F38" s="133"/>
      <c r="G38" s="43"/>
      <c r="H38" s="4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</row>
    <row r="39" spans="1:20" x14ac:dyDescent="0.2">
      <c r="A39" s="11"/>
      <c r="B39" s="103"/>
      <c r="C39" s="133"/>
      <c r="D39" s="133"/>
      <c r="E39" s="133"/>
      <c r="F39" s="133"/>
      <c r="G39" s="43"/>
      <c r="H39" s="4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</row>
    <row r="40" spans="1:20" x14ac:dyDescent="0.2">
      <c r="A40" s="123" t="s">
        <v>32</v>
      </c>
      <c r="B40" s="137" t="s">
        <v>33</v>
      </c>
      <c r="M40" s="34" t="s">
        <v>34</v>
      </c>
    </row>
    <row r="41" spans="1:20" x14ac:dyDescent="0.2">
      <c r="A41" s="11"/>
      <c r="B41" s="138" t="str">
        <f>"Calendar month billed sales forecasted for " &amp;M1</f>
        <v>Calendar month billed sales forecasted for 2019</v>
      </c>
    </row>
    <row r="42" spans="1:20" x14ac:dyDescent="0.2">
      <c r="A42" s="11"/>
      <c r="B42" s="16" t="s">
        <v>35</v>
      </c>
      <c r="C42" s="47" t="str">
        <f>+C6</f>
        <v>SC1</v>
      </c>
      <c r="D42" s="47" t="str">
        <f t="shared" ref="D42:I42" si="6">+D6</f>
        <v>SC5</v>
      </c>
      <c r="E42" s="47" t="str">
        <f t="shared" si="6"/>
        <v>SC3</v>
      </c>
      <c r="F42" s="47" t="str">
        <f t="shared" si="6"/>
        <v>SC2 ND</v>
      </c>
      <c r="G42" s="47" t="str">
        <f t="shared" si="6"/>
        <v>SC4</v>
      </c>
      <c r="H42" s="47" t="str">
        <f t="shared" si="6"/>
        <v>SC6</v>
      </c>
      <c r="I42" s="47" t="str">
        <f t="shared" si="6"/>
        <v>SC2 Dem</v>
      </c>
      <c r="J42" s="47" t="s">
        <v>36</v>
      </c>
      <c r="K42" s="51"/>
      <c r="L42" s="51"/>
      <c r="M42" s="51" t="str">
        <f t="shared" ref="M42:S42" si="7">+C6</f>
        <v>SC1</v>
      </c>
      <c r="N42" s="51" t="str">
        <f t="shared" si="7"/>
        <v>SC5</v>
      </c>
      <c r="O42" s="51" t="str">
        <f t="shared" si="7"/>
        <v>SC3</v>
      </c>
      <c r="P42" s="51" t="str">
        <f t="shared" si="7"/>
        <v>SC2 ND</v>
      </c>
      <c r="Q42" s="51" t="str">
        <f t="shared" si="7"/>
        <v>SC4</v>
      </c>
      <c r="R42" s="51" t="str">
        <f t="shared" si="7"/>
        <v>SC6</v>
      </c>
      <c r="S42" s="51" t="str">
        <f t="shared" si="7"/>
        <v>SC2 Dem</v>
      </c>
      <c r="T42" s="51"/>
    </row>
    <row r="43" spans="1:20" x14ac:dyDescent="0.2">
      <c r="A43" s="11"/>
    </row>
    <row r="44" spans="1:20" x14ac:dyDescent="0.2">
      <c r="A44" s="11"/>
      <c r="B44" s="103" t="s">
        <v>14</v>
      </c>
      <c r="C44" s="7">
        <v>54662.5</v>
      </c>
      <c r="D44" s="7">
        <v>1533.5</v>
      </c>
      <c r="E44" s="7">
        <v>27.5</v>
      </c>
      <c r="F44" s="7">
        <v>2286</v>
      </c>
      <c r="G44" s="7">
        <v>504</v>
      </c>
      <c r="H44" s="7">
        <v>490.5</v>
      </c>
      <c r="I44" s="7">
        <v>28401.86</v>
      </c>
      <c r="J44" s="7">
        <f>SUM(C44:I44)</f>
        <v>87905.86</v>
      </c>
      <c r="K44" s="7"/>
      <c r="L44" s="22" t="s">
        <v>37</v>
      </c>
      <c r="M44" s="97">
        <f t="shared" ref="M44:S44" si="8">SUM(C44:C48,C53:C55)</f>
        <v>357406</v>
      </c>
      <c r="N44" s="7">
        <f t="shared" si="8"/>
        <v>9074</v>
      </c>
      <c r="O44" s="7">
        <f t="shared" si="8"/>
        <v>175</v>
      </c>
      <c r="P44" s="7">
        <f t="shared" si="8"/>
        <v>15898</v>
      </c>
      <c r="Q44" s="7">
        <f t="shared" si="8"/>
        <v>3514</v>
      </c>
      <c r="R44" s="7">
        <f t="shared" si="8"/>
        <v>3680</v>
      </c>
      <c r="S44" s="7">
        <f t="shared" si="8"/>
        <v>215687.26449999999</v>
      </c>
      <c r="T44" s="7"/>
    </row>
    <row r="45" spans="1:20" x14ac:dyDescent="0.2">
      <c r="A45" s="11"/>
      <c r="B45" s="103" t="s">
        <v>15</v>
      </c>
      <c r="C45" s="7">
        <v>46445</v>
      </c>
      <c r="D45" s="7">
        <v>1409.5</v>
      </c>
      <c r="E45" s="7">
        <v>26.5</v>
      </c>
      <c r="F45" s="7">
        <v>2501</v>
      </c>
      <c r="G45" s="7">
        <v>436.5</v>
      </c>
      <c r="H45" s="7">
        <v>439</v>
      </c>
      <c r="I45" s="7">
        <v>27623.444499999998</v>
      </c>
      <c r="J45" s="7">
        <f t="shared" ref="J45:J55" si="9">SUM(C45:I45)</f>
        <v>78880.944499999998</v>
      </c>
      <c r="K45" s="7"/>
      <c r="L45" s="22" t="s">
        <v>38</v>
      </c>
      <c r="M45" s="97"/>
      <c r="O45" s="7">
        <f>SUMPRODUCT(E26:E30,E44:E48)+SUMPRODUCT(E35:E37,E53:E55)</f>
        <v>63.008188381534538</v>
      </c>
      <c r="T45" s="7"/>
    </row>
    <row r="46" spans="1:20" x14ac:dyDescent="0.2">
      <c r="A46" s="11"/>
      <c r="B46" s="103" t="s">
        <v>16</v>
      </c>
      <c r="C46" s="7">
        <v>42589.5</v>
      </c>
      <c r="D46" s="7">
        <v>1217</v>
      </c>
      <c r="E46" s="7">
        <v>22.5</v>
      </c>
      <c r="F46" s="7">
        <v>2281</v>
      </c>
      <c r="G46" s="7">
        <v>432.5</v>
      </c>
      <c r="H46" s="7">
        <v>385.5</v>
      </c>
      <c r="I46" s="7">
        <v>27510.92</v>
      </c>
      <c r="J46" s="7">
        <f t="shared" si="9"/>
        <v>74438.92</v>
      </c>
      <c r="K46" s="7"/>
      <c r="L46" s="22" t="s">
        <v>39</v>
      </c>
      <c r="M46" s="97"/>
      <c r="O46" s="7">
        <f>+O44-O45</f>
        <v>111.99181161846546</v>
      </c>
      <c r="T46" s="7"/>
    </row>
    <row r="47" spans="1:20" x14ac:dyDescent="0.2">
      <c r="A47" s="11"/>
      <c r="B47" s="103" t="s">
        <v>17</v>
      </c>
      <c r="C47" s="7">
        <v>37961.5</v>
      </c>
      <c r="D47" s="7">
        <v>962</v>
      </c>
      <c r="E47" s="7">
        <v>21.5</v>
      </c>
      <c r="F47" s="7">
        <v>1703</v>
      </c>
      <c r="G47" s="7">
        <v>352.5</v>
      </c>
      <c r="H47" s="7">
        <v>413.5</v>
      </c>
      <c r="I47" s="7">
        <v>25296.3995</v>
      </c>
      <c r="J47" s="7">
        <f t="shared" si="9"/>
        <v>66710.3995</v>
      </c>
      <c r="K47" s="7"/>
    </row>
    <row r="48" spans="1:20" x14ac:dyDescent="0.2">
      <c r="A48" s="11"/>
      <c r="B48" s="103" t="s">
        <v>18</v>
      </c>
      <c r="C48" s="7">
        <v>40224</v>
      </c>
      <c r="D48" s="7">
        <v>829.5</v>
      </c>
      <c r="E48" s="7">
        <v>16.5</v>
      </c>
      <c r="F48" s="7">
        <v>1620</v>
      </c>
      <c r="G48" s="7">
        <v>330</v>
      </c>
      <c r="H48" s="7">
        <v>392</v>
      </c>
      <c r="I48" s="7">
        <v>27193.050999999999</v>
      </c>
      <c r="J48" s="7">
        <f t="shared" si="9"/>
        <v>70605.051000000007</v>
      </c>
      <c r="K48" s="7"/>
      <c r="L48" s="22" t="s">
        <v>40</v>
      </c>
      <c r="M48" s="97">
        <f>SUM(C49:C52)</f>
        <v>276921.5</v>
      </c>
      <c r="N48" s="7">
        <f t="shared" ref="N48:S48" si="10">+SUM(D49:D52)</f>
        <v>4494</v>
      </c>
      <c r="O48" s="7">
        <f t="shared" si="10"/>
        <v>80</v>
      </c>
      <c r="P48" s="7">
        <f t="shared" si="10"/>
        <v>6976</v>
      </c>
      <c r="Q48" s="7">
        <f t="shared" si="10"/>
        <v>1360.5</v>
      </c>
      <c r="R48" s="7">
        <f t="shared" si="10"/>
        <v>1574.5</v>
      </c>
      <c r="S48" s="7">
        <f t="shared" si="10"/>
        <v>123008.65399999998</v>
      </c>
      <c r="T48" s="7"/>
    </row>
    <row r="49" spans="1:24" x14ac:dyDescent="0.2">
      <c r="A49" s="11"/>
      <c r="B49" s="103" t="s">
        <v>19</v>
      </c>
      <c r="C49" s="7">
        <v>54363</v>
      </c>
      <c r="D49" s="7">
        <v>906</v>
      </c>
      <c r="E49" s="7">
        <v>18.5</v>
      </c>
      <c r="F49" s="7">
        <v>1447</v>
      </c>
      <c r="G49" s="7">
        <v>289.5</v>
      </c>
      <c r="H49" s="7">
        <v>389</v>
      </c>
      <c r="I49" s="7">
        <v>26799.138999999999</v>
      </c>
      <c r="J49" s="7">
        <f t="shared" si="9"/>
        <v>84212.138999999996</v>
      </c>
      <c r="K49" s="7"/>
      <c r="L49" s="22" t="s">
        <v>38</v>
      </c>
      <c r="M49" s="97"/>
      <c r="O49" s="7">
        <f>+SUMPRODUCT(E31:E34,E49:E52)</f>
        <v>30.604860003720088</v>
      </c>
      <c r="T49" s="7"/>
    </row>
    <row r="50" spans="1:24" x14ac:dyDescent="0.2">
      <c r="A50" s="11"/>
      <c r="B50" s="103" t="s">
        <v>20</v>
      </c>
      <c r="C50" s="7">
        <v>76538.5</v>
      </c>
      <c r="D50" s="7">
        <v>1228.5</v>
      </c>
      <c r="E50" s="7">
        <v>23.5</v>
      </c>
      <c r="F50" s="7">
        <v>1942</v>
      </c>
      <c r="G50" s="7">
        <v>314</v>
      </c>
      <c r="H50" s="7">
        <v>390</v>
      </c>
      <c r="I50" s="7">
        <v>33069.010999999999</v>
      </c>
      <c r="J50" s="7">
        <f t="shared" si="9"/>
        <v>113505.511</v>
      </c>
      <c r="K50" s="7"/>
      <c r="L50" s="22" t="s">
        <v>39</v>
      </c>
      <c r="M50" s="97"/>
      <c r="O50" s="7">
        <f>+O48-O49</f>
        <v>49.395139996279909</v>
      </c>
      <c r="T50" s="7"/>
    </row>
    <row r="51" spans="1:24" x14ac:dyDescent="0.2">
      <c r="A51" s="11"/>
      <c r="B51" s="103" t="s">
        <v>21</v>
      </c>
      <c r="C51" s="7">
        <v>79220</v>
      </c>
      <c r="D51" s="7">
        <v>1220.5</v>
      </c>
      <c r="E51" s="7">
        <v>21.5</v>
      </c>
      <c r="F51" s="7">
        <v>1823</v>
      </c>
      <c r="G51" s="7">
        <v>369.5</v>
      </c>
      <c r="H51" s="7">
        <v>341.5</v>
      </c>
      <c r="I51" s="7">
        <v>31333.574000000001</v>
      </c>
      <c r="J51" s="7">
        <f t="shared" si="9"/>
        <v>114329.57399999999</v>
      </c>
      <c r="K51" s="7"/>
    </row>
    <row r="52" spans="1:24" x14ac:dyDescent="0.2">
      <c r="A52" s="11"/>
      <c r="B52" s="103" t="s">
        <v>22</v>
      </c>
      <c r="C52" s="7">
        <v>66800</v>
      </c>
      <c r="D52" s="7">
        <v>1139</v>
      </c>
      <c r="E52" s="7">
        <v>16.5</v>
      </c>
      <c r="F52" s="7">
        <v>1764</v>
      </c>
      <c r="G52" s="7">
        <v>387.5</v>
      </c>
      <c r="H52" s="7">
        <v>454</v>
      </c>
      <c r="I52" s="7">
        <v>31806.93</v>
      </c>
      <c r="J52" s="7">
        <f t="shared" si="9"/>
        <v>102367.93</v>
      </c>
      <c r="K52" s="7"/>
      <c r="L52" s="22" t="s">
        <v>41</v>
      </c>
      <c r="M52" s="97">
        <f>ROUND(M48*E156,0)</f>
        <v>116584</v>
      </c>
      <c r="N52" s="97">
        <f>ROUND(N48*J156,0)</f>
        <v>2771</v>
      </c>
    </row>
    <row r="53" spans="1:24" x14ac:dyDescent="0.2">
      <c r="A53" s="11"/>
      <c r="B53" s="103" t="s">
        <v>23</v>
      </c>
      <c r="C53" s="7">
        <v>44523.5</v>
      </c>
      <c r="D53" s="7">
        <v>924.5</v>
      </c>
      <c r="E53" s="7">
        <v>15.5</v>
      </c>
      <c r="F53" s="7">
        <v>1026</v>
      </c>
      <c r="G53" s="7">
        <v>447</v>
      </c>
      <c r="H53" s="7">
        <v>485.5</v>
      </c>
      <c r="I53" s="7">
        <v>24879.141</v>
      </c>
      <c r="J53" s="7">
        <f t="shared" si="9"/>
        <v>72301.141000000003</v>
      </c>
      <c r="K53" s="7"/>
      <c r="L53" s="24" t="s">
        <v>42</v>
      </c>
      <c r="M53" s="97">
        <f>M48-M52</f>
        <v>160337.5</v>
      </c>
      <c r="N53" s="97">
        <f>ROUND(N48*J157,0)</f>
        <v>1723</v>
      </c>
    </row>
    <row r="54" spans="1:24" x14ac:dyDescent="0.2">
      <c r="A54" s="11"/>
      <c r="B54" s="103" t="s">
        <v>24</v>
      </c>
      <c r="C54" s="7">
        <v>42309</v>
      </c>
      <c r="D54" s="7">
        <v>887</v>
      </c>
      <c r="E54" s="7">
        <v>17.5</v>
      </c>
      <c r="F54" s="7">
        <v>2235</v>
      </c>
      <c r="G54" s="7">
        <v>500</v>
      </c>
      <c r="H54" s="7">
        <v>514</v>
      </c>
      <c r="I54" s="7">
        <v>26450.440500000001</v>
      </c>
      <c r="J54" s="7">
        <f t="shared" si="9"/>
        <v>72912.940499999997</v>
      </c>
      <c r="K54" s="7"/>
      <c r="L54" s="24" t="s">
        <v>43</v>
      </c>
      <c r="M54" s="97"/>
      <c r="N54" s="97">
        <f>N48-N52-N53</f>
        <v>0</v>
      </c>
    </row>
    <row r="55" spans="1:24" x14ac:dyDescent="0.2">
      <c r="A55" s="11"/>
      <c r="B55" s="103" t="s">
        <v>25</v>
      </c>
      <c r="C55" s="8">
        <v>48691</v>
      </c>
      <c r="D55" s="8">
        <v>1311</v>
      </c>
      <c r="E55" s="8">
        <v>27.5</v>
      </c>
      <c r="F55" s="8">
        <v>2246</v>
      </c>
      <c r="G55" s="8">
        <v>511.5</v>
      </c>
      <c r="H55" s="8">
        <v>560</v>
      </c>
      <c r="I55" s="8">
        <v>28332.008000000002</v>
      </c>
      <c r="J55" s="8">
        <f t="shared" si="9"/>
        <v>81679.008000000002</v>
      </c>
      <c r="K55" s="7"/>
      <c r="N55" s="139"/>
    </row>
    <row r="56" spans="1:24" x14ac:dyDescent="0.2">
      <c r="A56" s="11"/>
      <c r="B56" s="140" t="s">
        <v>36</v>
      </c>
      <c r="C56" s="7">
        <f>SUM(C44:C55)</f>
        <v>634327.5</v>
      </c>
      <c r="D56" s="7">
        <f t="shared" ref="D56:I56" si="11">SUM(D44:D55)</f>
        <v>13568</v>
      </c>
      <c r="E56" s="7">
        <f t="shared" si="11"/>
        <v>255</v>
      </c>
      <c r="F56" s="7">
        <f t="shared" si="11"/>
        <v>22874</v>
      </c>
      <c r="G56" s="7">
        <f>SUM(G44:G55)</f>
        <v>4874.5</v>
      </c>
      <c r="H56" s="7">
        <f>SUM(H44:H55)</f>
        <v>5254.5</v>
      </c>
      <c r="I56" s="7">
        <f t="shared" si="11"/>
        <v>338695.91850000003</v>
      </c>
      <c r="J56" s="7">
        <f>SUM(J44:J55)</f>
        <v>1019849.4185</v>
      </c>
      <c r="K56" s="7"/>
      <c r="N56" s="139"/>
    </row>
    <row r="57" spans="1:24" x14ac:dyDescent="0.2">
      <c r="A57" s="11"/>
      <c r="B57" s="103"/>
      <c r="N57" s="139"/>
      <c r="O57" s="34" t="s">
        <v>44</v>
      </c>
    </row>
    <row r="58" spans="1:24" x14ac:dyDescent="0.2">
      <c r="A58" s="11"/>
      <c r="N58" s="20"/>
      <c r="O58" s="141"/>
      <c r="P58" s="142"/>
      <c r="Q58" s="142"/>
      <c r="R58" s="142"/>
      <c r="S58" s="142"/>
      <c r="T58" s="142"/>
      <c r="U58" s="142"/>
      <c r="V58" s="142"/>
      <c r="W58" s="143"/>
    </row>
    <row r="59" spans="1:24" x14ac:dyDescent="0.2">
      <c r="A59" s="123" t="s">
        <v>45</v>
      </c>
      <c r="B59" s="34" t="s">
        <v>46</v>
      </c>
      <c r="G59" s="144"/>
      <c r="H59" s="34"/>
      <c r="N59" s="139"/>
      <c r="O59" s="145"/>
      <c r="P59" s="20" t="s">
        <v>47</v>
      </c>
      <c r="Q59" s="20"/>
      <c r="R59" s="20"/>
      <c r="S59" s="20"/>
      <c r="T59" s="20"/>
      <c r="U59" s="20"/>
      <c r="V59" s="20"/>
      <c r="W59" s="146"/>
    </row>
    <row r="60" spans="1:24" s="147" customFormat="1" x14ac:dyDescent="0.2">
      <c r="A60" s="11"/>
      <c r="B60" s="2" t="s">
        <v>48</v>
      </c>
      <c r="G60" s="21"/>
      <c r="N60" s="139"/>
      <c r="O60" s="26"/>
      <c r="P60" s="148"/>
      <c r="Q60" s="148"/>
      <c r="R60" s="148"/>
      <c r="S60" s="149" t="str">
        <f>E6</f>
        <v>SC3</v>
      </c>
      <c r="T60" s="149"/>
      <c r="U60" s="149"/>
      <c r="V60" s="20"/>
      <c r="W60" s="150"/>
      <c r="X60" s="21"/>
    </row>
    <row r="61" spans="1:24" x14ac:dyDescent="0.2">
      <c r="A61" s="11"/>
      <c r="C61" s="47" t="s">
        <v>49</v>
      </c>
      <c r="D61" s="47" t="s">
        <v>50</v>
      </c>
      <c r="G61" s="51"/>
      <c r="H61" s="51"/>
      <c r="I61" s="51"/>
      <c r="N61" s="139"/>
      <c r="O61" s="151"/>
      <c r="P61" s="20"/>
      <c r="Q61" s="20"/>
      <c r="R61" s="20"/>
      <c r="S61" s="20"/>
      <c r="T61" s="20"/>
      <c r="U61" s="20"/>
      <c r="V61" s="20"/>
      <c r="W61" s="146"/>
    </row>
    <row r="62" spans="1:24" x14ac:dyDescent="0.2">
      <c r="A62" s="11"/>
      <c r="B62" s="103" t="s">
        <v>14</v>
      </c>
      <c r="C62" s="9">
        <f t="shared" ref="C62:D73" si="12">G428</f>
        <v>50.09</v>
      </c>
      <c r="D62" s="9">
        <f t="shared" si="12"/>
        <v>38.94</v>
      </c>
      <c r="H62" s="51"/>
      <c r="I62" s="51"/>
      <c r="M62" s="20"/>
      <c r="N62" s="20"/>
      <c r="O62" s="26"/>
      <c r="P62" s="152"/>
      <c r="Q62" s="23" t="s">
        <v>37</v>
      </c>
      <c r="R62" s="152"/>
      <c r="S62" s="153">
        <f>SUM(E44:E48,E53:E55)</f>
        <v>175</v>
      </c>
      <c r="T62" s="152"/>
      <c r="U62" s="153"/>
      <c r="V62" s="152"/>
      <c r="W62" s="146"/>
    </row>
    <row r="63" spans="1:24" x14ac:dyDescent="0.2">
      <c r="A63" s="11"/>
      <c r="B63" s="103" t="s">
        <v>15</v>
      </c>
      <c r="C63" s="9">
        <f t="shared" si="12"/>
        <v>47.24</v>
      </c>
      <c r="D63" s="9">
        <f t="shared" si="12"/>
        <v>36.700000000000003</v>
      </c>
      <c r="H63" s="51"/>
      <c r="I63" s="51"/>
      <c r="N63" s="20"/>
      <c r="O63" s="26"/>
      <c r="P63" s="152"/>
      <c r="Q63" s="23" t="s">
        <v>38</v>
      </c>
      <c r="R63" s="20"/>
      <c r="S63" s="153">
        <f>SUMPRODUCT(E26:E30,E44:E48)+SUMPRODUCT(E35:E37,E53:E55)</f>
        <v>63.008188381534538</v>
      </c>
      <c r="T63" s="20">
        <f>S63/S62</f>
        <v>0.36004679075162593</v>
      </c>
      <c r="U63" s="153"/>
      <c r="V63" s="20"/>
      <c r="W63" s="146"/>
    </row>
    <row r="64" spans="1:24" x14ac:dyDescent="0.2">
      <c r="A64" s="11"/>
      <c r="B64" s="103" t="s">
        <v>16</v>
      </c>
      <c r="C64" s="9">
        <f t="shared" si="12"/>
        <v>35.869999999999997</v>
      </c>
      <c r="D64" s="9">
        <f t="shared" si="12"/>
        <v>28.19</v>
      </c>
      <c r="H64" s="51"/>
      <c r="I64" s="51"/>
      <c r="M64" s="148"/>
      <c r="N64" s="148"/>
      <c r="O64" s="26"/>
      <c r="P64" s="152"/>
      <c r="Q64" s="23" t="s">
        <v>39</v>
      </c>
      <c r="R64" s="20"/>
      <c r="S64" s="153">
        <f>SUMPRODUCT(O26:O30,E44:E48)+SUMPRODUCT(O35:O37,E53:E55)</f>
        <v>111.99181161846546</v>
      </c>
      <c r="T64" s="20"/>
      <c r="U64" s="153"/>
      <c r="V64" s="20"/>
      <c r="W64" s="146"/>
    </row>
    <row r="65" spans="1:24" x14ac:dyDescent="0.2">
      <c r="A65" s="11"/>
      <c r="B65" s="103" t="s">
        <v>17</v>
      </c>
      <c r="C65" s="9">
        <f t="shared" si="12"/>
        <v>31.71</v>
      </c>
      <c r="D65" s="9">
        <f t="shared" si="12"/>
        <v>24.56</v>
      </c>
      <c r="H65" s="51"/>
      <c r="I65" s="51"/>
      <c r="M65" s="20"/>
      <c r="N65" s="20"/>
      <c r="O65" s="151"/>
      <c r="P65" s="20"/>
      <c r="Q65" s="20"/>
      <c r="R65" s="20"/>
      <c r="S65" s="20"/>
      <c r="T65" s="20"/>
      <c r="U65" s="20"/>
      <c r="V65" s="20"/>
      <c r="W65" s="146"/>
      <c r="X65" s="147"/>
    </row>
    <row r="66" spans="1:24" x14ac:dyDescent="0.2">
      <c r="A66" s="11"/>
      <c r="B66" s="103" t="s">
        <v>18</v>
      </c>
      <c r="C66" s="9">
        <f t="shared" si="12"/>
        <v>30.54</v>
      </c>
      <c r="D66" s="9">
        <f t="shared" si="12"/>
        <v>23.69</v>
      </c>
      <c r="H66" s="51"/>
      <c r="I66" s="51"/>
      <c r="N66" s="139"/>
      <c r="O66" s="26"/>
      <c r="P66" s="152"/>
      <c r="Q66" s="23" t="s">
        <v>40</v>
      </c>
      <c r="R66" s="152"/>
      <c r="S66" s="153">
        <f>+SUM(E49:E52)</f>
        <v>80</v>
      </c>
      <c r="T66" s="152"/>
      <c r="U66" s="153"/>
      <c r="V66" s="152"/>
      <c r="W66" s="146"/>
    </row>
    <row r="67" spans="1:24" x14ac:dyDescent="0.2">
      <c r="A67" s="11"/>
      <c r="B67" s="103" t="s">
        <v>19</v>
      </c>
      <c r="C67" s="9">
        <f t="shared" si="12"/>
        <v>32.200000000000003</v>
      </c>
      <c r="D67" s="9">
        <f t="shared" si="12"/>
        <v>20.11</v>
      </c>
      <c r="H67" s="51"/>
      <c r="I67" s="51"/>
      <c r="N67" s="139"/>
      <c r="O67" s="26"/>
      <c r="P67" s="152"/>
      <c r="Q67" s="23" t="s">
        <v>38</v>
      </c>
      <c r="R67" s="20"/>
      <c r="S67" s="153">
        <f>+SUMPRODUCT(E31:E34,E49:E52)</f>
        <v>30.604860003720088</v>
      </c>
      <c r="T67" s="154">
        <f>S67/S66</f>
        <v>0.38256075004650109</v>
      </c>
      <c r="U67" s="153"/>
      <c r="V67" s="154"/>
      <c r="W67" s="155"/>
    </row>
    <row r="68" spans="1:24" x14ac:dyDescent="0.2">
      <c r="A68" s="11"/>
      <c r="B68" s="103" t="s">
        <v>20</v>
      </c>
      <c r="C68" s="9">
        <f t="shared" si="12"/>
        <v>37.67</v>
      </c>
      <c r="D68" s="9">
        <f t="shared" si="12"/>
        <v>23.38</v>
      </c>
      <c r="H68" s="51"/>
      <c r="I68" s="51"/>
      <c r="N68" s="139"/>
      <c r="O68" s="26"/>
      <c r="P68" s="152"/>
      <c r="Q68" s="23" t="s">
        <v>39</v>
      </c>
      <c r="R68" s="20"/>
      <c r="S68" s="153">
        <f>SUMPRODUCT(O31:O34,E49:E52)</f>
        <v>49.395139996279923</v>
      </c>
      <c r="T68" s="20"/>
      <c r="U68" s="153"/>
      <c r="V68" s="20"/>
      <c r="W68" s="146"/>
    </row>
    <row r="69" spans="1:24" x14ac:dyDescent="0.2">
      <c r="A69" s="11"/>
      <c r="B69" s="103" t="s">
        <v>21</v>
      </c>
      <c r="C69" s="9">
        <f t="shared" si="12"/>
        <v>34.799999999999997</v>
      </c>
      <c r="D69" s="9">
        <f t="shared" si="12"/>
        <v>21.65</v>
      </c>
      <c r="H69" s="51"/>
      <c r="I69" s="51"/>
      <c r="N69" s="20"/>
      <c r="O69" s="26"/>
      <c r="P69" s="20"/>
      <c r="Q69" s="20"/>
      <c r="R69" s="20"/>
      <c r="S69" s="20"/>
      <c r="T69" s="20"/>
      <c r="U69" s="20"/>
      <c r="V69" s="20"/>
      <c r="W69" s="146"/>
    </row>
    <row r="70" spans="1:24" x14ac:dyDescent="0.2">
      <c r="A70" s="11"/>
      <c r="B70" s="103" t="s">
        <v>22</v>
      </c>
      <c r="C70" s="9">
        <f t="shared" si="12"/>
        <v>33.020000000000003</v>
      </c>
      <c r="D70" s="9">
        <f t="shared" si="12"/>
        <v>20.65</v>
      </c>
      <c r="H70" s="51"/>
      <c r="I70" s="51"/>
      <c r="N70" s="139"/>
      <c r="O70" s="145"/>
      <c r="P70" s="20" t="s">
        <v>51</v>
      </c>
      <c r="Q70" s="20"/>
      <c r="R70" s="20"/>
      <c r="S70" s="20"/>
      <c r="T70" s="20"/>
      <c r="U70" s="20"/>
      <c r="V70" s="20"/>
      <c r="W70" s="146"/>
    </row>
    <row r="71" spans="1:24" x14ac:dyDescent="0.2">
      <c r="A71" s="11"/>
      <c r="B71" s="103" t="s">
        <v>23</v>
      </c>
      <c r="C71" s="9">
        <f t="shared" si="12"/>
        <v>31.25</v>
      </c>
      <c r="D71" s="9">
        <f t="shared" si="12"/>
        <v>24.2</v>
      </c>
      <c r="H71" s="51"/>
      <c r="I71" s="51"/>
      <c r="N71" s="139"/>
      <c r="O71" s="26"/>
      <c r="P71" s="148"/>
      <c r="Q71" s="148"/>
      <c r="R71" s="148"/>
      <c r="S71" s="148" t="str">
        <f>S60</f>
        <v>SC3</v>
      </c>
      <c r="T71" s="148"/>
      <c r="U71" s="148"/>
      <c r="V71" s="148"/>
      <c r="W71" s="146"/>
    </row>
    <row r="72" spans="1:24" x14ac:dyDescent="0.2">
      <c r="A72" s="11"/>
      <c r="B72" s="103" t="s">
        <v>24</v>
      </c>
      <c r="C72" s="9">
        <f t="shared" si="12"/>
        <v>31.3</v>
      </c>
      <c r="D72" s="9">
        <f t="shared" si="12"/>
        <v>24.22</v>
      </c>
      <c r="H72" s="51"/>
      <c r="I72" s="51"/>
      <c r="N72" s="139"/>
      <c r="O72" s="151"/>
      <c r="P72" s="20"/>
      <c r="Q72" s="20"/>
      <c r="R72" s="20"/>
      <c r="S72" s="20"/>
      <c r="T72" s="20"/>
      <c r="U72" s="20"/>
      <c r="V72" s="20"/>
      <c r="W72" s="146"/>
    </row>
    <row r="73" spans="1:24" x14ac:dyDescent="0.2">
      <c r="A73" s="11"/>
      <c r="B73" s="103" t="s">
        <v>25</v>
      </c>
      <c r="C73" s="9">
        <f t="shared" si="12"/>
        <v>34.630000000000003</v>
      </c>
      <c r="D73" s="9">
        <f t="shared" si="12"/>
        <v>27.18</v>
      </c>
      <c r="H73" s="51"/>
      <c r="I73" s="51"/>
      <c r="N73" s="20"/>
      <c r="O73" s="26"/>
      <c r="P73" s="152"/>
      <c r="Q73" s="23" t="s">
        <v>37</v>
      </c>
      <c r="R73" s="152"/>
      <c r="S73" s="153">
        <f>SUM(E44:E48,E53:E55)</f>
        <v>175</v>
      </c>
      <c r="T73" s="152"/>
      <c r="U73" s="153"/>
      <c r="V73" s="152"/>
      <c r="W73" s="146"/>
    </row>
    <row r="74" spans="1:24" x14ac:dyDescent="0.2">
      <c r="A74" s="11"/>
      <c r="B74" s="103"/>
      <c r="C74" s="9"/>
      <c r="D74" s="9"/>
      <c r="G74" s="44"/>
      <c r="M74" s="148"/>
      <c r="N74" s="148"/>
      <c r="O74" s="26"/>
      <c r="P74" s="152"/>
      <c r="Q74" s="23" t="s">
        <v>38</v>
      </c>
      <c r="R74" s="20"/>
      <c r="S74" s="153">
        <f>SUMPRODUCT(E8:E12,E44:E48)+SUMPRODUCT(E17:E19,E53:E55)</f>
        <v>83.193663966965005</v>
      </c>
      <c r="T74" s="20">
        <f>S74/S73</f>
        <v>0.47539236552551434</v>
      </c>
      <c r="U74" s="153"/>
      <c r="V74" s="20"/>
      <c r="W74" s="146"/>
    </row>
    <row r="75" spans="1:24" x14ac:dyDescent="0.2">
      <c r="A75" s="11"/>
      <c r="B75" s="103"/>
      <c r="C75" s="9"/>
      <c r="D75" s="9"/>
      <c r="I75" s="44"/>
      <c r="M75" s="20"/>
      <c r="N75" s="20"/>
      <c r="O75" s="26"/>
      <c r="P75" s="152"/>
      <c r="Q75" s="23" t="s">
        <v>39</v>
      </c>
      <c r="R75" s="20"/>
      <c r="S75" s="153">
        <f>SUMPRODUCT(O8:O12,E44:E48)+SUMPRODUCT(O17:O19,E53:E55)</f>
        <v>91.806336033034995</v>
      </c>
      <c r="T75" s="20"/>
      <c r="U75" s="153"/>
      <c r="V75" s="20"/>
      <c r="W75" s="146"/>
    </row>
    <row r="76" spans="1:24" x14ac:dyDescent="0.2">
      <c r="A76" s="156" t="s">
        <v>52</v>
      </c>
      <c r="B76" s="137" t="s">
        <v>53</v>
      </c>
      <c r="C76" s="47" t="str">
        <f>+C6</f>
        <v>SC1</v>
      </c>
      <c r="D76" s="47" t="str">
        <f t="shared" ref="D76:I76" si="13">+D6</f>
        <v>SC5</v>
      </c>
      <c r="E76" s="47" t="str">
        <f t="shared" si="13"/>
        <v>SC3</v>
      </c>
      <c r="F76" s="47" t="str">
        <f t="shared" si="13"/>
        <v>SC2 ND</v>
      </c>
      <c r="G76" s="47" t="str">
        <f t="shared" si="13"/>
        <v>SC4</v>
      </c>
      <c r="H76" s="47" t="str">
        <f t="shared" si="13"/>
        <v>SC6</v>
      </c>
      <c r="I76" s="47" t="str">
        <f t="shared" si="13"/>
        <v>SC2 Dem</v>
      </c>
      <c r="J76" s="51"/>
      <c r="K76" s="51"/>
      <c r="N76" s="139"/>
      <c r="O76" s="151"/>
      <c r="P76" s="20"/>
      <c r="Q76" s="20"/>
      <c r="R76" s="20"/>
      <c r="S76" s="20"/>
      <c r="T76" s="20"/>
      <c r="U76" s="20"/>
      <c r="V76" s="20"/>
      <c r="W76" s="146"/>
    </row>
    <row r="77" spans="1:24" x14ac:dyDescent="0.2">
      <c r="A77" s="11"/>
      <c r="B77" s="103"/>
      <c r="C77" s="157"/>
      <c r="D77" s="157"/>
      <c r="E77" s="157"/>
      <c r="F77" s="157"/>
      <c r="N77" s="139"/>
      <c r="O77" s="26"/>
      <c r="P77" s="148"/>
      <c r="Q77" s="23" t="s">
        <v>40</v>
      </c>
      <c r="R77" s="148"/>
      <c r="S77" s="153">
        <f>+SUM(E49:E52)</f>
        <v>80</v>
      </c>
      <c r="T77" s="148"/>
      <c r="U77" s="153"/>
      <c r="V77" s="148"/>
      <c r="W77" s="146"/>
    </row>
    <row r="78" spans="1:24" x14ac:dyDescent="0.2">
      <c r="A78" s="11"/>
      <c r="B78" s="21" t="s">
        <v>54</v>
      </c>
      <c r="C78" s="98">
        <v>1.0849318014292777</v>
      </c>
      <c r="D78" s="98">
        <v>1.0849318014292777</v>
      </c>
      <c r="E78" s="98">
        <v>1.0849318014292777</v>
      </c>
      <c r="F78" s="98">
        <v>1.0849318014292777</v>
      </c>
      <c r="G78" s="98">
        <v>1.0811541767398483</v>
      </c>
      <c r="H78" s="98">
        <v>1.0811541767398483</v>
      </c>
      <c r="I78" s="98">
        <v>1.0849318014292777</v>
      </c>
      <c r="J78" s="98"/>
      <c r="K78" s="98"/>
      <c r="N78" s="139"/>
      <c r="O78" s="26"/>
      <c r="P78" s="152"/>
      <c r="Q78" s="23" t="s">
        <v>38</v>
      </c>
      <c r="R78" s="20"/>
      <c r="S78" s="153">
        <f>+SUMPRODUCT(E13:E16,E49:E52)</f>
        <v>41.314937345733078</v>
      </c>
      <c r="T78" s="20">
        <f>S78/S77</f>
        <v>0.51643671682166348</v>
      </c>
      <c r="U78" s="153"/>
      <c r="V78" s="20"/>
      <c r="W78" s="146"/>
    </row>
    <row r="79" spans="1:24" x14ac:dyDescent="0.2">
      <c r="A79" s="11"/>
      <c r="J79" s="98"/>
      <c r="K79" s="98"/>
      <c r="N79" s="20"/>
      <c r="O79" s="26"/>
      <c r="P79" s="152"/>
      <c r="Q79" s="23" t="s">
        <v>39</v>
      </c>
      <c r="R79" s="20"/>
      <c r="S79" s="153">
        <f>SUMPRODUCT(O13:O16,E49:E52)</f>
        <v>38.685062654266922</v>
      </c>
      <c r="T79" s="20"/>
      <c r="U79" s="153"/>
      <c r="V79" s="20"/>
      <c r="W79" s="146"/>
    </row>
    <row r="80" spans="1:24" x14ac:dyDescent="0.2">
      <c r="A80" s="11"/>
      <c r="B80" s="21" t="s">
        <v>55</v>
      </c>
      <c r="C80" s="98"/>
      <c r="J80" s="98"/>
      <c r="K80" s="98"/>
      <c r="N80" s="20"/>
      <c r="O80" s="26"/>
      <c r="P80" s="152"/>
      <c r="Q80" s="23"/>
      <c r="R80" s="20"/>
      <c r="S80" s="153"/>
      <c r="T80" s="20"/>
      <c r="U80" s="153"/>
      <c r="V80" s="20"/>
      <c r="W80" s="146"/>
    </row>
    <row r="81" spans="1:23" x14ac:dyDescent="0.2">
      <c r="A81" s="11"/>
      <c r="B81" s="21" t="s">
        <v>56</v>
      </c>
      <c r="C81" s="98">
        <v>1.0745602607303497</v>
      </c>
      <c r="D81" s="98">
        <v>1.0745602607303497</v>
      </c>
      <c r="E81" s="98">
        <v>1.0745602607303497</v>
      </c>
      <c r="F81" s="98">
        <v>1.0745602607303497</v>
      </c>
      <c r="G81" s="98">
        <v>1.0708187487146938</v>
      </c>
      <c r="H81" s="98">
        <v>1.0708187487146938</v>
      </c>
      <c r="I81" s="98">
        <v>1.0745602607303497</v>
      </c>
      <c r="J81" s="98"/>
      <c r="K81" s="98"/>
      <c r="N81" s="20"/>
      <c r="O81" s="26"/>
      <c r="P81" s="152"/>
      <c r="Q81" s="23"/>
      <c r="R81" s="20"/>
      <c r="S81" s="153"/>
      <c r="T81" s="20"/>
      <c r="U81" s="153"/>
      <c r="V81" s="20"/>
      <c r="W81" s="146"/>
    </row>
    <row r="82" spans="1:23" x14ac:dyDescent="0.2">
      <c r="A82" s="11"/>
      <c r="N82" s="139"/>
      <c r="O82" s="145"/>
      <c r="P82" s="20"/>
      <c r="Q82" s="20"/>
      <c r="R82" s="20"/>
      <c r="S82" s="20"/>
      <c r="T82" s="20"/>
      <c r="U82" s="20"/>
      <c r="V82" s="20"/>
      <c r="W82" s="146"/>
    </row>
    <row r="83" spans="1:23" x14ac:dyDescent="0.2">
      <c r="A83" s="156" t="s">
        <v>57</v>
      </c>
      <c r="B83" s="34" t="s">
        <v>58</v>
      </c>
      <c r="N83" s="139"/>
      <c r="O83" s="26"/>
      <c r="P83" s="20" t="s">
        <v>59</v>
      </c>
      <c r="Q83" s="20"/>
      <c r="R83" s="20"/>
      <c r="S83" s="20"/>
      <c r="T83" s="20"/>
      <c r="U83" s="20"/>
      <c r="V83" s="20"/>
      <c r="W83" s="146"/>
    </row>
    <row r="84" spans="1:23" x14ac:dyDescent="0.2">
      <c r="A84" s="11"/>
      <c r="B84" s="2" t="s">
        <v>60</v>
      </c>
      <c r="N84" s="139"/>
      <c r="O84" s="151"/>
      <c r="P84" s="148"/>
      <c r="Q84" s="148"/>
      <c r="R84" s="148"/>
      <c r="S84" s="148" t="str">
        <f>S60</f>
        <v>SC3</v>
      </c>
      <c r="T84" s="148"/>
      <c r="U84" s="148"/>
      <c r="V84" s="148"/>
      <c r="W84" s="146"/>
    </row>
    <row r="85" spans="1:23" x14ac:dyDescent="0.2">
      <c r="A85" s="11"/>
      <c r="B85" s="16" t="s">
        <v>61</v>
      </c>
      <c r="N85" s="20"/>
      <c r="O85" s="26"/>
      <c r="P85" s="20"/>
      <c r="Q85" s="20"/>
      <c r="R85" s="20"/>
      <c r="S85" s="20"/>
      <c r="T85" s="20"/>
      <c r="U85" s="20"/>
      <c r="V85" s="20"/>
      <c r="W85" s="146"/>
    </row>
    <row r="86" spans="1:23" x14ac:dyDescent="0.2">
      <c r="A86" s="11"/>
      <c r="B86" s="34"/>
      <c r="C86" s="47" t="str">
        <f>+C6</f>
        <v>SC1</v>
      </c>
      <c r="D86" s="47" t="str">
        <f t="shared" ref="D86:I86" si="14">+D6</f>
        <v>SC5</v>
      </c>
      <c r="E86" s="47" t="str">
        <f t="shared" si="14"/>
        <v>SC3</v>
      </c>
      <c r="F86" s="47" t="str">
        <f t="shared" si="14"/>
        <v>SC2 ND</v>
      </c>
      <c r="G86" s="47" t="str">
        <f t="shared" si="14"/>
        <v>SC4</v>
      </c>
      <c r="H86" s="47" t="str">
        <f t="shared" si="14"/>
        <v>SC6</v>
      </c>
      <c r="I86" s="47" t="str">
        <f t="shared" si="14"/>
        <v>SC2 Dem</v>
      </c>
      <c r="J86" s="51"/>
      <c r="K86" s="51"/>
      <c r="M86" s="20"/>
      <c r="N86" s="20"/>
      <c r="O86" s="26"/>
      <c r="P86" s="152"/>
      <c r="Q86" s="23" t="s">
        <v>62</v>
      </c>
      <c r="R86" s="152"/>
      <c r="S86" s="152"/>
      <c r="T86" s="152"/>
      <c r="U86" s="152"/>
      <c r="V86" s="152"/>
      <c r="W86" s="146"/>
    </row>
    <row r="87" spans="1:23" x14ac:dyDescent="0.2">
      <c r="A87" s="11"/>
      <c r="M87" s="20"/>
      <c r="N87" s="20"/>
      <c r="O87" s="26"/>
      <c r="P87" s="152"/>
      <c r="Q87" s="158" t="s">
        <v>63</v>
      </c>
      <c r="R87" s="20"/>
      <c r="S87" s="152">
        <f>S74-S63</f>
        <v>20.185475585430467</v>
      </c>
      <c r="T87" s="20"/>
      <c r="U87" s="152"/>
      <c r="V87" s="20"/>
      <c r="W87" s="146"/>
    </row>
    <row r="88" spans="1:23" x14ac:dyDescent="0.2">
      <c r="A88" s="11"/>
      <c r="B88" s="103" t="s">
        <v>64</v>
      </c>
      <c r="C88" s="32">
        <f>(SUMPRODUCT(C13:C16,C49:C52,$C67:$C70)*C78+SUMPRODUCT(M13:M16,C49:C52,$D67:$D70)*C78)/SUM(C49:C52)</f>
        <v>30.958401862071756</v>
      </c>
      <c r="D88" s="32">
        <f t="shared" ref="D88:I88" si="15">(SUMPRODUCT(D13:D16,D49:D52,$C67:$C70)*D78+SUMPRODUCT(N13:N16,D49:D52,$D67:$D70)*D78)/SUM(D49:D52)</f>
        <v>30.725253248662284</v>
      </c>
      <c r="E88" s="32">
        <f t="shared" si="15"/>
        <v>30.762907108420432</v>
      </c>
      <c r="F88" s="32">
        <f t="shared" si="15"/>
        <v>31.708803739675897</v>
      </c>
      <c r="G88" s="32">
        <f t="shared" si="15"/>
        <v>26.285291669243207</v>
      </c>
      <c r="H88" s="32">
        <f t="shared" si="15"/>
        <v>26.238130500840086</v>
      </c>
      <c r="I88" s="32">
        <f t="shared" si="15"/>
        <v>31.074600421849798</v>
      </c>
      <c r="J88" s="32"/>
      <c r="K88" s="32"/>
      <c r="M88" s="20"/>
      <c r="N88" s="20"/>
      <c r="O88" s="151"/>
      <c r="P88" s="152"/>
      <c r="Q88" s="23" t="s">
        <v>65</v>
      </c>
      <c r="R88" s="20"/>
      <c r="S88" s="159">
        <f>S87*(E93-E94)</f>
        <v>182.34307695786686</v>
      </c>
      <c r="T88" s="20"/>
      <c r="U88" s="159"/>
      <c r="V88" s="20"/>
      <c r="W88" s="146"/>
    </row>
    <row r="89" spans="1:23" x14ac:dyDescent="0.2">
      <c r="A89" s="11"/>
      <c r="B89" s="104" t="s">
        <v>66</v>
      </c>
      <c r="C89" s="32">
        <f>(SUMPRODUCT(C13:C16,C49:C52,$C67:$C70)*C78)/SUMPRODUCT(C13:C16,C49:C52)</f>
        <v>37.61527862185725</v>
      </c>
      <c r="D89" s="32">
        <f t="shared" ref="D89:I89" si="16">(SUMPRODUCT(D13:D16,D49:D52,$C67:$C70)*D78)/SUMPRODUCT(D13:D16,D49:D52)</f>
        <v>37.576066681543153</v>
      </c>
      <c r="E89" s="32">
        <f t="shared" si="16"/>
        <v>37.639633742288524</v>
      </c>
      <c r="F89" s="32">
        <f t="shared" si="16"/>
        <v>37.50724682548244</v>
      </c>
      <c r="G89" s="32">
        <f t="shared" si="16"/>
        <v>37.076091513321877</v>
      </c>
      <c r="H89" s="32">
        <f t="shared" si="16"/>
        <v>37.022961901599125</v>
      </c>
      <c r="I89" s="32">
        <f t="shared" si="16"/>
        <v>37.472259835467433</v>
      </c>
      <c r="J89" s="32"/>
      <c r="K89" s="32"/>
      <c r="O89" s="26"/>
      <c r="P89" s="20"/>
      <c r="Q89" s="23" t="s">
        <v>67</v>
      </c>
      <c r="R89" s="20"/>
      <c r="S89" s="160">
        <f>ROUND(S88/S73,2)</f>
        <v>1.04</v>
      </c>
      <c r="T89" s="20"/>
      <c r="U89" s="160"/>
      <c r="V89" s="20"/>
      <c r="W89" s="146"/>
    </row>
    <row r="90" spans="1:23" x14ac:dyDescent="0.2">
      <c r="A90" s="11"/>
      <c r="B90" s="104" t="s">
        <v>68</v>
      </c>
      <c r="C90" s="32">
        <f>(SUMPRODUCT(M13:M16,C49:C52,$D67:$D70)*C78)/SUMPRODUCT(M13:M16,C49:C52)</f>
        <v>23.406837820459739</v>
      </c>
      <c r="D90" s="32">
        <f t="shared" ref="D90:I90" si="17">(SUMPRODUCT(N13:N16,D49:D52,$D67:$D70)*D78)/SUMPRODUCT(N13:N16,D49:D52)</f>
        <v>23.374181601899718</v>
      </c>
      <c r="E90" s="32">
        <f t="shared" si="17"/>
        <v>23.418689197721068</v>
      </c>
      <c r="F90" s="32">
        <f t="shared" si="17"/>
        <v>23.427233977156767</v>
      </c>
      <c r="G90" s="32">
        <f t="shared" si="17"/>
        <v>23.195998872316729</v>
      </c>
      <c r="H90" s="32">
        <f t="shared" si="17"/>
        <v>23.16702147506799</v>
      </c>
      <c r="I90" s="32">
        <f t="shared" si="17"/>
        <v>23.354669787369549</v>
      </c>
      <c r="J90" s="32"/>
      <c r="K90" s="32"/>
      <c r="O90" s="26"/>
      <c r="P90" s="148"/>
      <c r="V90" s="148"/>
      <c r="W90" s="146"/>
    </row>
    <row r="91" spans="1:23" x14ac:dyDescent="0.2">
      <c r="A91" s="11"/>
      <c r="C91" s="161"/>
      <c r="D91" s="161"/>
      <c r="E91" s="161"/>
      <c r="F91" s="161"/>
      <c r="G91" s="161"/>
      <c r="H91" s="161"/>
      <c r="I91" s="161"/>
      <c r="J91" s="161"/>
      <c r="K91" s="161"/>
      <c r="O91" s="26"/>
      <c r="P91" s="152"/>
      <c r="Q91" s="23" t="s">
        <v>69</v>
      </c>
      <c r="R91" s="148"/>
      <c r="S91" s="162"/>
      <c r="T91" s="148"/>
      <c r="U91" s="162"/>
      <c r="V91" s="20"/>
      <c r="W91" s="146"/>
    </row>
    <row r="92" spans="1:23" x14ac:dyDescent="0.2">
      <c r="A92" s="11"/>
      <c r="B92" s="103" t="s">
        <v>70</v>
      </c>
      <c r="C92" s="32">
        <f t="shared" ref="C92:I92" si="18">(SUMPRODUCT(C8:C12,C44:C48,$C62:$C66)*C78+SUMPRODUCT(M8:M12,C44:C48,$D62:$D66)*C78+SUMPRODUCT(C17:C19,C53:C55,$C71:$C73)*C78+SUMPRODUCT(M17:M19,C53:C55,$D71:$D73)*C78)/SUM(C44:C48,C53:C55)</f>
        <v>35.888305508347017</v>
      </c>
      <c r="D92" s="32">
        <f t="shared" si="18"/>
        <v>36.276130710353293</v>
      </c>
      <c r="E92" s="32">
        <f t="shared" si="18"/>
        <v>36.198991754386114</v>
      </c>
      <c r="F92" s="32">
        <f t="shared" si="18"/>
        <v>36.501166344051605</v>
      </c>
      <c r="G92" s="32">
        <f t="shared" si="18"/>
        <v>33.700664300840188</v>
      </c>
      <c r="H92" s="32">
        <f t="shared" si="18"/>
        <v>33.381180353114935</v>
      </c>
      <c r="I92" s="32">
        <f t="shared" si="18"/>
        <v>35.832831763899904</v>
      </c>
      <c r="J92" s="32"/>
      <c r="K92" s="32"/>
      <c r="O92" s="26"/>
      <c r="P92" s="152"/>
      <c r="Q92" s="158" t="s">
        <v>63</v>
      </c>
      <c r="R92" s="20"/>
      <c r="S92" s="152">
        <f>S78-S67</f>
        <v>10.71007734201299</v>
      </c>
      <c r="T92" s="20"/>
      <c r="U92" s="152"/>
      <c r="V92" s="20"/>
      <c r="W92" s="146"/>
    </row>
    <row r="93" spans="1:23" x14ac:dyDescent="0.2">
      <c r="A93" s="11"/>
      <c r="B93" s="104" t="s">
        <v>66</v>
      </c>
      <c r="C93" s="32">
        <f t="shared" ref="C93:I93" si="19">(SUMPRODUCT(C8:C12,C44:C48,$C62:$C66)*C78+SUMPRODUCT(C17:C19,C53:C55,$C71:$C73)*C78)/(SUMPRODUCT(C8:C12,C44:C48)+SUMPRODUCT(C17:C19,C53:C55))</f>
        <v>40.326785825450145</v>
      </c>
      <c r="D93" s="32">
        <f t="shared" si="19"/>
        <v>41.301998253263775</v>
      </c>
      <c r="E93" s="32">
        <f t="shared" si="19"/>
        <v>40.937972010799314</v>
      </c>
      <c r="F93" s="32">
        <f t="shared" si="19"/>
        <v>40.56633677748426</v>
      </c>
      <c r="G93" s="32">
        <f t="shared" si="19"/>
        <v>40.263369906945584</v>
      </c>
      <c r="H93" s="32">
        <f t="shared" si="19"/>
        <v>39.908858063638966</v>
      </c>
      <c r="I93" s="32">
        <f t="shared" si="19"/>
        <v>39.813373940678154</v>
      </c>
      <c r="J93" s="32"/>
      <c r="K93" s="32"/>
      <c r="O93" s="20"/>
      <c r="P93" s="20"/>
      <c r="Q93" s="23" t="s">
        <v>65</v>
      </c>
      <c r="R93" s="20"/>
      <c r="S93" s="159">
        <f>S92*(E89-E90)</f>
        <v>152.30741594879515</v>
      </c>
      <c r="T93" s="20"/>
      <c r="U93" s="159"/>
      <c r="V93" s="20"/>
      <c r="W93" s="20"/>
    </row>
    <row r="94" spans="1:23" x14ac:dyDescent="0.2">
      <c r="A94" s="11"/>
      <c r="B94" s="104" t="s">
        <v>68</v>
      </c>
      <c r="C94" s="32">
        <f t="shared" ref="C94:I94" si="20">(SUMPRODUCT(M8:M12,C44:C48,$D62:$D66)*C78+SUMPRODUCT(M17:M19,C53:C55,$D71:$D73)*C78)/(SUMPRODUCT(M8:M12,C44:C48)+SUMPRODUCT(M17:M19,C53:C55))</f>
        <v>31.428754953200968</v>
      </c>
      <c r="D94" s="32">
        <f t="shared" si="20"/>
        <v>32.073324057980706</v>
      </c>
      <c r="E94" s="32">
        <f t="shared" si="20"/>
        <v>31.90459173763503</v>
      </c>
      <c r="F94" s="32">
        <f t="shared" si="20"/>
        <v>31.961155819657105</v>
      </c>
      <c r="G94" s="32">
        <f t="shared" si="20"/>
        <v>31.031820636903472</v>
      </c>
      <c r="H94" s="32">
        <f t="shared" si="20"/>
        <v>30.74148551725326</v>
      </c>
      <c r="I94" s="32">
        <f t="shared" si="20"/>
        <v>31.145043523327971</v>
      </c>
      <c r="J94" s="32"/>
      <c r="K94" s="32"/>
      <c r="O94" s="20"/>
      <c r="P94" s="20"/>
      <c r="Q94" s="23" t="s">
        <v>67</v>
      </c>
      <c r="R94" s="20"/>
      <c r="S94" s="160">
        <f>ROUND(S93/S77,2)</f>
        <v>1.9</v>
      </c>
      <c r="T94" s="20"/>
      <c r="U94" s="160"/>
      <c r="V94" s="20"/>
      <c r="W94" s="20"/>
    </row>
    <row r="95" spans="1:23" x14ac:dyDescent="0.2">
      <c r="A95" s="11"/>
      <c r="C95" s="161"/>
      <c r="D95" s="161"/>
      <c r="E95" s="161"/>
      <c r="F95" s="161"/>
      <c r="G95" s="161"/>
      <c r="H95" s="161"/>
      <c r="I95" s="161"/>
      <c r="J95" s="161"/>
      <c r="K95" s="161"/>
      <c r="P95" s="20"/>
      <c r="Q95" s="20"/>
      <c r="R95" s="20"/>
      <c r="S95" s="20"/>
      <c r="T95" s="20"/>
      <c r="U95" s="20"/>
      <c r="V95" s="20"/>
      <c r="W95" s="20"/>
    </row>
    <row r="96" spans="1:23" x14ac:dyDescent="0.2">
      <c r="A96" s="11"/>
      <c r="B96" s="21" t="s">
        <v>71</v>
      </c>
      <c r="C96" s="32">
        <f t="shared" ref="C96:I96" si="21">(C88*SUM(C49:C52)+C92*SUM(C44:C48,C53:C55))/C56</f>
        <v>33.736110762601299</v>
      </c>
      <c r="D96" s="161">
        <f t="shared" si="21"/>
        <v>34.437566197319725</v>
      </c>
      <c r="E96" s="161">
        <f t="shared" si="21"/>
        <v>34.493553434083161</v>
      </c>
      <c r="F96" s="161">
        <f t="shared" si="21"/>
        <v>35.039615171186121</v>
      </c>
      <c r="G96" s="161">
        <f t="shared" si="21"/>
        <v>31.630992649329741</v>
      </c>
      <c r="H96" s="161">
        <f t="shared" si="21"/>
        <v>31.240780316497418</v>
      </c>
      <c r="I96" s="161">
        <f t="shared" si="21"/>
        <v>34.104722268520199</v>
      </c>
      <c r="J96" s="161"/>
      <c r="K96" s="161"/>
    </row>
    <row r="97" spans="1:11" x14ac:dyDescent="0.2">
      <c r="A97" s="11"/>
      <c r="C97" s="32"/>
      <c r="D97" s="161"/>
      <c r="E97" s="161"/>
      <c r="F97" s="161"/>
      <c r="G97" s="161"/>
      <c r="H97" s="161"/>
      <c r="I97" s="161"/>
      <c r="J97" s="161"/>
      <c r="K97" s="161"/>
    </row>
    <row r="98" spans="1:11" x14ac:dyDescent="0.2">
      <c r="A98" s="11"/>
      <c r="B98" s="21" t="s">
        <v>72</v>
      </c>
      <c r="C98" s="12">
        <f>SUMPRODUCT(C96:I96,C56:I56)/SUM(C56:I56)</f>
        <v>33.874367404217587</v>
      </c>
      <c r="D98" s="161"/>
      <c r="E98" s="161"/>
      <c r="F98" s="161"/>
      <c r="G98" s="161"/>
      <c r="H98" s="161"/>
      <c r="I98" s="161"/>
      <c r="J98" s="161"/>
      <c r="K98" s="161"/>
    </row>
    <row r="99" spans="1:11" x14ac:dyDescent="0.2">
      <c r="A99" s="11"/>
      <c r="C99" s="32"/>
      <c r="D99" s="161"/>
      <c r="E99" s="161"/>
      <c r="F99" s="161"/>
      <c r="G99" s="161"/>
      <c r="H99" s="161"/>
      <c r="I99" s="161"/>
      <c r="J99" s="161"/>
      <c r="K99" s="161"/>
    </row>
    <row r="100" spans="1:11" x14ac:dyDescent="0.2">
      <c r="A100" s="1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1" x14ac:dyDescent="0.2">
      <c r="A101" s="156" t="s">
        <v>73</v>
      </c>
      <c r="B101" s="34" t="s">
        <v>74</v>
      </c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1" x14ac:dyDescent="0.2">
      <c r="A102" s="11"/>
      <c r="B102" s="16" t="s">
        <v>60</v>
      </c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1" x14ac:dyDescent="0.2">
      <c r="A103" s="11"/>
      <c r="B103" s="16" t="s">
        <v>75</v>
      </c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1" x14ac:dyDescent="0.2">
      <c r="A104" s="11"/>
      <c r="B104" s="34"/>
      <c r="C104" s="47" t="str">
        <f>+C6</f>
        <v>SC1</v>
      </c>
      <c r="D104" s="47" t="str">
        <f t="shared" ref="D104:I104" si="22">+D6</f>
        <v>SC5</v>
      </c>
      <c r="E104" s="47" t="str">
        <f t="shared" si="22"/>
        <v>SC3</v>
      </c>
      <c r="F104" s="47" t="str">
        <f t="shared" si="22"/>
        <v>SC2 ND</v>
      </c>
      <c r="G104" s="47" t="str">
        <f t="shared" si="22"/>
        <v>SC4</v>
      </c>
      <c r="H104" s="47" t="str">
        <f t="shared" si="22"/>
        <v>SC6</v>
      </c>
      <c r="I104" s="47" t="str">
        <f t="shared" si="22"/>
        <v>SC2 Dem</v>
      </c>
      <c r="J104" s="51"/>
      <c r="K104" s="51"/>
    </row>
    <row r="105" spans="1:11" x14ac:dyDescent="0.2">
      <c r="A105" s="11"/>
      <c r="C105" s="76"/>
    </row>
    <row r="106" spans="1:11" x14ac:dyDescent="0.2">
      <c r="A106" s="11"/>
      <c r="B106" s="103" t="s">
        <v>64</v>
      </c>
      <c r="C106" s="13">
        <f t="shared" ref="C106:I106" si="23">SUM(C49:C52)*C88/1000</f>
        <v>8573.0470812477033</v>
      </c>
      <c r="D106" s="13">
        <f t="shared" si="23"/>
        <v>138.07928809948831</v>
      </c>
      <c r="E106" s="13">
        <f t="shared" si="23"/>
        <v>2.4610325686736347</v>
      </c>
      <c r="F106" s="13">
        <f t="shared" si="23"/>
        <v>221.20061488797904</v>
      </c>
      <c r="G106" s="13">
        <f t="shared" si="23"/>
        <v>35.761139316005384</v>
      </c>
      <c r="H106" s="13">
        <f t="shared" si="23"/>
        <v>41.311936473572715</v>
      </c>
      <c r="I106" s="13">
        <f t="shared" si="23"/>
        <v>3822.4447714795756</v>
      </c>
      <c r="J106" s="13"/>
      <c r="K106" s="13"/>
    </row>
    <row r="107" spans="1:11" x14ac:dyDescent="0.2">
      <c r="A107" s="11"/>
      <c r="B107" s="104" t="s">
        <v>66</v>
      </c>
      <c r="C107" s="13">
        <f t="shared" ref="C107:I107" si="24">SUMPRODUCT(C49:C52,C13:C16)*C89/1000</f>
        <v>5536.1958583116548</v>
      </c>
      <c r="D107" s="13">
        <f t="shared" si="24"/>
        <v>87.407570163838486</v>
      </c>
      <c r="E107" s="13">
        <f t="shared" si="24"/>
        <v>1.5550791097789911</v>
      </c>
      <c r="F107" s="13">
        <f t="shared" si="24"/>
        <v>153.89739615230727</v>
      </c>
      <c r="G107" s="13">
        <f t="shared" si="24"/>
        <v>11.226883048551295</v>
      </c>
      <c r="H107" s="13">
        <f t="shared" si="24"/>
        <v>12.920313514084443</v>
      </c>
      <c r="I107" s="13">
        <f t="shared" si="24"/>
        <v>2520.5677933391635</v>
      </c>
      <c r="J107" s="13"/>
      <c r="K107" s="13"/>
    </row>
    <row r="108" spans="1:11" x14ac:dyDescent="0.2">
      <c r="A108" s="11"/>
      <c r="B108" s="104" t="s">
        <v>68</v>
      </c>
      <c r="C108" s="13">
        <f t="shared" ref="C108:I108" si="25">SUMPRODUCT(C49:C52,M13:M16)*C90/1000</f>
        <v>3036.8512229360485</v>
      </c>
      <c r="D108" s="13">
        <f t="shared" si="25"/>
        <v>50.671717935649824</v>
      </c>
      <c r="E108" s="13">
        <f t="shared" si="25"/>
        <v>0.90595345889464352</v>
      </c>
      <c r="F108" s="13">
        <f t="shared" si="25"/>
        <v>67.303218735671763</v>
      </c>
      <c r="G108" s="13">
        <f t="shared" si="25"/>
        <v>24.534256267454086</v>
      </c>
      <c r="H108" s="13">
        <f t="shared" si="25"/>
        <v>28.391622959488274</v>
      </c>
      <c r="I108" s="13">
        <f t="shared" si="25"/>
        <v>1301.8769781404119</v>
      </c>
      <c r="J108" s="13"/>
      <c r="K108" s="13"/>
    </row>
    <row r="109" spans="1:11" x14ac:dyDescent="0.2">
      <c r="A109" s="11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1:11" x14ac:dyDescent="0.2">
      <c r="A110" s="11"/>
      <c r="B110" s="103" t="s">
        <v>70</v>
      </c>
      <c r="C110" s="107">
        <f t="shared" ref="C110:I110" si="26">SUM(C44:C48,C53:C55)*C92/1000</f>
        <v>12826.695718516274</v>
      </c>
      <c r="D110" s="107">
        <f t="shared" si="26"/>
        <v>329.16961006574576</v>
      </c>
      <c r="E110" s="107">
        <f t="shared" si="26"/>
        <v>6.3348235570175699</v>
      </c>
      <c r="F110" s="107">
        <f t="shared" si="26"/>
        <v>580.29554253773244</v>
      </c>
      <c r="G110" s="107">
        <f t="shared" si="26"/>
        <v>118.42413435315243</v>
      </c>
      <c r="H110" s="107">
        <f t="shared" si="26"/>
        <v>122.84274369946297</v>
      </c>
      <c r="I110" s="107">
        <f t="shared" si="26"/>
        <v>7728.6854624442794</v>
      </c>
      <c r="J110" s="107"/>
      <c r="K110" s="107"/>
    </row>
    <row r="111" spans="1:11" x14ac:dyDescent="0.2">
      <c r="A111" s="11"/>
      <c r="B111" s="104" t="s">
        <v>66</v>
      </c>
      <c r="C111" s="13">
        <f t="shared" ref="C111:I111" si="27">(SUMPRODUCT(C44:C48,C8:C12)+SUMPRODUCT(C53:C55,C17:C19))*C93/1000</f>
        <v>7223.5823988488009</v>
      </c>
      <c r="D111" s="13">
        <f t="shared" si="27"/>
        <v>170.67500953756291</v>
      </c>
      <c r="E111" s="13">
        <f t="shared" si="27"/>
        <v>3.4057798869554565</v>
      </c>
      <c r="F111" s="13">
        <f t="shared" si="27"/>
        <v>340.25548632407617</v>
      </c>
      <c r="G111" s="13">
        <f t="shared" si="27"/>
        <v>40.903495257054303</v>
      </c>
      <c r="H111" s="13">
        <f t="shared" si="27"/>
        <v>42.288858458611486</v>
      </c>
      <c r="I111" s="13">
        <f t="shared" si="27"/>
        <v>4643.9337271290733</v>
      </c>
      <c r="J111" s="13"/>
      <c r="K111" s="13"/>
    </row>
    <row r="112" spans="1:11" x14ac:dyDescent="0.2">
      <c r="A112" s="11"/>
      <c r="B112" s="104" t="s">
        <v>68</v>
      </c>
      <c r="C112" s="13">
        <f t="shared" ref="C112:I112" si="28">+(SUMPRODUCT(C44:C48,M8:M12)+SUMPRODUCT(C53:C55,M17:M19))*C94/1000</f>
        <v>5603.1133196674718</v>
      </c>
      <c r="D112" s="13">
        <f t="shared" si="28"/>
        <v>158.49460052818287</v>
      </c>
      <c r="E112" s="13">
        <f t="shared" si="28"/>
        <v>2.9290436700621134</v>
      </c>
      <c r="F112" s="13">
        <f t="shared" si="28"/>
        <v>240.04005621365619</v>
      </c>
      <c r="G112" s="13">
        <f t="shared" si="28"/>
        <v>77.520639096098137</v>
      </c>
      <c r="H112" s="13">
        <f t="shared" si="28"/>
        <v>80.553885240851486</v>
      </c>
      <c r="I112" s="13">
        <f t="shared" si="28"/>
        <v>3084.7517353152057</v>
      </c>
      <c r="J112" s="13"/>
      <c r="K112" s="13"/>
    </row>
    <row r="113" spans="1:11" x14ac:dyDescent="0.2">
      <c r="A113" s="11"/>
      <c r="C113" s="161"/>
      <c r="D113" s="161"/>
      <c r="E113" s="161"/>
      <c r="F113" s="161"/>
      <c r="G113" s="161"/>
      <c r="H113" s="161"/>
      <c r="I113" s="161"/>
      <c r="J113" s="161"/>
      <c r="K113" s="161"/>
    </row>
    <row r="114" spans="1:11" x14ac:dyDescent="0.2">
      <c r="A114" s="11"/>
      <c r="B114" s="21" t="s">
        <v>71</v>
      </c>
      <c r="C114" s="107">
        <f>+C106+C110</f>
        <v>21399.742799763975</v>
      </c>
      <c r="D114" s="107">
        <f t="shared" ref="D114:I114" si="29">+D106+D110</f>
        <v>467.2488981652341</v>
      </c>
      <c r="E114" s="107">
        <f t="shared" si="29"/>
        <v>8.7958561256912056</v>
      </c>
      <c r="F114" s="107">
        <f t="shared" si="29"/>
        <v>801.49615742571154</v>
      </c>
      <c r="G114" s="107">
        <f t="shared" si="29"/>
        <v>154.18527366915782</v>
      </c>
      <c r="H114" s="107">
        <f t="shared" si="29"/>
        <v>164.15468017303567</v>
      </c>
      <c r="I114" s="107">
        <f t="shared" si="29"/>
        <v>11551.130233923855</v>
      </c>
      <c r="J114" s="107"/>
      <c r="K114" s="107"/>
    </row>
    <row r="115" spans="1:11" x14ac:dyDescent="0.2">
      <c r="A115" s="11"/>
    </row>
    <row r="116" spans="1:11" x14ac:dyDescent="0.2">
      <c r="A116" s="11"/>
      <c r="B116" s="21" t="s">
        <v>72</v>
      </c>
      <c r="C116" s="13">
        <f>SUM(C114:I114)</f>
        <v>34546.753899246665</v>
      </c>
      <c r="D116" s="163"/>
      <c r="E116" s="164"/>
      <c r="F116" s="32"/>
    </row>
    <row r="117" spans="1:11" x14ac:dyDescent="0.2">
      <c r="A117" s="11"/>
    </row>
    <row r="118" spans="1:11" x14ac:dyDescent="0.2">
      <c r="A118" s="11"/>
    </row>
    <row r="119" spans="1:11" x14ac:dyDescent="0.2">
      <c r="A119" s="156" t="s">
        <v>76</v>
      </c>
      <c r="B119" s="39" t="s">
        <v>77</v>
      </c>
      <c r="C119" s="161"/>
    </row>
    <row r="120" spans="1:11" x14ac:dyDescent="0.2">
      <c r="A120" s="11"/>
      <c r="B120" s="2" t="s">
        <v>78</v>
      </c>
      <c r="C120" s="161"/>
    </row>
    <row r="121" spans="1:11" x14ac:dyDescent="0.2">
      <c r="A121" s="11"/>
      <c r="B121" s="16"/>
      <c r="C121" s="161"/>
    </row>
    <row r="122" spans="1:11" x14ac:dyDescent="0.2">
      <c r="A122" s="11"/>
      <c r="B122" s="34"/>
      <c r="C122" s="47" t="str">
        <f>+C6</f>
        <v>SC1</v>
      </c>
      <c r="D122" s="47" t="str">
        <f t="shared" ref="D122:I122" si="30">+D6</f>
        <v>SC5</v>
      </c>
      <c r="E122" s="47" t="str">
        <f t="shared" si="30"/>
        <v>SC3</v>
      </c>
      <c r="F122" s="47" t="str">
        <f t="shared" si="30"/>
        <v>SC2 ND</v>
      </c>
      <c r="G122" s="47" t="str">
        <f t="shared" si="30"/>
        <v>SC4</v>
      </c>
      <c r="H122" s="47" t="str">
        <f t="shared" si="30"/>
        <v>SC6</v>
      </c>
      <c r="I122" s="47" t="str">
        <f t="shared" si="30"/>
        <v>SC2 Dem</v>
      </c>
      <c r="J122" s="51"/>
      <c r="K122" s="51"/>
    </row>
    <row r="123" spans="1:11" x14ac:dyDescent="0.2">
      <c r="A123" s="11"/>
      <c r="C123" s="76"/>
    </row>
    <row r="124" spans="1:11" x14ac:dyDescent="0.2">
      <c r="A124" s="11"/>
      <c r="B124" s="103" t="s">
        <v>64</v>
      </c>
      <c r="C124" s="12">
        <f t="shared" ref="C124:I124" si="31">+C106/SUM(C49:C52)*1000</f>
        <v>30.958401862071753</v>
      </c>
      <c r="D124" s="12">
        <f t="shared" si="31"/>
        <v>30.725253248662288</v>
      </c>
      <c r="E124" s="12">
        <f t="shared" si="31"/>
        <v>30.762907108420436</v>
      </c>
      <c r="F124" s="12">
        <f t="shared" si="31"/>
        <v>31.708803739675897</v>
      </c>
      <c r="G124" s="12">
        <f t="shared" si="31"/>
        <v>26.285291669243207</v>
      </c>
      <c r="H124" s="12">
        <f t="shared" si="31"/>
        <v>26.238130500840086</v>
      </c>
      <c r="I124" s="12">
        <f t="shared" si="31"/>
        <v>31.074600421849802</v>
      </c>
      <c r="J124" s="12"/>
      <c r="K124" s="12"/>
    </row>
    <row r="125" spans="1:11" x14ac:dyDescent="0.2">
      <c r="A125" s="11"/>
      <c r="B125" s="104" t="s">
        <v>79</v>
      </c>
      <c r="C125" s="13"/>
      <c r="D125" s="13"/>
      <c r="E125" s="12">
        <f>E89+S94</f>
        <v>39.539633742288522</v>
      </c>
      <c r="F125" s="13"/>
      <c r="G125" s="13"/>
      <c r="H125" s="13"/>
      <c r="I125" s="13"/>
      <c r="J125" s="12"/>
      <c r="K125" s="12"/>
    </row>
    <row r="126" spans="1:11" x14ac:dyDescent="0.2">
      <c r="A126" s="11"/>
      <c r="B126" s="104" t="s">
        <v>80</v>
      </c>
      <c r="C126" s="13"/>
      <c r="D126" s="13"/>
      <c r="E126" s="12">
        <f>E90+S94</f>
        <v>25.318689197721067</v>
      </c>
      <c r="F126" s="13"/>
      <c r="G126" s="13"/>
      <c r="H126" s="13"/>
      <c r="I126" s="13"/>
      <c r="J126" s="12"/>
      <c r="K126" s="12"/>
    </row>
    <row r="127" spans="1:11" x14ac:dyDescent="0.2">
      <c r="A127" s="11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1:11" x14ac:dyDescent="0.2">
      <c r="A128" s="11"/>
      <c r="B128" s="103" t="s">
        <v>70</v>
      </c>
      <c r="C128" s="161">
        <f t="shared" ref="C128:I128" si="32">+C110/SUM(C44:C48,C53:C55)*1000</f>
        <v>35.888305508347017</v>
      </c>
      <c r="D128" s="161">
        <f t="shared" si="32"/>
        <v>36.276130710353293</v>
      </c>
      <c r="E128" s="161">
        <f t="shared" si="32"/>
        <v>36.198991754386114</v>
      </c>
      <c r="F128" s="161">
        <f t="shared" si="32"/>
        <v>36.501166344051612</v>
      </c>
      <c r="G128" s="161">
        <f t="shared" si="32"/>
        <v>33.700664300840188</v>
      </c>
      <c r="H128" s="161">
        <f t="shared" si="32"/>
        <v>33.381180353114935</v>
      </c>
      <c r="I128" s="161">
        <f t="shared" si="32"/>
        <v>35.832831763899904</v>
      </c>
      <c r="J128" s="161"/>
      <c r="K128" s="161"/>
    </row>
    <row r="129" spans="1:22" x14ac:dyDescent="0.2">
      <c r="A129" s="11"/>
      <c r="B129" s="104" t="s">
        <v>79</v>
      </c>
      <c r="C129" s="13"/>
      <c r="D129" s="13"/>
      <c r="E129" s="12">
        <f>E93+S89</f>
        <v>41.977972010799313</v>
      </c>
      <c r="F129" s="13"/>
      <c r="G129" s="13"/>
      <c r="H129" s="13"/>
      <c r="I129" s="13"/>
      <c r="J129" s="12"/>
      <c r="K129" s="12"/>
    </row>
    <row r="130" spans="1:22" x14ac:dyDescent="0.2">
      <c r="A130" s="11"/>
      <c r="B130" s="104" t="s">
        <v>80</v>
      </c>
      <c r="C130" s="13"/>
      <c r="D130" s="13"/>
      <c r="E130" s="12">
        <f>E94+S89</f>
        <v>32.944591737635029</v>
      </c>
      <c r="F130" s="13"/>
      <c r="G130" s="13"/>
      <c r="H130" s="13"/>
      <c r="I130" s="13"/>
      <c r="J130" s="12"/>
      <c r="K130" s="12"/>
    </row>
    <row r="131" spans="1:22" x14ac:dyDescent="0.2">
      <c r="A131" s="11"/>
      <c r="C131" s="161"/>
      <c r="D131" s="161"/>
      <c r="E131" s="161"/>
      <c r="F131" s="161"/>
      <c r="G131" s="161"/>
      <c r="H131" s="161"/>
      <c r="I131" s="161"/>
      <c r="J131" s="161"/>
      <c r="K131" s="161"/>
    </row>
    <row r="132" spans="1:22" x14ac:dyDescent="0.2">
      <c r="A132" s="11"/>
      <c r="B132" s="21" t="s">
        <v>81</v>
      </c>
      <c r="C132" s="32">
        <f t="shared" ref="C132:I132" si="33">(C124*SUM(C49:C52)+C128*SUM(C44:C48,C53:C55))/C56</f>
        <v>33.736110762601299</v>
      </c>
      <c r="D132" s="32">
        <f t="shared" si="33"/>
        <v>34.437566197319732</v>
      </c>
      <c r="E132" s="32">
        <f t="shared" si="33"/>
        <v>34.493553434083161</v>
      </c>
      <c r="F132" s="32">
        <f t="shared" si="33"/>
        <v>35.039615171186135</v>
      </c>
      <c r="G132" s="32">
        <f t="shared" si="33"/>
        <v>31.630992649329741</v>
      </c>
      <c r="H132" s="32">
        <f t="shared" si="33"/>
        <v>31.240780316497418</v>
      </c>
      <c r="I132" s="32">
        <f t="shared" si="33"/>
        <v>34.104722268520206</v>
      </c>
      <c r="J132" s="32"/>
      <c r="K132" s="32"/>
      <c r="M132" s="21">
        <v>42644</v>
      </c>
    </row>
    <row r="133" spans="1:22" x14ac:dyDescent="0.2">
      <c r="A133" s="11"/>
      <c r="B133" s="21" t="s">
        <v>82</v>
      </c>
      <c r="C133" s="12">
        <f>+C116/SUM(C56:I56)*1000</f>
        <v>33.874367404217594</v>
      </c>
      <c r="M133" s="21">
        <f>M136-M132</f>
        <v>1339</v>
      </c>
    </row>
    <row r="134" spans="1:22" x14ac:dyDescent="0.2">
      <c r="A134" s="11"/>
    </row>
    <row r="135" spans="1:22" x14ac:dyDescent="0.2">
      <c r="A135" s="156" t="s">
        <v>83</v>
      </c>
      <c r="B135" s="39" t="s">
        <v>84</v>
      </c>
    </row>
    <row r="136" spans="1:22" x14ac:dyDescent="0.2">
      <c r="A136" s="11"/>
      <c r="B136" s="2" t="str">
        <f>"Obligations - annual average forecasted for " &amp;M1-1 &amp;"; costs are market estimates"</f>
        <v>Obligations - annual average forecasted for 2018; costs are market estimates</v>
      </c>
      <c r="M136" s="165">
        <f>(DATE($M$1+1,6,1))</f>
        <v>43983</v>
      </c>
    </row>
    <row r="137" spans="1:22" x14ac:dyDescent="0.2">
      <c r="A137" s="11"/>
      <c r="B137" s="16" t="s">
        <v>85</v>
      </c>
      <c r="C137" s="47" t="str">
        <f>+C6</f>
        <v>SC1</v>
      </c>
      <c r="D137" s="47" t="str">
        <f t="shared" ref="D137:I137" si="34">+D6</f>
        <v>SC5</v>
      </c>
      <c r="E137" s="47" t="str">
        <f t="shared" si="34"/>
        <v>SC3</v>
      </c>
      <c r="F137" s="47" t="str">
        <f t="shared" si="34"/>
        <v>SC2 ND</v>
      </c>
      <c r="G137" s="47" t="str">
        <f t="shared" si="34"/>
        <v>SC4</v>
      </c>
      <c r="H137" s="47" t="str">
        <f t="shared" si="34"/>
        <v>SC6</v>
      </c>
      <c r="I137" s="47" t="str">
        <f t="shared" si="34"/>
        <v>SC2 Dem</v>
      </c>
      <c r="J137" s="47" t="s">
        <v>86</v>
      </c>
      <c r="K137" s="51"/>
      <c r="M137" s="165">
        <f>(DATE($M$1,10,1))</f>
        <v>43739</v>
      </c>
    </row>
    <row r="138" spans="1:22" x14ac:dyDescent="0.2">
      <c r="A138" s="11"/>
      <c r="M138" s="21">
        <f>M136-M137</f>
        <v>244</v>
      </c>
    </row>
    <row r="139" spans="1:22" x14ac:dyDescent="0.2">
      <c r="A139" s="11"/>
      <c r="B139" s="21" t="s">
        <v>87</v>
      </c>
      <c r="C139" s="14">
        <v>345.625</v>
      </c>
      <c r="D139" s="14">
        <v>4.5940000000000003</v>
      </c>
      <c r="E139" s="14">
        <v>8.7999999999999995E-2</v>
      </c>
      <c r="F139" s="14">
        <v>5.2229999999999999</v>
      </c>
      <c r="G139" s="99">
        <v>0</v>
      </c>
      <c r="H139" s="99">
        <v>0</v>
      </c>
      <c r="I139" s="14">
        <v>104.298</v>
      </c>
      <c r="J139" s="14">
        <f>SUM(C139:I139)</f>
        <v>459.82800000000003</v>
      </c>
      <c r="K139" s="99" t="b">
        <v>1</v>
      </c>
      <c r="L139" s="14"/>
      <c r="M139" s="14"/>
      <c r="N139" s="14"/>
      <c r="O139" s="14"/>
      <c r="P139" s="14"/>
      <c r="Q139" s="14"/>
      <c r="R139" s="14"/>
      <c r="S139" s="9"/>
      <c r="T139" s="9"/>
      <c r="U139" s="9"/>
      <c r="V139" s="9"/>
    </row>
    <row r="140" spans="1:22" x14ac:dyDescent="0.2">
      <c r="A140" s="11"/>
      <c r="C140" s="14"/>
      <c r="D140" s="14"/>
      <c r="E140" s="14"/>
      <c r="F140" s="14"/>
      <c r="G140" s="14"/>
      <c r="H140" s="14"/>
      <c r="I140" s="14"/>
      <c r="J140" s="14"/>
    </row>
    <row r="141" spans="1:22" x14ac:dyDescent="0.2">
      <c r="A141" s="11"/>
      <c r="B141" s="21" t="s">
        <v>88</v>
      </c>
      <c r="C141" s="14">
        <v>257.262</v>
      </c>
      <c r="D141" s="14">
        <v>3.488</v>
      </c>
      <c r="E141" s="14">
        <v>6.7000000000000004E-2</v>
      </c>
      <c r="F141" s="14">
        <v>4.2309999999999999</v>
      </c>
      <c r="G141" s="99">
        <v>0</v>
      </c>
      <c r="H141" s="99">
        <v>0</v>
      </c>
      <c r="I141" s="14">
        <v>86.768000000000001</v>
      </c>
      <c r="J141" s="14">
        <f>SUM(C141:I141)</f>
        <v>351.81600000000003</v>
      </c>
      <c r="K141" s="99" t="b">
        <v>0</v>
      </c>
      <c r="L141" s="14"/>
      <c r="M141" s="14"/>
      <c r="Q141" s="14"/>
      <c r="R141" s="14"/>
      <c r="S141" s="9"/>
      <c r="T141" s="9"/>
      <c r="U141" s="9"/>
      <c r="V141" s="9"/>
    </row>
    <row r="142" spans="1:22" x14ac:dyDescent="0.2">
      <c r="A142" s="11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22" x14ac:dyDescent="0.2">
      <c r="A143" s="11"/>
      <c r="B143" s="21" t="s">
        <v>89</v>
      </c>
      <c r="G143" s="99"/>
      <c r="H143" s="99"/>
      <c r="I143" s="99"/>
      <c r="J143" s="99"/>
      <c r="K143" s="99"/>
    </row>
    <row r="144" spans="1:22" x14ac:dyDescent="0.2">
      <c r="A144" s="11"/>
      <c r="D144" s="22" t="s">
        <v>90</v>
      </c>
      <c r="E144" s="100">
        <f>(DATE($M$1,10,1))-(DATE($M$1,6,1))</f>
        <v>122</v>
      </c>
      <c r="G144" s="22" t="s">
        <v>91</v>
      </c>
      <c r="H144" s="21">
        <v>4</v>
      </c>
      <c r="I144" s="99"/>
      <c r="J144" s="99"/>
      <c r="K144" s="166"/>
      <c r="L144" s="167"/>
    </row>
    <row r="145" spans="1:12" x14ac:dyDescent="0.2">
      <c r="A145" s="11"/>
      <c r="D145" s="24" t="s">
        <v>92</v>
      </c>
      <c r="E145" s="100">
        <f>(DATE($M$1+1,6,1))-(DATE($M$1,10,1))</f>
        <v>244</v>
      </c>
      <c r="G145" s="24" t="s">
        <v>93</v>
      </c>
      <c r="H145" s="21">
        <v>8</v>
      </c>
      <c r="I145" s="99"/>
      <c r="J145" s="99"/>
      <c r="K145" s="166"/>
      <c r="L145" s="167"/>
    </row>
    <row r="146" spans="1:12" x14ac:dyDescent="0.2">
      <c r="A146" s="11"/>
      <c r="G146" s="22" t="s">
        <v>94</v>
      </c>
      <c r="H146" s="21">
        <f>+H144+H145</f>
        <v>12</v>
      </c>
      <c r="I146" s="99"/>
      <c r="J146" s="99"/>
      <c r="K146" s="99"/>
    </row>
    <row r="147" spans="1:12" x14ac:dyDescent="0.2">
      <c r="A147" s="11"/>
      <c r="B147" s="21" t="s">
        <v>95</v>
      </c>
      <c r="C147" s="107">
        <v>42548</v>
      </c>
      <c r="D147" s="101" t="s">
        <v>96</v>
      </c>
      <c r="E147" s="168">
        <f>C147/365</f>
        <v>116.56986301369864</v>
      </c>
      <c r="F147" s="168"/>
    </row>
    <row r="148" spans="1:12" x14ac:dyDescent="0.2">
      <c r="A148" s="11"/>
    </row>
    <row r="149" spans="1:12" x14ac:dyDescent="0.2">
      <c r="A149" s="11"/>
      <c r="B149" s="21" t="s">
        <v>97</v>
      </c>
      <c r="C149" s="21" t="s">
        <v>98</v>
      </c>
      <c r="D149" s="15">
        <f>F449</f>
        <v>170.71</v>
      </c>
      <c r="E149" s="101" t="s">
        <v>99</v>
      </c>
      <c r="G149" s="24" t="s">
        <v>100</v>
      </c>
      <c r="H149" s="22" t="s">
        <v>101</v>
      </c>
      <c r="I149" s="161">
        <f>+D149*365/1000</f>
        <v>62.309150000000002</v>
      </c>
      <c r="J149" s="21" t="s">
        <v>102</v>
      </c>
    </row>
    <row r="150" spans="1:12" x14ac:dyDescent="0.2">
      <c r="A150" s="11"/>
      <c r="B150" s="48" t="s">
        <v>103</v>
      </c>
      <c r="C150" s="21" t="s">
        <v>104</v>
      </c>
      <c r="D150" s="15">
        <f>F451</f>
        <v>145.85</v>
      </c>
      <c r="E150" s="101" t="s">
        <v>99</v>
      </c>
      <c r="H150" s="22" t="s">
        <v>105</v>
      </c>
      <c r="I150" s="161">
        <f>+D150*365/1000</f>
        <v>53.235250000000001</v>
      </c>
      <c r="J150" s="21" t="s">
        <v>102</v>
      </c>
      <c r="L150" s="165"/>
    </row>
    <row r="151" spans="1:12" x14ac:dyDescent="0.2">
      <c r="A151" s="11"/>
      <c r="D151" s="15"/>
      <c r="E151" s="101"/>
      <c r="H151" s="22"/>
      <c r="I151" s="161"/>
      <c r="L151" s="165"/>
    </row>
    <row r="152" spans="1:12" x14ac:dyDescent="0.2">
      <c r="A152" s="11"/>
      <c r="B152" s="48" t="s">
        <v>106</v>
      </c>
      <c r="L152" s="167"/>
    </row>
    <row r="153" spans="1:12" x14ac:dyDescent="0.2">
      <c r="A153" s="11"/>
      <c r="B153" s="2" t="s">
        <v>107</v>
      </c>
    </row>
    <row r="154" spans="1:12" x14ac:dyDescent="0.2">
      <c r="A154" s="11"/>
      <c r="B154" s="16"/>
      <c r="C154" s="17" t="str">
        <f>" ---------- "&amp;C6&amp;" ----------"</f>
        <v xml:space="preserve"> ---------- SC1 ----------</v>
      </c>
      <c r="D154" s="18"/>
      <c r="E154" s="19"/>
      <c r="F154" s="20"/>
      <c r="H154" s="17" t="str">
        <f>" ---------- "&amp;D6&amp;" ----------"</f>
        <v xml:space="preserve"> ---------- SC5 ----------</v>
      </c>
      <c r="I154" s="18"/>
      <c r="J154" s="18"/>
    </row>
    <row r="155" spans="1:12" x14ac:dyDescent="0.2">
      <c r="A155" s="11"/>
      <c r="C155" s="22" t="s">
        <v>108</v>
      </c>
      <c r="D155" s="22"/>
      <c r="E155" s="23" t="s">
        <v>109</v>
      </c>
      <c r="F155" s="20"/>
      <c r="H155" s="24" t="s">
        <v>110</v>
      </c>
      <c r="I155" s="22" t="s">
        <v>111</v>
      </c>
      <c r="J155" s="22" t="s">
        <v>109</v>
      </c>
    </row>
    <row r="156" spans="1:12" x14ac:dyDescent="0.2">
      <c r="A156" s="11"/>
      <c r="B156" s="24" t="s">
        <v>112</v>
      </c>
      <c r="C156" s="28">
        <v>6.7480000000000002</v>
      </c>
      <c r="D156" s="21" t="s">
        <v>113</v>
      </c>
      <c r="E156" s="25">
        <v>0.42099999999999999</v>
      </c>
      <c r="F156" s="26"/>
      <c r="G156" s="24" t="s">
        <v>112</v>
      </c>
      <c r="H156" s="21">
        <v>7.0309999999999997</v>
      </c>
      <c r="J156" s="27">
        <v>0.61660000000000004</v>
      </c>
    </row>
    <row r="157" spans="1:12" x14ac:dyDescent="0.2">
      <c r="A157" s="11"/>
      <c r="B157" s="24" t="s">
        <v>114</v>
      </c>
      <c r="C157" s="28">
        <v>9.6199999999999992</v>
      </c>
      <c r="D157" s="21" t="s">
        <v>113</v>
      </c>
      <c r="E157" s="25">
        <v>0.57899999999999996</v>
      </c>
      <c r="F157" s="26"/>
      <c r="G157" s="24" t="s">
        <v>114</v>
      </c>
      <c r="H157" s="21">
        <v>9.0589999999999993</v>
      </c>
      <c r="I157" s="28">
        <f>H157-H156</f>
        <v>2.0279999999999996</v>
      </c>
      <c r="J157" s="27">
        <v>0.38350000000000001</v>
      </c>
    </row>
    <row r="158" spans="1:12" x14ac:dyDescent="0.2">
      <c r="A158" s="11"/>
      <c r="B158" s="22" t="s">
        <v>115</v>
      </c>
      <c r="C158" s="28">
        <f>+C157-C156</f>
        <v>2.871999999999999</v>
      </c>
      <c r="D158" s="21" t="s">
        <v>113</v>
      </c>
      <c r="E158" s="20"/>
      <c r="F158" s="26"/>
    </row>
    <row r="159" spans="1:12" x14ac:dyDescent="0.2">
      <c r="A159" s="21"/>
      <c r="E159" s="20"/>
      <c r="F159" s="29"/>
    </row>
    <row r="160" spans="1:12" x14ac:dyDescent="0.2">
      <c r="A160" s="156" t="s">
        <v>116</v>
      </c>
      <c r="B160" s="34" t="s">
        <v>117</v>
      </c>
    </row>
    <row r="161" spans="1:11" x14ac:dyDescent="0.2">
      <c r="A161" s="11"/>
      <c r="B161" s="16" t="s">
        <v>118</v>
      </c>
      <c r="D161" s="30">
        <f>H461</f>
        <v>19.47</v>
      </c>
      <c r="E161" s="48" t="s">
        <v>119</v>
      </c>
      <c r="F161" s="101"/>
    </row>
    <row r="162" spans="1:11" x14ac:dyDescent="0.2">
      <c r="A162" s="11"/>
      <c r="B162" s="16"/>
      <c r="F162" s="101"/>
    </row>
    <row r="163" spans="1:11" x14ac:dyDescent="0.2">
      <c r="A163" s="156" t="s">
        <v>120</v>
      </c>
      <c r="B163" s="34" t="s">
        <v>121</v>
      </c>
    </row>
    <row r="164" spans="1:11" x14ac:dyDescent="0.2">
      <c r="A164" s="123"/>
      <c r="B164" s="34"/>
    </row>
    <row r="165" spans="1:11" x14ac:dyDescent="0.2">
      <c r="A165" s="123"/>
      <c r="B165" s="34"/>
      <c r="C165" s="47" t="str">
        <f t="shared" ref="C165:H165" si="35">+C6</f>
        <v>SC1</v>
      </c>
      <c r="D165" s="47" t="str">
        <f t="shared" si="35"/>
        <v>SC5</v>
      </c>
      <c r="E165" s="47" t="str">
        <f t="shared" si="35"/>
        <v>SC3</v>
      </c>
      <c r="F165" s="47" t="str">
        <f t="shared" si="35"/>
        <v>SC2 ND</v>
      </c>
      <c r="G165" s="47" t="str">
        <f t="shared" si="35"/>
        <v>SC4</v>
      </c>
      <c r="H165" s="47" t="str">
        <f t="shared" si="35"/>
        <v>SC6</v>
      </c>
    </row>
    <row r="166" spans="1:11" x14ac:dyDescent="0.2">
      <c r="A166" s="123"/>
      <c r="B166" s="34"/>
    </row>
    <row r="167" spans="1:11" x14ac:dyDescent="0.2">
      <c r="A167" s="11"/>
      <c r="B167" s="22" t="s">
        <v>122</v>
      </c>
      <c r="C167" s="32">
        <f t="shared" ref="C167:H167" si="36">(+$C$147*C141*$H$146/12)/C56</f>
        <v>17.256044513283751</v>
      </c>
      <c r="D167" s="32">
        <f t="shared" si="36"/>
        <v>10.938047169811322</v>
      </c>
      <c r="E167" s="32">
        <f>(+$C$147*E141*$H$146/12)/E56</f>
        <v>11.17927843137255</v>
      </c>
      <c r="F167" s="32">
        <f t="shared" si="36"/>
        <v>7.8700965288100022</v>
      </c>
      <c r="G167" s="32">
        <f t="shared" si="36"/>
        <v>0</v>
      </c>
      <c r="H167" s="32">
        <f t="shared" si="36"/>
        <v>0</v>
      </c>
      <c r="I167" s="32"/>
      <c r="J167" s="32"/>
      <c r="K167" s="32"/>
    </row>
    <row r="168" spans="1:11" x14ac:dyDescent="0.2">
      <c r="A168" s="11"/>
      <c r="B168" s="2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x14ac:dyDescent="0.2">
      <c r="A169" s="11"/>
      <c r="B169" s="22" t="s">
        <v>123</v>
      </c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x14ac:dyDescent="0.2">
      <c r="A170" s="11"/>
      <c r="B170" s="22" t="s">
        <v>124</v>
      </c>
      <c r="C170" s="32">
        <f t="shared" ref="C170:H170" si="37">((+$D$149*$E$144*C139)+($D$150*$E$145*C139))/C56</f>
        <v>30.738215925527431</v>
      </c>
      <c r="D170" s="32">
        <f t="shared" si="37"/>
        <v>19.101268269457552</v>
      </c>
      <c r="E170" s="32">
        <f t="shared" si="37"/>
        <v>19.468367686274508</v>
      </c>
      <c r="F170" s="32">
        <f t="shared" si="37"/>
        <v>12.881456083763224</v>
      </c>
      <c r="G170" s="32">
        <f t="shared" si="37"/>
        <v>0</v>
      </c>
      <c r="H170" s="32">
        <f t="shared" si="37"/>
        <v>0</v>
      </c>
      <c r="I170" s="32"/>
      <c r="J170" s="32"/>
      <c r="K170" s="32"/>
    </row>
    <row r="171" spans="1:11" x14ac:dyDescent="0.2">
      <c r="A171" s="11"/>
      <c r="B171" s="22" t="s">
        <v>125</v>
      </c>
      <c r="C171" s="32">
        <f t="shared" ref="C171:H171" si="38">C$139*$D149*$E144/SUM(C$49:C$52)</f>
        <v>25.993649960367833</v>
      </c>
      <c r="D171" s="32">
        <f t="shared" si="38"/>
        <v>21.290051686693371</v>
      </c>
      <c r="E171" s="32">
        <f t="shared" si="38"/>
        <v>22.909281999999997</v>
      </c>
      <c r="F171" s="32">
        <f t="shared" si="38"/>
        <v>15.593095794151376</v>
      </c>
      <c r="G171" s="32">
        <f t="shared" si="38"/>
        <v>0</v>
      </c>
      <c r="H171" s="32">
        <f t="shared" si="38"/>
        <v>0</v>
      </c>
      <c r="I171" s="32"/>
      <c r="J171" s="32"/>
      <c r="K171" s="32"/>
    </row>
    <row r="172" spans="1:11" x14ac:dyDescent="0.2">
      <c r="A172" s="11"/>
      <c r="B172" s="22" t="s">
        <v>126</v>
      </c>
      <c r="C172" s="32">
        <f t="shared" ref="C172:H172" si="39">C$139*$D150*$E145/(SUM(C$44:C$48)+SUM(C$53:C$55))</f>
        <v>34.414349857025343</v>
      </c>
      <c r="D172" s="32">
        <f t="shared" si="39"/>
        <v>18.017248798765703</v>
      </c>
      <c r="E172" s="32">
        <f t="shared" si="39"/>
        <v>17.895378285714283</v>
      </c>
      <c r="F172" s="32">
        <f t="shared" si="39"/>
        <v>11.69159581079381</v>
      </c>
      <c r="G172" s="32">
        <f t="shared" si="39"/>
        <v>0</v>
      </c>
      <c r="H172" s="32">
        <f t="shared" si="39"/>
        <v>0</v>
      </c>
      <c r="I172" s="32"/>
      <c r="J172" s="32"/>
      <c r="K172" s="32"/>
    </row>
    <row r="173" spans="1:11" x14ac:dyDescent="0.2">
      <c r="A173" s="11"/>
      <c r="C173" s="76"/>
      <c r="D173" s="76"/>
      <c r="E173" s="76"/>
      <c r="F173" s="76"/>
      <c r="G173" s="76"/>
      <c r="H173" s="76"/>
      <c r="I173" s="76"/>
      <c r="J173" s="32"/>
      <c r="K173" s="32"/>
    </row>
    <row r="174" spans="1:11" x14ac:dyDescent="0.2">
      <c r="A174" s="11"/>
      <c r="C174" s="102"/>
      <c r="D174" s="102"/>
      <c r="E174" s="102"/>
      <c r="F174" s="102"/>
      <c r="G174" s="102"/>
      <c r="H174" s="102"/>
    </row>
    <row r="175" spans="1:11" x14ac:dyDescent="0.2">
      <c r="A175" s="156" t="s">
        <v>127</v>
      </c>
      <c r="B175" s="34" t="s">
        <v>128</v>
      </c>
    </row>
    <row r="176" spans="1:11" x14ac:dyDescent="0.2">
      <c r="A176" s="11"/>
      <c r="B176" s="34"/>
      <c r="C176" s="76"/>
      <c r="D176" s="76"/>
      <c r="E176" s="76"/>
      <c r="F176" s="76"/>
      <c r="G176" s="76"/>
      <c r="H176" s="76"/>
    </row>
    <row r="177" spans="1:9" x14ac:dyDescent="0.2">
      <c r="A177" s="11"/>
      <c r="B177" s="39" t="s">
        <v>129</v>
      </c>
      <c r="C177" s="102"/>
      <c r="D177" s="102"/>
      <c r="E177" s="102"/>
      <c r="F177" s="102"/>
      <c r="G177" s="102"/>
      <c r="H177" s="102"/>
    </row>
    <row r="178" spans="1:9" x14ac:dyDescent="0.2">
      <c r="A178" s="11"/>
      <c r="B178" s="16"/>
    </row>
    <row r="179" spans="1:9" x14ac:dyDescent="0.2">
      <c r="A179" s="11"/>
      <c r="C179" s="47" t="str">
        <f t="shared" ref="C179:H179" si="40">+C6</f>
        <v>SC1</v>
      </c>
      <c r="D179" s="47" t="str">
        <f t="shared" si="40"/>
        <v>SC5</v>
      </c>
      <c r="E179" s="47" t="str">
        <f t="shared" si="40"/>
        <v>SC3</v>
      </c>
      <c r="F179" s="47" t="str">
        <f t="shared" si="40"/>
        <v>SC2 ND</v>
      </c>
      <c r="G179" s="47" t="str">
        <f t="shared" si="40"/>
        <v>SC4</v>
      </c>
      <c r="H179" s="47" t="str">
        <f t="shared" si="40"/>
        <v>SC6</v>
      </c>
    </row>
    <row r="180" spans="1:9" x14ac:dyDescent="0.2">
      <c r="A180" s="11"/>
      <c r="C180" s="51"/>
      <c r="D180" s="51"/>
      <c r="E180" s="32"/>
      <c r="F180" s="51"/>
    </row>
    <row r="181" spans="1:9" x14ac:dyDescent="0.2">
      <c r="A181" s="11"/>
      <c r="B181" s="103" t="s">
        <v>64</v>
      </c>
      <c r="C181" s="31">
        <f t="shared" ref="C181:H181" si="41">+C124+$D$161+C$167+C171</f>
        <v>93.678096335723339</v>
      </c>
      <c r="D181" s="32">
        <f t="shared" si="41"/>
        <v>82.42335210516697</v>
      </c>
      <c r="E181" s="32">
        <f t="shared" si="41"/>
        <v>84.321467539792991</v>
      </c>
      <c r="F181" s="32">
        <f t="shared" si="41"/>
        <v>74.641996062637276</v>
      </c>
      <c r="G181" s="32">
        <f t="shared" si="41"/>
        <v>45.755291669243206</v>
      </c>
      <c r="H181" s="32">
        <f t="shared" si="41"/>
        <v>45.708130500840085</v>
      </c>
      <c r="I181" s="32"/>
    </row>
    <row r="182" spans="1:9" x14ac:dyDescent="0.2">
      <c r="A182" s="11"/>
      <c r="B182" s="104" t="s">
        <v>79</v>
      </c>
      <c r="C182" s="32"/>
      <c r="D182" s="32"/>
      <c r="E182" s="31">
        <f>+E125+$D$161+E$167+(E171*O48/O49)</f>
        <v>130.07294888473328</v>
      </c>
      <c r="F182" s="32"/>
      <c r="G182" s="32"/>
      <c r="H182" s="32"/>
    </row>
    <row r="183" spans="1:9" x14ac:dyDescent="0.2">
      <c r="A183" s="11"/>
      <c r="B183" s="104" t="s">
        <v>80</v>
      </c>
      <c r="C183" s="32"/>
      <c r="D183" s="32"/>
      <c r="E183" s="31">
        <f>+E126+$D$161+E$167</f>
        <v>55.967967629093621</v>
      </c>
      <c r="F183" s="32"/>
      <c r="G183" s="32"/>
      <c r="H183" s="32"/>
    </row>
    <row r="184" spans="1:9" x14ac:dyDescent="0.2">
      <c r="A184" s="11"/>
      <c r="B184" s="22" t="s">
        <v>130</v>
      </c>
      <c r="C184" s="32">
        <f>(C181*SUM(C49:C52)-C158*10*E157*SUM(C49:C52))/SUM(C49:C52)</f>
        <v>77.049216335723344</v>
      </c>
      <c r="D184" s="32">
        <f>(D181*SUM(D49:D52)-I157*10*J157*SUM(D49:D52))/SUM(D49:D52)</f>
        <v>74.645972105166976</v>
      </c>
      <c r="E184" s="32"/>
      <c r="F184" s="32"/>
      <c r="G184" s="32"/>
      <c r="H184" s="32"/>
    </row>
    <row r="185" spans="1:9" x14ac:dyDescent="0.2">
      <c r="A185" s="11"/>
      <c r="B185" s="22" t="s">
        <v>131</v>
      </c>
      <c r="C185" s="32">
        <f>C184+C158*10</f>
        <v>105.76921633572334</v>
      </c>
      <c r="D185" s="32">
        <f>D184+I157*10</f>
        <v>94.925972105166977</v>
      </c>
      <c r="E185" s="32"/>
      <c r="F185" s="32"/>
      <c r="G185" s="32"/>
      <c r="H185" s="32"/>
    </row>
    <row r="186" spans="1:9" x14ac:dyDescent="0.2">
      <c r="A186" s="11"/>
      <c r="B186" s="32"/>
      <c r="C186" s="32"/>
      <c r="D186" s="32"/>
      <c r="E186" s="32"/>
      <c r="F186" s="32"/>
      <c r="G186" s="32"/>
      <c r="H186" s="32"/>
    </row>
    <row r="187" spans="1:9" x14ac:dyDescent="0.2">
      <c r="A187" s="11"/>
      <c r="C187" s="32"/>
      <c r="D187" s="32"/>
      <c r="E187" s="32"/>
      <c r="F187" s="32"/>
      <c r="G187" s="32"/>
      <c r="H187" s="32"/>
    </row>
    <row r="188" spans="1:9" x14ac:dyDescent="0.2">
      <c r="A188" s="11"/>
      <c r="B188" s="103" t="s">
        <v>70</v>
      </c>
      <c r="C188" s="31">
        <f t="shared" ref="C188:H188" si="42">+C128+$D$161+C$167+C172</f>
        <v>107.02869987865611</v>
      </c>
      <c r="D188" s="32">
        <f t="shared" si="42"/>
        <v>84.701426678930318</v>
      </c>
      <c r="E188" s="32">
        <f t="shared" si="42"/>
        <v>84.743648471472952</v>
      </c>
      <c r="F188" s="32">
        <f t="shared" si="42"/>
        <v>75.532858683655419</v>
      </c>
      <c r="G188" s="32">
        <f t="shared" si="42"/>
        <v>53.170664300840187</v>
      </c>
      <c r="H188" s="32">
        <f t="shared" si="42"/>
        <v>52.851180353114934</v>
      </c>
      <c r="I188" s="32"/>
    </row>
    <row r="189" spans="1:9" x14ac:dyDescent="0.2">
      <c r="A189" s="11"/>
      <c r="B189" s="104" t="s">
        <v>79</v>
      </c>
      <c r="C189" s="32"/>
      <c r="D189" s="32"/>
      <c r="E189" s="31">
        <f>+E129+$D$161+E$167+(E172*O44/O45)</f>
        <v>122.33017446589744</v>
      </c>
      <c r="F189" s="32"/>
      <c r="G189" s="32"/>
      <c r="H189" s="32"/>
    </row>
    <row r="190" spans="1:9" x14ac:dyDescent="0.2">
      <c r="A190" s="11"/>
      <c r="B190" s="104" t="s">
        <v>80</v>
      </c>
      <c r="C190" s="32"/>
      <c r="D190" s="32"/>
      <c r="E190" s="31">
        <f>+E130+$D$161+E$167</f>
        <v>63.59387016900758</v>
      </c>
      <c r="F190" s="32"/>
      <c r="G190" s="32"/>
      <c r="H190" s="32"/>
    </row>
    <row r="191" spans="1:9" x14ac:dyDescent="0.2">
      <c r="A191" s="11"/>
      <c r="C191" s="32"/>
      <c r="D191" s="32"/>
      <c r="E191" s="32"/>
      <c r="F191" s="32"/>
      <c r="G191" s="32"/>
      <c r="H191" s="32"/>
    </row>
    <row r="192" spans="1:9" x14ac:dyDescent="0.2">
      <c r="A192" s="11"/>
      <c r="B192" s="21" t="s">
        <v>132</v>
      </c>
      <c r="C192" s="31">
        <f t="shared" ref="C192:H192" si="43">+C132+$D$161+C$167+C170</f>
        <v>101.20037120141248</v>
      </c>
      <c r="D192" s="32">
        <f t="shared" si="43"/>
        <v>83.9468816365886</v>
      </c>
      <c r="E192" s="32">
        <f t="shared" si="43"/>
        <v>84.611199551730209</v>
      </c>
      <c r="F192" s="32">
        <f t="shared" si="43"/>
        <v>75.261167783759362</v>
      </c>
      <c r="G192" s="32">
        <f t="shared" si="43"/>
        <v>51.10099264932974</v>
      </c>
      <c r="H192" s="32">
        <f t="shared" si="43"/>
        <v>50.71078031649742</v>
      </c>
      <c r="I192" s="32"/>
    </row>
    <row r="193" spans="1:27" x14ac:dyDescent="0.2">
      <c r="A193" s="11"/>
      <c r="C193" s="32"/>
      <c r="D193" s="32"/>
      <c r="E193" s="32"/>
      <c r="F193" s="32"/>
      <c r="G193" s="32"/>
      <c r="H193" s="32"/>
      <c r="I193" s="32"/>
    </row>
    <row r="194" spans="1:27" x14ac:dyDescent="0.2">
      <c r="A194" s="11"/>
      <c r="B194" s="39" t="s">
        <v>133</v>
      </c>
    </row>
    <row r="195" spans="1:27" x14ac:dyDescent="0.2">
      <c r="A195" s="11"/>
      <c r="B195" s="16"/>
    </row>
    <row r="196" spans="1:27" x14ac:dyDescent="0.2">
      <c r="A196" s="11"/>
      <c r="C196" s="47" t="str">
        <f>+I6</f>
        <v>SC2 Dem</v>
      </c>
      <c r="D196" s="51"/>
      <c r="E196" s="51"/>
      <c r="G196" s="34" t="s">
        <v>134</v>
      </c>
    </row>
    <row r="197" spans="1:27" x14ac:dyDescent="0.2">
      <c r="A197" s="11"/>
      <c r="C197" s="51"/>
      <c r="D197" s="51"/>
      <c r="F197" s="34"/>
    </row>
    <row r="198" spans="1:27" x14ac:dyDescent="0.2">
      <c r="A198" s="11"/>
      <c r="B198" s="103" t="s">
        <v>64</v>
      </c>
      <c r="C198" s="32">
        <f>+I124+$D$161</f>
        <v>50.5446004218498</v>
      </c>
      <c r="D198" s="32"/>
      <c r="G198" s="50" t="s">
        <v>135</v>
      </c>
    </row>
    <row r="199" spans="1:27" x14ac:dyDescent="0.2">
      <c r="A199" s="11"/>
      <c r="B199" s="104"/>
      <c r="C199" s="32"/>
      <c r="D199" s="32"/>
    </row>
    <row r="200" spans="1:27" x14ac:dyDescent="0.2">
      <c r="A200" s="11"/>
      <c r="B200" s="104"/>
      <c r="C200" s="32"/>
      <c r="D200" s="32"/>
      <c r="H200" s="47"/>
      <c r="I200" s="36" t="s">
        <v>136</v>
      </c>
      <c r="J200" s="36" t="s">
        <v>137</v>
      </c>
    </row>
    <row r="201" spans="1:27" x14ac:dyDescent="0.2">
      <c r="A201" s="11"/>
      <c r="C201" s="32"/>
      <c r="D201" s="32"/>
    </row>
    <row r="202" spans="1:27" x14ac:dyDescent="0.2">
      <c r="A202" s="11"/>
      <c r="B202" s="103" t="s">
        <v>70</v>
      </c>
      <c r="C202" s="32">
        <f>+I128+$D$161</f>
        <v>55.302831763899903</v>
      </c>
      <c r="D202" s="32"/>
      <c r="G202" s="22" t="s">
        <v>98</v>
      </c>
      <c r="H202" s="33"/>
      <c r="I202" s="169">
        <f>H213</f>
        <v>1.7629999999999999</v>
      </c>
      <c r="J202" s="169">
        <f>I213</f>
        <v>6.117</v>
      </c>
    </row>
    <row r="203" spans="1:27" x14ac:dyDescent="0.2">
      <c r="A203" s="11"/>
      <c r="B203" s="104"/>
      <c r="C203" s="32"/>
      <c r="D203" s="32"/>
      <c r="G203" s="22" t="s">
        <v>104</v>
      </c>
      <c r="H203" s="33"/>
      <c r="I203" s="169">
        <f>H214</f>
        <v>1.5740000000000001</v>
      </c>
      <c r="J203" s="169">
        <f>I214</f>
        <v>5.5730000000000004</v>
      </c>
    </row>
    <row r="204" spans="1:27" x14ac:dyDescent="0.2">
      <c r="A204" s="11"/>
      <c r="B204" s="104"/>
      <c r="C204" s="32"/>
      <c r="D204" s="32"/>
    </row>
    <row r="205" spans="1:27" x14ac:dyDescent="0.2">
      <c r="A205" s="11"/>
      <c r="B205" s="104"/>
      <c r="C205" s="32"/>
      <c r="D205" s="32"/>
      <c r="G205" s="170" t="s">
        <v>138</v>
      </c>
      <c r="I205" s="101"/>
    </row>
    <row r="206" spans="1:27" x14ac:dyDescent="0.2">
      <c r="A206" s="11"/>
      <c r="B206" s="21" t="s">
        <v>139</v>
      </c>
      <c r="C206" s="32">
        <f>+I132+$D$161</f>
        <v>53.574722268520205</v>
      </c>
      <c r="D206" s="32"/>
      <c r="G206" s="22" t="s">
        <v>140</v>
      </c>
      <c r="H206" s="171">
        <f>+C147/1000/12</f>
        <v>3.545666666666667</v>
      </c>
      <c r="I206" s="101" t="s">
        <v>141</v>
      </c>
      <c r="Q206" s="112"/>
    </row>
    <row r="207" spans="1:27" x14ac:dyDescent="0.2">
      <c r="A207" s="156" t="s">
        <v>127</v>
      </c>
      <c r="B207" s="172" t="s">
        <v>142</v>
      </c>
      <c r="C207" s="32"/>
      <c r="D207" s="32"/>
      <c r="L207" s="173" t="s">
        <v>134</v>
      </c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</row>
    <row r="208" spans="1:27" x14ac:dyDescent="0.2">
      <c r="A208" s="156"/>
      <c r="C208" s="32"/>
      <c r="D208" s="32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</row>
    <row r="209" spans="1:28" x14ac:dyDescent="0.2">
      <c r="A209" s="11"/>
      <c r="B209" s="175" t="s">
        <v>143</v>
      </c>
      <c r="C209" s="32"/>
      <c r="D209" s="32"/>
      <c r="F209" s="176" t="s">
        <v>135</v>
      </c>
      <c r="L209" s="177" t="s">
        <v>135</v>
      </c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</row>
    <row r="210" spans="1:28" x14ac:dyDescent="0.2">
      <c r="A210" s="11"/>
      <c r="B210" s="103" t="s">
        <v>64</v>
      </c>
      <c r="C210" s="31">
        <f>(C198*S48+($H213*($M$223/4*H144))+($I213*($M$223/4*H144))+($H206*$H144*I141*1000))/S48</f>
        <v>81.961627863451966</v>
      </c>
      <c r="D210" s="31"/>
      <c r="F210" s="26"/>
      <c r="L210" s="174"/>
      <c r="M210" s="174"/>
      <c r="N210" s="174"/>
      <c r="O210" s="174"/>
      <c r="P210" s="174"/>
      <c r="Q210" s="174"/>
      <c r="R210" s="174"/>
      <c r="S210" s="174"/>
      <c r="T210" s="174"/>
      <c r="U210" s="313" t="s">
        <v>144</v>
      </c>
      <c r="V210" s="313"/>
      <c r="W210" s="178"/>
      <c r="X210" s="178"/>
      <c r="Y210" s="174"/>
      <c r="Z210" s="174"/>
      <c r="AA210" s="174" t="s">
        <v>145</v>
      </c>
      <c r="AB210" s="21">
        <v>3</v>
      </c>
    </row>
    <row r="211" spans="1:28" x14ac:dyDescent="0.2">
      <c r="A211" s="11"/>
      <c r="B211" s="104"/>
      <c r="C211" s="32"/>
      <c r="D211" s="31"/>
      <c r="L211" s="174"/>
      <c r="M211" s="179" t="str">
        <f>I6</f>
        <v>SC2 Dem</v>
      </c>
      <c r="N211" s="180" t="s">
        <v>146</v>
      </c>
      <c r="O211" s="180" t="s">
        <v>137</v>
      </c>
      <c r="P211" s="174"/>
      <c r="Q211" s="174" t="s">
        <v>147</v>
      </c>
      <c r="R211" s="181" t="s">
        <v>146</v>
      </c>
      <c r="S211" s="181" t="s">
        <v>137</v>
      </c>
      <c r="T211" s="181" t="s">
        <v>148</v>
      </c>
      <c r="U211" s="174" t="s">
        <v>149</v>
      </c>
      <c r="V211" s="174" t="s">
        <v>150</v>
      </c>
      <c r="W211" s="174" t="s">
        <v>151</v>
      </c>
      <c r="X211" s="174" t="s">
        <v>152</v>
      </c>
      <c r="Y211" s="182">
        <v>0.33</v>
      </c>
      <c r="Z211" s="174"/>
      <c r="AA211" s="174"/>
    </row>
    <row r="212" spans="1:28" x14ac:dyDescent="0.2">
      <c r="A212" s="11"/>
      <c r="B212" s="104"/>
      <c r="C212" s="32"/>
      <c r="D212" s="31"/>
      <c r="F212" s="26"/>
      <c r="G212" s="47"/>
      <c r="H212" s="36" t="s">
        <v>136</v>
      </c>
      <c r="I212" s="36" t="s">
        <v>137</v>
      </c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</row>
    <row r="213" spans="1:28" x14ac:dyDescent="0.2">
      <c r="A213" s="11"/>
      <c r="C213" s="32"/>
      <c r="D213" s="32"/>
      <c r="F213" s="21" t="s">
        <v>98</v>
      </c>
      <c r="G213" s="169"/>
      <c r="H213" s="169">
        <f t="shared" ref="H213:I214" si="44">N213</f>
        <v>1.7629999999999999</v>
      </c>
      <c r="I213" s="169">
        <f t="shared" si="44"/>
        <v>6.117</v>
      </c>
      <c r="L213" s="181" t="s">
        <v>98</v>
      </c>
      <c r="M213" s="183">
        <f>ROUND(I139*D149*E144/$M$223,3)</f>
        <v>6.4980000000000002</v>
      </c>
      <c r="N213" s="28">
        <f>ROUND((Q213-W213*(1-$Y$211)*S213)/T213,$AB$210)</f>
        <v>1.7629999999999999</v>
      </c>
      <c r="O213" s="28">
        <f>ROUND(N213+W213*(1-$Y$211),$AB$210)</f>
        <v>6.117</v>
      </c>
      <c r="P213" s="174"/>
      <c r="Q213" s="183">
        <f>I139*D149*E144</f>
        <v>2172174.8127600001</v>
      </c>
      <c r="R213" s="184">
        <f>$M$229</f>
        <v>72502.028307206492</v>
      </c>
      <c r="S213" s="184">
        <f>$M$223</f>
        <v>334259.47169279348</v>
      </c>
      <c r="T213" s="185">
        <f>R213+S213</f>
        <v>406761.5</v>
      </c>
      <c r="U213" s="174">
        <v>0</v>
      </c>
      <c r="V213" s="174">
        <f>ROUND(I139*D149*E144/$M$223,3)</f>
        <v>6.4980000000000002</v>
      </c>
      <c r="W213" s="174">
        <f>V213-U213</f>
        <v>6.4980000000000002</v>
      </c>
      <c r="X213" s="174"/>
      <c r="Y213" s="174"/>
      <c r="Z213" s="174"/>
      <c r="AA213" s="112">
        <f>N213*R213+O213*S213</f>
        <v>2172486.2642504228</v>
      </c>
      <c r="AB213" s="112">
        <f>Q213-AA213</f>
        <v>-311.45149042271078</v>
      </c>
    </row>
    <row r="214" spans="1:28" x14ac:dyDescent="0.2">
      <c r="A214" s="11"/>
      <c r="B214" s="103" t="s">
        <v>70</v>
      </c>
      <c r="C214" s="31">
        <f>(C202*S44+($H214*($M$224/8*H145))+($I214*($M$224/8*H145))+($H206*$H145*I141*1000))/S44</f>
        <v>87.323277561781268</v>
      </c>
      <c r="D214" s="31"/>
      <c r="F214" s="21" t="s">
        <v>104</v>
      </c>
      <c r="G214" s="169"/>
      <c r="H214" s="169">
        <f t="shared" si="44"/>
        <v>1.5740000000000001</v>
      </c>
      <c r="I214" s="169">
        <f t="shared" si="44"/>
        <v>5.5730000000000004</v>
      </c>
      <c r="L214" s="181" t="s">
        <v>104</v>
      </c>
      <c r="M214" s="183">
        <f>ROUND(I139*D150*E145/$M$224,3)</f>
        <v>5.968</v>
      </c>
      <c r="N214" s="21">
        <f>ROUND((Q214-W214*(1-$Y$211)*S214)/T214,$AB$210)</f>
        <v>1.5740000000000001</v>
      </c>
      <c r="O214" s="28">
        <f>ROUND(N214+W214*(1-$Y$211),$AB$210)</f>
        <v>5.5730000000000004</v>
      </c>
      <c r="P214" s="174"/>
      <c r="Q214" s="183">
        <f>I139*D150*E145</f>
        <v>3711694.6451999997</v>
      </c>
      <c r="R214" s="184">
        <f>$M$230</f>
        <v>156227.41420191902</v>
      </c>
      <c r="S214" s="184">
        <f>$M$224</f>
        <v>621967.13579808094</v>
      </c>
      <c r="T214" s="185">
        <f>R214+S214</f>
        <v>778194.54999999993</v>
      </c>
      <c r="U214" s="174">
        <v>0</v>
      </c>
      <c r="V214" s="174">
        <f>ROUND(I139*D150*E145/$M$224,3)</f>
        <v>5.968</v>
      </c>
      <c r="W214" s="174">
        <f>V214-U214</f>
        <v>5.968</v>
      </c>
      <c r="X214" s="174"/>
      <c r="Y214" s="174"/>
      <c r="Z214" s="174"/>
      <c r="AA214" s="174"/>
    </row>
    <row r="215" spans="1:28" x14ac:dyDescent="0.2">
      <c r="A215" s="11"/>
      <c r="B215" s="104"/>
      <c r="C215" s="32"/>
      <c r="D215" s="31"/>
      <c r="H215" s="102"/>
      <c r="I215" s="102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</row>
    <row r="216" spans="1:28" x14ac:dyDescent="0.2">
      <c r="A216" s="11"/>
      <c r="B216" s="104"/>
      <c r="C216" s="32"/>
      <c r="D216" s="31"/>
      <c r="L216" s="186" t="s">
        <v>138</v>
      </c>
      <c r="M216" s="174"/>
      <c r="N216" s="187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</row>
    <row r="217" spans="1:28" x14ac:dyDescent="0.2">
      <c r="A217" s="11"/>
      <c r="B217" s="104"/>
      <c r="C217" s="32"/>
      <c r="D217" s="32"/>
      <c r="H217" s="76"/>
      <c r="I217" s="76"/>
      <c r="L217" s="181" t="s">
        <v>140</v>
      </c>
      <c r="M217" s="188">
        <f>+C147/1000/12</f>
        <v>3.545666666666667</v>
      </c>
      <c r="N217" s="187" t="s">
        <v>141</v>
      </c>
      <c r="O217" s="174"/>
      <c r="P217" s="174"/>
      <c r="Q217" s="189">
        <f>Q213+Q214</f>
        <v>5883869.4579600003</v>
      </c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</row>
    <row r="218" spans="1:28" x14ac:dyDescent="0.2">
      <c r="A218" s="11"/>
      <c r="B218" s="21" t="s">
        <v>153</v>
      </c>
      <c r="C218" s="31">
        <f>(C206*I56+($H213*($M$229/4*H144)+$H214*($M$230/8*H145)+$I213*($M$223/4*H144)+$I214*($M$224/8*H145))+($H206*$H146*I141*1000))/I56</f>
        <v>81.849098790146201</v>
      </c>
      <c r="D218" s="31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</row>
    <row r="219" spans="1:28" x14ac:dyDescent="0.2">
      <c r="A219" s="11"/>
      <c r="C219" s="13"/>
      <c r="D219" s="13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</row>
    <row r="220" spans="1:28" ht="13.5" thickBot="1" x14ac:dyDescent="0.25">
      <c r="A220" s="11"/>
      <c r="B220" s="34" t="s">
        <v>154</v>
      </c>
      <c r="C220" s="32"/>
      <c r="D220" s="32"/>
    </row>
    <row r="221" spans="1:28" x14ac:dyDescent="0.2">
      <c r="A221" s="11"/>
      <c r="B221" s="22" t="s">
        <v>155</v>
      </c>
      <c r="C221" s="105">
        <f>(+SUMPRODUCT(C192:H192,C56:H56)+SUMPRODUCT(C218,I56))/1000</f>
        <v>95313.776838048609</v>
      </c>
      <c r="L221" s="190" t="s">
        <v>156</v>
      </c>
      <c r="M221" s="191"/>
    </row>
    <row r="222" spans="1:28" x14ac:dyDescent="0.2">
      <c r="A222" s="11"/>
      <c r="C222" s="22" t="s">
        <v>157</v>
      </c>
      <c r="D222" s="31">
        <f>+C221/SUM(C56:I56)*1000</f>
        <v>93.45867645660536</v>
      </c>
      <c r="E222" s="21" t="s">
        <v>158</v>
      </c>
      <c r="L222" s="192"/>
      <c r="M222" s="193" t="s">
        <v>159</v>
      </c>
    </row>
    <row r="223" spans="1:28" x14ac:dyDescent="0.2">
      <c r="A223" s="11"/>
      <c r="C223" s="22" t="s">
        <v>160</v>
      </c>
      <c r="D223" s="31">
        <f>+C221/SUMPRODUCT(C56:I56,C81:I81)*1000</f>
        <v>86.976889010249863</v>
      </c>
      <c r="E223" s="21" t="s">
        <v>161</v>
      </c>
      <c r="L223" s="192" t="s">
        <v>69</v>
      </c>
      <c r="M223" s="194">
        <v>334259.47169279348</v>
      </c>
    </row>
    <row r="224" spans="1:28" ht="13.5" thickBot="1" x14ac:dyDescent="0.25">
      <c r="A224" s="11"/>
      <c r="L224" s="195" t="s">
        <v>62</v>
      </c>
      <c r="M224" s="196">
        <v>621967.13579808094</v>
      </c>
    </row>
    <row r="225" spans="1:13" x14ac:dyDescent="0.2">
      <c r="A225" s="11"/>
      <c r="E225" s="106"/>
    </row>
    <row r="226" spans="1:13" ht="13.5" thickBot="1" x14ac:dyDescent="0.25">
      <c r="A226" s="156" t="s">
        <v>162</v>
      </c>
      <c r="B226" s="34" t="s">
        <v>163</v>
      </c>
    </row>
    <row r="227" spans="1:13" x14ac:dyDescent="0.2">
      <c r="A227" s="11"/>
      <c r="B227" s="34"/>
      <c r="L227" s="190" t="s">
        <v>156</v>
      </c>
      <c r="M227" s="191"/>
    </row>
    <row r="228" spans="1:13" x14ac:dyDescent="0.2">
      <c r="A228" s="11"/>
      <c r="B228" s="34" t="s">
        <v>164</v>
      </c>
      <c r="L228" s="192"/>
      <c r="M228" s="193" t="s">
        <v>165</v>
      </c>
    </row>
    <row r="229" spans="1:13" x14ac:dyDescent="0.2">
      <c r="A229" s="11"/>
      <c r="B229" s="16" t="s">
        <v>166</v>
      </c>
      <c r="L229" s="192" t="s">
        <v>69</v>
      </c>
      <c r="M229" s="194">
        <v>72502.028307206492</v>
      </c>
    </row>
    <row r="230" spans="1:13" ht="13.5" thickBot="1" x14ac:dyDescent="0.25">
      <c r="A230" s="11"/>
      <c r="B230" s="34"/>
      <c r="L230" s="195" t="s">
        <v>62</v>
      </c>
      <c r="M230" s="196">
        <v>156227.41420191902</v>
      </c>
    </row>
    <row r="231" spans="1:13" x14ac:dyDescent="0.2">
      <c r="A231" s="11"/>
      <c r="C231" s="47" t="str">
        <f t="shared" ref="C231:H231" si="45">+C6</f>
        <v>SC1</v>
      </c>
      <c r="D231" s="47" t="str">
        <f t="shared" si="45"/>
        <v>SC5</v>
      </c>
      <c r="E231" s="47" t="str">
        <f t="shared" si="45"/>
        <v>SC3</v>
      </c>
      <c r="F231" s="47" t="str">
        <f t="shared" si="45"/>
        <v>SC2 ND</v>
      </c>
      <c r="G231" s="47" t="str">
        <f t="shared" si="45"/>
        <v>SC4</v>
      </c>
      <c r="H231" s="47" t="str">
        <f t="shared" si="45"/>
        <v>SC6</v>
      </c>
    </row>
    <row r="232" spans="1:13" x14ac:dyDescent="0.2">
      <c r="A232" s="11"/>
      <c r="C232" s="51"/>
      <c r="D232" s="51"/>
      <c r="E232" s="51"/>
      <c r="F232" s="51"/>
    </row>
    <row r="233" spans="1:13" x14ac:dyDescent="0.2">
      <c r="A233" s="11"/>
      <c r="B233" s="103" t="s">
        <v>64</v>
      </c>
      <c r="C233" s="35">
        <f>ROUND(+C181/$D$223,3)</f>
        <v>1.077</v>
      </c>
      <c r="D233" s="35">
        <f>ROUND(+D181/$D$223,3)</f>
        <v>0.94799999999999995</v>
      </c>
      <c r="E233" s="197"/>
      <c r="F233" s="35">
        <f>ROUND(+F181/$D$223,3)</f>
        <v>0.85799999999999998</v>
      </c>
      <c r="G233" s="35">
        <f>ROUND(+G181/$D$223,3)</f>
        <v>0.52600000000000002</v>
      </c>
      <c r="H233" s="35">
        <f>ROUND(+H181/$D$223,3)</f>
        <v>0.52600000000000002</v>
      </c>
      <c r="I233" s="40"/>
      <c r="J233" s="40"/>
      <c r="K233" s="40"/>
    </row>
    <row r="234" spans="1:13" x14ac:dyDescent="0.2">
      <c r="A234" s="11"/>
      <c r="B234" s="104" t="s">
        <v>79</v>
      </c>
      <c r="C234" s="197"/>
      <c r="D234" s="197"/>
      <c r="E234" s="35">
        <f>ROUND(+E182/$D$223,3)</f>
        <v>1.4950000000000001</v>
      </c>
      <c r="F234" s="197"/>
      <c r="G234" s="197"/>
      <c r="H234" s="197"/>
      <c r="I234" s="40"/>
      <c r="J234" s="40"/>
      <c r="K234" s="40"/>
    </row>
    <row r="235" spans="1:13" x14ac:dyDescent="0.2">
      <c r="A235" s="11"/>
      <c r="B235" s="104" t="s">
        <v>80</v>
      </c>
      <c r="C235" s="197"/>
      <c r="D235" s="197"/>
      <c r="E235" s="35">
        <f>ROUND(+E183/$D$223,3)</f>
        <v>0.64300000000000002</v>
      </c>
      <c r="F235" s="197"/>
      <c r="G235" s="197"/>
      <c r="H235" s="197"/>
      <c r="I235" s="40"/>
      <c r="J235" s="40"/>
      <c r="K235" s="40"/>
    </row>
    <row r="236" spans="1:13" x14ac:dyDescent="0.2">
      <c r="A236" s="11"/>
      <c r="B236" s="104"/>
      <c r="C236" s="197"/>
      <c r="D236" s="197"/>
      <c r="E236" s="198"/>
      <c r="F236" s="197"/>
      <c r="G236" s="197"/>
      <c r="H236" s="197"/>
      <c r="I236" s="40"/>
      <c r="J236" s="40"/>
      <c r="K236" s="40"/>
    </row>
    <row r="237" spans="1:13" x14ac:dyDescent="0.2">
      <c r="A237" s="11"/>
      <c r="B237" s="36"/>
      <c r="E237" s="198"/>
      <c r="F237" s="197"/>
      <c r="G237" s="197"/>
      <c r="H237" s="197"/>
      <c r="I237" s="40"/>
      <c r="J237" s="40"/>
      <c r="K237" s="40"/>
    </row>
    <row r="238" spans="1:13" x14ac:dyDescent="0.2">
      <c r="A238" s="11"/>
      <c r="B238" s="37" t="s">
        <v>167</v>
      </c>
      <c r="C238" s="38">
        <f>C184-C181</f>
        <v>-16.628879999999995</v>
      </c>
      <c r="D238" s="38">
        <f>D184-D181</f>
        <v>-7.7773799999999937</v>
      </c>
      <c r="E238" s="198"/>
      <c r="F238" s="197"/>
      <c r="G238" s="197"/>
      <c r="H238" s="197"/>
      <c r="I238" s="40"/>
      <c r="J238" s="40"/>
      <c r="K238" s="40"/>
    </row>
    <row r="239" spans="1:13" x14ac:dyDescent="0.2">
      <c r="A239" s="11"/>
      <c r="B239" s="37" t="s">
        <v>168</v>
      </c>
      <c r="C239" s="38">
        <f>C185-C181</f>
        <v>12.091120000000004</v>
      </c>
      <c r="D239" s="38">
        <f>D185-D181</f>
        <v>12.502620000000007</v>
      </c>
      <c r="E239" s="198"/>
      <c r="F239" s="197"/>
      <c r="G239" s="197"/>
      <c r="H239" s="197"/>
      <c r="I239" s="40"/>
      <c r="J239" s="40"/>
      <c r="K239" s="40"/>
    </row>
    <row r="240" spans="1:13" x14ac:dyDescent="0.2">
      <c r="A240" s="11"/>
      <c r="B240" s="197"/>
      <c r="C240" s="197"/>
      <c r="D240" s="197"/>
      <c r="E240" s="198"/>
      <c r="F240" s="197"/>
      <c r="G240" s="197"/>
      <c r="H240" s="197"/>
      <c r="I240" s="40"/>
      <c r="J240" s="40"/>
      <c r="K240" s="40"/>
    </row>
    <row r="241" spans="1:11" x14ac:dyDescent="0.2">
      <c r="A241" s="11"/>
      <c r="C241" s="197"/>
      <c r="D241" s="197"/>
      <c r="E241" s="197"/>
      <c r="F241" s="197"/>
      <c r="G241" s="197"/>
      <c r="H241" s="197"/>
      <c r="I241" s="40"/>
      <c r="J241" s="40"/>
      <c r="K241" s="40"/>
    </row>
    <row r="242" spans="1:11" x14ac:dyDescent="0.2">
      <c r="A242" s="11"/>
      <c r="B242" s="103" t="s">
        <v>70</v>
      </c>
      <c r="C242" s="35">
        <f>ROUND(+C188/$D$223,3)</f>
        <v>1.2310000000000001</v>
      </c>
      <c r="D242" s="35">
        <f>ROUND(+D188/$D$223,3)</f>
        <v>0.97399999999999998</v>
      </c>
      <c r="E242" s="70"/>
      <c r="F242" s="35">
        <f>ROUND(+F188/$D$223,3)</f>
        <v>0.86799999999999999</v>
      </c>
      <c r="G242" s="35">
        <f>ROUND(+G188/$D$223,3)</f>
        <v>0.61099999999999999</v>
      </c>
      <c r="H242" s="35">
        <f>ROUND(+H188/$D$223,3)</f>
        <v>0.60799999999999998</v>
      </c>
      <c r="I242" s="40"/>
      <c r="J242" s="40"/>
      <c r="K242" s="40"/>
    </row>
    <row r="243" spans="1:11" x14ac:dyDescent="0.2">
      <c r="A243" s="11"/>
      <c r="B243" s="104" t="s">
        <v>79</v>
      </c>
      <c r="C243" s="197"/>
      <c r="D243" s="197"/>
      <c r="E243" s="35">
        <f>ROUND(+E189/$D$223,3)</f>
        <v>1.4059999999999999</v>
      </c>
      <c r="F243" s="197"/>
      <c r="G243" s="197"/>
      <c r="H243" s="197"/>
      <c r="I243" s="40"/>
      <c r="J243" s="40"/>
      <c r="K243" s="40"/>
    </row>
    <row r="244" spans="1:11" x14ac:dyDescent="0.2">
      <c r="A244" s="11"/>
      <c r="B244" s="104" t="s">
        <v>80</v>
      </c>
      <c r="C244" s="197"/>
      <c r="D244" s="197"/>
      <c r="E244" s="35">
        <f>ROUND(+E190/$D$223,3)</f>
        <v>0.73099999999999998</v>
      </c>
      <c r="F244" s="197"/>
      <c r="G244" s="197"/>
      <c r="H244" s="197"/>
      <c r="I244" s="40"/>
      <c r="J244" s="40"/>
      <c r="K244" s="40"/>
    </row>
    <row r="245" spans="1:11" x14ac:dyDescent="0.2">
      <c r="A245" s="11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1:11" x14ac:dyDescent="0.2">
      <c r="A246" s="11"/>
      <c r="B246" s="21" t="s">
        <v>169</v>
      </c>
      <c r="C246" s="199">
        <f t="shared" ref="C246:H246" si="46">ROUND(+C192/$D$223,3)</f>
        <v>1.1639999999999999</v>
      </c>
      <c r="D246" s="199">
        <f t="shared" si="46"/>
        <v>0.96499999999999997</v>
      </c>
      <c r="E246" s="199">
        <f t="shared" si="46"/>
        <v>0.97299999999999998</v>
      </c>
      <c r="F246" s="199">
        <f t="shared" si="46"/>
        <v>0.86499999999999999</v>
      </c>
      <c r="G246" s="199">
        <f t="shared" si="46"/>
        <v>0.58799999999999997</v>
      </c>
      <c r="H246" s="199">
        <f t="shared" si="46"/>
        <v>0.58299999999999996</v>
      </c>
      <c r="I246" s="40"/>
      <c r="J246" s="40"/>
      <c r="K246" s="40"/>
    </row>
    <row r="247" spans="1:11" x14ac:dyDescent="0.2">
      <c r="A247" s="11"/>
    </row>
    <row r="248" spans="1:11" x14ac:dyDescent="0.2">
      <c r="A248" s="156" t="s">
        <v>162</v>
      </c>
      <c r="B248" s="172" t="s">
        <v>142</v>
      </c>
    </row>
    <row r="249" spans="1:11" x14ac:dyDescent="0.2">
      <c r="A249" s="156"/>
      <c r="B249" s="172"/>
    </row>
    <row r="250" spans="1:11" x14ac:dyDescent="0.2">
      <c r="A250" s="11"/>
      <c r="B250" s="34" t="s">
        <v>170</v>
      </c>
    </row>
    <row r="251" spans="1:11" x14ac:dyDescent="0.2">
      <c r="A251" s="11"/>
      <c r="B251" s="16" t="s">
        <v>171</v>
      </c>
    </row>
    <row r="252" spans="1:11" x14ac:dyDescent="0.2">
      <c r="A252" s="11"/>
    </row>
    <row r="253" spans="1:11" x14ac:dyDescent="0.2">
      <c r="A253" s="11"/>
      <c r="C253" s="36" t="str">
        <f>+I6</f>
        <v>SC2 Dem</v>
      </c>
      <c r="D253" s="36" t="str">
        <f>+C253</f>
        <v>SC2 Dem</v>
      </c>
      <c r="E253" s="51"/>
      <c r="F253" s="51"/>
      <c r="G253" s="200" t="s">
        <v>134</v>
      </c>
    </row>
    <row r="254" spans="1:11" x14ac:dyDescent="0.2">
      <c r="A254" s="11"/>
      <c r="C254" s="47" t="s">
        <v>172</v>
      </c>
      <c r="D254" s="47" t="s">
        <v>173</v>
      </c>
      <c r="E254" s="51"/>
      <c r="F254" s="51"/>
      <c r="G254" s="26"/>
    </row>
    <row r="255" spans="1:11" x14ac:dyDescent="0.2">
      <c r="A255" s="11"/>
      <c r="B255" s="103" t="s">
        <v>64</v>
      </c>
      <c r="C255" s="35">
        <f>ROUND(+C210/$D$223,3)</f>
        <v>0.94199999999999995</v>
      </c>
      <c r="D255" s="201">
        <f>+C198-C210</f>
        <v>-31.417027441602166</v>
      </c>
      <c r="F255" s="112"/>
      <c r="G255" s="176" t="s">
        <v>135</v>
      </c>
    </row>
    <row r="256" spans="1:11" x14ac:dyDescent="0.2">
      <c r="A256" s="11"/>
      <c r="B256" s="202"/>
      <c r="C256" s="197"/>
      <c r="D256" s="34"/>
      <c r="E256" s="198"/>
      <c r="F256" s="203"/>
      <c r="G256" s="26"/>
    </row>
    <row r="257" spans="1:10" x14ac:dyDescent="0.2">
      <c r="A257" s="11"/>
      <c r="B257" s="104"/>
      <c r="C257" s="197"/>
      <c r="D257" s="34"/>
      <c r="E257" s="198"/>
      <c r="F257" s="203"/>
      <c r="G257" s="26"/>
      <c r="H257" s="47"/>
      <c r="I257" s="36" t="s">
        <v>136</v>
      </c>
      <c r="J257" s="36" t="s">
        <v>137</v>
      </c>
    </row>
    <row r="258" spans="1:10" x14ac:dyDescent="0.2">
      <c r="A258" s="11"/>
      <c r="C258" s="197"/>
      <c r="D258" s="34"/>
      <c r="E258" s="197"/>
      <c r="F258" s="203"/>
      <c r="G258" s="26"/>
    </row>
    <row r="259" spans="1:10" x14ac:dyDescent="0.2">
      <c r="A259" s="11"/>
      <c r="B259" s="103" t="s">
        <v>70</v>
      </c>
      <c r="C259" s="35">
        <f>ROUND(+C214/$D$223,3)</f>
        <v>1.004</v>
      </c>
      <c r="D259" s="201">
        <f>+C202-C214</f>
        <v>-32.020445797881365</v>
      </c>
      <c r="E259" s="198"/>
      <c r="F259" s="203"/>
      <c r="G259" s="204" t="s">
        <v>98</v>
      </c>
      <c r="H259" s="33"/>
      <c r="I259" s="12">
        <f>N213</f>
        <v>1.7629999999999999</v>
      </c>
      <c r="J259" s="12">
        <f>O213</f>
        <v>6.117</v>
      </c>
    </row>
    <row r="260" spans="1:10" x14ac:dyDescent="0.2">
      <c r="A260" s="11"/>
      <c r="B260" s="202"/>
      <c r="C260" s="197"/>
      <c r="E260" s="198"/>
      <c r="F260" s="203"/>
      <c r="G260" s="204" t="s">
        <v>104</v>
      </c>
      <c r="H260" s="33"/>
      <c r="I260" s="12">
        <f>N214</f>
        <v>1.5740000000000001</v>
      </c>
      <c r="J260" s="12">
        <f>O214</f>
        <v>5.5730000000000004</v>
      </c>
    </row>
    <row r="261" spans="1:10" x14ac:dyDescent="0.2">
      <c r="A261" s="11"/>
      <c r="B261" s="104"/>
      <c r="C261" s="197"/>
      <c r="E261" s="198"/>
      <c r="F261" s="203"/>
      <c r="G261" s="204"/>
      <c r="H261" s="12"/>
      <c r="I261" s="101"/>
    </row>
    <row r="262" spans="1:10" x14ac:dyDescent="0.2">
      <c r="A262" s="11"/>
      <c r="C262" s="40"/>
      <c r="E262" s="40"/>
      <c r="G262" s="205" t="s">
        <v>138</v>
      </c>
    </row>
    <row r="263" spans="1:10" x14ac:dyDescent="0.2">
      <c r="A263" s="11"/>
      <c r="B263" s="21" t="s">
        <v>153</v>
      </c>
      <c r="C263" s="199">
        <f>ROUND(+C218/$D$223,3)</f>
        <v>0.94099999999999995</v>
      </c>
      <c r="E263" s="40"/>
      <c r="G263" s="204" t="s">
        <v>140</v>
      </c>
      <c r="H263" s="33">
        <f>+H206</f>
        <v>3.545666666666667</v>
      </c>
      <c r="I263" s="101" t="s">
        <v>141</v>
      </c>
    </row>
    <row r="264" spans="1:10" x14ac:dyDescent="0.2">
      <c r="A264" s="11"/>
      <c r="C264" s="40"/>
      <c r="E264" s="40"/>
    </row>
    <row r="265" spans="1:10" x14ac:dyDescent="0.2">
      <c r="A265" s="11"/>
      <c r="C265" s="40"/>
      <c r="E265" s="40"/>
    </row>
    <row r="266" spans="1:10" x14ac:dyDescent="0.2">
      <c r="A266" s="156" t="s">
        <v>174</v>
      </c>
      <c r="B266" s="39" t="s">
        <v>175</v>
      </c>
    </row>
    <row r="267" spans="1:10" x14ac:dyDescent="0.2">
      <c r="A267" s="11"/>
      <c r="B267" s="34"/>
    </row>
    <row r="268" spans="1:10" x14ac:dyDescent="0.2">
      <c r="A268" s="11"/>
      <c r="B268" s="34" t="s">
        <v>164</v>
      </c>
    </row>
    <row r="269" spans="1:10" x14ac:dyDescent="0.2">
      <c r="A269" s="11"/>
      <c r="B269" s="2" t="s">
        <v>176</v>
      </c>
    </row>
    <row r="270" spans="1:10" x14ac:dyDescent="0.2">
      <c r="A270" s="11"/>
      <c r="B270" s="16" t="s">
        <v>61</v>
      </c>
    </row>
    <row r="271" spans="1:10" x14ac:dyDescent="0.2">
      <c r="A271" s="11"/>
      <c r="C271" s="47" t="str">
        <f t="shared" ref="C271:H271" si="47">+C6</f>
        <v>SC1</v>
      </c>
      <c r="D271" s="47" t="str">
        <f t="shared" si="47"/>
        <v>SC5</v>
      </c>
      <c r="E271" s="47" t="str">
        <f t="shared" si="47"/>
        <v>SC3</v>
      </c>
      <c r="F271" s="47" t="str">
        <f t="shared" si="47"/>
        <v>SC2 ND</v>
      </c>
      <c r="G271" s="47" t="str">
        <f t="shared" si="47"/>
        <v>SC4</v>
      </c>
      <c r="H271" s="47" t="str">
        <f t="shared" si="47"/>
        <v>SC6</v>
      </c>
    </row>
    <row r="272" spans="1:10" x14ac:dyDescent="0.2">
      <c r="A272" s="11"/>
      <c r="C272" s="51"/>
      <c r="D272" s="51"/>
      <c r="E272" s="32"/>
      <c r="F272" s="51"/>
    </row>
    <row r="273" spans="1:9" x14ac:dyDescent="0.2">
      <c r="A273" s="11"/>
      <c r="B273" s="103" t="s">
        <v>64</v>
      </c>
      <c r="C273" s="31">
        <f t="shared" ref="C273:H273" si="48">C181-C$167</f>
        <v>76.422051822439585</v>
      </c>
      <c r="D273" s="31">
        <f t="shared" si="48"/>
        <v>71.485304935355643</v>
      </c>
      <c r="E273" s="31">
        <f t="shared" si="48"/>
        <v>73.142189108420439</v>
      </c>
      <c r="F273" s="31">
        <f t="shared" si="48"/>
        <v>66.77189953382728</v>
      </c>
      <c r="G273" s="31">
        <f t="shared" si="48"/>
        <v>45.755291669243206</v>
      </c>
      <c r="H273" s="31">
        <f t="shared" si="48"/>
        <v>45.708130500840085</v>
      </c>
      <c r="I273" s="32"/>
    </row>
    <row r="274" spans="1:9" x14ac:dyDescent="0.2">
      <c r="A274" s="11"/>
      <c r="B274" s="104" t="s">
        <v>79</v>
      </c>
      <c r="C274" s="32"/>
      <c r="D274" s="32"/>
      <c r="E274" s="31">
        <f>E182-E$167</f>
        <v>118.89367045336073</v>
      </c>
      <c r="F274" s="32"/>
      <c r="G274" s="32"/>
      <c r="H274" s="32"/>
    </row>
    <row r="275" spans="1:9" x14ac:dyDescent="0.2">
      <c r="A275" s="11"/>
      <c r="B275" s="104" t="s">
        <v>80</v>
      </c>
      <c r="C275" s="32"/>
      <c r="D275" s="32"/>
      <c r="E275" s="31">
        <f>E183-E$167</f>
        <v>44.788689197721069</v>
      </c>
      <c r="F275" s="32"/>
      <c r="G275" s="32"/>
      <c r="H275" s="32"/>
    </row>
    <row r="276" spans="1:9" x14ac:dyDescent="0.2">
      <c r="A276" s="11"/>
      <c r="B276" s="22" t="s">
        <v>130</v>
      </c>
      <c r="C276" s="32">
        <f>(C273*SUM(C49:C52)-C158*10*E157*SUM(C49:C52))/SUM(C49:C52)</f>
        <v>59.793171822439589</v>
      </c>
      <c r="D276" s="32">
        <f>(D273*SUM(D49:D52)-I157*10*J157*SUM(D49:D52))/SUM(D49:D52)</f>
        <v>63.707924935355642</v>
      </c>
      <c r="E276" s="31"/>
      <c r="F276" s="32"/>
      <c r="G276" s="32"/>
      <c r="H276" s="32"/>
    </row>
    <row r="277" spans="1:9" x14ac:dyDescent="0.2">
      <c r="A277" s="11"/>
      <c r="B277" s="22" t="s">
        <v>131</v>
      </c>
      <c r="C277" s="32">
        <f>C276+C158*10</f>
        <v>88.513171822439574</v>
      </c>
      <c r="D277" s="32">
        <f>D276+I157*10</f>
        <v>83.987924935355636</v>
      </c>
      <c r="E277" s="31"/>
      <c r="F277" s="32"/>
      <c r="G277" s="32"/>
      <c r="H277" s="32"/>
    </row>
    <row r="278" spans="1:9" x14ac:dyDescent="0.2">
      <c r="A278" s="11"/>
      <c r="B278" s="32"/>
      <c r="C278" s="32"/>
      <c r="D278" s="32"/>
      <c r="E278" s="31"/>
      <c r="F278" s="32"/>
      <c r="G278" s="32"/>
      <c r="H278" s="32"/>
    </row>
    <row r="279" spans="1:9" x14ac:dyDescent="0.2">
      <c r="A279" s="11"/>
      <c r="C279" s="32"/>
      <c r="D279" s="32"/>
      <c r="E279" s="32"/>
      <c r="F279" s="32"/>
      <c r="G279" s="32"/>
      <c r="H279" s="32"/>
    </row>
    <row r="280" spans="1:9" x14ac:dyDescent="0.2">
      <c r="A280" s="11"/>
      <c r="B280" s="103" t="s">
        <v>70</v>
      </c>
      <c r="C280" s="31">
        <f t="shared" ref="C280:H280" si="49">C188-C$167</f>
        <v>89.772655365372358</v>
      </c>
      <c r="D280" s="31">
        <f t="shared" si="49"/>
        <v>73.763379509118991</v>
      </c>
      <c r="E280" s="31">
        <f t="shared" si="49"/>
        <v>73.5643700401004</v>
      </c>
      <c r="F280" s="31">
        <f t="shared" si="49"/>
        <v>67.66276215484541</v>
      </c>
      <c r="G280" s="31">
        <f t="shared" si="49"/>
        <v>53.170664300840187</v>
      </c>
      <c r="H280" s="31">
        <f t="shared" si="49"/>
        <v>52.851180353114934</v>
      </c>
      <c r="I280" s="32"/>
    </row>
    <row r="281" spans="1:9" x14ac:dyDescent="0.2">
      <c r="A281" s="11"/>
      <c r="B281" s="104" t="s">
        <v>79</v>
      </c>
      <c r="C281" s="32"/>
      <c r="D281" s="32"/>
      <c r="E281" s="31">
        <f>E189-E$167</f>
        <v>111.15089603452489</v>
      </c>
      <c r="F281" s="32"/>
      <c r="G281" s="32"/>
      <c r="H281" s="32"/>
    </row>
    <row r="282" spans="1:9" x14ac:dyDescent="0.2">
      <c r="A282" s="11"/>
      <c r="B282" s="104" t="s">
        <v>80</v>
      </c>
      <c r="C282" s="32"/>
      <c r="D282" s="32"/>
      <c r="E282" s="31">
        <f>E190-E$167</f>
        <v>52.414591737635028</v>
      </c>
      <c r="F282" s="32"/>
      <c r="G282" s="32"/>
      <c r="H282" s="32"/>
    </row>
    <row r="283" spans="1:9" x14ac:dyDescent="0.2">
      <c r="A283" s="11"/>
      <c r="C283" s="32"/>
      <c r="D283" s="32"/>
      <c r="E283" s="32"/>
      <c r="F283" s="32"/>
      <c r="G283" s="32"/>
      <c r="H283" s="32"/>
    </row>
    <row r="284" spans="1:9" x14ac:dyDescent="0.2">
      <c r="A284" s="11"/>
      <c r="B284" s="21" t="s">
        <v>132</v>
      </c>
      <c r="C284" s="31">
        <f t="shared" ref="C284:H284" si="50">C192-C$167</f>
        <v>83.944326688128726</v>
      </c>
      <c r="D284" s="31">
        <f t="shared" si="50"/>
        <v>73.008834466777273</v>
      </c>
      <c r="E284" s="31">
        <f t="shared" si="50"/>
        <v>73.431921120357657</v>
      </c>
      <c r="F284" s="31">
        <f t="shared" si="50"/>
        <v>67.391071254949367</v>
      </c>
      <c r="G284" s="31">
        <f t="shared" si="50"/>
        <v>51.10099264932974</v>
      </c>
      <c r="H284" s="31">
        <f t="shared" si="50"/>
        <v>50.71078031649742</v>
      </c>
      <c r="I284" s="32"/>
    </row>
    <row r="285" spans="1:9" x14ac:dyDescent="0.2">
      <c r="A285" s="11"/>
      <c r="C285" s="32"/>
      <c r="D285" s="32"/>
      <c r="E285" s="32"/>
      <c r="F285" s="32"/>
      <c r="G285" s="32"/>
      <c r="H285" s="32"/>
      <c r="I285" s="32"/>
    </row>
    <row r="286" spans="1:9" x14ac:dyDescent="0.2">
      <c r="A286" s="156" t="s">
        <v>174</v>
      </c>
      <c r="B286" s="172" t="s">
        <v>142</v>
      </c>
      <c r="C286" s="32"/>
      <c r="D286" s="32"/>
      <c r="E286" s="32"/>
      <c r="F286" s="32"/>
      <c r="G286" s="32"/>
      <c r="H286" s="32"/>
      <c r="I286" s="32"/>
    </row>
    <row r="287" spans="1:9" x14ac:dyDescent="0.2">
      <c r="A287" s="11"/>
      <c r="C287" s="32"/>
      <c r="D287" s="32"/>
      <c r="E287" s="32"/>
      <c r="F287" s="32"/>
      <c r="G287" s="32"/>
      <c r="H287" s="32"/>
      <c r="I287" s="32"/>
    </row>
    <row r="288" spans="1:9" x14ac:dyDescent="0.2">
      <c r="A288" s="11"/>
      <c r="B288" s="34" t="s">
        <v>170</v>
      </c>
    </row>
    <row r="289" spans="1:12" x14ac:dyDescent="0.2">
      <c r="A289" s="11"/>
      <c r="B289" s="2" t="s">
        <v>177</v>
      </c>
    </row>
    <row r="290" spans="1:12" x14ac:dyDescent="0.2">
      <c r="A290" s="11"/>
      <c r="B290" s="11" t="s">
        <v>178</v>
      </c>
    </row>
    <row r="291" spans="1:12" x14ac:dyDescent="0.2">
      <c r="A291" s="11"/>
      <c r="B291" s="11"/>
    </row>
    <row r="292" spans="1:12" x14ac:dyDescent="0.2">
      <c r="A292" s="11"/>
      <c r="C292" s="47" t="str">
        <f>+I6</f>
        <v>SC2 Dem</v>
      </c>
      <c r="D292" s="51"/>
      <c r="E292" s="51"/>
      <c r="G292" s="34" t="s">
        <v>134</v>
      </c>
    </row>
    <row r="293" spans="1:12" x14ac:dyDescent="0.2">
      <c r="A293" s="11"/>
      <c r="C293" s="51"/>
      <c r="D293" s="51"/>
      <c r="F293" s="34"/>
    </row>
    <row r="294" spans="1:12" x14ac:dyDescent="0.2">
      <c r="A294" s="11"/>
      <c r="B294" s="103" t="s">
        <v>64</v>
      </c>
      <c r="C294" s="32">
        <f>C198</f>
        <v>50.5446004218498</v>
      </c>
      <c r="D294" s="32"/>
      <c r="G294" s="50" t="s">
        <v>135</v>
      </c>
    </row>
    <row r="295" spans="1:12" x14ac:dyDescent="0.2">
      <c r="A295" s="11"/>
      <c r="B295" s="104"/>
      <c r="C295" s="32"/>
      <c r="D295" s="32"/>
    </row>
    <row r="296" spans="1:12" x14ac:dyDescent="0.2">
      <c r="A296" s="11"/>
      <c r="B296" s="104"/>
      <c r="C296" s="32"/>
      <c r="D296" s="32"/>
      <c r="H296" s="47"/>
      <c r="I296" s="47" t="str">
        <f t="shared" ref="I296:J296" si="51">I257</f>
        <v>&lt; 5 kW</v>
      </c>
      <c r="J296" s="47" t="str">
        <f t="shared" si="51"/>
        <v>&gt; 5 kW</v>
      </c>
    </row>
    <row r="297" spans="1:12" x14ac:dyDescent="0.2">
      <c r="A297" s="11"/>
      <c r="C297" s="32"/>
      <c r="D297" s="32"/>
    </row>
    <row r="298" spans="1:12" x14ac:dyDescent="0.2">
      <c r="A298" s="11"/>
      <c r="B298" s="103" t="s">
        <v>70</v>
      </c>
      <c r="C298" s="32">
        <f>C202</f>
        <v>55.302831763899903</v>
      </c>
      <c r="D298" s="32"/>
      <c r="G298" s="22" t="s">
        <v>98</v>
      </c>
      <c r="H298" s="33"/>
      <c r="I298" s="33">
        <f t="shared" ref="I298:J299" si="52">I259</f>
        <v>1.7629999999999999</v>
      </c>
      <c r="J298" s="33">
        <f t="shared" si="52"/>
        <v>6.117</v>
      </c>
    </row>
    <row r="299" spans="1:12" x14ac:dyDescent="0.2">
      <c r="A299" s="11"/>
      <c r="B299" s="104"/>
      <c r="C299" s="32"/>
      <c r="D299" s="32"/>
      <c r="G299" s="22" t="s">
        <v>104</v>
      </c>
      <c r="H299" s="33"/>
      <c r="I299" s="33">
        <f t="shared" si="52"/>
        <v>1.5740000000000001</v>
      </c>
      <c r="J299" s="33">
        <f t="shared" si="52"/>
        <v>5.5730000000000004</v>
      </c>
    </row>
    <row r="300" spans="1:12" x14ac:dyDescent="0.2">
      <c r="A300" s="11"/>
      <c r="B300" s="104"/>
      <c r="C300" s="32"/>
      <c r="D300" s="32"/>
    </row>
    <row r="301" spans="1:12" x14ac:dyDescent="0.2">
      <c r="A301" s="11"/>
      <c r="B301" s="104"/>
      <c r="C301" s="32"/>
      <c r="D301" s="32"/>
      <c r="G301" s="170"/>
      <c r="I301" s="101"/>
    </row>
    <row r="302" spans="1:12" ht="13.5" thickBot="1" x14ac:dyDescent="0.25">
      <c r="A302" s="11"/>
      <c r="B302" s="21" t="s">
        <v>139</v>
      </c>
      <c r="C302" s="32">
        <f>C206</f>
        <v>53.574722268520205</v>
      </c>
      <c r="D302" s="32"/>
      <c r="G302" s="22"/>
      <c r="H302" s="171"/>
      <c r="I302" s="101"/>
    </row>
    <row r="303" spans="1:12" x14ac:dyDescent="0.2">
      <c r="A303" s="11"/>
      <c r="C303" s="32"/>
      <c r="D303" s="32"/>
      <c r="K303" s="190" t="s">
        <v>156</v>
      </c>
      <c r="L303" s="191"/>
    </row>
    <row r="304" spans="1:12" x14ac:dyDescent="0.2">
      <c r="A304" s="11"/>
      <c r="B304" s="206" t="s">
        <v>179</v>
      </c>
      <c r="C304" s="32"/>
      <c r="D304" s="32"/>
      <c r="E304" s="112"/>
      <c r="K304" s="192"/>
      <c r="L304" s="193" t="s">
        <v>159</v>
      </c>
    </row>
    <row r="305" spans="1:14" x14ac:dyDescent="0.2">
      <c r="A305" s="11"/>
      <c r="B305" s="103" t="s">
        <v>64</v>
      </c>
      <c r="C305" s="31">
        <f>(C294*S48+($I298*($L$305/4*H144))+($J298*($L$305/4*H144)))/S48</f>
        <v>71.957440504948451</v>
      </c>
      <c r="D305" s="31"/>
      <c r="E305" s="30"/>
      <c r="K305" s="192" t="s">
        <v>69</v>
      </c>
      <c r="L305" s="194">
        <v>334259.47169279348</v>
      </c>
    </row>
    <row r="306" spans="1:14" ht="13.5" thickBot="1" x14ac:dyDescent="0.25">
      <c r="A306" s="11"/>
      <c r="B306" s="104"/>
      <c r="C306" s="32"/>
      <c r="D306" s="31"/>
      <c r="K306" s="195" t="s">
        <v>62</v>
      </c>
      <c r="L306" s="196">
        <v>621967.13579808094</v>
      </c>
      <c r="N306" s="31"/>
    </row>
    <row r="307" spans="1:14" x14ac:dyDescent="0.2">
      <c r="A307" s="11"/>
      <c r="B307" s="104"/>
      <c r="C307" s="32"/>
      <c r="D307" s="31"/>
      <c r="N307" s="32"/>
    </row>
    <row r="308" spans="1:14" x14ac:dyDescent="0.2">
      <c r="A308" s="11"/>
      <c r="C308" s="32"/>
      <c r="D308" s="32"/>
      <c r="N308" s="32"/>
    </row>
    <row r="309" spans="1:14" x14ac:dyDescent="0.2">
      <c r="A309" s="11"/>
      <c r="B309" s="103" t="s">
        <v>70</v>
      </c>
      <c r="C309" s="31">
        <f>(C298*S44+($I299*($L$306/8*H145))+($J299*($L$306/8*H145)))/S44</f>
        <v>75.912296721664646</v>
      </c>
      <c r="D309" s="31"/>
      <c r="N309" s="32"/>
    </row>
    <row r="310" spans="1:14" x14ac:dyDescent="0.2">
      <c r="A310" s="11"/>
      <c r="B310" s="104"/>
      <c r="C310" s="32"/>
      <c r="D310" s="31"/>
      <c r="N310" s="31"/>
    </row>
    <row r="311" spans="1:14" x14ac:dyDescent="0.2">
      <c r="A311" s="11"/>
      <c r="B311" s="104"/>
      <c r="C311" s="32"/>
      <c r="D311" s="31"/>
      <c r="N311" s="32"/>
    </row>
    <row r="312" spans="1:14" x14ac:dyDescent="0.2">
      <c r="A312" s="11"/>
      <c r="B312" s="104"/>
      <c r="C312" s="32"/>
      <c r="D312" s="32"/>
      <c r="N312" s="32"/>
    </row>
    <row r="313" spans="1:14" x14ac:dyDescent="0.2">
      <c r="A313" s="11"/>
      <c r="B313" s="21" t="s">
        <v>153</v>
      </c>
      <c r="C313" s="31">
        <f>(C302*I56+($I298*($L$305/4*H144)+($J298*($L$305/4*H144))+($I299*($L$306/8*H145))+($J299*($L$306/8*H145))))/I56</f>
        <v>74.47595954306415</v>
      </c>
      <c r="D313" s="31"/>
      <c r="N313" s="32"/>
    </row>
    <row r="314" spans="1:14" x14ac:dyDescent="0.2">
      <c r="A314" s="11"/>
      <c r="C314" s="13"/>
      <c r="D314" s="13"/>
      <c r="N314" s="31"/>
    </row>
    <row r="315" spans="1:14" x14ac:dyDescent="0.2">
      <c r="A315" s="11"/>
      <c r="B315" s="34" t="s">
        <v>154</v>
      </c>
      <c r="C315" s="32"/>
      <c r="D315" s="32"/>
    </row>
    <row r="316" spans="1:14" x14ac:dyDescent="0.2">
      <c r="A316" s="11"/>
      <c r="B316" s="22" t="s">
        <v>155</v>
      </c>
      <c r="C316" s="105">
        <f>(+SUMPRODUCT(C284:H284,C56:H56)+SUMPRODUCT(C313,I56))/1000</f>
        <v>81539.262364529757</v>
      </c>
    </row>
    <row r="317" spans="1:14" x14ac:dyDescent="0.2">
      <c r="A317" s="11"/>
      <c r="C317" s="22" t="s">
        <v>157</v>
      </c>
      <c r="D317" s="31">
        <f>+C316/SUM(C56:I56)*1000</f>
        <v>79.952256563972099</v>
      </c>
      <c r="E317" s="21" t="s">
        <v>158</v>
      </c>
    </row>
    <row r="318" spans="1:14" x14ac:dyDescent="0.2">
      <c r="A318" s="11"/>
      <c r="C318" s="22" t="s">
        <v>180</v>
      </c>
      <c r="D318" s="31">
        <f>+C316/SUMPRODUCT(C56:I56,C81:I81)*1000</f>
        <v>74.407201224516555</v>
      </c>
      <c r="E318" s="21" t="s">
        <v>181</v>
      </c>
    </row>
    <row r="319" spans="1:14" x14ac:dyDescent="0.2">
      <c r="A319" s="11"/>
    </row>
    <row r="320" spans="1:14" x14ac:dyDescent="0.2">
      <c r="A320" s="156" t="s">
        <v>182</v>
      </c>
      <c r="B320" s="39" t="s">
        <v>183</v>
      </c>
    </row>
    <row r="321" spans="1:11" x14ac:dyDescent="0.2">
      <c r="A321" s="11"/>
      <c r="B321" s="34"/>
    </row>
    <row r="322" spans="1:11" x14ac:dyDescent="0.2">
      <c r="A322" s="11"/>
      <c r="B322" s="34" t="s">
        <v>164</v>
      </c>
    </row>
    <row r="323" spans="1:11" x14ac:dyDescent="0.2">
      <c r="A323" s="11"/>
      <c r="B323" s="16" t="s">
        <v>166</v>
      </c>
    </row>
    <row r="324" spans="1:11" x14ac:dyDescent="0.2">
      <c r="A324" s="11"/>
      <c r="B324" s="34"/>
    </row>
    <row r="325" spans="1:11" x14ac:dyDescent="0.2">
      <c r="A325" s="11"/>
      <c r="C325" s="47" t="str">
        <f t="shared" ref="C325:H325" si="53">+C6</f>
        <v>SC1</v>
      </c>
      <c r="D325" s="47" t="str">
        <f t="shared" si="53"/>
        <v>SC5</v>
      </c>
      <c r="E325" s="47" t="str">
        <f t="shared" si="53"/>
        <v>SC3</v>
      </c>
      <c r="F325" s="47" t="str">
        <f t="shared" si="53"/>
        <v>SC2 ND</v>
      </c>
      <c r="G325" s="47" t="str">
        <f t="shared" si="53"/>
        <v>SC4</v>
      </c>
      <c r="H325" s="47" t="str">
        <f t="shared" si="53"/>
        <v>SC6</v>
      </c>
    </row>
    <row r="326" spans="1:11" x14ac:dyDescent="0.2">
      <c r="A326" s="11"/>
      <c r="C326" s="51"/>
      <c r="D326" s="51"/>
      <c r="E326" s="51"/>
      <c r="F326" s="51"/>
    </row>
    <row r="327" spans="1:11" x14ac:dyDescent="0.2">
      <c r="A327" s="11"/>
      <c r="B327" s="103" t="s">
        <v>64</v>
      </c>
      <c r="C327" s="35">
        <f>ROUND(+C273/$D$318,3)</f>
        <v>1.0269999999999999</v>
      </c>
      <c r="D327" s="35">
        <f>ROUND(+D273/$D$318,3)</f>
        <v>0.96099999999999997</v>
      </c>
      <c r="E327" s="197"/>
      <c r="F327" s="35">
        <f>ROUND(+F273/$D$318,3)</f>
        <v>0.89700000000000002</v>
      </c>
      <c r="G327" s="35">
        <f>ROUND(+G273/$D$318,3)</f>
        <v>0.61499999999999999</v>
      </c>
      <c r="H327" s="35">
        <f>ROUND(+H273/$D$318,3)</f>
        <v>0.61399999999999999</v>
      </c>
      <c r="I327" s="40"/>
      <c r="J327" s="40"/>
      <c r="K327" s="40"/>
    </row>
    <row r="328" spans="1:11" x14ac:dyDescent="0.2">
      <c r="A328" s="11"/>
      <c r="B328" s="104" t="s">
        <v>79</v>
      </c>
      <c r="C328" s="197"/>
      <c r="D328" s="197"/>
      <c r="E328" s="35">
        <f>ROUND(+E274/$D$318,3)</f>
        <v>1.5980000000000001</v>
      </c>
      <c r="F328" s="197"/>
      <c r="G328" s="197"/>
      <c r="H328" s="197"/>
      <c r="I328" s="40"/>
      <c r="J328" s="40"/>
      <c r="K328" s="40"/>
    </row>
    <row r="329" spans="1:11" x14ac:dyDescent="0.2">
      <c r="A329" s="11"/>
      <c r="B329" s="104" t="s">
        <v>80</v>
      </c>
      <c r="C329" s="197"/>
      <c r="D329" s="197"/>
      <c r="E329" s="35">
        <f>ROUND(+E275/$D$318,3)</f>
        <v>0.60199999999999998</v>
      </c>
      <c r="F329" s="197"/>
      <c r="G329" s="197"/>
      <c r="H329" s="197"/>
      <c r="I329" s="40"/>
      <c r="J329" s="40"/>
      <c r="K329" s="40"/>
    </row>
    <row r="330" spans="1:11" x14ac:dyDescent="0.2">
      <c r="A330" s="11"/>
      <c r="C330" s="197"/>
      <c r="D330" s="197"/>
      <c r="E330" s="197"/>
      <c r="F330" s="197"/>
      <c r="G330" s="197"/>
      <c r="H330" s="197"/>
      <c r="I330" s="40"/>
      <c r="J330" s="40"/>
      <c r="K330" s="40"/>
    </row>
    <row r="331" spans="1:11" x14ac:dyDescent="0.2">
      <c r="A331" s="11"/>
      <c r="B331" s="36"/>
      <c r="E331" s="197"/>
      <c r="F331" s="197"/>
      <c r="G331" s="197"/>
      <c r="H331" s="197"/>
      <c r="I331" s="40"/>
      <c r="J331" s="40"/>
      <c r="K331" s="40"/>
    </row>
    <row r="332" spans="1:11" x14ac:dyDescent="0.2">
      <c r="A332" s="11"/>
      <c r="B332" s="37" t="s">
        <v>167</v>
      </c>
      <c r="C332" s="38">
        <f>C276-C273</f>
        <v>-16.628879999999995</v>
      </c>
      <c r="D332" s="38">
        <f>D276-D273</f>
        <v>-7.7773800000000008</v>
      </c>
      <c r="E332" s="197"/>
      <c r="F332" s="197"/>
      <c r="G332" s="197"/>
      <c r="H332" s="197"/>
      <c r="I332" s="40"/>
      <c r="J332" s="40"/>
      <c r="K332" s="40"/>
    </row>
    <row r="333" spans="1:11" x14ac:dyDescent="0.2">
      <c r="A333" s="11"/>
      <c r="B333" s="37" t="s">
        <v>168</v>
      </c>
      <c r="C333" s="38">
        <f>C277-C273</f>
        <v>12.091119999999989</v>
      </c>
      <c r="D333" s="38">
        <f>D277-D273</f>
        <v>12.502619999999993</v>
      </c>
      <c r="E333" s="197"/>
      <c r="F333" s="197"/>
      <c r="G333" s="197"/>
      <c r="H333" s="197"/>
      <c r="I333" s="40"/>
      <c r="J333" s="40"/>
      <c r="K333" s="40"/>
    </row>
    <row r="334" spans="1:11" x14ac:dyDescent="0.2">
      <c r="A334" s="11"/>
      <c r="B334" s="197"/>
      <c r="C334" s="197"/>
      <c r="D334" s="197"/>
      <c r="E334" s="197"/>
      <c r="F334" s="197"/>
      <c r="G334" s="197"/>
      <c r="H334" s="197"/>
      <c r="I334" s="40"/>
      <c r="J334" s="40"/>
      <c r="K334" s="40"/>
    </row>
    <row r="335" spans="1:11" x14ac:dyDescent="0.2">
      <c r="A335" s="11"/>
      <c r="C335" s="197"/>
      <c r="D335" s="197"/>
      <c r="E335" s="197"/>
      <c r="F335" s="197"/>
      <c r="G335" s="197"/>
      <c r="H335" s="197"/>
      <c r="I335" s="40"/>
      <c r="J335" s="40"/>
      <c r="K335" s="40"/>
    </row>
    <row r="336" spans="1:11" x14ac:dyDescent="0.2">
      <c r="A336" s="11"/>
      <c r="B336" s="103" t="s">
        <v>70</v>
      </c>
      <c r="C336" s="35">
        <f>ROUND(+C280/$D$318,3)</f>
        <v>1.2070000000000001</v>
      </c>
      <c r="D336" s="35">
        <f>ROUND(+D280/$D$318,3)</f>
        <v>0.99099999999999999</v>
      </c>
      <c r="E336" s="70"/>
      <c r="F336" s="35">
        <f>ROUND(+F280/$D$318,3)</f>
        <v>0.90900000000000003</v>
      </c>
      <c r="G336" s="35">
        <f>ROUND(+G280/$D$318,3)</f>
        <v>0.71499999999999997</v>
      </c>
      <c r="H336" s="35">
        <f>ROUND(+H280/$D$318,3)</f>
        <v>0.71</v>
      </c>
      <c r="I336" s="40"/>
      <c r="J336" s="40"/>
      <c r="K336" s="40"/>
    </row>
    <row r="337" spans="1:11" x14ac:dyDescent="0.2">
      <c r="A337" s="11"/>
      <c r="B337" s="104" t="s">
        <v>79</v>
      </c>
      <c r="C337" s="197"/>
      <c r="D337" s="197"/>
      <c r="E337" s="35">
        <f>ROUND(+E281/$D$318,3)</f>
        <v>1.494</v>
      </c>
      <c r="F337" s="197"/>
      <c r="G337" s="197"/>
      <c r="H337" s="197"/>
      <c r="I337" s="40"/>
      <c r="J337" s="40"/>
      <c r="K337" s="40"/>
    </row>
    <row r="338" spans="1:11" x14ac:dyDescent="0.2">
      <c r="A338" s="11"/>
      <c r="B338" s="104" t="s">
        <v>80</v>
      </c>
      <c r="C338" s="197"/>
      <c r="D338" s="197"/>
      <c r="E338" s="35">
        <f>ROUND(+E282/$D$318,3)</f>
        <v>0.70399999999999996</v>
      </c>
      <c r="F338" s="197"/>
      <c r="G338" s="197"/>
      <c r="H338" s="197"/>
      <c r="I338" s="40"/>
      <c r="J338" s="40"/>
      <c r="K338" s="40"/>
    </row>
    <row r="339" spans="1:11" x14ac:dyDescent="0.2">
      <c r="A339" s="11"/>
      <c r="C339" s="40"/>
      <c r="D339" s="40"/>
      <c r="E339" s="40"/>
      <c r="F339" s="40"/>
      <c r="G339" s="40"/>
      <c r="H339" s="40"/>
      <c r="I339" s="40"/>
      <c r="J339" s="40"/>
      <c r="K339" s="40"/>
    </row>
    <row r="340" spans="1:11" x14ac:dyDescent="0.2">
      <c r="A340" s="11"/>
      <c r="B340" s="21" t="s">
        <v>169</v>
      </c>
      <c r="C340" s="70">
        <f>ROUND(+C284/$D$318,3)</f>
        <v>1.1279999999999999</v>
      </c>
      <c r="D340" s="70">
        <f>ROUND(+D284/$D$318,3)</f>
        <v>0.98099999999999998</v>
      </c>
      <c r="E340" s="70">
        <f>ROUND(+E284/$D$318,3)</f>
        <v>0.98699999999999999</v>
      </c>
      <c r="F340" s="70">
        <f>ROUND(,3)+F284/$D$318</f>
        <v>0.90570630457666734</v>
      </c>
      <c r="G340" s="70">
        <f>ROUND(+G284/$D$318,3)</f>
        <v>0.68700000000000006</v>
      </c>
      <c r="H340" s="70">
        <f>ROUND(+H284/$D$318,3)</f>
        <v>0.68200000000000005</v>
      </c>
      <c r="I340" s="40"/>
      <c r="J340" s="40"/>
      <c r="K340" s="40"/>
    </row>
    <row r="341" spans="1:11" x14ac:dyDescent="0.2">
      <c r="A341" s="11"/>
    </row>
    <row r="342" spans="1:11" x14ac:dyDescent="0.2">
      <c r="A342" s="11"/>
    </row>
    <row r="343" spans="1:11" x14ac:dyDescent="0.2">
      <c r="A343" s="11"/>
      <c r="B343" s="34" t="s">
        <v>170</v>
      </c>
    </row>
    <row r="344" spans="1:11" x14ac:dyDescent="0.2">
      <c r="A344" s="11"/>
      <c r="B344" s="16" t="s">
        <v>184</v>
      </c>
    </row>
    <row r="345" spans="1:11" x14ac:dyDescent="0.2">
      <c r="A345" s="11"/>
    </row>
    <row r="346" spans="1:11" x14ac:dyDescent="0.2">
      <c r="A346" s="11"/>
      <c r="C346" s="36" t="str">
        <f>+I6</f>
        <v>SC2 Dem</v>
      </c>
      <c r="D346" s="36" t="str">
        <f>+C346</f>
        <v>SC2 Dem</v>
      </c>
      <c r="E346" s="51"/>
      <c r="F346" s="51"/>
      <c r="G346" s="200" t="s">
        <v>134</v>
      </c>
    </row>
    <row r="347" spans="1:11" x14ac:dyDescent="0.2">
      <c r="A347" s="11"/>
      <c r="C347" s="47" t="s">
        <v>172</v>
      </c>
      <c r="D347" s="207" t="s">
        <v>173</v>
      </c>
      <c r="E347" s="51"/>
      <c r="F347" s="51"/>
      <c r="G347" s="26"/>
    </row>
    <row r="348" spans="1:11" x14ac:dyDescent="0.2">
      <c r="A348" s="11"/>
      <c r="B348" s="103" t="s">
        <v>64</v>
      </c>
      <c r="C348" s="35">
        <f>ROUND(+C305/$D$318,3)</f>
        <v>0.96699999999999997</v>
      </c>
      <c r="D348" s="208">
        <f>C294-C305</f>
        <v>-21.412840083098651</v>
      </c>
      <c r="F348" s="112"/>
      <c r="G348" s="176" t="s">
        <v>135</v>
      </c>
    </row>
    <row r="349" spans="1:11" x14ac:dyDescent="0.2">
      <c r="A349" s="11"/>
      <c r="B349" s="104"/>
      <c r="C349" s="70"/>
      <c r="D349" s="208"/>
      <c r="E349" s="198"/>
      <c r="F349" s="203"/>
      <c r="G349" s="26"/>
    </row>
    <row r="350" spans="1:11" x14ac:dyDescent="0.2">
      <c r="A350" s="11"/>
      <c r="B350" s="104"/>
      <c r="C350" s="70"/>
      <c r="D350" s="208"/>
      <c r="E350" s="198"/>
      <c r="F350" s="203"/>
      <c r="G350" s="26"/>
      <c r="H350" s="47"/>
      <c r="I350" s="47" t="str">
        <f t="shared" ref="I350:J350" si="54">I296</f>
        <v>&lt; 5 kW</v>
      </c>
      <c r="J350" s="47" t="str">
        <f t="shared" si="54"/>
        <v>&gt; 5 kW</v>
      </c>
    </row>
    <row r="351" spans="1:11" x14ac:dyDescent="0.2">
      <c r="A351" s="11"/>
      <c r="C351" s="70"/>
      <c r="D351" s="208"/>
      <c r="E351" s="197"/>
      <c r="F351" s="203"/>
      <c r="G351" s="26"/>
    </row>
    <row r="352" spans="1:11" x14ac:dyDescent="0.2">
      <c r="A352" s="11"/>
      <c r="B352" s="103" t="s">
        <v>70</v>
      </c>
      <c r="C352" s="35">
        <f>ROUND(+C309/$D$318,3)</f>
        <v>1.02</v>
      </c>
      <c r="D352" s="208">
        <f>C298-C309</f>
        <v>-20.609464957764743</v>
      </c>
      <c r="E352" s="198"/>
      <c r="F352" s="203"/>
      <c r="G352" s="204" t="s">
        <v>98</v>
      </c>
      <c r="H352" s="33"/>
      <c r="I352" s="33">
        <f t="shared" ref="I352:J353" si="55">I298</f>
        <v>1.7629999999999999</v>
      </c>
      <c r="J352" s="33">
        <f t="shared" si="55"/>
        <v>6.117</v>
      </c>
    </row>
    <row r="353" spans="1:14" x14ac:dyDescent="0.2">
      <c r="A353" s="11"/>
      <c r="B353" s="104"/>
      <c r="C353" s="70"/>
      <c r="D353" s="209"/>
      <c r="E353" s="198"/>
      <c r="F353" s="203"/>
      <c r="G353" s="204" t="s">
        <v>104</v>
      </c>
      <c r="H353" s="33"/>
      <c r="I353" s="33">
        <f t="shared" si="55"/>
        <v>1.5740000000000001</v>
      </c>
      <c r="J353" s="33">
        <f t="shared" si="55"/>
        <v>5.5730000000000004</v>
      </c>
    </row>
    <row r="354" spans="1:14" x14ac:dyDescent="0.2">
      <c r="A354" s="11"/>
      <c r="B354" s="104"/>
      <c r="C354" s="70"/>
      <c r="D354" s="209"/>
      <c r="E354" s="198"/>
      <c r="F354" s="203"/>
      <c r="G354" s="204"/>
      <c r="H354" s="12"/>
      <c r="I354" s="101"/>
    </row>
    <row r="355" spans="1:14" x14ac:dyDescent="0.2">
      <c r="A355" s="11"/>
      <c r="C355" s="199"/>
      <c r="D355" s="209"/>
      <c r="E355" s="40"/>
      <c r="G355" s="205"/>
    </row>
    <row r="356" spans="1:14" x14ac:dyDescent="0.2">
      <c r="A356" s="11"/>
      <c r="B356" s="21" t="s">
        <v>153</v>
      </c>
      <c r="C356" s="35">
        <f>ROUND(+C313/$D$318,3)</f>
        <v>1.0009999999999999</v>
      </c>
      <c r="D356" s="209"/>
      <c r="E356" s="40"/>
      <c r="G356" s="204"/>
      <c r="H356" s="12"/>
      <c r="I356" s="101"/>
    </row>
    <row r="357" spans="1:14" x14ac:dyDescent="0.2">
      <c r="A357" s="11"/>
    </row>
    <row r="358" spans="1:14" x14ac:dyDescent="0.2">
      <c r="A358" s="11"/>
      <c r="C358" s="40"/>
      <c r="E358" s="40"/>
    </row>
    <row r="359" spans="1:14" x14ac:dyDescent="0.2">
      <c r="A359" s="156" t="s">
        <v>185</v>
      </c>
      <c r="B359" s="34" t="s">
        <v>186</v>
      </c>
    </row>
    <row r="360" spans="1:14" x14ac:dyDescent="0.2">
      <c r="A360" s="11"/>
      <c r="B360" s="34"/>
    </row>
    <row r="361" spans="1:14" x14ac:dyDescent="0.2">
      <c r="A361" s="11"/>
      <c r="C361" s="47" t="str">
        <f>C6</f>
        <v>SC1</v>
      </c>
      <c r="D361" s="47" t="str">
        <f t="shared" ref="D361:I361" si="56">D6</f>
        <v>SC5</v>
      </c>
      <c r="E361" s="47" t="str">
        <f t="shared" si="56"/>
        <v>SC3</v>
      </c>
      <c r="F361" s="47" t="str">
        <f t="shared" si="56"/>
        <v>SC2 ND</v>
      </c>
      <c r="G361" s="47" t="str">
        <f t="shared" si="56"/>
        <v>SC4</v>
      </c>
      <c r="H361" s="47" t="str">
        <f t="shared" si="56"/>
        <v>SC6</v>
      </c>
      <c r="I361" s="47" t="str">
        <f t="shared" si="56"/>
        <v>SC2 Dem</v>
      </c>
      <c r="J361" s="51"/>
      <c r="K361" s="51"/>
    </row>
    <row r="362" spans="1:14" x14ac:dyDescent="0.2">
      <c r="A362" s="11"/>
      <c r="B362" s="21" t="s">
        <v>187</v>
      </c>
      <c r="M362" s="112"/>
      <c r="N362" s="112"/>
    </row>
    <row r="363" spans="1:14" x14ac:dyDescent="0.2">
      <c r="A363" s="11"/>
      <c r="B363" s="157" t="s">
        <v>69</v>
      </c>
      <c r="C363" s="105">
        <f>(C184*SUM(C49:C52)*E156+C185*SUM(C49:C52)*E157)/1000</f>
        <v>25941.478954433009</v>
      </c>
      <c r="D363" s="105">
        <f>(D184*SUM(D49:D52)*J156+D185*SUM(D49:D52)*J157)/1000</f>
        <v>370.44409026048447</v>
      </c>
      <c r="E363" s="107">
        <f>+E181*SUM(E49:E52)/1000</f>
        <v>6.7457174031834395</v>
      </c>
      <c r="F363" s="107">
        <f>+F181*SUM(F49:F52)/1000</f>
        <v>520.70256453295758</v>
      </c>
      <c r="G363" s="107">
        <f>+G181*SUM(G49:G52)/1000</f>
        <v>62.250074316005382</v>
      </c>
      <c r="H363" s="107">
        <f>+H181*SUM(H49:H52)/1000</f>
        <v>71.967451473572709</v>
      </c>
      <c r="I363" s="105">
        <v>9620.5111504433316</v>
      </c>
      <c r="J363" s="105"/>
      <c r="K363" s="107"/>
      <c r="M363" s="112"/>
      <c r="N363" s="112"/>
    </row>
    <row r="364" spans="1:14" x14ac:dyDescent="0.2">
      <c r="A364" s="11"/>
      <c r="B364" s="157" t="s">
        <v>62</v>
      </c>
      <c r="C364" s="105">
        <f t="shared" ref="C364:H364" si="57">+C188*SUM(C44:C48,C53:C55)/1000</f>
        <v>38252.699508830963</v>
      </c>
      <c r="D364" s="107">
        <f t="shared" si="57"/>
        <v>768.5807456846137</v>
      </c>
      <c r="E364" s="107">
        <f t="shared" si="57"/>
        <v>14.830138482507765</v>
      </c>
      <c r="F364" s="107">
        <f t="shared" si="57"/>
        <v>1200.8213873527538</v>
      </c>
      <c r="G364" s="107">
        <f t="shared" si="57"/>
        <v>186.84171435315241</v>
      </c>
      <c r="H364" s="107">
        <f t="shared" si="57"/>
        <v>194.49234369946294</v>
      </c>
      <c r="I364" s="105">
        <v>18101.444542682471</v>
      </c>
      <c r="J364" s="105"/>
      <c r="K364" s="107"/>
    </row>
    <row r="365" spans="1:14" x14ac:dyDescent="0.2">
      <c r="A365" s="11"/>
      <c r="B365" s="157" t="s">
        <v>36</v>
      </c>
      <c r="C365" s="108">
        <f>+C364+C363</f>
        <v>64194.178463263976</v>
      </c>
      <c r="D365" s="76">
        <f t="shared" ref="D365:I365" si="58">+D364+D363</f>
        <v>1139.0248359450982</v>
      </c>
      <c r="E365" s="76">
        <f t="shared" si="58"/>
        <v>21.575855885691205</v>
      </c>
      <c r="F365" s="76">
        <f t="shared" si="58"/>
        <v>1721.5239518857115</v>
      </c>
      <c r="G365" s="76">
        <f t="shared" si="58"/>
        <v>249.09178866915778</v>
      </c>
      <c r="H365" s="107">
        <f t="shared" si="58"/>
        <v>266.45979517303567</v>
      </c>
      <c r="I365" s="107">
        <f t="shared" si="58"/>
        <v>27721.955693125805</v>
      </c>
      <c r="J365" s="107"/>
      <c r="K365" s="107"/>
    </row>
    <row r="366" spans="1:14" x14ac:dyDescent="0.2">
      <c r="A366" s="11"/>
      <c r="B366" s="157"/>
    </row>
    <row r="367" spans="1:14" x14ac:dyDescent="0.2">
      <c r="A367" s="11"/>
      <c r="B367" s="21" t="s">
        <v>188</v>
      </c>
    </row>
    <row r="368" spans="1:14" x14ac:dyDescent="0.2">
      <c r="A368" s="11"/>
      <c r="B368" s="157" t="s">
        <v>69</v>
      </c>
      <c r="C368" s="44">
        <f t="shared" ref="C368:I368" si="59">+C363/C365</f>
        <v>0.40410952481116941</v>
      </c>
      <c r="D368" s="44">
        <f t="shared" si="59"/>
        <v>0.32522915969001764</v>
      </c>
      <c r="E368" s="44">
        <f t="shared" si="59"/>
        <v>0.31265120785577277</v>
      </c>
      <c r="F368" s="44">
        <f t="shared" si="59"/>
        <v>0.30246605861196058</v>
      </c>
      <c r="G368" s="44">
        <f t="shared" si="59"/>
        <v>0.24990817500887416</v>
      </c>
      <c r="H368" s="44">
        <f t="shared" si="59"/>
        <v>0.27008746826829144</v>
      </c>
      <c r="I368" s="44">
        <f t="shared" si="59"/>
        <v>0.34703580284665569</v>
      </c>
      <c r="J368" s="44"/>
      <c r="K368" s="44"/>
    </row>
    <row r="369" spans="1:14" x14ac:dyDescent="0.2">
      <c r="A369" s="11"/>
      <c r="B369" s="157" t="s">
        <v>62</v>
      </c>
      <c r="C369" s="44">
        <f t="shared" ref="C369:I369" si="60">+C364/C365</f>
        <v>0.59589047518883054</v>
      </c>
      <c r="D369" s="44">
        <f t="shared" si="60"/>
        <v>0.67477084030998236</v>
      </c>
      <c r="E369" s="44">
        <f t="shared" si="60"/>
        <v>0.68734879214422717</v>
      </c>
      <c r="F369" s="44">
        <f t="shared" si="60"/>
        <v>0.69753394138803937</v>
      </c>
      <c r="G369" s="44">
        <f t="shared" si="60"/>
        <v>0.75009182499112592</v>
      </c>
      <c r="H369" s="44">
        <f t="shared" si="60"/>
        <v>0.72991253173170845</v>
      </c>
      <c r="I369" s="44">
        <f t="shared" si="60"/>
        <v>0.65296419715334419</v>
      </c>
      <c r="J369" s="44"/>
      <c r="K369" s="44"/>
    </row>
    <row r="370" spans="1:14" x14ac:dyDescent="0.2">
      <c r="A370" s="11"/>
    </row>
    <row r="371" spans="1:14" x14ac:dyDescent="0.2">
      <c r="A371" s="11"/>
      <c r="B371" s="21" t="s">
        <v>189</v>
      </c>
    </row>
    <row r="372" spans="1:14" x14ac:dyDescent="0.2">
      <c r="A372" s="11"/>
      <c r="B372" s="157" t="s">
        <v>69</v>
      </c>
      <c r="C372" s="109">
        <f>+SUM(C363:I363)</f>
        <v>36594.100002862542</v>
      </c>
    </row>
    <row r="373" spans="1:14" x14ac:dyDescent="0.2">
      <c r="A373" s="11"/>
      <c r="B373" s="157" t="s">
        <v>62</v>
      </c>
      <c r="C373" s="109">
        <f>+SUM(C364:I364)</f>
        <v>58719.710381085941</v>
      </c>
    </row>
    <row r="374" spans="1:14" x14ac:dyDescent="0.2">
      <c r="A374" s="11"/>
      <c r="B374" s="157" t="s">
        <v>36</v>
      </c>
      <c r="C374" s="76">
        <f>+C373+C372</f>
        <v>95313.810383948483</v>
      </c>
    </row>
    <row r="375" spans="1:14" x14ac:dyDescent="0.2">
      <c r="A375" s="11"/>
    </row>
    <row r="376" spans="1:14" x14ac:dyDescent="0.2">
      <c r="A376" s="11"/>
      <c r="B376" s="21" t="s">
        <v>190</v>
      </c>
      <c r="D376" s="21" t="s">
        <v>191</v>
      </c>
      <c r="I376" s="314" t="s">
        <v>192</v>
      </c>
      <c r="J376" s="314"/>
    </row>
    <row r="377" spans="1:14" x14ac:dyDescent="0.2">
      <c r="A377" s="11"/>
      <c r="B377" s="157" t="s">
        <v>69</v>
      </c>
      <c r="C377" s="44">
        <f>+C372/C374</f>
        <v>0.38393281997070644</v>
      </c>
      <c r="E377" s="31">
        <f>+C372/SUMPRODUCT(M48:S48,C81:I81)*1000</f>
        <v>82.177963931953258</v>
      </c>
      <c r="F377" s="21" t="s">
        <v>193</v>
      </c>
      <c r="I377" s="157" t="s">
        <v>69</v>
      </c>
      <c r="J377" s="210">
        <f>ROUND(E377/$D$223,4)</f>
        <v>0.94479999999999997</v>
      </c>
      <c r="K377" s="210"/>
    </row>
    <row r="378" spans="1:14" x14ac:dyDescent="0.2">
      <c r="A378" s="11"/>
      <c r="B378" s="157" t="s">
        <v>62</v>
      </c>
      <c r="C378" s="44">
        <f>+C373/C374</f>
        <v>0.61606718002929362</v>
      </c>
      <c r="E378" s="31">
        <f>+C373/SUMPRODUCT(M44:S44,C81:I81)*1000</f>
        <v>90.261823233231226</v>
      </c>
      <c r="F378" s="21" t="s">
        <v>193</v>
      </c>
      <c r="I378" s="157" t="s">
        <v>62</v>
      </c>
      <c r="J378" s="210">
        <f>ROUND(E378/$D$223,4)</f>
        <v>1.0378000000000001</v>
      </c>
      <c r="K378" s="210"/>
    </row>
    <row r="379" spans="1:14" x14ac:dyDescent="0.2">
      <c r="A379" s="11"/>
    </row>
    <row r="380" spans="1:14" x14ac:dyDescent="0.2">
      <c r="A380" s="11"/>
      <c r="C380" s="40"/>
      <c r="E380" s="40"/>
    </row>
    <row r="381" spans="1:14" ht="13.5" thickBot="1" x14ac:dyDescent="0.25">
      <c r="A381" s="156" t="s">
        <v>194</v>
      </c>
      <c r="B381" s="39" t="s">
        <v>195</v>
      </c>
    </row>
    <row r="382" spans="1:14" x14ac:dyDescent="0.2">
      <c r="A382" s="11"/>
      <c r="B382" s="34"/>
      <c r="K382" s="190" t="s">
        <v>156</v>
      </c>
      <c r="L382" s="191"/>
    </row>
    <row r="383" spans="1:14" x14ac:dyDescent="0.2">
      <c r="A383" s="11"/>
      <c r="C383" s="47" t="str">
        <f>C6</f>
        <v>SC1</v>
      </c>
      <c r="D383" s="47" t="str">
        <f t="shared" ref="D383:I383" si="61">D6</f>
        <v>SC5</v>
      </c>
      <c r="E383" s="47" t="str">
        <f t="shared" si="61"/>
        <v>SC3</v>
      </c>
      <c r="F383" s="47" t="str">
        <f t="shared" si="61"/>
        <v>SC2 ND</v>
      </c>
      <c r="G383" s="47" t="str">
        <f t="shared" si="61"/>
        <v>SC4</v>
      </c>
      <c r="H383" s="47" t="str">
        <f t="shared" si="61"/>
        <v>SC6</v>
      </c>
      <c r="I383" s="47" t="str">
        <f t="shared" si="61"/>
        <v>SC2 Dem</v>
      </c>
      <c r="J383" s="51"/>
      <c r="K383" s="192"/>
      <c r="L383" s="193" t="s">
        <v>165</v>
      </c>
    </row>
    <row r="384" spans="1:14" x14ac:dyDescent="0.2">
      <c r="A384" s="11"/>
      <c r="B384" s="21" t="s">
        <v>187</v>
      </c>
      <c r="K384" s="192" t="s">
        <v>69</v>
      </c>
      <c r="L384" s="194">
        <v>72502.028307206492</v>
      </c>
      <c r="N384" s="105">
        <v>8429.1397260492577</v>
      </c>
    </row>
    <row r="385" spans="1:14" ht="13.5" thickBot="1" x14ac:dyDescent="0.25">
      <c r="A385" s="11"/>
      <c r="B385" s="157" t="s">
        <v>69</v>
      </c>
      <c r="C385" s="105">
        <f>(C276*SUM(C49:C52)*E156+C277*SUM(C49:C52)*E157)/1000</f>
        <v>21162.909223747702</v>
      </c>
      <c r="D385" s="105">
        <f>(D276*SUM(D49:D52)*J156+D277*SUM(D49:D52)*J157)/1000</f>
        <v>321.28359072095424</v>
      </c>
      <c r="E385" s="105">
        <f>+E273*SUM(E49:E52)/1000</f>
        <v>5.8513751286736353</v>
      </c>
      <c r="F385" s="105">
        <f>+F273*SUM(F49:F52)/1000</f>
        <v>465.80077114797911</v>
      </c>
      <c r="G385" s="105">
        <f>+G273*SUM(G49:G52)/1000</f>
        <v>62.250074316005382</v>
      </c>
      <c r="H385" s="105">
        <f>+H273*SUM(H49:H52)/1000</f>
        <v>71.967451473572709</v>
      </c>
      <c r="I385" s="105">
        <f>(C294*SUM(I49:I52)/1000)+($I298*($L$384/4*H144)/1000)+($J298*($L$389/4*H144)/1000)</f>
        <v>8389.9095291099984</v>
      </c>
      <c r="J385" s="105"/>
      <c r="K385" s="195" t="s">
        <v>62</v>
      </c>
      <c r="L385" s="196">
        <v>156227.41420191902</v>
      </c>
      <c r="N385" s="105">
        <v>15486.148409442889</v>
      </c>
    </row>
    <row r="386" spans="1:14" ht="13.5" thickBot="1" x14ac:dyDescent="0.25">
      <c r="A386" s="11"/>
      <c r="B386" s="157" t="s">
        <v>62</v>
      </c>
      <c r="C386" s="105">
        <f t="shared" ref="C386:H386" si="62">+C280*SUM(C44:C48,C53:C55)/1000</f>
        <v>32085.285663516272</v>
      </c>
      <c r="D386" s="105">
        <f t="shared" si="62"/>
        <v>669.32890566574576</v>
      </c>
      <c r="E386" s="105">
        <f t="shared" si="62"/>
        <v>12.87376475701757</v>
      </c>
      <c r="F386" s="105">
        <f t="shared" si="62"/>
        <v>1075.7025927377322</v>
      </c>
      <c r="G386" s="105">
        <f t="shared" si="62"/>
        <v>186.84171435315241</v>
      </c>
      <c r="H386" s="105">
        <f t="shared" si="62"/>
        <v>194.49234369946294</v>
      </c>
      <c r="I386" s="105">
        <f>(C298*SUM(I44:I48,I53:I55)/1000)+($I299*($L$385/8*H145)/1000)+($J299*($L$390/8*H145)/1000)</f>
        <v>15640.241300015805</v>
      </c>
      <c r="J386" s="105"/>
      <c r="N386" s="105">
        <v>23915.288135492148</v>
      </c>
    </row>
    <row r="387" spans="1:14" x14ac:dyDescent="0.2">
      <c r="A387" s="11"/>
      <c r="B387" s="157" t="s">
        <v>36</v>
      </c>
      <c r="C387" s="76">
        <f t="shared" ref="C387:I387" si="63">+C386+C385</f>
        <v>53248.194887263977</v>
      </c>
      <c r="D387" s="76">
        <f t="shared" si="63"/>
        <v>990.61249638670006</v>
      </c>
      <c r="E387" s="76">
        <f t="shared" si="63"/>
        <v>18.725139885691206</v>
      </c>
      <c r="F387" s="76">
        <f t="shared" si="63"/>
        <v>1541.5033638857112</v>
      </c>
      <c r="G387" s="76">
        <f t="shared" si="63"/>
        <v>249.09178866915778</v>
      </c>
      <c r="H387" s="107">
        <f t="shared" si="63"/>
        <v>266.45979517303567</v>
      </c>
      <c r="I387" s="107">
        <f t="shared" si="63"/>
        <v>24030.150829125803</v>
      </c>
      <c r="J387" s="107"/>
      <c r="K387" s="190" t="s">
        <v>156</v>
      </c>
      <c r="L387" s="191"/>
    </row>
    <row r="388" spans="1:14" x14ac:dyDescent="0.2">
      <c r="A388" s="11"/>
      <c r="B388" s="157"/>
      <c r="K388" s="192"/>
      <c r="L388" s="193" t="s">
        <v>159</v>
      </c>
    </row>
    <row r="389" spans="1:14" x14ac:dyDescent="0.2">
      <c r="A389" s="11"/>
      <c r="B389" s="21" t="s">
        <v>188</v>
      </c>
      <c r="K389" s="192" t="s">
        <v>69</v>
      </c>
      <c r="L389" s="194">
        <v>334259.47169279348</v>
      </c>
    </row>
    <row r="390" spans="1:14" ht="13.5" thickBot="1" x14ac:dyDescent="0.25">
      <c r="A390" s="11"/>
      <c r="B390" s="157" t="s">
        <v>69</v>
      </c>
      <c r="C390" s="44">
        <f t="shared" ref="C390:I390" si="64">+C385/C387</f>
        <v>0.39743899804591298</v>
      </c>
      <c r="D390" s="44">
        <f t="shared" si="64"/>
        <v>0.32432822308707937</v>
      </c>
      <c r="E390" s="44">
        <f t="shared" si="64"/>
        <v>0.31248765907190668</v>
      </c>
      <c r="F390" s="44">
        <f t="shared" si="64"/>
        <v>0.30217304876573342</v>
      </c>
      <c r="G390" s="44">
        <f t="shared" si="64"/>
        <v>0.24990817500887416</v>
      </c>
      <c r="H390" s="44">
        <f t="shared" si="64"/>
        <v>0.27008746826829144</v>
      </c>
      <c r="I390" s="44">
        <f t="shared" si="64"/>
        <v>0.34914094334110413</v>
      </c>
      <c r="J390" s="44"/>
      <c r="K390" s="195" t="s">
        <v>62</v>
      </c>
      <c r="L390" s="196">
        <v>621967.13579808094</v>
      </c>
    </row>
    <row r="391" spans="1:14" x14ac:dyDescent="0.2">
      <c r="A391" s="11"/>
      <c r="B391" s="157" t="s">
        <v>62</v>
      </c>
      <c r="C391" s="44">
        <f t="shared" ref="C391:I391" si="65">+C386/C387</f>
        <v>0.60256100195408691</v>
      </c>
      <c r="D391" s="44">
        <f t="shared" si="65"/>
        <v>0.67567177691292057</v>
      </c>
      <c r="E391" s="44">
        <f t="shared" si="65"/>
        <v>0.68751234092809332</v>
      </c>
      <c r="F391" s="44">
        <f t="shared" si="65"/>
        <v>0.69782695123426663</v>
      </c>
      <c r="G391" s="44">
        <f t="shared" si="65"/>
        <v>0.75009182499112592</v>
      </c>
      <c r="H391" s="44">
        <f t="shared" si="65"/>
        <v>0.72991253173170845</v>
      </c>
      <c r="I391" s="44">
        <f t="shared" si="65"/>
        <v>0.65085905665889587</v>
      </c>
      <c r="J391" s="44"/>
    </row>
    <row r="392" spans="1:14" x14ac:dyDescent="0.2">
      <c r="A392" s="11"/>
    </row>
    <row r="393" spans="1:14" x14ac:dyDescent="0.2">
      <c r="A393" s="11"/>
      <c r="B393" s="21" t="s">
        <v>189</v>
      </c>
    </row>
    <row r="394" spans="1:14" x14ac:dyDescent="0.2">
      <c r="A394" s="11"/>
      <c r="B394" s="157" t="s">
        <v>69</v>
      </c>
      <c r="C394" s="109">
        <f>+SUM(C385:I385)</f>
        <v>30479.972015644889</v>
      </c>
    </row>
    <row r="395" spans="1:14" x14ac:dyDescent="0.2">
      <c r="A395" s="11"/>
      <c r="B395" s="157" t="s">
        <v>62</v>
      </c>
      <c r="C395" s="109">
        <f>+SUM(C386:I386)</f>
        <v>49864.766284745187</v>
      </c>
    </row>
    <row r="396" spans="1:14" x14ac:dyDescent="0.2">
      <c r="A396" s="11"/>
      <c r="B396" s="157" t="s">
        <v>36</v>
      </c>
      <c r="C396" s="76">
        <f>+C395+C394</f>
        <v>80344.738300390076</v>
      </c>
      <c r="D396" s="76"/>
    </row>
    <row r="397" spans="1:14" x14ac:dyDescent="0.2">
      <c r="A397" s="11"/>
    </row>
    <row r="398" spans="1:14" x14ac:dyDescent="0.2">
      <c r="A398" s="11"/>
      <c r="B398" s="21" t="s">
        <v>190</v>
      </c>
      <c r="D398" s="21" t="s">
        <v>191</v>
      </c>
      <c r="I398" s="314" t="s">
        <v>192</v>
      </c>
      <c r="J398" s="314"/>
    </row>
    <row r="399" spans="1:14" x14ac:dyDescent="0.2">
      <c r="A399" s="11"/>
      <c r="B399" s="157" t="s">
        <v>69</v>
      </c>
      <c r="C399" s="44">
        <f>+C394/C396</f>
        <v>0.37936488014544828</v>
      </c>
      <c r="E399" s="31">
        <f>+C394/SUMPRODUCT(M48:S48,C81:I81)*1000</f>
        <v>68.447701699254139</v>
      </c>
      <c r="F399" s="21" t="s">
        <v>193</v>
      </c>
      <c r="I399" s="157" t="s">
        <v>69</v>
      </c>
      <c r="J399" s="210">
        <f>ROUND(E399/$D$318,4)</f>
        <v>0.91990000000000005</v>
      </c>
      <c r="K399" s="211"/>
    </row>
    <row r="400" spans="1:14" x14ac:dyDescent="0.2">
      <c r="A400" s="11"/>
      <c r="B400" s="157" t="s">
        <v>62</v>
      </c>
      <c r="C400" s="44">
        <f>+C395/C396</f>
        <v>0.62063511985455166</v>
      </c>
      <c r="E400" s="31">
        <f>+C395/SUMPRODUCT(M44:S44,C81:I81)*1000</f>
        <v>76.650322195898084</v>
      </c>
      <c r="F400" s="21" t="s">
        <v>193</v>
      </c>
      <c r="I400" s="157" t="s">
        <v>62</v>
      </c>
      <c r="J400" s="210">
        <f>ROUND(E400/$D$318,4)</f>
        <v>1.0301</v>
      </c>
      <c r="K400" s="211"/>
    </row>
    <row r="401" spans="1:11" x14ac:dyDescent="0.2">
      <c r="A401" s="11"/>
    </row>
    <row r="402" spans="1:11" x14ac:dyDescent="0.2">
      <c r="C402" s="76"/>
      <c r="D402" s="76"/>
      <c r="E402" s="76"/>
      <c r="F402" s="76"/>
      <c r="G402" s="76"/>
      <c r="H402" s="76"/>
      <c r="I402" s="76"/>
      <c r="J402" s="76"/>
    </row>
    <row r="403" spans="1:11" x14ac:dyDescent="0.2">
      <c r="A403" s="156" t="s">
        <v>196</v>
      </c>
      <c r="B403" s="34" t="s">
        <v>197</v>
      </c>
    </row>
    <row r="404" spans="1:11" x14ac:dyDescent="0.2">
      <c r="A404" s="156"/>
    </row>
    <row r="405" spans="1:11" x14ac:dyDescent="0.2">
      <c r="A405" s="156"/>
      <c r="E405" s="146"/>
      <c r="F405" s="34" t="s">
        <v>198</v>
      </c>
      <c r="I405" s="39" t="s">
        <v>199</v>
      </c>
    </row>
    <row r="406" spans="1:11" x14ac:dyDescent="0.2">
      <c r="B406" s="39" t="s">
        <v>200</v>
      </c>
      <c r="E406" s="146"/>
      <c r="F406" s="34" t="s">
        <v>201</v>
      </c>
      <c r="I406" s="39" t="s">
        <v>202</v>
      </c>
    </row>
    <row r="407" spans="1:11" x14ac:dyDescent="0.2">
      <c r="A407" s="11"/>
      <c r="B407" s="16" t="s">
        <v>61</v>
      </c>
      <c r="C407" s="22"/>
      <c r="D407" s="36" t="s">
        <v>203</v>
      </c>
      <c r="E407" s="212"/>
      <c r="F407" s="213" t="s">
        <v>61</v>
      </c>
      <c r="G407" s="147"/>
      <c r="I407" s="214" t="s">
        <v>204</v>
      </c>
      <c r="J407" s="147"/>
      <c r="K407" s="147"/>
    </row>
    <row r="408" spans="1:11" x14ac:dyDescent="0.2">
      <c r="A408" s="11"/>
      <c r="C408" s="47" t="s">
        <v>49</v>
      </c>
      <c r="D408" s="47" t="s">
        <v>205</v>
      </c>
      <c r="E408" s="215" t="s">
        <v>50</v>
      </c>
      <c r="F408" s="47" t="s">
        <v>49</v>
      </c>
      <c r="G408" s="47" t="s">
        <v>50</v>
      </c>
      <c r="I408" s="47" t="s">
        <v>49</v>
      </c>
      <c r="J408" s="47" t="s">
        <v>50</v>
      </c>
    </row>
    <row r="409" spans="1:11" x14ac:dyDescent="0.2">
      <c r="A409" s="11"/>
      <c r="B409" s="103" t="s">
        <v>14</v>
      </c>
      <c r="C409" s="9">
        <v>51.78</v>
      </c>
      <c r="D409" s="45">
        <v>0.77923598230200686</v>
      </c>
      <c r="E409" s="42">
        <f>ROUND(C409*D409,2)</f>
        <v>40.35</v>
      </c>
      <c r="F409" s="43">
        <v>0.92502564321568559</v>
      </c>
      <c r="G409" s="44">
        <v>0.92624588971017785</v>
      </c>
      <c r="I409" s="9">
        <f>ROUND(C409*F409,2)</f>
        <v>47.9</v>
      </c>
      <c r="J409" s="9">
        <f>ROUND(E409*G409,2)</f>
        <v>37.369999999999997</v>
      </c>
    </row>
    <row r="410" spans="1:11" x14ac:dyDescent="0.2">
      <c r="A410" s="11"/>
      <c r="B410" s="103" t="s">
        <v>15</v>
      </c>
      <c r="C410" s="9">
        <v>48.72</v>
      </c>
      <c r="D410" s="45">
        <f>D409</f>
        <v>0.77923598230200686</v>
      </c>
      <c r="E410" s="42">
        <f>ROUND(C410*D410,2)</f>
        <v>37.96</v>
      </c>
      <c r="F410" s="46">
        <f>F409</f>
        <v>0.92502564321568559</v>
      </c>
      <c r="G410" s="46">
        <f>G409</f>
        <v>0.92624588971017785</v>
      </c>
      <c r="I410" s="9">
        <f t="shared" ref="I410:I420" si="66">ROUND(C410*F410,2)</f>
        <v>45.07</v>
      </c>
      <c r="J410" s="9">
        <f t="shared" ref="J410:J420" si="67">ROUND(E410*G410,2)</f>
        <v>35.159999999999997</v>
      </c>
    </row>
    <row r="411" spans="1:11" x14ac:dyDescent="0.2">
      <c r="A411" s="11"/>
      <c r="B411" s="103" t="s">
        <v>16</v>
      </c>
      <c r="C411" s="9">
        <v>38.19</v>
      </c>
      <c r="D411" s="45">
        <f>D409</f>
        <v>0.77923598230200686</v>
      </c>
      <c r="E411" s="42">
        <f t="shared" ref="E411:E420" si="68">ROUND(C411*D411,2)</f>
        <v>29.76</v>
      </c>
      <c r="F411" s="46">
        <f>F409</f>
        <v>0.92502564321568559</v>
      </c>
      <c r="G411" s="46">
        <f>G409</f>
        <v>0.92624588971017785</v>
      </c>
      <c r="I411" s="9">
        <f t="shared" si="66"/>
        <v>35.33</v>
      </c>
      <c r="J411" s="9">
        <f t="shared" si="67"/>
        <v>27.57</v>
      </c>
    </row>
    <row r="412" spans="1:11" x14ac:dyDescent="0.2">
      <c r="A412" s="11"/>
      <c r="B412" s="103" t="s">
        <v>17</v>
      </c>
      <c r="C412" s="9">
        <v>34.25</v>
      </c>
      <c r="D412" s="45">
        <f>D409</f>
        <v>0.77923598230200686</v>
      </c>
      <c r="E412" s="42">
        <f t="shared" si="68"/>
        <v>26.69</v>
      </c>
      <c r="F412" s="46">
        <f>F409</f>
        <v>0.92502564321568559</v>
      </c>
      <c r="G412" s="46">
        <f>G409</f>
        <v>0.92624588971017785</v>
      </c>
      <c r="I412" s="9">
        <f t="shared" si="66"/>
        <v>31.68</v>
      </c>
      <c r="J412" s="9">
        <f t="shared" si="67"/>
        <v>24.72</v>
      </c>
    </row>
    <row r="413" spans="1:11" x14ac:dyDescent="0.2">
      <c r="A413" s="11"/>
      <c r="B413" s="103" t="s">
        <v>18</v>
      </c>
      <c r="C413" s="9">
        <v>33.159999999999997</v>
      </c>
      <c r="D413" s="45">
        <f>D409</f>
        <v>0.77923598230200686</v>
      </c>
      <c r="E413" s="42">
        <f t="shared" si="68"/>
        <v>25.84</v>
      </c>
      <c r="F413" s="46">
        <f>F409</f>
        <v>0.92502564321568559</v>
      </c>
      <c r="G413" s="46">
        <f>G409</f>
        <v>0.92624588971017785</v>
      </c>
      <c r="I413" s="9">
        <f t="shared" si="66"/>
        <v>30.67</v>
      </c>
      <c r="J413" s="9">
        <f t="shared" si="67"/>
        <v>23.93</v>
      </c>
    </row>
    <row r="414" spans="1:11" x14ac:dyDescent="0.2">
      <c r="A414" s="11"/>
      <c r="B414" s="103" t="s">
        <v>19</v>
      </c>
      <c r="C414" s="9">
        <v>34.130000000000003</v>
      </c>
      <c r="D414" s="45">
        <v>0.65081849678525516</v>
      </c>
      <c r="E414" s="42">
        <f t="shared" si="68"/>
        <v>22.21</v>
      </c>
      <c r="F414" s="44">
        <v>0.95035732026467834</v>
      </c>
      <c r="G414" s="44">
        <v>0.89905970984762762</v>
      </c>
      <c r="I414" s="9">
        <f t="shared" si="66"/>
        <v>32.44</v>
      </c>
      <c r="J414" s="9">
        <f t="shared" si="67"/>
        <v>19.97</v>
      </c>
    </row>
    <row r="415" spans="1:11" x14ac:dyDescent="0.2">
      <c r="A415" s="11"/>
      <c r="B415" s="103" t="s">
        <v>20</v>
      </c>
      <c r="C415" s="9">
        <v>39.56</v>
      </c>
      <c r="D415" s="45">
        <f>D414</f>
        <v>0.65081849678525516</v>
      </c>
      <c r="E415" s="42">
        <f t="shared" si="68"/>
        <v>25.75</v>
      </c>
      <c r="F415" s="46">
        <f>F414</f>
        <v>0.95035732026467834</v>
      </c>
      <c r="G415" s="46">
        <f>G414</f>
        <v>0.89905970984762762</v>
      </c>
      <c r="I415" s="9">
        <f t="shared" si="66"/>
        <v>37.6</v>
      </c>
      <c r="J415" s="9">
        <f t="shared" si="67"/>
        <v>23.15</v>
      </c>
    </row>
    <row r="416" spans="1:11" x14ac:dyDescent="0.2">
      <c r="A416" s="11"/>
      <c r="B416" s="103" t="s">
        <v>21</v>
      </c>
      <c r="C416" s="9">
        <v>36.56</v>
      </c>
      <c r="D416" s="45">
        <f>D414</f>
        <v>0.65081849678525516</v>
      </c>
      <c r="E416" s="42">
        <f t="shared" si="68"/>
        <v>23.79</v>
      </c>
      <c r="F416" s="46">
        <f>F414</f>
        <v>0.95035732026467834</v>
      </c>
      <c r="G416" s="46">
        <f>G414</f>
        <v>0.89905970984762762</v>
      </c>
      <c r="I416" s="9">
        <f t="shared" si="66"/>
        <v>34.75</v>
      </c>
      <c r="J416" s="9">
        <f t="shared" si="67"/>
        <v>21.39</v>
      </c>
    </row>
    <row r="417" spans="1:19" x14ac:dyDescent="0.2">
      <c r="A417" s="11"/>
      <c r="B417" s="103" t="s">
        <v>22</v>
      </c>
      <c r="C417" s="9">
        <v>35.130000000000003</v>
      </c>
      <c r="D417" s="45">
        <f>D414</f>
        <v>0.65081849678525516</v>
      </c>
      <c r="E417" s="42">
        <f t="shared" si="68"/>
        <v>22.86</v>
      </c>
      <c r="F417" s="46">
        <f>F414</f>
        <v>0.95035732026467834</v>
      </c>
      <c r="G417" s="46">
        <f>G414</f>
        <v>0.89905970984762762</v>
      </c>
      <c r="I417" s="9">
        <f t="shared" si="66"/>
        <v>33.39</v>
      </c>
      <c r="J417" s="9">
        <f t="shared" si="67"/>
        <v>20.55</v>
      </c>
    </row>
    <row r="418" spans="1:19" x14ac:dyDescent="0.2">
      <c r="A418" s="11"/>
      <c r="B418" s="103" t="s">
        <v>23</v>
      </c>
      <c r="C418" s="9">
        <v>33.979999999999997</v>
      </c>
      <c r="D418" s="45">
        <f>D409</f>
        <v>0.77923598230200686</v>
      </c>
      <c r="E418" s="42">
        <f t="shared" si="68"/>
        <v>26.48</v>
      </c>
      <c r="F418" s="46">
        <f>F409</f>
        <v>0.92502564321568559</v>
      </c>
      <c r="G418" s="46">
        <f>G409</f>
        <v>0.92624588971017785</v>
      </c>
      <c r="I418" s="9">
        <f t="shared" si="66"/>
        <v>31.43</v>
      </c>
      <c r="J418" s="9">
        <f t="shared" si="67"/>
        <v>24.53</v>
      </c>
    </row>
    <row r="419" spans="1:19" x14ac:dyDescent="0.2">
      <c r="A419" s="11"/>
      <c r="B419" s="103" t="s">
        <v>24</v>
      </c>
      <c r="C419" s="9">
        <v>33.799999999999997</v>
      </c>
      <c r="D419" s="45">
        <f>D409</f>
        <v>0.77923598230200686</v>
      </c>
      <c r="E419" s="42">
        <f t="shared" si="68"/>
        <v>26.34</v>
      </c>
      <c r="F419" s="46">
        <f>F409</f>
        <v>0.92502564321568559</v>
      </c>
      <c r="G419" s="46">
        <f>G409</f>
        <v>0.92624588971017785</v>
      </c>
      <c r="I419" s="9">
        <f t="shared" si="66"/>
        <v>31.27</v>
      </c>
      <c r="J419" s="9">
        <f t="shared" si="67"/>
        <v>24.4</v>
      </c>
    </row>
    <row r="420" spans="1:19" x14ac:dyDescent="0.2">
      <c r="A420" s="11"/>
      <c r="B420" s="103" t="s">
        <v>25</v>
      </c>
      <c r="C420" s="9">
        <v>36</v>
      </c>
      <c r="D420" s="45">
        <f>D409</f>
        <v>0.77923598230200686</v>
      </c>
      <c r="E420" s="42">
        <f t="shared" si="68"/>
        <v>28.05</v>
      </c>
      <c r="F420" s="46">
        <f>F409</f>
        <v>0.92502564321568559</v>
      </c>
      <c r="G420" s="46">
        <f>G409</f>
        <v>0.92624588971017785</v>
      </c>
      <c r="I420" s="9">
        <f t="shared" si="66"/>
        <v>33.299999999999997</v>
      </c>
      <c r="J420" s="9">
        <f t="shared" si="67"/>
        <v>25.98</v>
      </c>
    </row>
    <row r="421" spans="1:19" x14ac:dyDescent="0.2">
      <c r="A421" s="11"/>
      <c r="B421" s="103"/>
      <c r="C421" s="9"/>
      <c r="D421" s="9"/>
      <c r="E421" s="146"/>
      <c r="K421" s="44"/>
    </row>
    <row r="422" spans="1:19" x14ac:dyDescent="0.2">
      <c r="A422" s="11"/>
      <c r="B422" s="103"/>
      <c r="C422" s="9"/>
      <c r="D422" s="9"/>
      <c r="K422" s="44"/>
    </row>
    <row r="423" spans="1:19" x14ac:dyDescent="0.2">
      <c r="A423" s="11"/>
      <c r="B423" s="103"/>
      <c r="C423" s="9"/>
      <c r="D423" s="9"/>
      <c r="K423" s="44"/>
    </row>
    <row r="424" spans="1:19" x14ac:dyDescent="0.2">
      <c r="B424" s="34" t="s">
        <v>206</v>
      </c>
      <c r="F424" s="214" t="s">
        <v>207</v>
      </c>
    </row>
    <row r="425" spans="1:19" x14ac:dyDescent="0.2">
      <c r="B425" s="16" t="s">
        <v>61</v>
      </c>
      <c r="C425" s="147"/>
      <c r="D425" s="147"/>
      <c r="F425" s="39" t="str">
        <f>"system ("&amp;TEXT(D447*100,"0.0")&amp;"% PJM - "&amp;TEXT(E447*100,"0.0")&amp;"% NYISO)"</f>
        <v>system (89.1% PJM - 10.9% NYISO)</v>
      </c>
      <c r="G425" s="147"/>
      <c r="H425" s="147"/>
    </row>
    <row r="426" spans="1:19" x14ac:dyDescent="0.2">
      <c r="B426" s="16"/>
      <c r="C426" s="147"/>
      <c r="D426" s="147"/>
      <c r="F426" s="16" t="s">
        <v>61</v>
      </c>
      <c r="G426" s="147"/>
      <c r="H426" s="147"/>
    </row>
    <row r="427" spans="1:19" x14ac:dyDescent="0.2">
      <c r="C427" s="47" t="s">
        <v>49</v>
      </c>
      <c r="D427" s="47" t="s">
        <v>50</v>
      </c>
      <c r="G427" s="47" t="s">
        <v>49</v>
      </c>
      <c r="H427" s="47" t="s">
        <v>50</v>
      </c>
    </row>
    <row r="428" spans="1:19" x14ac:dyDescent="0.2">
      <c r="B428" s="103" t="s">
        <v>14</v>
      </c>
      <c r="C428" s="9">
        <v>68</v>
      </c>
      <c r="D428" s="9">
        <v>51.75</v>
      </c>
      <c r="F428" s="103" t="s">
        <v>14</v>
      </c>
      <c r="G428" s="9">
        <f>ROUND($J$428*I409+$J$429*C428,2)</f>
        <v>50.09</v>
      </c>
      <c r="H428" s="9">
        <f>ROUND($J$428*J409+$J$429*D428,2)</f>
        <v>38.94</v>
      </c>
      <c r="J428" s="216">
        <f>D447</f>
        <v>0.89086859688195985</v>
      </c>
      <c r="K428" s="21" t="s">
        <v>208</v>
      </c>
      <c r="Q428" s="9">
        <f>AVERAGE(G433:G436)</f>
        <v>34.422499999999999</v>
      </c>
      <c r="R428" s="9">
        <f>AVERAGE(H433:H436)</f>
        <v>21.447499999999998</v>
      </c>
    </row>
    <row r="429" spans="1:19" x14ac:dyDescent="0.2">
      <c r="B429" s="103" t="s">
        <v>15</v>
      </c>
      <c r="C429" s="9">
        <v>65</v>
      </c>
      <c r="D429" s="9">
        <v>49.25</v>
      </c>
      <c r="F429" s="103" t="s">
        <v>15</v>
      </c>
      <c r="G429" s="9">
        <f t="shared" ref="G429:H439" si="69">ROUND($J$428*I410+$J$429*C429,2)</f>
        <v>47.24</v>
      </c>
      <c r="H429" s="9">
        <f t="shared" si="69"/>
        <v>36.700000000000003</v>
      </c>
      <c r="J429" s="216">
        <f>E447</f>
        <v>0.10913140311804008</v>
      </c>
      <c r="K429" s="21" t="s">
        <v>209</v>
      </c>
      <c r="Q429" s="9">
        <f>AVERAGE(G428:G432,G437:G439)</f>
        <v>36.578749999999999</v>
      </c>
      <c r="R429" s="9">
        <f>AVERAGE(H428:H432,H437:H439)</f>
        <v>28.459999999999997</v>
      </c>
    </row>
    <row r="430" spans="1:19" x14ac:dyDescent="0.2">
      <c r="B430" s="103" t="s">
        <v>16</v>
      </c>
      <c r="C430" s="9">
        <v>40.25</v>
      </c>
      <c r="D430" s="9">
        <v>33.25</v>
      </c>
      <c r="F430" s="103" t="s">
        <v>16</v>
      </c>
      <c r="G430" s="9">
        <f t="shared" si="69"/>
        <v>35.869999999999997</v>
      </c>
      <c r="H430" s="9">
        <f t="shared" si="69"/>
        <v>28.19</v>
      </c>
      <c r="Q430" s="21">
        <f>Q428/Q429</f>
        <v>0.94105184020777088</v>
      </c>
      <c r="R430" s="21">
        <f>R428/R429</f>
        <v>0.75360154602951512</v>
      </c>
    </row>
    <row r="431" spans="1:19" x14ac:dyDescent="0.2">
      <c r="B431" s="103" t="s">
        <v>17</v>
      </c>
      <c r="C431" s="9">
        <v>32</v>
      </c>
      <c r="D431" s="9">
        <v>23.25</v>
      </c>
      <c r="F431" s="103" t="s">
        <v>17</v>
      </c>
      <c r="G431" s="9">
        <f t="shared" si="69"/>
        <v>31.71</v>
      </c>
      <c r="H431" s="9">
        <f t="shared" si="69"/>
        <v>24.56</v>
      </c>
    </row>
    <row r="432" spans="1:19" x14ac:dyDescent="0.2">
      <c r="B432" s="103" t="s">
        <v>18</v>
      </c>
      <c r="C432" s="9">
        <v>29.5</v>
      </c>
      <c r="D432" s="9">
        <v>21.75</v>
      </c>
      <c r="F432" s="103" t="s">
        <v>18</v>
      </c>
      <c r="G432" s="9">
        <f t="shared" si="69"/>
        <v>30.54</v>
      </c>
      <c r="H432" s="9">
        <f t="shared" si="69"/>
        <v>23.69</v>
      </c>
      <c r="Q432" s="9">
        <f>AVERAGE(G428:G439)</f>
        <v>35.860000000000007</v>
      </c>
      <c r="R432" s="9">
        <f>AVERAGE(H428:H439)</f>
        <v>26.122499999999999</v>
      </c>
      <c r="S432" s="21">
        <f>Q432/R432</f>
        <v>1.3727629438223756</v>
      </c>
    </row>
    <row r="433" spans="1:19" x14ac:dyDescent="0.2">
      <c r="B433" s="103" t="s">
        <v>19</v>
      </c>
      <c r="C433" s="9">
        <v>30.25</v>
      </c>
      <c r="D433" s="9">
        <v>21.25</v>
      </c>
      <c r="F433" s="103" t="s">
        <v>19</v>
      </c>
      <c r="G433" s="9">
        <f t="shared" si="69"/>
        <v>32.200000000000003</v>
      </c>
      <c r="H433" s="9">
        <f t="shared" si="69"/>
        <v>20.11</v>
      </c>
    </row>
    <row r="434" spans="1:19" x14ac:dyDescent="0.2">
      <c r="B434" s="103" t="s">
        <v>20</v>
      </c>
      <c r="C434" s="9">
        <v>38.25</v>
      </c>
      <c r="D434" s="9">
        <v>25.25</v>
      </c>
      <c r="F434" s="103" t="s">
        <v>20</v>
      </c>
      <c r="G434" s="9">
        <f t="shared" si="69"/>
        <v>37.67</v>
      </c>
      <c r="H434" s="9">
        <f t="shared" si="69"/>
        <v>23.38</v>
      </c>
    </row>
    <row r="435" spans="1:19" x14ac:dyDescent="0.2">
      <c r="B435" s="103" t="s">
        <v>21</v>
      </c>
      <c r="C435" s="9">
        <v>35.25</v>
      </c>
      <c r="D435" s="9">
        <v>23.75</v>
      </c>
      <c r="F435" s="103" t="s">
        <v>21</v>
      </c>
      <c r="G435" s="9">
        <f t="shared" si="69"/>
        <v>34.799999999999997</v>
      </c>
      <c r="H435" s="9">
        <f t="shared" si="69"/>
        <v>21.65</v>
      </c>
    </row>
    <row r="436" spans="1:19" x14ac:dyDescent="0.2">
      <c r="B436" s="103" t="s">
        <v>22</v>
      </c>
      <c r="C436" s="9">
        <v>30</v>
      </c>
      <c r="D436" s="9">
        <v>21.5</v>
      </c>
      <c r="F436" s="103" t="s">
        <v>22</v>
      </c>
      <c r="G436" s="9">
        <f t="shared" si="69"/>
        <v>33.020000000000003</v>
      </c>
      <c r="H436" s="9">
        <f t="shared" si="69"/>
        <v>20.65</v>
      </c>
    </row>
    <row r="437" spans="1:19" x14ac:dyDescent="0.2">
      <c r="B437" s="103" t="s">
        <v>23</v>
      </c>
      <c r="C437" s="9">
        <v>29.75</v>
      </c>
      <c r="D437" s="9">
        <v>21.5</v>
      </c>
      <c r="F437" s="103" t="s">
        <v>23</v>
      </c>
      <c r="G437" s="9">
        <f t="shared" si="69"/>
        <v>31.25</v>
      </c>
      <c r="H437" s="9">
        <f t="shared" si="69"/>
        <v>24.2</v>
      </c>
    </row>
    <row r="438" spans="1:19" x14ac:dyDescent="0.2">
      <c r="B438" s="103" t="s">
        <v>24</v>
      </c>
      <c r="C438" s="9">
        <v>31.5</v>
      </c>
      <c r="D438" s="9">
        <v>22.75</v>
      </c>
      <c r="F438" s="103" t="s">
        <v>24</v>
      </c>
      <c r="G438" s="9">
        <f t="shared" si="69"/>
        <v>31.3</v>
      </c>
      <c r="H438" s="9">
        <f t="shared" si="69"/>
        <v>24.22</v>
      </c>
    </row>
    <row r="439" spans="1:19" x14ac:dyDescent="0.2">
      <c r="B439" s="103" t="s">
        <v>25</v>
      </c>
      <c r="C439" s="9">
        <v>45.5</v>
      </c>
      <c r="D439" s="9">
        <v>37</v>
      </c>
      <c r="F439" s="103" t="s">
        <v>25</v>
      </c>
      <c r="G439" s="9">
        <f t="shared" si="69"/>
        <v>34.630000000000003</v>
      </c>
      <c r="H439" s="9">
        <f t="shared" si="69"/>
        <v>27.18</v>
      </c>
    </row>
    <row r="443" spans="1:19" x14ac:dyDescent="0.2">
      <c r="A443" s="156" t="s">
        <v>210</v>
      </c>
      <c r="B443" s="39" t="s">
        <v>211</v>
      </c>
    </row>
    <row r="446" spans="1:19" x14ac:dyDescent="0.2">
      <c r="C446" s="157" t="s">
        <v>212</v>
      </c>
      <c r="D446" s="22" t="s">
        <v>208</v>
      </c>
      <c r="E446" s="22" t="s">
        <v>209</v>
      </c>
      <c r="F446" s="22" t="s">
        <v>213</v>
      </c>
    </row>
    <row r="447" spans="1:19" x14ac:dyDescent="0.2">
      <c r="C447" s="217" t="s">
        <v>214</v>
      </c>
      <c r="D447" s="218">
        <f>4/(4+M466)</f>
        <v>0.89086859688195985</v>
      </c>
      <c r="E447" s="218">
        <f>M466/(4+M466)</f>
        <v>0.10913140311804008</v>
      </c>
      <c r="F447" s="219" t="s">
        <v>215</v>
      </c>
    </row>
    <row r="448" spans="1:19" x14ac:dyDescent="0.2">
      <c r="Q448" s="48" t="s">
        <v>216</v>
      </c>
      <c r="R448" s="21" t="s">
        <v>217</v>
      </c>
      <c r="S448" s="21" t="s">
        <v>218</v>
      </c>
    </row>
    <row r="449" spans="1:19" x14ac:dyDescent="0.2">
      <c r="B449" s="22" t="s">
        <v>69</v>
      </c>
      <c r="C449" s="220">
        <v>151.64261776490494</v>
      </c>
      <c r="D449" s="15">
        <f>C449</f>
        <v>151.64261776490494</v>
      </c>
      <c r="E449" s="15">
        <v>326.32173913043476</v>
      </c>
      <c r="F449" s="30">
        <f>ROUND(D449*D$447+E449*E$447,2)</f>
        <v>170.71</v>
      </c>
      <c r="H449" s="30"/>
      <c r="P449" s="21" t="s">
        <v>219</v>
      </c>
      <c r="Q449" s="21">
        <v>2.25</v>
      </c>
      <c r="R449" s="21">
        <f>Q449*1000</f>
        <v>2250</v>
      </c>
      <c r="S449" s="21">
        <v>31</v>
      </c>
    </row>
    <row r="450" spans="1:19" x14ac:dyDescent="0.2">
      <c r="B450" s="22"/>
      <c r="C450" s="22"/>
      <c r="D450" s="15"/>
      <c r="E450" s="15"/>
      <c r="F450" s="30"/>
      <c r="P450" s="21" t="s">
        <v>220</v>
      </c>
      <c r="Q450" s="21">
        <v>1.25</v>
      </c>
      <c r="R450" s="21">
        <f>Q450*1000</f>
        <v>1250</v>
      </c>
      <c r="S450" s="21">
        <v>30</v>
      </c>
    </row>
    <row r="451" spans="1:19" x14ac:dyDescent="0.2">
      <c r="B451" s="22" t="s">
        <v>62</v>
      </c>
      <c r="C451" s="15">
        <f>C449</f>
        <v>151.64261776490494</v>
      </c>
      <c r="D451" s="15">
        <f>C451</f>
        <v>151.64261776490494</v>
      </c>
      <c r="E451" s="110">
        <v>98.595580110497252</v>
      </c>
      <c r="F451" s="30">
        <f>ROUND(D451*D$447+E451*E$447,2)</f>
        <v>145.85</v>
      </c>
      <c r="I451" s="48"/>
      <c r="P451" s="21" t="s">
        <v>221</v>
      </c>
      <c r="Q451" s="21">
        <v>1.25</v>
      </c>
      <c r="R451" s="21">
        <f t="shared" ref="Q451:R456" si="70">Q451*1000</f>
        <v>1250</v>
      </c>
      <c r="S451" s="21">
        <v>31</v>
      </c>
    </row>
    <row r="452" spans="1:19" x14ac:dyDescent="0.2">
      <c r="O452" s="21" t="s">
        <v>222</v>
      </c>
      <c r="P452" s="21">
        <v>1.25</v>
      </c>
      <c r="Q452" s="21">
        <f t="shared" si="70"/>
        <v>1250</v>
      </c>
      <c r="R452" s="21">
        <v>30</v>
      </c>
    </row>
    <row r="453" spans="1:19" x14ac:dyDescent="0.2">
      <c r="O453" s="21" t="s">
        <v>223</v>
      </c>
      <c r="P453" s="21">
        <v>1.25</v>
      </c>
      <c r="Q453" s="21">
        <f t="shared" si="70"/>
        <v>1250</v>
      </c>
      <c r="R453" s="21">
        <v>28</v>
      </c>
    </row>
    <row r="454" spans="1:19" x14ac:dyDescent="0.2">
      <c r="O454" s="21" t="s">
        <v>224</v>
      </c>
      <c r="P454" s="21">
        <v>1.25</v>
      </c>
      <c r="Q454" s="21">
        <f t="shared" si="70"/>
        <v>1250</v>
      </c>
      <c r="R454" s="21">
        <v>31</v>
      </c>
    </row>
    <row r="455" spans="1:19" x14ac:dyDescent="0.2">
      <c r="A455" s="156" t="s">
        <v>225</v>
      </c>
      <c r="B455" s="39" t="s">
        <v>117</v>
      </c>
      <c r="O455" s="21" t="s">
        <v>226</v>
      </c>
      <c r="P455" s="21">
        <v>1.25</v>
      </c>
      <c r="Q455" s="21">
        <f t="shared" si="70"/>
        <v>1250</v>
      </c>
      <c r="R455" s="21">
        <v>30</v>
      </c>
    </row>
    <row r="456" spans="1:19" x14ac:dyDescent="0.2">
      <c r="O456" s="21" t="s">
        <v>18</v>
      </c>
      <c r="P456" s="21">
        <v>2</v>
      </c>
      <c r="Q456" s="21">
        <f t="shared" si="70"/>
        <v>2000</v>
      </c>
      <c r="R456" s="21">
        <v>31</v>
      </c>
    </row>
    <row r="457" spans="1:19" x14ac:dyDescent="0.2">
      <c r="P457" s="21">
        <f>SUM(P449:P456)</f>
        <v>7</v>
      </c>
      <c r="Q457" s="21">
        <f>SUM(Q449:Q456)</f>
        <v>7004.75</v>
      </c>
      <c r="R457" s="21">
        <f>SUM(R449:R456)</f>
        <v>4900</v>
      </c>
      <c r="S457" s="21">
        <f>Q457/R457</f>
        <v>1.4295408163265306</v>
      </c>
    </row>
    <row r="458" spans="1:19" x14ac:dyDescent="0.2">
      <c r="C458" s="22" t="s">
        <v>227</v>
      </c>
      <c r="D458" s="22" t="s">
        <v>228</v>
      </c>
      <c r="E458" s="22" t="s">
        <v>229</v>
      </c>
      <c r="F458" s="22" t="s">
        <v>208</v>
      </c>
      <c r="G458" s="22" t="s">
        <v>209</v>
      </c>
      <c r="H458" s="22" t="s">
        <v>213</v>
      </c>
    </row>
    <row r="459" spans="1:19" x14ac:dyDescent="0.2">
      <c r="C459" s="219" t="s">
        <v>230</v>
      </c>
      <c r="D459" s="219" t="s">
        <v>230</v>
      </c>
      <c r="E459" s="219" t="s">
        <v>231</v>
      </c>
      <c r="F459" s="218">
        <f>D447</f>
        <v>0.89086859688195985</v>
      </c>
      <c r="G459" s="218">
        <f>E447</f>
        <v>0.10913140311804008</v>
      </c>
      <c r="H459" s="219" t="s">
        <v>215</v>
      </c>
    </row>
    <row r="461" spans="1:19" x14ac:dyDescent="0.2">
      <c r="B461" s="22"/>
      <c r="C461" s="111">
        <v>2</v>
      </c>
      <c r="D461" s="111">
        <v>1.63</v>
      </c>
      <c r="E461" s="111">
        <v>17.509999999999998</v>
      </c>
      <c r="F461" s="111">
        <f>C461+E461</f>
        <v>19.509999999999998</v>
      </c>
      <c r="G461" s="111">
        <f>E461+D461</f>
        <v>19.139999999999997</v>
      </c>
      <c r="H461" s="111">
        <f>ROUND(F461*F$459+G461*G$459,2)</f>
        <v>19.47</v>
      </c>
    </row>
    <row r="462" spans="1:19" x14ac:dyDescent="0.2">
      <c r="B462" s="22"/>
      <c r="C462" s="111"/>
      <c r="D462" s="111"/>
      <c r="E462" s="111"/>
    </row>
    <row r="463" spans="1:19" ht="13.5" thickBot="1" x14ac:dyDescent="0.25">
      <c r="A463" s="34" t="s">
        <v>232</v>
      </c>
      <c r="E463" s="161"/>
    </row>
    <row r="464" spans="1:19" x14ac:dyDescent="0.2">
      <c r="A464" s="11"/>
      <c r="B464" s="22" t="s">
        <v>233</v>
      </c>
      <c r="C464" s="30">
        <f>F449</f>
        <v>170.71</v>
      </c>
      <c r="D464" s="101" t="s">
        <v>234</v>
      </c>
      <c r="L464" s="221" t="s">
        <v>235</v>
      </c>
      <c r="M464" s="222">
        <v>49</v>
      </c>
      <c r="N464" s="191"/>
    </row>
    <row r="465" spans="1:19" x14ac:dyDescent="0.2">
      <c r="A465" s="11"/>
      <c r="B465" s="22"/>
      <c r="C465" s="30">
        <f>+F451</f>
        <v>145.85</v>
      </c>
      <c r="D465" s="101" t="s">
        <v>236</v>
      </c>
      <c r="L465" s="223" t="s">
        <v>237</v>
      </c>
      <c r="M465" s="224">
        <f>400/4</f>
        <v>100</v>
      </c>
      <c r="N465" s="193"/>
      <c r="S465" s="224">
        <v>100.425</v>
      </c>
    </row>
    <row r="466" spans="1:19" x14ac:dyDescent="0.2">
      <c r="A466" s="11"/>
      <c r="B466" s="22" t="s">
        <v>238</v>
      </c>
      <c r="C466" s="76">
        <f>+C147</f>
        <v>42548</v>
      </c>
      <c r="D466" s="101" t="s">
        <v>96</v>
      </c>
      <c r="E466" s="107"/>
      <c r="L466" s="223" t="s">
        <v>239</v>
      </c>
      <c r="M466" s="20">
        <f>ROUND(M464/M465,3)</f>
        <v>0.49</v>
      </c>
      <c r="N466" s="193"/>
    </row>
    <row r="467" spans="1:19" x14ac:dyDescent="0.2">
      <c r="A467" s="11"/>
      <c r="B467" s="22" t="s">
        <v>240</v>
      </c>
      <c r="C467" s="225">
        <f>+H144</f>
        <v>4</v>
      </c>
      <c r="D467" s="21" t="s">
        <v>241</v>
      </c>
      <c r="E467" s="107"/>
      <c r="L467" s="192"/>
      <c r="M467" s="20"/>
      <c r="N467" s="193"/>
    </row>
    <row r="468" spans="1:19" x14ac:dyDescent="0.2">
      <c r="A468" s="11"/>
      <c r="B468" s="22"/>
      <c r="C468" s="225">
        <f>+H145</f>
        <v>8</v>
      </c>
      <c r="D468" s="21" t="s">
        <v>242</v>
      </c>
      <c r="E468" s="107"/>
      <c r="L468" s="223" t="s">
        <v>243</v>
      </c>
      <c r="M468" s="160">
        <f>D223-D318</f>
        <v>12.569687785733308</v>
      </c>
      <c r="N468" s="193" t="s">
        <v>244</v>
      </c>
    </row>
    <row r="469" spans="1:19" x14ac:dyDescent="0.2">
      <c r="A469" s="11"/>
      <c r="B469" s="22" t="s">
        <v>245</v>
      </c>
      <c r="C469" s="112">
        <f>+D161</f>
        <v>19.47</v>
      </c>
      <c r="D469" s="48" t="s">
        <v>119</v>
      </c>
      <c r="L469" s="223" t="s">
        <v>246</v>
      </c>
      <c r="M469" s="226">
        <f>ROUND(M466/(4+M466)*M468,2)</f>
        <v>1.37</v>
      </c>
      <c r="N469" s="193" t="s">
        <v>244</v>
      </c>
    </row>
    <row r="470" spans="1:19" ht="13.5" thickBot="1" x14ac:dyDescent="0.25">
      <c r="A470" s="11"/>
      <c r="B470" s="22" t="s">
        <v>247</v>
      </c>
      <c r="C470" s="48" t="s">
        <v>399</v>
      </c>
      <c r="L470" s="227" t="s">
        <v>248</v>
      </c>
      <c r="M470" s="228">
        <f>M468-M469</f>
        <v>11.199687785733307</v>
      </c>
      <c r="N470" s="229" t="s">
        <v>244</v>
      </c>
    </row>
    <row r="471" spans="1:19" x14ac:dyDescent="0.2">
      <c r="A471" s="11"/>
      <c r="B471" s="22"/>
      <c r="C471" s="48" t="s">
        <v>400</v>
      </c>
      <c r="L471" s="67"/>
      <c r="M471" s="224"/>
      <c r="N471" s="20"/>
    </row>
    <row r="472" spans="1:19" x14ac:dyDescent="0.2">
      <c r="A472" s="11"/>
      <c r="B472" s="22" t="s">
        <v>249</v>
      </c>
      <c r="C472" s="48" t="str">
        <f>"Forecasted " &amp;M1-1 &amp;" energy use by class, PJM on/off % from " &amp;M1-2 &amp;" class load profiles,"</f>
        <v>Forecasted 2018 energy use by class, PJM on/off % from 2017 class load profiles,</v>
      </c>
    </row>
    <row r="473" spans="1:19" x14ac:dyDescent="0.2">
      <c r="A473" s="11"/>
      <c r="B473" s="22"/>
      <c r="C473" s="48" t="str">
        <f>"RECO billing on/off % from " &amp;TEXT(DATE(M1-2,6,1),"m/yy") &amp;" to 5/" &amp;TEXT(DATE(M1-1,5,1),"yy") &amp;" actual data"</f>
        <v>RECO billing on/off % from 6/17 to 5/18 actual data</v>
      </c>
    </row>
    <row r="474" spans="1:19" x14ac:dyDescent="0.2">
      <c r="A474" s="11"/>
      <c r="B474" s="22" t="s">
        <v>250</v>
      </c>
      <c r="C474" s="48" t="str">
        <f>" Class totals for " &amp;M1-1</f>
        <v xml:space="preserve"> Class totals for 2018</v>
      </c>
    </row>
    <row r="475" spans="1:19" x14ac:dyDescent="0.2">
      <c r="A475" s="11"/>
      <c r="B475" s="22" t="s">
        <v>251</v>
      </c>
      <c r="C475" s="21" t="s">
        <v>252</v>
      </c>
    </row>
    <row r="476" spans="1:19" x14ac:dyDescent="0.2">
      <c r="A476" s="11"/>
      <c r="B476" s="22" t="s">
        <v>253</v>
      </c>
      <c r="C476" s="21" t="s">
        <v>254</v>
      </c>
    </row>
    <row r="477" spans="1:19" x14ac:dyDescent="0.2">
      <c r="C477" s="21" t="s">
        <v>255</v>
      </c>
    </row>
    <row r="478" spans="1:19" x14ac:dyDescent="0.2">
      <c r="B478" s="24" t="s">
        <v>256</v>
      </c>
      <c r="C478" s="21" t="s">
        <v>257</v>
      </c>
    </row>
    <row r="479" spans="1:19" x14ac:dyDescent="0.2">
      <c r="A479" s="11"/>
      <c r="C479" s="40"/>
      <c r="E479" s="40"/>
    </row>
    <row r="481" spans="1:10" x14ac:dyDescent="0.2">
      <c r="A481" s="230" t="s">
        <v>258</v>
      </c>
      <c r="B481" s="231"/>
      <c r="C481" s="231"/>
      <c r="D481" s="231"/>
    </row>
    <row r="482" spans="1:10" x14ac:dyDescent="0.2">
      <c r="A482" s="156" t="s">
        <v>259</v>
      </c>
      <c r="B482" s="39" t="s">
        <v>260</v>
      </c>
    </row>
    <row r="483" spans="1:10" x14ac:dyDescent="0.2">
      <c r="D483" s="49"/>
    </row>
    <row r="484" spans="1:10" x14ac:dyDescent="0.2">
      <c r="B484" s="117" t="s">
        <v>261</v>
      </c>
      <c r="D484" s="49">
        <f>D223</f>
        <v>86.976889010249863</v>
      </c>
      <c r="E484" s="48" t="s">
        <v>119</v>
      </c>
      <c r="F484" s="48" t="s">
        <v>262</v>
      </c>
    </row>
    <row r="485" spans="1:10" x14ac:dyDescent="0.2">
      <c r="B485" s="117" t="s">
        <v>263</v>
      </c>
      <c r="D485" s="232">
        <f>-M470</f>
        <v>-11.199687785733307</v>
      </c>
      <c r="E485" s="48" t="s">
        <v>119</v>
      </c>
      <c r="F485" s="21" t="s">
        <v>264</v>
      </c>
    </row>
    <row r="486" spans="1:10" x14ac:dyDescent="0.2">
      <c r="B486" s="117" t="s">
        <v>265</v>
      </c>
      <c r="D486" s="112">
        <f>D484+D485</f>
        <v>75.77720122451656</v>
      </c>
      <c r="E486" s="48" t="s">
        <v>119</v>
      </c>
      <c r="F486" s="21" t="str">
        <f>"** RECO average transmission rate of "&amp;TEXT(D223-D318,"0.00")&amp;" minus"</f>
        <v>** RECO average transmission rate of 12.57 minus</v>
      </c>
    </row>
    <row r="487" spans="1:10" x14ac:dyDescent="0.2">
      <c r="F487" s="21" t="s">
        <v>266</v>
      </c>
    </row>
    <row r="488" spans="1:10" x14ac:dyDescent="0.2">
      <c r="D488" s="233"/>
      <c r="F488" s="21" t="str">
        <f>"average rate "&amp;TEXT(M466,"0.000")&amp;"/"&amp;TEXT(4+M466,"0.000")&amp;" *$"&amp;TEXT(M468,"0.00")&amp;" per MWh)."</f>
        <v>average rate 0.490/4.490 *$12.57 per MWh).</v>
      </c>
      <c r="I488" s="113"/>
    </row>
    <row r="489" spans="1:10" x14ac:dyDescent="0.2">
      <c r="B489" s="50" t="s">
        <v>267</v>
      </c>
    </row>
    <row r="491" spans="1:10" x14ac:dyDescent="0.2">
      <c r="C491" s="51" t="str">
        <f t="shared" ref="C491:I491" si="71">C6</f>
        <v>SC1</v>
      </c>
      <c r="D491" s="51" t="str">
        <f t="shared" si="71"/>
        <v>SC5</v>
      </c>
      <c r="E491" s="51" t="str">
        <f t="shared" si="71"/>
        <v>SC3</v>
      </c>
      <c r="F491" s="51" t="str">
        <f t="shared" si="71"/>
        <v>SC2 ND</v>
      </c>
      <c r="G491" s="51" t="str">
        <f t="shared" si="71"/>
        <v>SC4</v>
      </c>
      <c r="H491" s="51" t="str">
        <f t="shared" si="71"/>
        <v>SC6</v>
      </c>
      <c r="I491" s="51" t="str">
        <f t="shared" si="71"/>
        <v>SC2 Dem</v>
      </c>
      <c r="J491" s="51"/>
    </row>
    <row r="492" spans="1:10" x14ac:dyDescent="0.2">
      <c r="B492" s="52" t="s">
        <v>69</v>
      </c>
    </row>
    <row r="493" spans="1:10" x14ac:dyDescent="0.2">
      <c r="B493" s="24" t="s">
        <v>268</v>
      </c>
      <c r="C493" s="24">
        <f>ROUND(($D$486*C327)/10,3)</f>
        <v>7.782</v>
      </c>
      <c r="D493" s="24">
        <f>ROUND(($D$486*D327)/10,3)</f>
        <v>7.282</v>
      </c>
      <c r="F493" s="28">
        <f>ROUND(F327*$D$486/10,3)</f>
        <v>6.7969999999999997</v>
      </c>
      <c r="G493" s="28">
        <f>ROUND(G327*$D$486/10,3)</f>
        <v>4.66</v>
      </c>
      <c r="H493" s="28">
        <f>ROUND(H327*$D$486/10,3)</f>
        <v>4.6529999999999996</v>
      </c>
      <c r="I493" s="28">
        <f>ROUND((C348*$D$486+D348)/10,3)</f>
        <v>5.1859999999999999</v>
      </c>
      <c r="J493" s="28"/>
    </row>
    <row r="494" spans="1:10" x14ac:dyDescent="0.2">
      <c r="B494" s="24" t="s">
        <v>269</v>
      </c>
      <c r="E494" s="28">
        <f>ROUND(E328*$D$486/10,3)</f>
        <v>12.109</v>
      </c>
      <c r="J494" s="28"/>
    </row>
    <row r="495" spans="1:10" x14ac:dyDescent="0.2">
      <c r="B495" s="24" t="s">
        <v>270</v>
      </c>
      <c r="E495" s="28">
        <f>ROUND(E329*$D$486/10,3)</f>
        <v>4.5620000000000003</v>
      </c>
      <c r="J495" s="28"/>
    </row>
    <row r="496" spans="1:10" x14ac:dyDescent="0.2">
      <c r="B496" s="22" t="s">
        <v>41</v>
      </c>
      <c r="C496" s="24">
        <f>ROUND(($D$486*C327+C332)/10,3)</f>
        <v>6.1189999999999998</v>
      </c>
      <c r="D496" s="21">
        <f>ROUND(($D$486*D327+D332)/10,3)</f>
        <v>6.5039999999999996</v>
      </c>
      <c r="E496" s="28"/>
      <c r="J496" s="28"/>
    </row>
    <row r="497" spans="2:10" x14ac:dyDescent="0.2">
      <c r="B497" s="24" t="s">
        <v>42</v>
      </c>
      <c r="C497" s="21">
        <f>ROUND(($D$486*C327+C333)/10,3)</f>
        <v>8.9909999999999997</v>
      </c>
      <c r="D497" s="21">
        <f>ROUND(($D$486*D327+D333)/10,3)</f>
        <v>8.532</v>
      </c>
      <c r="E497" s="28"/>
      <c r="J497" s="28"/>
    </row>
    <row r="498" spans="2:10" x14ac:dyDescent="0.2">
      <c r="E498" s="28"/>
      <c r="J498" s="28"/>
    </row>
    <row r="500" spans="2:10" x14ac:dyDescent="0.2">
      <c r="B500" s="22" t="s">
        <v>271</v>
      </c>
      <c r="I500" s="164">
        <f>I352</f>
        <v>1.7629999999999999</v>
      </c>
      <c r="J500" s="164"/>
    </row>
    <row r="501" spans="2:10" x14ac:dyDescent="0.2">
      <c r="B501" s="22" t="s">
        <v>272</v>
      </c>
      <c r="I501" s="164">
        <f>J352</f>
        <v>6.117</v>
      </c>
      <c r="J501" s="164"/>
    </row>
    <row r="503" spans="2:10" x14ac:dyDescent="0.2">
      <c r="B503" s="52" t="s">
        <v>62</v>
      </c>
    </row>
    <row r="504" spans="2:10" x14ac:dyDescent="0.2">
      <c r="B504" s="24" t="s">
        <v>268</v>
      </c>
      <c r="C504" s="28">
        <f>ROUND(C336*$D$486/10,3)</f>
        <v>9.1460000000000008</v>
      </c>
      <c r="D504" s="28">
        <f>ROUND(D336*$D$486/10,3)</f>
        <v>7.51</v>
      </c>
      <c r="F504" s="28">
        <f>ROUND(F336*$D$486/10,3)</f>
        <v>6.8879999999999999</v>
      </c>
      <c r="G504" s="28">
        <f>ROUND(G336*$D$486/10,3)</f>
        <v>5.4180000000000001</v>
      </c>
      <c r="H504" s="28">
        <f>ROUND(H336*$D$486/10,3)</f>
        <v>5.38</v>
      </c>
      <c r="I504" s="28">
        <f>ROUND((C352*$D$486+D352)/10,3)</f>
        <v>5.6680000000000001</v>
      </c>
    </row>
    <row r="505" spans="2:10" x14ac:dyDescent="0.2">
      <c r="B505" s="24" t="s">
        <v>269</v>
      </c>
      <c r="E505" s="28">
        <f>ROUND(E337*$D$486/10,3)</f>
        <v>11.321</v>
      </c>
      <c r="J505" s="28"/>
    </row>
    <row r="506" spans="2:10" x14ac:dyDescent="0.2">
      <c r="B506" s="24" t="s">
        <v>270</v>
      </c>
      <c r="E506" s="28">
        <f>ROUND(E338*$D$486/10,3)</f>
        <v>5.335</v>
      </c>
      <c r="J506" s="28"/>
    </row>
    <row r="508" spans="2:10" x14ac:dyDescent="0.2">
      <c r="B508" s="22" t="s">
        <v>271</v>
      </c>
      <c r="I508" s="164">
        <f>I353</f>
        <v>1.5740000000000001</v>
      </c>
      <c r="J508" s="164"/>
    </row>
    <row r="509" spans="2:10" x14ac:dyDescent="0.2">
      <c r="B509" s="22" t="s">
        <v>272</v>
      </c>
      <c r="I509" s="164">
        <f>J353</f>
        <v>5.5730000000000004</v>
      </c>
      <c r="J509" s="164"/>
    </row>
    <row r="510" spans="2:10" x14ac:dyDescent="0.2">
      <c r="B510" s="22"/>
      <c r="I510" s="164"/>
      <c r="J510" s="164"/>
    </row>
    <row r="511" spans="2:10" x14ac:dyDescent="0.2">
      <c r="B511" s="50" t="s">
        <v>273</v>
      </c>
      <c r="D511" s="21" t="s">
        <v>274</v>
      </c>
      <c r="E511" s="114">
        <v>6.6250000000000003E-2</v>
      </c>
      <c r="J511" s="164"/>
    </row>
    <row r="512" spans="2:10" x14ac:dyDescent="0.2">
      <c r="J512" s="164"/>
    </row>
    <row r="513" spans="2:10" x14ac:dyDescent="0.2">
      <c r="C513" s="51" t="s">
        <v>7</v>
      </c>
      <c r="D513" s="51" t="s">
        <v>8</v>
      </c>
      <c r="E513" s="51" t="s">
        <v>9</v>
      </c>
      <c r="F513" s="51" t="s">
        <v>10</v>
      </c>
      <c r="G513" s="51" t="s">
        <v>11</v>
      </c>
      <c r="H513" s="51" t="s">
        <v>12</v>
      </c>
      <c r="I513" s="51" t="s">
        <v>13</v>
      </c>
      <c r="J513" s="164"/>
    </row>
    <row r="514" spans="2:10" x14ac:dyDescent="0.2">
      <c r="B514" s="52" t="s">
        <v>69</v>
      </c>
      <c r="J514" s="164"/>
    </row>
    <row r="515" spans="2:10" x14ac:dyDescent="0.2">
      <c r="B515" s="24" t="s">
        <v>268</v>
      </c>
      <c r="C515" s="24"/>
      <c r="D515" s="24"/>
      <c r="F515" s="24">
        <f>ROUND(F493*(1+$E$511),3)</f>
        <v>7.2469999999999999</v>
      </c>
      <c r="G515" s="24">
        <f>ROUND(G493*(1+$E$511),3)</f>
        <v>4.9690000000000003</v>
      </c>
      <c r="H515" s="24">
        <f>ROUND(H493*(1+$E$511),3)</f>
        <v>4.9610000000000003</v>
      </c>
      <c r="I515" s="24">
        <f>ROUND(I493*(1+$E$511),3)</f>
        <v>5.53</v>
      </c>
      <c r="J515" s="164"/>
    </row>
    <row r="516" spans="2:10" x14ac:dyDescent="0.2">
      <c r="B516" s="24" t="s">
        <v>269</v>
      </c>
      <c r="E516" s="24">
        <f>ROUND(E494*(1+$E$511),3)</f>
        <v>12.911</v>
      </c>
      <c r="J516" s="164"/>
    </row>
    <row r="517" spans="2:10" x14ac:dyDescent="0.2">
      <c r="B517" s="24" t="s">
        <v>270</v>
      </c>
      <c r="E517" s="24">
        <f>ROUND(E495*(1+$E$511),3)</f>
        <v>4.8639999999999999</v>
      </c>
      <c r="J517" s="164"/>
    </row>
    <row r="518" spans="2:10" x14ac:dyDescent="0.2">
      <c r="B518" s="22" t="s">
        <v>41</v>
      </c>
      <c r="C518" s="73">
        <f>ROUND(C496*(1+$E$511),3)</f>
        <v>6.524</v>
      </c>
      <c r="D518" s="24">
        <f>ROUND(D496*(1+$E$511),3)</f>
        <v>6.9349999999999996</v>
      </c>
      <c r="E518" s="28"/>
      <c r="J518" s="164"/>
    </row>
    <row r="519" spans="2:10" x14ac:dyDescent="0.2">
      <c r="B519" s="24" t="s">
        <v>42</v>
      </c>
      <c r="C519" s="73">
        <f>ROUND(C497*(1+$E$511),3)</f>
        <v>9.5869999999999997</v>
      </c>
      <c r="D519" s="24">
        <f>ROUND(D497*(1+$E$511),3)</f>
        <v>9.0969999999999995</v>
      </c>
      <c r="E519" s="28"/>
      <c r="J519" s="164"/>
    </row>
    <row r="520" spans="2:10" x14ac:dyDescent="0.2">
      <c r="E520" s="28"/>
      <c r="J520" s="164"/>
    </row>
    <row r="521" spans="2:10" x14ac:dyDescent="0.2">
      <c r="J521" s="164"/>
    </row>
    <row r="522" spans="2:10" x14ac:dyDescent="0.2">
      <c r="B522" s="22" t="s">
        <v>271</v>
      </c>
      <c r="I522" s="115">
        <f>ROUND(I500*(1+$E$511),3)</f>
        <v>1.88</v>
      </c>
      <c r="J522" s="164"/>
    </row>
    <row r="523" spans="2:10" x14ac:dyDescent="0.2">
      <c r="B523" s="22" t="s">
        <v>272</v>
      </c>
      <c r="I523" s="115">
        <f>ROUND(I501*(1+$E$511),3)</f>
        <v>6.5220000000000002</v>
      </c>
      <c r="J523" s="164"/>
    </row>
    <row r="524" spans="2:10" x14ac:dyDescent="0.2">
      <c r="B524" s="22"/>
      <c r="I524" s="115"/>
      <c r="J524" s="164"/>
    </row>
    <row r="525" spans="2:10" x14ac:dyDescent="0.2">
      <c r="B525" s="52" t="s">
        <v>62</v>
      </c>
      <c r="J525" s="164"/>
    </row>
    <row r="526" spans="2:10" x14ac:dyDescent="0.2">
      <c r="B526" s="24" t="s">
        <v>268</v>
      </c>
      <c r="C526" s="24">
        <f>ROUND(C504*(1+$E$511),3)</f>
        <v>9.7520000000000007</v>
      </c>
      <c r="D526" s="24">
        <f>ROUND(D504*(1+$E$511),3)</f>
        <v>8.0079999999999991</v>
      </c>
      <c r="F526" s="24">
        <f>ROUND(F504*(1+$E$511),3)</f>
        <v>7.3440000000000003</v>
      </c>
      <c r="G526" s="24">
        <f>ROUND(G504*(1+$E$511),3)</f>
        <v>5.7770000000000001</v>
      </c>
      <c r="H526" s="24">
        <f>ROUND(H504*(1+$E$511),3)</f>
        <v>5.7359999999999998</v>
      </c>
      <c r="I526" s="24">
        <f>ROUND(I504*(1+$E$511),3)</f>
        <v>6.0439999999999996</v>
      </c>
      <c r="J526" s="164"/>
    </row>
    <row r="527" spans="2:10" x14ac:dyDescent="0.2">
      <c r="B527" s="24" t="s">
        <v>269</v>
      </c>
      <c r="E527" s="24">
        <f>ROUND(E505*(1+$E$511),3)</f>
        <v>12.071</v>
      </c>
      <c r="J527" s="164"/>
    </row>
    <row r="528" spans="2:10" x14ac:dyDescent="0.2">
      <c r="B528" s="24" t="s">
        <v>270</v>
      </c>
      <c r="E528" s="24">
        <f>ROUND(E506*(1+$E$511),3)</f>
        <v>5.6879999999999997</v>
      </c>
      <c r="J528" s="164"/>
    </row>
    <row r="529" spans="1:10" x14ac:dyDescent="0.2">
      <c r="J529" s="164"/>
    </row>
    <row r="530" spans="1:10" x14ac:dyDescent="0.2">
      <c r="B530" s="22" t="s">
        <v>271</v>
      </c>
      <c r="I530" s="115">
        <f>ROUND(I508*(1+$E$511),3)</f>
        <v>1.6779999999999999</v>
      </c>
      <c r="J530" s="164"/>
    </row>
    <row r="531" spans="1:10" x14ac:dyDescent="0.2">
      <c r="B531" s="22" t="s">
        <v>272</v>
      </c>
      <c r="I531" s="115">
        <f>ROUND(I509*(1+$E$511),3)</f>
        <v>5.9420000000000002</v>
      </c>
      <c r="J531" s="164"/>
    </row>
    <row r="532" spans="1:10" x14ac:dyDescent="0.2">
      <c r="B532" s="22"/>
      <c r="I532" s="164"/>
      <c r="J532" s="164"/>
    </row>
    <row r="533" spans="1:10" x14ac:dyDescent="0.2">
      <c r="B533" s="22"/>
      <c r="I533" s="164"/>
      <c r="J533" s="164"/>
    </row>
    <row r="534" spans="1:10" x14ac:dyDescent="0.2">
      <c r="A534" s="156" t="s">
        <v>275</v>
      </c>
      <c r="B534" s="39" t="s">
        <v>276</v>
      </c>
      <c r="J534" s="164"/>
    </row>
    <row r="535" spans="1:10" x14ac:dyDescent="0.2">
      <c r="A535" s="156"/>
      <c r="B535" s="39"/>
      <c r="J535" s="164"/>
    </row>
    <row r="536" spans="1:10" x14ac:dyDescent="0.2">
      <c r="A536" s="156"/>
      <c r="B536" s="50" t="s">
        <v>277</v>
      </c>
      <c r="J536" s="164"/>
    </row>
    <row r="537" spans="1:10" x14ac:dyDescent="0.2">
      <c r="A537" s="156"/>
      <c r="B537" s="117"/>
      <c r="C537" s="51" t="str">
        <f t="shared" ref="C537:I537" si="72">C491</f>
        <v>SC1</v>
      </c>
      <c r="D537" s="51" t="str">
        <f t="shared" si="72"/>
        <v>SC5</v>
      </c>
      <c r="E537" s="51" t="str">
        <f t="shared" si="72"/>
        <v>SC3</v>
      </c>
      <c r="F537" s="51" t="str">
        <f t="shared" si="72"/>
        <v>SC2 ND</v>
      </c>
      <c r="G537" s="51" t="str">
        <f t="shared" si="72"/>
        <v>SC4</v>
      </c>
      <c r="H537" s="51" t="str">
        <f t="shared" si="72"/>
        <v>SC6</v>
      </c>
      <c r="I537" s="51" t="str">
        <f t="shared" si="72"/>
        <v>SC2 Dem</v>
      </c>
      <c r="J537" s="164"/>
    </row>
    <row r="538" spans="1:10" x14ac:dyDescent="0.2">
      <c r="A538" s="156"/>
      <c r="B538" s="117" t="s">
        <v>278</v>
      </c>
      <c r="C538" s="14">
        <v>1.4850000000000001</v>
      </c>
      <c r="D538" s="14">
        <v>1.4850000000000001</v>
      </c>
      <c r="E538" s="14">
        <v>1.4850000000000001</v>
      </c>
      <c r="F538" s="14">
        <v>0.53300000000000003</v>
      </c>
      <c r="G538" s="14">
        <v>1.2</v>
      </c>
      <c r="H538" s="14">
        <v>1.2</v>
      </c>
      <c r="I538" s="14">
        <v>0.53300000000000003</v>
      </c>
      <c r="J538" s="164"/>
    </row>
    <row r="539" spans="1:10" x14ac:dyDescent="0.2">
      <c r="A539" s="156"/>
      <c r="B539" s="117" t="s">
        <v>279</v>
      </c>
      <c r="I539" s="116">
        <v>1.42</v>
      </c>
      <c r="J539" s="164"/>
    </row>
    <row r="540" spans="1:10" x14ac:dyDescent="0.2">
      <c r="I540" s="116">
        <v>1.19</v>
      </c>
      <c r="J540" s="164"/>
    </row>
    <row r="541" spans="1:10" x14ac:dyDescent="0.2">
      <c r="J541" s="164"/>
    </row>
    <row r="542" spans="1:10" x14ac:dyDescent="0.2">
      <c r="J542" s="164"/>
    </row>
    <row r="543" spans="1:10" x14ac:dyDescent="0.2">
      <c r="B543" s="50" t="s">
        <v>280</v>
      </c>
      <c r="J543" s="164"/>
    </row>
    <row r="544" spans="1:10" x14ac:dyDescent="0.2">
      <c r="J544" s="164"/>
    </row>
    <row r="545" spans="2:10" x14ac:dyDescent="0.2">
      <c r="J545" s="164"/>
    </row>
    <row r="546" spans="2:10" x14ac:dyDescent="0.2">
      <c r="B546" s="52" t="s">
        <v>69</v>
      </c>
      <c r="J546" s="164"/>
    </row>
    <row r="547" spans="2:10" x14ac:dyDescent="0.2">
      <c r="B547" s="24" t="s">
        <v>268</v>
      </c>
      <c r="C547" s="28">
        <f t="shared" ref="C547:I554" si="73">IF(C493&gt;0,C493+C$538,"")</f>
        <v>9.2669999999999995</v>
      </c>
      <c r="D547" s="28">
        <f t="shared" si="73"/>
        <v>8.7669999999999995</v>
      </c>
      <c r="E547" s="28" t="str">
        <f t="shared" si="73"/>
        <v/>
      </c>
      <c r="F547" s="28">
        <f t="shared" si="73"/>
        <v>7.33</v>
      </c>
      <c r="G547" s="28">
        <f t="shared" si="73"/>
        <v>5.86</v>
      </c>
      <c r="H547" s="28">
        <f t="shared" si="73"/>
        <v>5.8529999999999998</v>
      </c>
      <c r="I547" s="28">
        <f t="shared" si="73"/>
        <v>5.7190000000000003</v>
      </c>
      <c r="J547" s="164"/>
    </row>
    <row r="548" spans="2:10" x14ac:dyDescent="0.2">
      <c r="B548" s="24" t="s">
        <v>269</v>
      </c>
      <c r="C548" s="28" t="str">
        <f t="shared" si="73"/>
        <v/>
      </c>
      <c r="D548" s="28" t="str">
        <f t="shared" si="73"/>
        <v/>
      </c>
      <c r="E548" s="28">
        <f t="shared" si="73"/>
        <v>13.593999999999999</v>
      </c>
      <c r="F548" s="28" t="str">
        <f t="shared" si="73"/>
        <v/>
      </c>
      <c r="G548" s="28" t="str">
        <f t="shared" si="73"/>
        <v/>
      </c>
      <c r="H548" s="28" t="str">
        <f t="shared" si="73"/>
        <v/>
      </c>
      <c r="I548" s="28" t="str">
        <f t="shared" si="73"/>
        <v/>
      </c>
      <c r="J548" s="164"/>
    </row>
    <row r="549" spans="2:10" x14ac:dyDescent="0.2">
      <c r="B549" s="24" t="s">
        <v>270</v>
      </c>
      <c r="C549" s="28" t="str">
        <f t="shared" si="73"/>
        <v/>
      </c>
      <c r="D549" s="28" t="str">
        <f t="shared" si="73"/>
        <v/>
      </c>
      <c r="E549" s="28">
        <f t="shared" si="73"/>
        <v>6.0470000000000006</v>
      </c>
      <c r="F549" s="28" t="str">
        <f t="shared" si="73"/>
        <v/>
      </c>
      <c r="G549" s="28" t="str">
        <f t="shared" si="73"/>
        <v/>
      </c>
      <c r="H549" s="28" t="str">
        <f t="shared" si="73"/>
        <v/>
      </c>
      <c r="I549" s="28" t="str">
        <f t="shared" si="73"/>
        <v/>
      </c>
      <c r="J549" s="164"/>
    </row>
    <row r="550" spans="2:10" x14ac:dyDescent="0.2">
      <c r="B550" s="22" t="s">
        <v>41</v>
      </c>
      <c r="C550" s="28">
        <f t="shared" si="73"/>
        <v>7.6040000000000001</v>
      </c>
      <c r="D550" s="28">
        <f t="shared" si="73"/>
        <v>7.9889999999999999</v>
      </c>
      <c r="E550" s="28" t="str">
        <f t="shared" si="73"/>
        <v/>
      </c>
      <c r="F550" s="28" t="str">
        <f t="shared" si="73"/>
        <v/>
      </c>
      <c r="G550" s="28" t="str">
        <f t="shared" si="73"/>
        <v/>
      </c>
      <c r="H550" s="28" t="str">
        <f t="shared" si="73"/>
        <v/>
      </c>
      <c r="I550" s="28" t="str">
        <f t="shared" si="73"/>
        <v/>
      </c>
      <c r="J550" s="164"/>
    </row>
    <row r="551" spans="2:10" x14ac:dyDescent="0.2">
      <c r="B551" s="24" t="s">
        <v>42</v>
      </c>
      <c r="C551" s="28">
        <f t="shared" si="73"/>
        <v>10.475999999999999</v>
      </c>
      <c r="D551" s="28">
        <f t="shared" si="73"/>
        <v>10.016999999999999</v>
      </c>
      <c r="E551" s="28" t="str">
        <f t="shared" si="73"/>
        <v/>
      </c>
      <c r="F551" s="28" t="str">
        <f t="shared" si="73"/>
        <v/>
      </c>
      <c r="G551" s="28" t="str">
        <f t="shared" si="73"/>
        <v/>
      </c>
      <c r="H551" s="28" t="str">
        <f t="shared" si="73"/>
        <v/>
      </c>
      <c r="I551" s="28" t="str">
        <f t="shared" si="73"/>
        <v/>
      </c>
      <c r="J551" s="164"/>
    </row>
    <row r="552" spans="2:10" x14ac:dyDescent="0.2">
      <c r="B552" s="28"/>
      <c r="C552" s="28"/>
      <c r="D552" s="28"/>
      <c r="E552" s="28" t="str">
        <f t="shared" si="73"/>
        <v/>
      </c>
      <c r="F552" s="28" t="str">
        <f t="shared" si="73"/>
        <v/>
      </c>
      <c r="G552" s="28" t="str">
        <f t="shared" si="73"/>
        <v/>
      </c>
      <c r="H552" s="28" t="str">
        <f t="shared" si="73"/>
        <v/>
      </c>
      <c r="I552" s="28" t="str">
        <f t="shared" si="73"/>
        <v/>
      </c>
      <c r="J552" s="164"/>
    </row>
    <row r="553" spans="2:10" x14ac:dyDescent="0.2">
      <c r="C553" s="28" t="str">
        <f t="shared" si="73"/>
        <v/>
      </c>
      <c r="D553" s="28" t="str">
        <f t="shared" si="73"/>
        <v/>
      </c>
      <c r="E553" s="28" t="str">
        <f t="shared" si="73"/>
        <v/>
      </c>
      <c r="F553" s="28" t="str">
        <f t="shared" si="73"/>
        <v/>
      </c>
      <c r="G553" s="28" t="str">
        <f t="shared" si="73"/>
        <v/>
      </c>
      <c r="H553" s="28" t="str">
        <f t="shared" si="73"/>
        <v/>
      </c>
      <c r="I553" s="28" t="str">
        <f t="shared" si="73"/>
        <v/>
      </c>
      <c r="J553" s="164"/>
    </row>
    <row r="554" spans="2:10" x14ac:dyDescent="0.2">
      <c r="B554" s="22" t="s">
        <v>281</v>
      </c>
      <c r="C554" s="28" t="str">
        <f t="shared" si="73"/>
        <v/>
      </c>
      <c r="D554" s="28" t="str">
        <f t="shared" si="73"/>
        <v/>
      </c>
      <c r="E554" s="28" t="str">
        <f t="shared" si="73"/>
        <v/>
      </c>
      <c r="F554" s="28" t="str">
        <f t="shared" si="73"/>
        <v/>
      </c>
      <c r="G554" s="28" t="str">
        <f t="shared" si="73"/>
        <v/>
      </c>
      <c r="H554" s="28" t="str">
        <f t="shared" si="73"/>
        <v/>
      </c>
      <c r="I554" s="28">
        <f>IF(I500&gt;0,I500+I$539,"")</f>
        <v>3.1829999999999998</v>
      </c>
      <c r="J554" s="164"/>
    </row>
    <row r="555" spans="2:10" x14ac:dyDescent="0.2">
      <c r="J555" s="164"/>
    </row>
    <row r="556" spans="2:10" x14ac:dyDescent="0.2">
      <c r="B556" s="52" t="s">
        <v>62</v>
      </c>
      <c r="J556" s="164"/>
    </row>
    <row r="557" spans="2:10" x14ac:dyDescent="0.2">
      <c r="B557" s="24" t="s">
        <v>268</v>
      </c>
      <c r="C557" s="28">
        <f t="shared" ref="C557:I561" si="74">IF(C504&gt;0,C504+C$538,"")</f>
        <v>10.631</v>
      </c>
      <c r="D557" s="28">
        <f t="shared" si="74"/>
        <v>8.9949999999999992</v>
      </c>
      <c r="E557" s="28" t="str">
        <f t="shared" si="74"/>
        <v/>
      </c>
      <c r="F557" s="28">
        <f t="shared" si="74"/>
        <v>7.4210000000000003</v>
      </c>
      <c r="G557" s="28">
        <f t="shared" si="74"/>
        <v>6.6180000000000003</v>
      </c>
      <c r="H557" s="28">
        <f t="shared" si="74"/>
        <v>6.58</v>
      </c>
      <c r="I557" s="28">
        <f t="shared" si="74"/>
        <v>6.2010000000000005</v>
      </c>
      <c r="J557" s="164"/>
    </row>
    <row r="558" spans="2:10" x14ac:dyDescent="0.2">
      <c r="B558" s="24" t="s">
        <v>269</v>
      </c>
      <c r="C558" s="28" t="str">
        <f t="shared" si="74"/>
        <v/>
      </c>
      <c r="D558" s="28" t="str">
        <f t="shared" si="74"/>
        <v/>
      </c>
      <c r="E558" s="28">
        <f t="shared" si="74"/>
        <v>12.805999999999999</v>
      </c>
      <c r="F558" s="28" t="str">
        <f t="shared" si="74"/>
        <v/>
      </c>
      <c r="G558" s="28" t="str">
        <f t="shared" si="74"/>
        <v/>
      </c>
      <c r="H558" s="28" t="str">
        <f t="shared" si="74"/>
        <v/>
      </c>
      <c r="I558" s="28" t="str">
        <f t="shared" si="74"/>
        <v/>
      </c>
      <c r="J558" s="164"/>
    </row>
    <row r="559" spans="2:10" x14ac:dyDescent="0.2">
      <c r="B559" s="24" t="s">
        <v>270</v>
      </c>
      <c r="C559" s="28" t="str">
        <f t="shared" si="74"/>
        <v/>
      </c>
      <c r="D559" s="28" t="str">
        <f t="shared" si="74"/>
        <v/>
      </c>
      <c r="E559" s="28">
        <f t="shared" si="74"/>
        <v>6.82</v>
      </c>
      <c r="F559" s="28" t="str">
        <f t="shared" si="74"/>
        <v/>
      </c>
      <c r="G559" s="28" t="str">
        <f t="shared" si="74"/>
        <v/>
      </c>
      <c r="H559" s="28" t="str">
        <f t="shared" si="74"/>
        <v/>
      </c>
      <c r="I559" s="28" t="str">
        <f t="shared" si="74"/>
        <v/>
      </c>
      <c r="J559" s="164"/>
    </row>
    <row r="560" spans="2:10" x14ac:dyDescent="0.2">
      <c r="C560" s="28" t="str">
        <f t="shared" si="74"/>
        <v/>
      </c>
      <c r="D560" s="28" t="str">
        <f t="shared" si="74"/>
        <v/>
      </c>
      <c r="E560" s="28" t="str">
        <f t="shared" si="74"/>
        <v/>
      </c>
      <c r="F560" s="28" t="str">
        <f t="shared" si="74"/>
        <v/>
      </c>
      <c r="G560" s="28" t="str">
        <f t="shared" si="74"/>
        <v/>
      </c>
      <c r="H560" s="28" t="str">
        <f t="shared" si="74"/>
        <v/>
      </c>
      <c r="I560" s="28" t="str">
        <f t="shared" si="74"/>
        <v/>
      </c>
      <c r="J560" s="164"/>
    </row>
    <row r="561" spans="1:10" x14ac:dyDescent="0.2">
      <c r="B561" s="22" t="s">
        <v>281</v>
      </c>
      <c r="C561" s="28" t="str">
        <f t="shared" si="74"/>
        <v/>
      </c>
      <c r="D561" s="28" t="str">
        <f t="shared" si="74"/>
        <v/>
      </c>
      <c r="E561" s="28" t="str">
        <f t="shared" si="74"/>
        <v/>
      </c>
      <c r="F561" s="28" t="str">
        <f t="shared" si="74"/>
        <v/>
      </c>
      <c r="G561" s="28" t="str">
        <f t="shared" si="74"/>
        <v/>
      </c>
      <c r="H561" s="28" t="str">
        <f t="shared" si="74"/>
        <v/>
      </c>
      <c r="I561" s="28">
        <f>IF(I508&gt;0,I508+I$540,"")</f>
        <v>2.7640000000000002</v>
      </c>
      <c r="J561" s="164"/>
    </row>
    <row r="562" spans="1:10" x14ac:dyDescent="0.2">
      <c r="B562" s="22"/>
      <c r="I562" s="164"/>
      <c r="J562" s="164"/>
    </row>
    <row r="563" spans="1:10" x14ac:dyDescent="0.2">
      <c r="B563" s="22"/>
      <c r="I563" s="164"/>
      <c r="J563" s="164"/>
    </row>
    <row r="565" spans="1:10" x14ac:dyDescent="0.2">
      <c r="A565" s="11"/>
      <c r="C565" s="40"/>
      <c r="E565" s="40"/>
    </row>
    <row r="566" spans="1:10" x14ac:dyDescent="0.2">
      <c r="A566" s="156" t="s">
        <v>282</v>
      </c>
      <c r="B566" s="34" t="s">
        <v>283</v>
      </c>
      <c r="C566" s="40"/>
      <c r="E566" s="40"/>
    </row>
    <row r="567" spans="1:10" x14ac:dyDescent="0.2">
      <c r="A567" s="11"/>
      <c r="C567" s="40"/>
      <c r="E567" s="40"/>
    </row>
    <row r="568" spans="1:10" x14ac:dyDescent="0.2">
      <c r="A568" s="11"/>
      <c r="B568" s="22" t="s">
        <v>284</v>
      </c>
      <c r="C568" s="32">
        <f>+D223</f>
        <v>86.976889010249863</v>
      </c>
      <c r="E568" s="40"/>
    </row>
    <row r="569" spans="1:10" x14ac:dyDescent="0.2">
      <c r="A569" s="11"/>
      <c r="B569" s="22" t="s">
        <v>285</v>
      </c>
      <c r="C569" s="234">
        <f>+J377</f>
        <v>0.94479999999999997</v>
      </c>
      <c r="E569" s="40"/>
    </row>
    <row r="570" spans="1:10" x14ac:dyDescent="0.2">
      <c r="A570" s="11"/>
      <c r="B570" s="22" t="s">
        <v>286</v>
      </c>
      <c r="C570" s="234">
        <f>+J378</f>
        <v>1.0378000000000001</v>
      </c>
      <c r="E570" s="40"/>
    </row>
    <row r="571" spans="1:10" x14ac:dyDescent="0.2">
      <c r="A571" s="11"/>
      <c r="B571" s="24" t="s">
        <v>287</v>
      </c>
      <c r="C571" s="235">
        <f>ROUND(C568*C569,4)</f>
        <v>82.175799999999995</v>
      </c>
      <c r="E571" s="40"/>
    </row>
    <row r="572" spans="1:10" x14ac:dyDescent="0.2">
      <c r="A572" s="11"/>
      <c r="B572" s="24" t="s">
        <v>288</v>
      </c>
      <c r="C572" s="235">
        <f>ROUND(C568*C570,4)</f>
        <v>90.264600000000002</v>
      </c>
      <c r="E572" s="40"/>
    </row>
    <row r="573" spans="1:10" x14ac:dyDescent="0.2">
      <c r="A573" s="11"/>
      <c r="B573" s="22"/>
      <c r="C573" s="40"/>
      <c r="E573" s="40"/>
    </row>
    <row r="574" spans="1:10" x14ac:dyDescent="0.2">
      <c r="A574" s="11"/>
      <c r="C574" s="40"/>
      <c r="E574" s="40"/>
    </row>
    <row r="575" spans="1:10" x14ac:dyDescent="0.2">
      <c r="A575" s="11"/>
      <c r="C575" s="51" t="str">
        <f t="shared" ref="C575:I575" si="75">C6</f>
        <v>SC1</v>
      </c>
      <c r="D575" s="51" t="str">
        <f t="shared" si="75"/>
        <v>SC5</v>
      </c>
      <c r="E575" s="51" t="str">
        <f t="shared" si="75"/>
        <v>SC3</v>
      </c>
      <c r="F575" s="51" t="str">
        <f t="shared" si="75"/>
        <v>SC2 ND</v>
      </c>
      <c r="G575" s="51" t="str">
        <f t="shared" si="75"/>
        <v>SC4</v>
      </c>
      <c r="H575" s="51" t="str">
        <f t="shared" si="75"/>
        <v>SC6</v>
      </c>
      <c r="I575" s="51" t="str">
        <f t="shared" si="75"/>
        <v>SC2 Dem</v>
      </c>
      <c r="J575" s="51"/>
    </row>
    <row r="576" spans="1:10" x14ac:dyDescent="0.2">
      <c r="A576" s="11"/>
      <c r="B576" s="48" t="s">
        <v>289</v>
      </c>
    </row>
    <row r="577" spans="1:12" x14ac:dyDescent="0.2">
      <c r="A577" s="11"/>
      <c r="B577" s="157" t="s">
        <v>69</v>
      </c>
      <c r="C577" s="107">
        <f>ROUND((C493*M48)/100,0)</f>
        <v>21550</v>
      </c>
      <c r="D577" s="107">
        <f>ROUND((D493*N48)/100,0)</f>
        <v>327</v>
      </c>
      <c r="E577" s="13">
        <f>ROUND((E494*O49+E495*O50)/100,0)</f>
        <v>6</v>
      </c>
      <c r="F577" s="107">
        <f>ROUND(F493*P48/100,0)</f>
        <v>474</v>
      </c>
      <c r="G577" s="107">
        <f>ROUND(G493*Q48/100,0)</f>
        <v>63</v>
      </c>
      <c r="H577" s="107">
        <f>ROUND(H493*R48/100,0)</f>
        <v>73</v>
      </c>
      <c r="I577" s="13">
        <v>6969</v>
      </c>
      <c r="J577" s="13"/>
    </row>
    <row r="578" spans="1:12" x14ac:dyDescent="0.2">
      <c r="A578" s="11"/>
      <c r="B578" s="157" t="s">
        <v>62</v>
      </c>
      <c r="C578" s="53">
        <f>ROUND(C504*M44/100,0)</f>
        <v>32688</v>
      </c>
      <c r="D578" s="53">
        <f>ROUND(D504*N44/100,0)</f>
        <v>681</v>
      </c>
      <c r="E578" s="236">
        <f>ROUND((E505*O45+E506*O46)/100,0)</f>
        <v>13</v>
      </c>
      <c r="F578" s="53">
        <f>ROUND(F504*P44/100,0)</f>
        <v>1095</v>
      </c>
      <c r="G578" s="53">
        <f>ROUND(G504*Q44/100,0)</f>
        <v>190</v>
      </c>
      <c r="H578" s="53">
        <f>ROUND(H504*R44/100,0)</f>
        <v>198</v>
      </c>
      <c r="I578" s="236">
        <v>13204</v>
      </c>
      <c r="J578" s="13"/>
    </row>
    <row r="579" spans="1:12" x14ac:dyDescent="0.2">
      <c r="A579" s="11"/>
      <c r="B579" s="157" t="s">
        <v>36</v>
      </c>
      <c r="C579" s="76">
        <f>+C578+C577</f>
        <v>54238</v>
      </c>
      <c r="D579" s="76">
        <f t="shared" ref="D579:I579" si="76">+D578+D577</f>
        <v>1008</v>
      </c>
      <c r="E579" s="76">
        <f t="shared" si="76"/>
        <v>19</v>
      </c>
      <c r="F579" s="76">
        <f t="shared" si="76"/>
        <v>1569</v>
      </c>
      <c r="G579" s="76">
        <f t="shared" si="76"/>
        <v>253</v>
      </c>
      <c r="H579" s="76">
        <f t="shared" si="76"/>
        <v>271</v>
      </c>
      <c r="I579" s="76">
        <f t="shared" si="76"/>
        <v>20173</v>
      </c>
      <c r="J579" s="76"/>
    </row>
    <row r="580" spans="1:12" x14ac:dyDescent="0.2">
      <c r="A580" s="11"/>
      <c r="B580" s="157"/>
      <c r="C580" s="76"/>
      <c r="D580" s="76"/>
      <c r="E580" s="76"/>
      <c r="F580" s="76"/>
      <c r="G580" s="76"/>
      <c r="H580" s="76"/>
      <c r="I580" s="76"/>
      <c r="J580" s="76"/>
    </row>
    <row r="581" spans="1:12" x14ac:dyDescent="0.2">
      <c r="A581" s="11"/>
      <c r="B581" s="157" t="s">
        <v>36</v>
      </c>
      <c r="C581" s="76"/>
      <c r="D581" s="76"/>
      <c r="E581" s="76"/>
      <c r="F581" s="76"/>
      <c r="G581" s="76"/>
      <c r="H581" s="76"/>
      <c r="I581" s="76"/>
      <c r="J581" s="76"/>
    </row>
    <row r="582" spans="1:12" x14ac:dyDescent="0.2">
      <c r="A582" s="11"/>
      <c r="B582" s="157" t="s">
        <v>69</v>
      </c>
      <c r="C582" s="76">
        <f>SUM(C577:I577)</f>
        <v>29462</v>
      </c>
      <c r="D582" s="76"/>
      <c r="E582" s="76"/>
      <c r="F582" s="76"/>
      <c r="G582" s="76"/>
      <c r="H582" s="76"/>
      <c r="I582" s="76"/>
      <c r="J582" s="76"/>
      <c r="L582" s="168"/>
    </row>
    <row r="583" spans="1:12" x14ac:dyDescent="0.2">
      <c r="A583" s="11"/>
      <c r="B583" s="157" t="s">
        <v>62</v>
      </c>
      <c r="C583" s="54">
        <f>SUM(C578:I578)</f>
        <v>48069</v>
      </c>
      <c r="E583" s="40"/>
      <c r="F583" s="76"/>
      <c r="G583" s="76"/>
    </row>
    <row r="584" spans="1:12" x14ac:dyDescent="0.2">
      <c r="A584" s="11"/>
      <c r="B584" s="157" t="s">
        <v>36</v>
      </c>
      <c r="C584" s="55">
        <f>+C583+C582</f>
        <v>77531</v>
      </c>
      <c r="E584" s="40"/>
      <c r="F584" s="55"/>
      <c r="G584" s="55"/>
    </row>
    <row r="585" spans="1:12" x14ac:dyDescent="0.2">
      <c r="A585" s="11"/>
      <c r="B585" s="157"/>
      <c r="C585" s="76"/>
      <c r="E585" s="40"/>
    </row>
    <row r="586" spans="1:12" x14ac:dyDescent="0.2">
      <c r="A586" s="11"/>
      <c r="C586" s="51" t="str">
        <f t="shared" ref="C586:I586" si="77">C6</f>
        <v>SC1</v>
      </c>
      <c r="D586" s="51" t="str">
        <f t="shared" si="77"/>
        <v>SC5</v>
      </c>
      <c r="E586" s="51" t="str">
        <f t="shared" si="77"/>
        <v>SC3</v>
      </c>
      <c r="F586" s="51" t="str">
        <f t="shared" si="77"/>
        <v>SC2 ND</v>
      </c>
      <c r="G586" s="51" t="str">
        <f t="shared" si="77"/>
        <v>SC4</v>
      </c>
      <c r="H586" s="51" t="str">
        <f t="shared" si="77"/>
        <v>SC6</v>
      </c>
      <c r="I586" s="51" t="str">
        <f t="shared" si="77"/>
        <v>SC2 Dem</v>
      </c>
      <c r="J586" s="51"/>
    </row>
    <row r="587" spans="1:12" x14ac:dyDescent="0.2">
      <c r="A587" s="11"/>
      <c r="B587" s="21" t="s">
        <v>290</v>
      </c>
    </row>
    <row r="588" spans="1:12" x14ac:dyDescent="0.2">
      <c r="A588" s="11"/>
      <c r="B588" s="157" t="s">
        <v>69</v>
      </c>
      <c r="C588" s="107">
        <f t="shared" ref="C588:I588" si="78">+$C571*M48*C78/1000</f>
        <v>24688.974749235953</v>
      </c>
      <c r="D588" s="107">
        <f t="shared" si="78"/>
        <v>400.66319344314684</v>
      </c>
      <c r="E588" s="107">
        <f t="shared" si="78"/>
        <v>7.132411098231362</v>
      </c>
      <c r="F588" s="107">
        <f t="shared" si="78"/>
        <v>621.94624776577473</v>
      </c>
      <c r="G588" s="107">
        <f t="shared" si="78"/>
        <v>120.87322713453472</v>
      </c>
      <c r="H588" s="107">
        <f t="shared" si="78"/>
        <v>139.88599494547952</v>
      </c>
      <c r="I588" s="107">
        <f t="shared" si="78"/>
        <v>10966.853612101269</v>
      </c>
      <c r="J588" s="107"/>
    </row>
    <row r="589" spans="1:12" x14ac:dyDescent="0.2">
      <c r="A589" s="11"/>
      <c r="B589" s="157" t="s">
        <v>62</v>
      </c>
      <c r="C589" s="53">
        <f t="shared" ref="C589:I589" si="79">+$C572*M44*C78/1000</f>
        <v>35001.103784379484</v>
      </c>
      <c r="D589" s="53">
        <f t="shared" si="79"/>
        <v>888.62530494580233</v>
      </c>
      <c r="E589" s="53">
        <f t="shared" si="79"/>
        <v>17.137913639576304</v>
      </c>
      <c r="F589" s="53">
        <f t="shared" si="79"/>
        <v>1556.9060059541948</v>
      </c>
      <c r="G589" s="53">
        <f t="shared" si="79"/>
        <v>342.93108184635554</v>
      </c>
      <c r="H589" s="53">
        <f t="shared" si="79"/>
        <v>359.13101343044627</v>
      </c>
      <c r="I589" s="53">
        <f t="shared" si="79"/>
        <v>21122.455498042582</v>
      </c>
      <c r="J589" s="107"/>
    </row>
    <row r="590" spans="1:12" x14ac:dyDescent="0.2">
      <c r="A590" s="11"/>
      <c r="B590" s="157" t="s">
        <v>36</v>
      </c>
      <c r="C590" s="76">
        <f t="shared" ref="C590:I590" si="80">+C589+C588</f>
        <v>59690.078533615437</v>
      </c>
      <c r="D590" s="76">
        <f t="shared" si="80"/>
        <v>1289.2884983889492</v>
      </c>
      <c r="E590" s="76">
        <f t="shared" si="80"/>
        <v>24.270324737807666</v>
      </c>
      <c r="F590" s="76">
        <f t="shared" si="80"/>
        <v>2178.8522537199697</v>
      </c>
      <c r="G590" s="76">
        <f t="shared" si="80"/>
        <v>463.80430898089026</v>
      </c>
      <c r="H590" s="107">
        <f t="shared" si="80"/>
        <v>499.0170083759258</v>
      </c>
      <c r="I590" s="107">
        <f t="shared" si="80"/>
        <v>32089.309110143851</v>
      </c>
      <c r="J590" s="107"/>
    </row>
    <row r="591" spans="1:12" x14ac:dyDescent="0.2">
      <c r="A591" s="11"/>
      <c r="C591" s="40"/>
      <c r="D591" s="40"/>
      <c r="E591" s="40"/>
      <c r="F591" s="40"/>
      <c r="G591" s="40"/>
      <c r="H591" s="40"/>
      <c r="I591" s="40"/>
      <c r="J591" s="40"/>
    </row>
    <row r="592" spans="1:12" x14ac:dyDescent="0.2">
      <c r="A592" s="11"/>
      <c r="B592" s="157" t="s">
        <v>36</v>
      </c>
      <c r="C592" s="167"/>
      <c r="D592" s="40"/>
      <c r="E592" s="40"/>
      <c r="F592" s="40"/>
      <c r="G592" s="40"/>
      <c r="H592" s="40"/>
      <c r="I592" s="40"/>
      <c r="J592" s="40"/>
    </row>
    <row r="593" spans="1:7" x14ac:dyDescent="0.2">
      <c r="A593" s="11"/>
      <c r="B593" s="157" t="s">
        <v>69</v>
      </c>
      <c r="C593" s="76">
        <f>SUM(C588:I588)</f>
        <v>36946.329435724387</v>
      </c>
      <c r="G593" s="76"/>
    </row>
    <row r="594" spans="1:7" x14ac:dyDescent="0.2">
      <c r="A594" s="11"/>
      <c r="B594" s="157" t="s">
        <v>62</v>
      </c>
      <c r="C594" s="54">
        <f>SUM(C589:I589)</f>
        <v>59288.290602238441</v>
      </c>
      <c r="G594" s="76"/>
    </row>
    <row r="595" spans="1:7" x14ac:dyDescent="0.2">
      <c r="A595" s="11"/>
      <c r="B595" s="157" t="s">
        <v>36</v>
      </c>
      <c r="C595" s="76">
        <f>+C594+C593</f>
        <v>96234.620037962828</v>
      </c>
      <c r="G595" s="76"/>
    </row>
    <row r="596" spans="1:7" x14ac:dyDescent="0.2">
      <c r="A596" s="11"/>
      <c r="C596" s="40"/>
      <c r="D596" s="56"/>
      <c r="E596" s="40"/>
      <c r="F596" s="233"/>
    </row>
    <row r="597" spans="1:7" x14ac:dyDescent="0.2">
      <c r="B597" s="157" t="s">
        <v>291</v>
      </c>
      <c r="C597" s="76"/>
    </row>
    <row r="598" spans="1:7" x14ac:dyDescent="0.2">
      <c r="B598" s="157" t="s">
        <v>69</v>
      </c>
      <c r="C598" s="108">
        <f>ROUND($C$147*SUM($C$141:$I$141)/12*H$144/1000*D447,0)</f>
        <v>4445</v>
      </c>
    </row>
    <row r="599" spans="1:7" x14ac:dyDescent="0.2">
      <c r="B599" s="157" t="s">
        <v>62</v>
      </c>
      <c r="C599" s="57">
        <f>ROUND($C$147*SUM($C$141:$I$141)/12*H$145/1000*D447,0)</f>
        <v>8890</v>
      </c>
    </row>
    <row r="600" spans="1:7" x14ac:dyDescent="0.2">
      <c r="B600" s="157" t="s">
        <v>36</v>
      </c>
      <c r="C600" s="76">
        <f>SUM(C598:C599)</f>
        <v>13335</v>
      </c>
    </row>
    <row r="602" spans="1:7" x14ac:dyDescent="0.2">
      <c r="B602" s="21" t="s">
        <v>292</v>
      </c>
    </row>
    <row r="603" spans="1:7" x14ac:dyDescent="0.2">
      <c r="B603" s="157" t="s">
        <v>69</v>
      </c>
      <c r="C603" s="76">
        <f>C593-C598</f>
        <v>32501.329435724387</v>
      </c>
    </row>
    <row r="604" spans="1:7" x14ac:dyDescent="0.2">
      <c r="B604" s="157" t="s">
        <v>62</v>
      </c>
      <c r="C604" s="54">
        <f>C594-C599</f>
        <v>50398.290602238441</v>
      </c>
    </row>
    <row r="605" spans="1:7" x14ac:dyDescent="0.2">
      <c r="B605" s="157" t="s">
        <v>36</v>
      </c>
      <c r="C605" s="55">
        <f>SUM(C603:C604)</f>
        <v>82899.620037962828</v>
      </c>
    </row>
    <row r="607" spans="1:7" x14ac:dyDescent="0.2">
      <c r="B607" s="21" t="s">
        <v>111</v>
      </c>
    </row>
    <row r="608" spans="1:7" x14ac:dyDescent="0.2">
      <c r="B608" s="157" t="s">
        <v>69</v>
      </c>
      <c r="C608" s="76">
        <f>C603-C582</f>
        <v>3039.3294357243867</v>
      </c>
    </row>
    <row r="609" spans="2:3" x14ac:dyDescent="0.2">
      <c r="B609" s="157" t="s">
        <v>62</v>
      </c>
      <c r="C609" s="54">
        <f>C604-C583</f>
        <v>2329.2906022384414</v>
      </c>
    </row>
    <row r="610" spans="2:3" x14ac:dyDescent="0.2">
      <c r="B610" s="157" t="s">
        <v>36</v>
      </c>
      <c r="C610" s="76">
        <f>SUM(C608:C609)</f>
        <v>5368.6200379628281</v>
      </c>
    </row>
  </sheetData>
  <mergeCells count="3">
    <mergeCell ref="U210:V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T58"/>
  <sheetViews>
    <sheetView zoomScaleNormal="100" workbookViewId="0"/>
  </sheetViews>
  <sheetFormatPr defaultRowHeight="12.75" x14ac:dyDescent="0.2"/>
  <cols>
    <col min="1" max="1" width="9.140625" style="3"/>
    <col min="2" max="2" width="4.7109375" style="3" customWidth="1"/>
    <col min="3" max="3" width="26.140625" style="3" customWidth="1"/>
    <col min="4" max="6" width="9.5703125" style="3" customWidth="1"/>
    <col min="7" max="7" width="9.85546875" style="3" customWidth="1"/>
    <col min="8" max="8" width="2.42578125" style="3" customWidth="1"/>
    <col min="9" max="13" width="9.140625" style="3"/>
    <col min="14" max="14" width="12.85546875" style="3" customWidth="1"/>
    <col min="15" max="17" width="9.140625" style="3"/>
    <col min="18" max="18" width="13.140625" style="3" customWidth="1"/>
    <col min="19" max="16384" width="9.140625" style="3"/>
  </cols>
  <sheetData>
    <row r="1" spans="1:20" x14ac:dyDescent="0.2">
      <c r="A1" s="237" t="s">
        <v>293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">
      <c r="A2" s="34" t="str">
        <f>'BGS Cost &amp; Bid Factors'!M1&amp;" BGS Auction"</f>
        <v>2019 BGS Auction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59" customFormat="1" x14ac:dyDescent="0.2">
      <c r="A4" s="34" t="s">
        <v>294</v>
      </c>
      <c r="B4" s="34" t="s">
        <v>295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59" customFormat="1" ht="11.25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59" customFormat="1" ht="11.25" x14ac:dyDescent="0.2">
      <c r="A6" s="61"/>
      <c r="B6" s="61"/>
      <c r="C6" s="61"/>
      <c r="D6" s="63">
        <f>F6-2</f>
        <v>2017</v>
      </c>
      <c r="E6" s="63">
        <f>F6-1</f>
        <v>2018</v>
      </c>
      <c r="F6" s="63">
        <v>2019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59" customFormat="1" ht="11.25" x14ac:dyDescent="0.2">
      <c r="A7" s="61"/>
      <c r="B7" s="61"/>
      <c r="C7" s="61"/>
      <c r="D7" s="63" t="s">
        <v>296</v>
      </c>
      <c r="E7" s="63" t="s">
        <v>296</v>
      </c>
      <c r="F7" s="63" t="s">
        <v>296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59" customFormat="1" ht="11.25" x14ac:dyDescent="0.2">
      <c r="A8" s="61"/>
      <c r="B8" s="64" t="s">
        <v>297</v>
      </c>
      <c r="C8" s="64" t="s">
        <v>298</v>
      </c>
      <c r="D8" s="238" t="s">
        <v>299</v>
      </c>
      <c r="E8" s="238" t="s">
        <v>299</v>
      </c>
      <c r="F8" s="238" t="s">
        <v>299</v>
      </c>
      <c r="G8" s="239" t="s">
        <v>36</v>
      </c>
      <c r="H8" s="61"/>
      <c r="I8" s="64" t="s">
        <v>300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59" customFormat="1" ht="11.25" x14ac:dyDescent="0.2">
      <c r="A9" s="61"/>
      <c r="B9" s="63">
        <v>1</v>
      </c>
      <c r="C9" s="61" t="s">
        <v>301</v>
      </c>
      <c r="D9" s="67">
        <v>1</v>
      </c>
      <c r="E9" s="67">
        <v>2</v>
      </c>
      <c r="F9" s="67">
        <v>1</v>
      </c>
      <c r="G9" s="61">
        <f>SUM(D9:F9)</f>
        <v>4</v>
      </c>
      <c r="H9" s="61"/>
      <c r="I9" s="61" t="s">
        <v>302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59" customFormat="1" ht="11.25" x14ac:dyDescent="0.2">
      <c r="A10" s="61"/>
      <c r="B10" s="63">
        <v>2</v>
      </c>
      <c r="C10" s="240" t="s">
        <v>303</v>
      </c>
      <c r="D10" s="60">
        <v>8.0500000000000007</v>
      </c>
      <c r="E10" s="60">
        <v>8.5939999999999994</v>
      </c>
      <c r="F10" s="60">
        <v>8.5939999999999994</v>
      </c>
      <c r="G10" s="61"/>
      <c r="H10" s="61"/>
      <c r="I10" s="61" t="str">
        <f>"(Note: "&amp;F6&amp;" Auction Price Shown for Illustrative Purposes Only)"</f>
        <v>(Note: 2019 Auction Price Shown for Illustrative Purposes Only)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59" customFormat="1" ht="11.25" x14ac:dyDescent="0.2">
      <c r="A11" s="61"/>
      <c r="B11" s="63">
        <v>3</v>
      </c>
      <c r="C11" s="240" t="s">
        <v>304</v>
      </c>
      <c r="D11" s="60">
        <f>F11</f>
        <v>1.2569687785733308</v>
      </c>
      <c r="E11" s="60">
        <f>F11</f>
        <v>1.2569687785733308</v>
      </c>
      <c r="F11" s="60">
        <f>'BGS Cost &amp; Bid Factors'!M468/10</f>
        <v>1.2569687785733308</v>
      </c>
      <c r="G11" s="61"/>
      <c r="H11" s="61"/>
      <c r="I11" s="61" t="s">
        <v>305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59" customFormat="1" ht="11.25" x14ac:dyDescent="0.2">
      <c r="A12" s="61"/>
      <c r="B12" s="63">
        <v>4</v>
      </c>
      <c r="C12" s="240" t="s">
        <v>306</v>
      </c>
      <c r="D12" s="60">
        <f>D10-D11</f>
        <v>6.7930312214266699</v>
      </c>
      <c r="E12" s="60">
        <f>E10-E11</f>
        <v>7.3370312214266686</v>
      </c>
      <c r="F12" s="60">
        <f>F10-F11</f>
        <v>7.3370312214266686</v>
      </c>
      <c r="G12" s="241"/>
      <c r="H12" s="61"/>
      <c r="I12" s="240" t="s">
        <v>307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9" customFormat="1" ht="11.25" x14ac:dyDescent="0.2">
      <c r="A13" s="61"/>
      <c r="B13" s="63">
        <v>5</v>
      </c>
      <c r="C13" s="240" t="s">
        <v>308</v>
      </c>
      <c r="D13" s="60">
        <f>D9/$G$9*D12</f>
        <v>1.6982578053566675</v>
      </c>
      <c r="E13" s="60">
        <f>E9/$G$9*E12</f>
        <v>3.6685156107133343</v>
      </c>
      <c r="F13" s="60">
        <f>F9/$G$9*F12</f>
        <v>1.8342578053566672</v>
      </c>
      <c r="G13" s="241">
        <f>SUM(D13:F13)</f>
        <v>7.2010312214266694</v>
      </c>
      <c r="H13" s="61"/>
      <c r="I13" s="240" t="s">
        <v>309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9" customFormat="1" ht="11.25" x14ac:dyDescent="0.2">
      <c r="A14" s="61"/>
      <c r="B14" s="63">
        <v>6</v>
      </c>
      <c r="C14" s="240" t="s">
        <v>310</v>
      </c>
      <c r="D14" s="60">
        <f>D9/$G$9*D11</f>
        <v>0.3142421946433327</v>
      </c>
      <c r="E14" s="60">
        <f>E9/$G$9*E11</f>
        <v>0.62848438928666539</v>
      </c>
      <c r="F14" s="60">
        <f>F9/$G$9*F11</f>
        <v>0.3142421946433327</v>
      </c>
      <c r="G14" s="241">
        <f>SUM(D14:F14)</f>
        <v>1.2569687785733308</v>
      </c>
      <c r="H14" s="61"/>
      <c r="I14" s="240" t="s">
        <v>311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9" customFormat="1" ht="11.25" x14ac:dyDescent="0.2">
      <c r="A15" s="61"/>
      <c r="B15" s="63">
        <v>7</v>
      </c>
      <c r="C15" s="240" t="s">
        <v>312</v>
      </c>
      <c r="D15" s="61"/>
      <c r="E15" s="61"/>
      <c r="F15" s="61"/>
      <c r="G15" s="242">
        <f>G13+G14</f>
        <v>8.4580000000000002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9" customFormat="1" ht="11.25" x14ac:dyDescent="0.2">
      <c r="A16" s="61"/>
      <c r="B16" s="63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9" customFormat="1" ht="11.25" x14ac:dyDescent="0.2">
      <c r="A17" s="61"/>
      <c r="B17" s="63"/>
      <c r="C17" s="64" t="s">
        <v>313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9" customFormat="1" ht="11.25" x14ac:dyDescent="0.2">
      <c r="A18" s="61"/>
      <c r="B18" s="63">
        <v>8</v>
      </c>
      <c r="C18" s="243" t="s">
        <v>314</v>
      </c>
      <c r="D18" s="62">
        <v>1</v>
      </c>
      <c r="E18" s="62">
        <v>1</v>
      </c>
      <c r="F18" s="62">
        <f>IF('BGS Cost &amp; Bid Factors'!J377&lt;1,1,'BGS Cost &amp; Bid Factors'!J377)</f>
        <v>1</v>
      </c>
      <c r="G18" s="61" t="s">
        <v>315</v>
      </c>
      <c r="H18" s="61"/>
      <c r="I18" s="240" t="s">
        <v>316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9" customFormat="1" ht="11.25" x14ac:dyDescent="0.2">
      <c r="A19" s="61"/>
      <c r="B19" s="63">
        <v>9</v>
      </c>
      <c r="C19" s="243" t="s">
        <v>317</v>
      </c>
      <c r="D19" s="62">
        <v>1</v>
      </c>
      <c r="E19" s="62">
        <v>1</v>
      </c>
      <c r="F19" s="62">
        <f>IF('BGS Cost &amp; Bid Factors'!J378&gt;1,1,'BGS Cost &amp; Bid Factors'!J378)</f>
        <v>1</v>
      </c>
      <c r="G19" s="61" t="s">
        <v>315</v>
      </c>
      <c r="H19" s="61"/>
      <c r="I19" s="240" t="s">
        <v>316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9" customFormat="1" ht="11.25" x14ac:dyDescent="0.2">
      <c r="A20" s="61"/>
      <c r="B20" s="63"/>
      <c r="C20" s="61"/>
      <c r="D20" s="62"/>
      <c r="E20" s="62"/>
      <c r="F20" s="62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9" customFormat="1" ht="11.25" x14ac:dyDescent="0.2">
      <c r="A21" s="61"/>
      <c r="B21" s="63"/>
      <c r="C21" s="64" t="s">
        <v>318</v>
      </c>
      <c r="D21" s="61"/>
      <c r="E21" s="61"/>
      <c r="F21" s="63" t="s">
        <v>319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9" customFormat="1" ht="11.25" x14ac:dyDescent="0.2">
      <c r="A22" s="61"/>
      <c r="B22" s="63">
        <v>10</v>
      </c>
      <c r="C22" s="244" t="s">
        <v>320</v>
      </c>
      <c r="D22" s="65">
        <f>'Rate Calculations'!$D$251</f>
        <v>396708.1931653776</v>
      </c>
      <c r="E22" s="61"/>
      <c r="F22" s="61"/>
      <c r="G22" s="61"/>
      <c r="H22" s="61"/>
      <c r="I22" s="240" t="s">
        <v>316</v>
      </c>
      <c r="J22" s="61"/>
      <c r="K22" s="61"/>
      <c r="L22" s="61"/>
      <c r="M22" s="61"/>
      <c r="N22" s="65"/>
      <c r="O22" s="61"/>
      <c r="P22" s="61"/>
      <c r="Q22" s="61"/>
      <c r="R22" s="61"/>
      <c r="S22" s="61"/>
      <c r="T22" s="61"/>
    </row>
    <row r="23" spans="1:20" s="59" customFormat="1" ht="11.25" x14ac:dyDescent="0.2">
      <c r="A23" s="61"/>
      <c r="B23" s="63">
        <v>11</v>
      </c>
      <c r="C23" s="244" t="s">
        <v>321</v>
      </c>
      <c r="D23" s="66">
        <f>'Rate Calculations'!$D$252</f>
        <v>579554.06655779528</v>
      </c>
      <c r="E23" s="61"/>
      <c r="F23" s="61"/>
      <c r="G23" s="61"/>
      <c r="H23" s="61"/>
      <c r="I23" s="240" t="s">
        <v>316</v>
      </c>
      <c r="J23" s="61"/>
      <c r="K23" s="61"/>
      <c r="L23" s="61"/>
      <c r="M23" s="61"/>
      <c r="N23" s="65"/>
      <c r="O23" s="61"/>
      <c r="P23" s="61"/>
      <c r="Q23" s="61"/>
      <c r="R23" s="61"/>
      <c r="S23" s="61"/>
      <c r="T23" s="61"/>
    </row>
    <row r="24" spans="1:20" s="59" customFormat="1" ht="11.25" x14ac:dyDescent="0.2">
      <c r="A24" s="61"/>
      <c r="B24" s="63">
        <v>12</v>
      </c>
      <c r="C24" s="61"/>
      <c r="D24" s="65">
        <f>SUM(D22:D23)</f>
        <v>976262.25972317287</v>
      </c>
      <c r="E24" s="61"/>
      <c r="F24" s="61"/>
      <c r="G24" s="61"/>
      <c r="H24" s="61"/>
      <c r="I24" s="61"/>
      <c r="J24" s="61"/>
      <c r="K24" s="61"/>
      <c r="L24" s="61"/>
      <c r="M24" s="61"/>
      <c r="N24" s="65"/>
      <c r="O24" s="61"/>
      <c r="P24" s="61"/>
      <c r="Q24" s="61"/>
      <c r="R24" s="61"/>
      <c r="S24" s="61"/>
      <c r="T24" s="61"/>
    </row>
    <row r="25" spans="1:20" s="59" customFormat="1" ht="11.25" x14ac:dyDescent="0.2">
      <c r="A25" s="61"/>
      <c r="B25" s="6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s="59" customFormat="1" ht="11.25" x14ac:dyDescent="0.2">
      <c r="A26" s="61"/>
      <c r="B26" s="63"/>
      <c r="C26" s="64" t="s">
        <v>322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59" customFormat="1" ht="11.25" x14ac:dyDescent="0.2">
      <c r="A27" s="61"/>
      <c r="B27" s="63">
        <v>13</v>
      </c>
      <c r="C27" s="244" t="s">
        <v>69</v>
      </c>
      <c r="D27" s="65">
        <f>ROUND(D$9/$G$9*D$10/100*D$18*$D$22*1000,0)</f>
        <v>7983752</v>
      </c>
      <c r="E27" s="65">
        <f>ROUND(E$9/$G$9*E$10/100*E$18*$D$22*1000,0)</f>
        <v>17046551</v>
      </c>
      <c r="F27" s="65">
        <f>ROUND(F$9/$G$9*F$10/100*F$18*$D$22*1000,0)</f>
        <v>8523276</v>
      </c>
      <c r="G27" s="65">
        <f>SUM(D27:F27)</f>
        <v>33553579</v>
      </c>
      <c r="H27" s="61"/>
      <c r="I27" s="240" t="s">
        <v>323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59" customFormat="1" ht="11.25" x14ac:dyDescent="0.2">
      <c r="A28" s="61"/>
      <c r="B28" s="63">
        <v>14</v>
      </c>
      <c r="C28" s="244" t="s">
        <v>62</v>
      </c>
      <c r="D28" s="66">
        <f>ROUND(D$9/$G$9*D$10/100*D$19*$D$23*1000,0)</f>
        <v>11663526</v>
      </c>
      <c r="E28" s="66">
        <f>ROUND(E$9/$G$9*E$10/100*E$19*$D$23*1000,0)</f>
        <v>24903438</v>
      </c>
      <c r="F28" s="66">
        <f>ROUND(F$9/$G$9*F$10/100*F$19*$D$23*1000,0)</f>
        <v>12451719</v>
      </c>
      <c r="G28" s="66">
        <f>SUM(D28:F28)</f>
        <v>49018683</v>
      </c>
      <c r="H28" s="61"/>
      <c r="I28" s="240" t="s">
        <v>324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59" customFormat="1" ht="11.25" x14ac:dyDescent="0.2">
      <c r="A29" s="61"/>
      <c r="B29" s="63">
        <v>15</v>
      </c>
      <c r="C29" s="244" t="s">
        <v>36</v>
      </c>
      <c r="D29" s="65">
        <f>SUM(D27:D28)</f>
        <v>19647278</v>
      </c>
      <c r="E29" s="65">
        <f>SUM(E27:E28)</f>
        <v>41949989</v>
      </c>
      <c r="F29" s="65">
        <f>SUM(F27:F28)</f>
        <v>20974995</v>
      </c>
      <c r="G29" s="65">
        <f>SUM(G27:G28)</f>
        <v>82572262</v>
      </c>
      <c r="H29" s="61"/>
      <c r="I29" s="240" t="s">
        <v>325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s="59" customFormat="1" ht="11.25" x14ac:dyDescent="0.2">
      <c r="A30" s="61"/>
      <c r="B30" s="63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59" customFormat="1" ht="11.25" x14ac:dyDescent="0.2">
      <c r="A31" s="61"/>
      <c r="B31" s="63"/>
      <c r="C31" s="245" t="s">
        <v>326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59" customFormat="1" ht="11.25" x14ac:dyDescent="0.2">
      <c r="A32" s="61"/>
      <c r="B32" s="63">
        <v>16</v>
      </c>
      <c r="C32" s="244" t="s">
        <v>69</v>
      </c>
      <c r="D32" s="241">
        <f>ROUND(G27/D22/1000*100,3)</f>
        <v>8.4580000000000002</v>
      </c>
      <c r="E32" s="61" t="s">
        <v>113</v>
      </c>
      <c r="F32" s="61"/>
      <c r="G32" s="61"/>
      <c r="H32" s="61"/>
      <c r="I32" s="240" t="s">
        <v>327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s="59" customFormat="1" ht="11.25" x14ac:dyDescent="0.2">
      <c r="A33" s="61"/>
      <c r="B33" s="63">
        <v>17</v>
      </c>
      <c r="C33" s="244" t="s">
        <v>62</v>
      </c>
      <c r="D33" s="241">
        <f>ROUND(G28/D23/1000*100,3)</f>
        <v>8.4580000000000002</v>
      </c>
      <c r="E33" s="61" t="s">
        <v>113</v>
      </c>
      <c r="F33" s="61"/>
      <c r="G33" s="61"/>
      <c r="H33" s="61"/>
      <c r="I33" s="240" t="s">
        <v>328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59" customFormat="1" ht="11.25" x14ac:dyDescent="0.2">
      <c r="A34" s="61"/>
      <c r="B34" s="63">
        <v>18</v>
      </c>
      <c r="C34" s="244" t="s">
        <v>36</v>
      </c>
      <c r="D34" s="242">
        <f>ROUND(G29/D24/1000*100,3)</f>
        <v>8.4580000000000002</v>
      </c>
      <c r="E34" s="61" t="s">
        <v>113</v>
      </c>
      <c r="F34" s="61"/>
      <c r="G34" s="61"/>
      <c r="H34" s="61"/>
      <c r="I34" s="240" t="s">
        <v>329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59" customFormat="1" ht="11.25" x14ac:dyDescent="0.2">
      <c r="A35" s="61"/>
      <c r="B35" s="63"/>
      <c r="C35" s="65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59" customFormat="1" ht="11.25" x14ac:dyDescent="0.2">
      <c r="A36" s="61"/>
      <c r="B36" s="63"/>
      <c r="C36" s="64" t="s">
        <v>330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s="59" customFormat="1" ht="11.25" x14ac:dyDescent="0.2">
      <c r="A37" s="61"/>
      <c r="B37" s="63"/>
      <c r="C37" s="61"/>
      <c r="D37" s="244" t="s">
        <v>331</v>
      </c>
      <c r="E37" s="244" t="s">
        <v>332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59" customFormat="1" ht="11.25" x14ac:dyDescent="0.2">
      <c r="A38" s="61"/>
      <c r="B38" s="63"/>
      <c r="C38" s="61"/>
      <c r="D38" s="239" t="s">
        <v>296</v>
      </c>
      <c r="E38" s="239" t="s">
        <v>333</v>
      </c>
      <c r="F38" s="246"/>
      <c r="G38" s="239" t="s">
        <v>36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59" customFormat="1" ht="11.25" x14ac:dyDescent="0.2">
      <c r="A39" s="61"/>
      <c r="B39" s="63">
        <v>19</v>
      </c>
      <c r="C39" s="61" t="s">
        <v>301</v>
      </c>
      <c r="D39" s="67">
        <f>SUM(D9:F9)</f>
        <v>4</v>
      </c>
      <c r="E39" s="67">
        <f>'BGS Cost &amp; Bid Factors'!M466</f>
        <v>0.49</v>
      </c>
      <c r="F39" s="67"/>
      <c r="G39" s="61">
        <f>SUM(D39:E39)</f>
        <v>4.49</v>
      </c>
      <c r="H39" s="61"/>
      <c r="I39" s="61" t="s">
        <v>334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59" customFormat="1" ht="11.25" x14ac:dyDescent="0.2">
      <c r="A40" s="61"/>
      <c r="B40" s="63">
        <v>20</v>
      </c>
      <c r="C40" s="61" t="s">
        <v>335</v>
      </c>
      <c r="D40" s="60">
        <f>D34</f>
        <v>8.4580000000000002</v>
      </c>
      <c r="E40" s="60">
        <f>'Rate Calculations'!$D$286*(100/1000)</f>
        <v>7.1269999999999998</v>
      </c>
      <c r="F40" s="60"/>
      <c r="G40" s="61"/>
      <c r="H40" s="61"/>
      <c r="I40" s="61" t="str">
        <f>"BGS Auction from (18)"</f>
        <v>BGS Auction from (18)</v>
      </c>
      <c r="J40" s="61"/>
      <c r="K40" s="61" t="str">
        <f>"Note "&amp;$E$40&amp;"¢ for RFP is illustrative"</f>
        <v>Note 7.127¢ for RFP is illustrative</v>
      </c>
      <c r="L40" s="61"/>
      <c r="M40" s="61"/>
      <c r="N40" s="61"/>
      <c r="O40" s="61"/>
      <c r="P40" s="61"/>
      <c r="Q40" s="61"/>
      <c r="R40" s="61"/>
      <c r="S40" s="61"/>
      <c r="T40" s="61"/>
    </row>
    <row r="41" spans="1:20" s="59" customFormat="1" ht="11.25" x14ac:dyDescent="0.2">
      <c r="A41" s="61"/>
      <c r="B41" s="63"/>
      <c r="C41" s="61"/>
      <c r="D41" s="60"/>
      <c r="E41" s="249"/>
      <c r="F41" s="60"/>
      <c r="G41" s="61"/>
      <c r="H41" s="61"/>
      <c r="I41" s="61" t="s">
        <v>336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59" customFormat="1" ht="11.25" x14ac:dyDescent="0.2">
      <c r="A42" s="61"/>
      <c r="B42" s="63">
        <v>21</v>
      </c>
      <c r="C42" s="61" t="s">
        <v>337</v>
      </c>
      <c r="D42" s="60">
        <f>F11</f>
        <v>1.2569687785733308</v>
      </c>
      <c r="E42" s="60">
        <v>0</v>
      </c>
      <c r="F42" s="6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59" customFormat="1" ht="11.25" x14ac:dyDescent="0.2">
      <c r="A43" s="61"/>
      <c r="B43" s="63">
        <v>22</v>
      </c>
      <c r="C43" s="61" t="s">
        <v>331</v>
      </c>
      <c r="D43" s="60">
        <f>D40-D42</f>
        <v>7.2010312214266694</v>
      </c>
      <c r="E43" s="67">
        <f>E40-E42</f>
        <v>7.1269999999999998</v>
      </c>
      <c r="F43" s="67"/>
      <c r="G43" s="61"/>
      <c r="H43" s="61"/>
      <c r="I43" s="240" t="s">
        <v>338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59" customFormat="1" ht="11.25" x14ac:dyDescent="0.2">
      <c r="A44" s="61"/>
      <c r="B44" s="63">
        <v>23</v>
      </c>
      <c r="C44" s="240" t="s">
        <v>308</v>
      </c>
      <c r="D44" s="60">
        <f>D39/$G$39*D43</f>
        <v>6.4151725803355628</v>
      </c>
      <c r="E44" s="60">
        <f>E39/$G$39*E43</f>
        <v>0.77777951002227164</v>
      </c>
      <c r="F44" s="60"/>
      <c r="G44" s="241">
        <f>SUM(D44:E44)</f>
        <v>7.1929520903578341</v>
      </c>
      <c r="H44" s="61"/>
      <c r="I44" s="240" t="s">
        <v>339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59" customFormat="1" ht="12" thickBot="1" x14ac:dyDescent="0.25">
      <c r="A45" s="61"/>
      <c r="B45" s="63">
        <v>24</v>
      </c>
      <c r="C45" s="240" t="s">
        <v>310</v>
      </c>
      <c r="D45" s="60">
        <f>D39/$G$39*D42</f>
        <v>1.119794012092054</v>
      </c>
      <c r="E45" s="60">
        <f>E39/$G$39*E42</f>
        <v>0</v>
      </c>
      <c r="F45" s="60"/>
      <c r="G45" s="241">
        <f>SUM(D45:E45)</f>
        <v>1.119794012092054</v>
      </c>
      <c r="H45" s="61"/>
      <c r="I45" s="240" t="s">
        <v>340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59" customFormat="1" ht="12" thickBot="1" x14ac:dyDescent="0.25">
      <c r="A46" s="61"/>
      <c r="B46" s="63">
        <v>25</v>
      </c>
      <c r="C46" s="247" t="s">
        <v>341</v>
      </c>
      <c r="D46" s="61"/>
      <c r="E46" s="61"/>
      <c r="F46" s="61"/>
      <c r="G46" s="68">
        <f>ROUND(G44+G45,3)</f>
        <v>8.3130000000000006</v>
      </c>
      <c r="H46" s="61"/>
      <c r="I46" s="240" t="s">
        <v>342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x14ac:dyDescent="0.2">
      <c r="A48" s="21"/>
      <c r="B48" s="21"/>
      <c r="C48" s="248" t="s">
        <v>343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">
      <c r="A49" s="21"/>
      <c r="B49" s="21"/>
      <c r="C49" s="248" t="s">
        <v>344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</sheetData>
  <printOptions horizontalCentered="1"/>
  <pageMargins left="0.5" right="0.5" top="0.5" bottom="0.5" header="0.5" footer="0.5"/>
  <pageSetup scale="93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J305"/>
  <sheetViews>
    <sheetView zoomScaleNormal="100" workbookViewId="0">
      <pane ySplit="3" topLeftCell="A4" activePane="bottomLeft" state="frozen"/>
      <selection activeCell="C81" sqref="C81"/>
      <selection pane="bottomLeft"/>
    </sheetView>
  </sheetViews>
  <sheetFormatPr defaultRowHeight="12.75" x14ac:dyDescent="0.2"/>
  <cols>
    <col min="1" max="1" width="9.5703125" style="1" customWidth="1"/>
    <col min="2" max="2" width="27.85546875" customWidth="1"/>
    <col min="3" max="3" width="14.140625" customWidth="1"/>
    <col min="4" max="5" width="12.7109375" customWidth="1"/>
    <col min="6" max="7" width="13.42578125" customWidth="1"/>
    <col min="8" max="8" width="12.7109375" customWidth="1"/>
    <col min="9" max="9" width="11.85546875" customWidth="1"/>
    <col min="10" max="10" width="12.5703125" customWidth="1"/>
    <col min="11" max="11" width="10.7109375" customWidth="1"/>
    <col min="12" max="12" width="11.7109375" customWidth="1"/>
    <col min="13" max="17" width="9.42578125" customWidth="1"/>
    <col min="18" max="18" width="9.28515625" customWidth="1"/>
    <col min="19" max="19" width="8.7109375" customWidth="1"/>
    <col min="20" max="20" width="12.7109375" customWidth="1"/>
    <col min="21" max="21" width="10.140625" customWidth="1"/>
    <col min="22" max="27" width="8.7109375" customWidth="1"/>
    <col min="28" max="28" width="2.85546875" customWidth="1"/>
    <col min="29" max="29" width="21" customWidth="1"/>
    <col min="30" max="37" width="9.42578125" customWidth="1"/>
  </cols>
  <sheetData>
    <row r="1" spans="1:21" x14ac:dyDescent="0.2">
      <c r="A1" s="58" t="s">
        <v>293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x14ac:dyDescent="0.2">
      <c r="A2" s="6" t="str">
        <f>'BGS Cost &amp; Bid Factors'!M1 &amp;" BGS Auction"</f>
        <v>2019 BGS Auction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">
      <c r="A4" s="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41" t="s">
        <v>345</v>
      </c>
      <c r="B6" s="39" t="s">
        <v>183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10"/>
      <c r="B7" s="48" t="s">
        <v>346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">
      <c r="A8" s="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">
      <c r="A9" s="4"/>
      <c r="B9" s="34" t="s">
        <v>164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4"/>
      <c r="B10" s="16" t="s">
        <v>347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A11" s="4"/>
      <c r="B11" s="3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4"/>
      <c r="B12" s="21"/>
      <c r="C12" s="47" t="str">
        <f>'BGS Cost &amp; Bid Factors'!C$6</f>
        <v>SC1</v>
      </c>
      <c r="D12" s="47" t="str">
        <f>'BGS Cost &amp; Bid Factors'!D$6</f>
        <v>SC5</v>
      </c>
      <c r="E12" s="47" t="str">
        <f>'BGS Cost &amp; Bid Factors'!E$6</f>
        <v>SC3</v>
      </c>
      <c r="F12" s="47" t="str">
        <f>'BGS Cost &amp; Bid Factors'!F$6</f>
        <v>SC2 ND</v>
      </c>
      <c r="G12" s="47" t="str">
        <f>'BGS Cost &amp; Bid Factors'!G$6</f>
        <v>SC4</v>
      </c>
      <c r="H12" s="47" t="str">
        <f>'BGS Cost &amp; Bid Factors'!H$6</f>
        <v>SC6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4"/>
      <c r="B13" s="21"/>
      <c r="C13" s="51"/>
      <c r="D13" s="51"/>
      <c r="E13" s="51"/>
      <c r="F13" s="5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4"/>
      <c r="B14" s="103" t="s">
        <v>64</v>
      </c>
      <c r="C14" s="35">
        <f>'BGS Cost &amp; Bid Factors'!C327</f>
        <v>1.0269999999999999</v>
      </c>
      <c r="D14" s="35">
        <f>'BGS Cost &amp; Bid Factors'!D327</f>
        <v>0.96099999999999997</v>
      </c>
      <c r="E14" s="197"/>
      <c r="F14" s="35">
        <f>'BGS Cost &amp; Bid Factors'!F327</f>
        <v>0.89700000000000002</v>
      </c>
      <c r="G14" s="35">
        <f>'BGS Cost &amp; Bid Factors'!G327</f>
        <v>0.61499999999999999</v>
      </c>
      <c r="H14" s="35">
        <f>'BGS Cost &amp; Bid Factors'!H327</f>
        <v>0.61399999999999999</v>
      </c>
      <c r="I14" s="40"/>
      <c r="J14" s="40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4"/>
      <c r="B15" s="104" t="s">
        <v>79</v>
      </c>
      <c r="C15" s="197"/>
      <c r="D15" s="197"/>
      <c r="E15" s="35">
        <f>'BGS Cost &amp; Bid Factors'!E328</f>
        <v>1.5980000000000001</v>
      </c>
      <c r="F15" s="197"/>
      <c r="G15" s="197"/>
      <c r="H15" s="197"/>
      <c r="I15" s="40"/>
      <c r="J15" s="40"/>
      <c r="K15" s="40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4"/>
      <c r="B16" s="104" t="s">
        <v>80</v>
      </c>
      <c r="C16" s="197"/>
      <c r="D16" s="197"/>
      <c r="E16" s="35">
        <f>'BGS Cost &amp; Bid Factors'!E329</f>
        <v>0.60199999999999998</v>
      </c>
      <c r="F16" s="197"/>
      <c r="G16" s="197"/>
      <c r="H16" s="197"/>
      <c r="I16" s="40"/>
      <c r="J16" s="40"/>
      <c r="K16" s="40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4"/>
      <c r="B17" s="21"/>
      <c r="C17" s="197"/>
      <c r="D17" s="197"/>
      <c r="E17" s="197"/>
      <c r="F17" s="197"/>
      <c r="G17" s="197"/>
      <c r="H17" s="197"/>
      <c r="I17" s="40"/>
      <c r="J17" s="40"/>
      <c r="K17" s="40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4"/>
      <c r="B18" s="36"/>
      <c r="C18" s="21"/>
      <c r="D18" s="21"/>
      <c r="E18" s="197"/>
      <c r="F18" s="197"/>
      <c r="G18" s="197"/>
      <c r="H18" s="197"/>
      <c r="I18" s="40"/>
      <c r="J18" s="40"/>
      <c r="K18" s="40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4"/>
      <c r="B19" s="37" t="s">
        <v>167</v>
      </c>
      <c r="C19" s="69">
        <f>'BGS Cost &amp; Bid Factors'!C332</f>
        <v>-16.628879999999995</v>
      </c>
      <c r="D19" s="38">
        <f>'BGS Cost &amp; Bid Factors'!D332</f>
        <v>-7.7773800000000008</v>
      </c>
      <c r="E19" s="197"/>
      <c r="F19" s="197"/>
      <c r="G19" s="197"/>
      <c r="H19" s="197"/>
      <c r="I19" s="40"/>
      <c r="J19" s="40"/>
      <c r="K19" s="40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4"/>
      <c r="B20" s="37" t="s">
        <v>168</v>
      </c>
      <c r="C20" s="38">
        <f>'BGS Cost &amp; Bid Factors'!C333</f>
        <v>12.091119999999989</v>
      </c>
      <c r="D20" s="38">
        <f>'BGS Cost &amp; Bid Factors'!D333</f>
        <v>12.502619999999993</v>
      </c>
      <c r="E20" s="197"/>
      <c r="F20" s="197"/>
      <c r="G20" s="197"/>
      <c r="H20" s="197"/>
      <c r="I20" s="40"/>
      <c r="J20" s="40"/>
      <c r="K20" s="40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4"/>
      <c r="B21" s="197"/>
      <c r="C21" s="197"/>
      <c r="D21" s="197"/>
      <c r="E21" s="197"/>
      <c r="F21" s="197"/>
      <c r="G21" s="197"/>
      <c r="H21" s="197"/>
      <c r="I21" s="40"/>
      <c r="J21" s="40"/>
      <c r="K21" s="40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">
      <c r="A22" s="4"/>
      <c r="B22" s="21"/>
      <c r="C22" s="197"/>
      <c r="D22" s="197"/>
      <c r="E22" s="197"/>
      <c r="F22" s="197"/>
      <c r="G22" s="197"/>
      <c r="H22" s="197"/>
      <c r="I22" s="40"/>
      <c r="J22" s="40"/>
      <c r="K22" s="40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">
      <c r="A23" s="4"/>
      <c r="B23" s="103" t="s">
        <v>70</v>
      </c>
      <c r="C23" s="35">
        <f>'BGS Cost &amp; Bid Factors'!C336</f>
        <v>1.2070000000000001</v>
      </c>
      <c r="D23" s="35">
        <f>'BGS Cost &amp; Bid Factors'!D336</f>
        <v>0.99099999999999999</v>
      </c>
      <c r="E23" s="197"/>
      <c r="F23" s="35">
        <f>'BGS Cost &amp; Bid Factors'!F336</f>
        <v>0.90900000000000003</v>
      </c>
      <c r="G23" s="35">
        <f>'BGS Cost &amp; Bid Factors'!G336</f>
        <v>0.71499999999999997</v>
      </c>
      <c r="H23" s="35">
        <f>'BGS Cost &amp; Bid Factors'!H336</f>
        <v>0.71</v>
      </c>
      <c r="I23" s="40"/>
      <c r="J23" s="40"/>
      <c r="K23" s="40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">
      <c r="A24" s="4"/>
      <c r="B24" s="104" t="s">
        <v>79</v>
      </c>
      <c r="C24" s="197"/>
      <c r="D24" s="197"/>
      <c r="E24" s="35">
        <f>'BGS Cost &amp; Bid Factors'!E337</f>
        <v>1.494</v>
      </c>
      <c r="F24" s="197"/>
      <c r="G24" s="197"/>
      <c r="H24" s="197"/>
      <c r="I24" s="40"/>
      <c r="J24" s="40"/>
      <c r="K24" s="40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">
      <c r="A25" s="4"/>
      <c r="B25" s="104" t="s">
        <v>80</v>
      </c>
      <c r="C25" s="197"/>
      <c r="D25" s="197"/>
      <c r="E25" s="35">
        <f>'BGS Cost &amp; Bid Factors'!E338</f>
        <v>0.70399999999999996</v>
      </c>
      <c r="F25" s="197"/>
      <c r="G25" s="197"/>
      <c r="H25" s="197"/>
      <c r="I25" s="40"/>
      <c r="J25" s="40"/>
      <c r="K25" s="40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">
      <c r="A26" s="4"/>
      <c r="B26" s="21"/>
      <c r="C26" s="40"/>
      <c r="D26" s="40"/>
      <c r="E26" s="40"/>
      <c r="F26" s="40"/>
      <c r="G26" s="40"/>
      <c r="H26" s="40"/>
      <c r="I26" s="40"/>
      <c r="J26" s="40"/>
      <c r="K26" s="40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">
      <c r="A27" s="4"/>
      <c r="B27" s="21" t="s">
        <v>169</v>
      </c>
      <c r="C27" s="70">
        <f>'BGS Cost &amp; Bid Factors'!C340</f>
        <v>1.1279999999999999</v>
      </c>
      <c r="D27" s="70">
        <f>'BGS Cost &amp; Bid Factors'!D340</f>
        <v>0.98099999999999998</v>
      </c>
      <c r="E27" s="70">
        <f>'BGS Cost &amp; Bid Factors'!E340</f>
        <v>0.98699999999999999</v>
      </c>
      <c r="F27" s="70">
        <f>'BGS Cost &amp; Bid Factors'!F340</f>
        <v>0.90570630457666734</v>
      </c>
      <c r="G27" s="70">
        <f>'BGS Cost &amp; Bid Factors'!G340</f>
        <v>0.68700000000000006</v>
      </c>
      <c r="H27" s="70">
        <f>'BGS Cost &amp; Bid Factors'!H340</f>
        <v>0.68200000000000005</v>
      </c>
      <c r="I27" s="40"/>
      <c r="J27" s="40"/>
      <c r="K27" s="40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">
      <c r="A28" s="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">
      <c r="A30" s="4"/>
      <c r="B30" s="34" t="s">
        <v>170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4"/>
      <c r="B31" s="16" t="s">
        <v>184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">
      <c r="A32" s="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">
      <c r="A33" s="4"/>
      <c r="B33" s="21"/>
      <c r="C33" s="36" t="str">
        <f>'BGS Cost &amp; Bid Factors'!I6</f>
        <v>SC2 Dem</v>
      </c>
      <c r="D33" s="36" t="str">
        <f>+C33</f>
        <v>SC2 Dem</v>
      </c>
      <c r="E33" s="51"/>
      <c r="F33" s="51"/>
      <c r="G33" s="200" t="s">
        <v>134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">
      <c r="A34" s="4"/>
      <c r="B34" s="21"/>
      <c r="C34" s="47" t="s">
        <v>172</v>
      </c>
      <c r="D34" s="207" t="s">
        <v>173</v>
      </c>
      <c r="E34" s="51"/>
      <c r="F34" s="51"/>
      <c r="G34" s="2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">
      <c r="A35" s="4"/>
      <c r="B35" s="103" t="s">
        <v>64</v>
      </c>
      <c r="C35" s="35">
        <f>'BGS Cost &amp; Bid Factors'!C348</f>
        <v>0.96699999999999997</v>
      </c>
      <c r="D35" s="35">
        <f>'BGS Cost &amp; Bid Factors'!D348</f>
        <v>-21.412840083098651</v>
      </c>
      <c r="E35" s="21"/>
      <c r="F35" s="112"/>
      <c r="G35" s="176" t="s">
        <v>135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">
      <c r="A36" s="4"/>
      <c r="B36" s="104"/>
      <c r="C36" s="70"/>
      <c r="D36" s="208"/>
      <c r="E36" s="198"/>
      <c r="F36" s="203"/>
      <c r="G36" s="26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">
      <c r="A37" s="4"/>
      <c r="B37" s="104"/>
      <c r="C37" s="70"/>
      <c r="D37" s="208"/>
      <c r="E37" s="198"/>
      <c r="F37" s="203"/>
      <c r="G37" s="26"/>
      <c r="H37" s="47">
        <f>'BGS Cost &amp; Bid Factors'!G212</f>
        <v>0</v>
      </c>
      <c r="I37" s="47" t="str">
        <f>'BGS Cost &amp; Bid Factors'!H212</f>
        <v>&lt; 5 kW</v>
      </c>
      <c r="J37" s="47" t="str">
        <f>'BGS Cost &amp; Bid Factors'!I212</f>
        <v>&gt; 5 kW</v>
      </c>
      <c r="K37" s="47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">
      <c r="A38" s="4"/>
      <c r="B38" s="21"/>
      <c r="C38" s="70"/>
      <c r="D38" s="208"/>
      <c r="E38" s="197"/>
      <c r="F38" s="203"/>
      <c r="G38" s="2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">
      <c r="A39" s="4"/>
      <c r="B39" s="103" t="s">
        <v>70</v>
      </c>
      <c r="C39" s="35">
        <f>'BGS Cost &amp; Bid Factors'!C352</f>
        <v>1.02</v>
      </c>
      <c r="D39" s="35">
        <f>'BGS Cost &amp; Bid Factors'!D352</f>
        <v>-20.609464957764743</v>
      </c>
      <c r="E39" s="198"/>
      <c r="F39" s="203"/>
      <c r="G39" s="204" t="s">
        <v>98</v>
      </c>
      <c r="H39" s="33">
        <f>'BGS Cost &amp; Bid Factors'!H352</f>
        <v>0</v>
      </c>
      <c r="I39" s="33">
        <f>'BGS Cost &amp; Bid Factors'!I352</f>
        <v>1.7629999999999999</v>
      </c>
      <c r="J39" s="33">
        <f>'BGS Cost &amp; Bid Factors'!J352</f>
        <v>6.117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">
      <c r="A40" s="4"/>
      <c r="B40" s="104"/>
      <c r="C40" s="70"/>
      <c r="D40" s="209"/>
      <c r="E40" s="198"/>
      <c r="F40" s="203"/>
      <c r="G40" s="204" t="s">
        <v>104</v>
      </c>
      <c r="H40" s="33">
        <f>'BGS Cost &amp; Bid Factors'!H353</f>
        <v>0</v>
      </c>
      <c r="I40" s="33">
        <f>'BGS Cost &amp; Bid Factors'!I353</f>
        <v>1.5740000000000001</v>
      </c>
      <c r="J40" s="33">
        <f>'BGS Cost &amp; Bid Factors'!J353</f>
        <v>5.5730000000000004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">
      <c r="A41" s="4"/>
      <c r="B41" s="104"/>
      <c r="C41" s="70"/>
      <c r="D41" s="209"/>
      <c r="E41" s="198"/>
      <c r="F41" s="203"/>
      <c r="G41" s="204"/>
      <c r="H41" s="12"/>
      <c r="I41" s="10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">
      <c r="A42" s="4"/>
      <c r="B42" s="21"/>
      <c r="C42" s="199"/>
      <c r="D42" s="209"/>
      <c r="E42" s="40"/>
      <c r="F42" s="21"/>
      <c r="G42" s="205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">
      <c r="A43" s="4"/>
      <c r="B43" s="21" t="s">
        <v>153</v>
      </c>
      <c r="C43" s="35">
        <f>'BGS Cost &amp; Bid Factors'!C356</f>
        <v>1.0009999999999999</v>
      </c>
      <c r="D43" s="209"/>
      <c r="E43" s="40"/>
      <c r="F43" s="21"/>
      <c r="G43" s="204"/>
      <c r="H43" s="12"/>
      <c r="I43" s="10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">
      <c r="A46" s="41" t="s">
        <v>348</v>
      </c>
      <c r="B46" s="39" t="s">
        <v>349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">
      <c r="B48" s="117" t="s">
        <v>350</v>
      </c>
      <c r="C48" s="21"/>
      <c r="D48" s="72">
        <f>'Weighted Avg Price Calc'!G46*10</f>
        <v>83.13000000000001</v>
      </c>
      <c r="E48" s="48" t="s">
        <v>351</v>
      </c>
      <c r="F48" s="48" t="s">
        <v>262</v>
      </c>
      <c r="G48" s="21"/>
      <c r="H48" s="21"/>
      <c r="I48" s="21"/>
      <c r="J48" s="21"/>
      <c r="K48" s="61" t="s">
        <v>235</v>
      </c>
      <c r="L48" s="45">
        <f>'BGS Cost &amp; Bid Factors'!M464</f>
        <v>49</v>
      </c>
      <c r="M48" s="21"/>
      <c r="N48" s="21"/>
      <c r="O48" s="21"/>
      <c r="P48" s="21"/>
      <c r="Q48" s="21"/>
      <c r="R48" s="21"/>
      <c r="S48" s="21"/>
      <c r="T48" s="21"/>
      <c r="U48" s="21"/>
    </row>
    <row r="49" spans="2:21" x14ac:dyDescent="0.2">
      <c r="B49" s="117" t="s">
        <v>263</v>
      </c>
      <c r="C49" s="21"/>
      <c r="D49" s="232">
        <f>-L54</f>
        <v>-11.199687785733307</v>
      </c>
      <c r="E49" s="48" t="s">
        <v>352</v>
      </c>
      <c r="F49" s="21" t="s">
        <v>264</v>
      </c>
      <c r="G49" s="21"/>
      <c r="H49" s="21"/>
      <c r="I49" s="21"/>
      <c r="J49" s="21"/>
      <c r="K49" s="61" t="s">
        <v>237</v>
      </c>
      <c r="L49" s="45">
        <f>'BGS Cost &amp; Bid Factors'!M465</f>
        <v>100</v>
      </c>
      <c r="M49" s="21"/>
      <c r="N49" s="21"/>
      <c r="O49" s="21"/>
      <c r="P49" s="21"/>
      <c r="Q49" s="21"/>
      <c r="R49" s="21"/>
      <c r="S49" s="21"/>
      <c r="T49" s="21"/>
      <c r="U49" s="21"/>
    </row>
    <row r="50" spans="2:21" x14ac:dyDescent="0.2">
      <c r="B50" s="117" t="s">
        <v>265</v>
      </c>
      <c r="C50" s="21"/>
      <c r="D50" s="112">
        <f>D48+D49</f>
        <v>71.930312214266706</v>
      </c>
      <c r="E50" s="48" t="s">
        <v>119</v>
      </c>
      <c r="F50" s="21" t="str">
        <f>"** RECO average transmission rate of "&amp;TEXT(L52,"0.00")&amp;" minus"</f>
        <v>** RECO average transmission rate of 12.57 minus</v>
      </c>
      <c r="G50" s="21"/>
      <c r="H50" s="21"/>
      <c r="I50" s="21"/>
      <c r="J50" s="21"/>
      <c r="K50" s="61" t="s">
        <v>239</v>
      </c>
      <c r="L50" s="21">
        <f>ROUND(L48/L49,3)</f>
        <v>0.49</v>
      </c>
      <c r="M50" s="21"/>
      <c r="N50" s="21"/>
      <c r="O50" s="21"/>
      <c r="P50" s="21"/>
      <c r="Q50" s="21"/>
      <c r="R50" s="21"/>
      <c r="S50" s="21"/>
      <c r="T50" s="21"/>
      <c r="U50" s="21"/>
    </row>
    <row r="51" spans="2:21" x14ac:dyDescent="0.2">
      <c r="B51" s="21"/>
      <c r="C51" s="21"/>
      <c r="D51" s="21"/>
      <c r="E51" s="21"/>
      <c r="F51" s="21" t="s">
        <v>266</v>
      </c>
      <c r="G51" s="21"/>
      <c r="H51" s="21"/>
      <c r="I51" s="21"/>
      <c r="J51" s="21"/>
      <c r="K51" s="21"/>
      <c r="L51" s="116"/>
      <c r="M51" s="21"/>
      <c r="N51" s="21"/>
      <c r="O51" s="21"/>
      <c r="P51" s="21"/>
      <c r="Q51" s="21"/>
      <c r="R51" s="21"/>
      <c r="S51" s="21"/>
      <c r="T51" s="21"/>
      <c r="U51" s="21"/>
    </row>
    <row r="52" spans="2:21" x14ac:dyDescent="0.2">
      <c r="B52" s="21"/>
      <c r="C52" s="21"/>
      <c r="D52" s="233"/>
      <c r="E52" s="21"/>
      <c r="F52" s="21" t="str">
        <f>"average rate "&amp;TEXT(L50,"0.000")&amp;"/"&amp;TEXT(4+L50,"0.000")&amp;" *$"&amp;TEXT(L52,"0.00")&amp;" per MWh)."</f>
        <v>average rate 0.490/4.490 *$12.57 per MWh).</v>
      </c>
      <c r="G52" s="21"/>
      <c r="H52" s="21"/>
      <c r="I52" s="276">
        <f>ROUND(L50/(4+L50)*L52,2)</f>
        <v>1.37</v>
      </c>
      <c r="J52" s="21"/>
      <c r="K52" s="61" t="s">
        <v>243</v>
      </c>
      <c r="L52" s="116">
        <f>'BGS Cost &amp; Bid Factors'!D223-'BGS Cost &amp; Bid Factors'!D318</f>
        <v>12.569687785733308</v>
      </c>
      <c r="M52" s="21" t="s">
        <v>244</v>
      </c>
      <c r="N52" s="21"/>
      <c r="O52" s="21"/>
      <c r="P52" s="21"/>
      <c r="Q52" s="21"/>
      <c r="R52" s="21"/>
      <c r="S52" s="21"/>
      <c r="T52" s="21"/>
      <c r="U52" s="21"/>
    </row>
    <row r="53" spans="2:21" x14ac:dyDescent="0.2">
      <c r="B53" s="50" t="s">
        <v>267</v>
      </c>
      <c r="C53" s="21"/>
      <c r="D53" s="21"/>
      <c r="E53" s="21"/>
      <c r="F53" s="21"/>
      <c r="G53" s="21"/>
      <c r="H53" s="21"/>
      <c r="I53" s="21"/>
      <c r="J53" s="21"/>
      <c r="K53" s="61" t="s">
        <v>246</v>
      </c>
      <c r="L53" s="116">
        <f>I52</f>
        <v>1.37</v>
      </c>
      <c r="M53" s="21" t="s">
        <v>244</v>
      </c>
      <c r="N53" s="21"/>
      <c r="O53" s="21"/>
      <c r="P53" s="21"/>
      <c r="Q53" s="21"/>
      <c r="R53" s="21"/>
      <c r="S53" s="21"/>
      <c r="T53" s="21"/>
      <c r="U53" s="21"/>
    </row>
    <row r="54" spans="2:2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61" t="s">
        <v>248</v>
      </c>
      <c r="L54" s="45">
        <f>L52-L53</f>
        <v>11.199687785733307</v>
      </c>
      <c r="M54" s="21" t="s">
        <v>244</v>
      </c>
      <c r="N54" s="21"/>
      <c r="O54" s="21"/>
      <c r="P54" s="21"/>
      <c r="Q54" s="21"/>
      <c r="R54" s="21"/>
      <c r="S54" s="21"/>
      <c r="T54" s="21"/>
      <c r="U54" s="21"/>
    </row>
    <row r="55" spans="2:21" x14ac:dyDescent="0.2">
      <c r="B55" s="21"/>
      <c r="C55" s="47" t="str">
        <f>'BGS Cost &amp; Bid Factors'!C$6</f>
        <v>SC1</v>
      </c>
      <c r="D55" s="47" t="str">
        <f>'BGS Cost &amp; Bid Factors'!D$6</f>
        <v>SC5</v>
      </c>
      <c r="E55" s="47" t="str">
        <f>'BGS Cost &amp; Bid Factors'!E$6</f>
        <v>SC3</v>
      </c>
      <c r="F55" s="47" t="str">
        <f>'BGS Cost &amp; Bid Factors'!F$6</f>
        <v>SC2 ND</v>
      </c>
      <c r="G55" s="47" t="str">
        <f>'BGS Cost &amp; Bid Factors'!G$6</f>
        <v>SC4</v>
      </c>
      <c r="H55" s="47" t="str">
        <f>'BGS Cost &amp; Bid Factors'!H$6</f>
        <v>SC6</v>
      </c>
      <c r="I55" s="47" t="str">
        <f>'BGS Cost &amp; Bid Factors'!I$6</f>
        <v>SC2 Dem</v>
      </c>
      <c r="J55" s="5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x14ac:dyDescent="0.2">
      <c r="B56" s="52" t="s">
        <v>69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x14ac:dyDescent="0.2">
      <c r="B57" s="24" t="s">
        <v>268</v>
      </c>
      <c r="C57" s="73">
        <f>ROUND(($D$50*C14)/10,3)</f>
        <v>7.3869999999999996</v>
      </c>
      <c r="D57" s="73">
        <f>ROUND(($D$50*D14)/10,3)</f>
        <v>6.9130000000000003</v>
      </c>
      <c r="E57" s="28"/>
      <c r="F57" s="28">
        <f>ROUND(F14*$D$50/10,3)</f>
        <v>6.452</v>
      </c>
      <c r="G57" s="28">
        <f>ROUND(G14*$D$50/10,3)</f>
        <v>4.4240000000000004</v>
      </c>
      <c r="H57" s="28">
        <f>ROUND(H14*$D$50/10,3)</f>
        <v>4.4169999999999998</v>
      </c>
      <c r="I57" s="28">
        <f>ROUND((C35*$D$50+D35)/10,3)</f>
        <v>4.8140000000000001</v>
      </c>
      <c r="J57" s="28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x14ac:dyDescent="0.2">
      <c r="B58" s="24" t="s">
        <v>269</v>
      </c>
      <c r="C58" s="28"/>
      <c r="D58" s="28"/>
      <c r="E58" s="28">
        <f>ROUND(E15*$D$50/10,3)</f>
        <v>11.494</v>
      </c>
      <c r="F58" s="28"/>
      <c r="G58" s="28"/>
      <c r="H58" s="28"/>
      <c r="I58" s="28"/>
      <c r="J58" s="28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x14ac:dyDescent="0.2">
      <c r="B59" s="24" t="s">
        <v>270</v>
      </c>
      <c r="C59" s="28"/>
      <c r="D59" s="28"/>
      <c r="E59" s="28">
        <f>ROUND(E16*$D$50/10,3)</f>
        <v>4.33</v>
      </c>
      <c r="F59" s="28"/>
      <c r="G59" s="28"/>
      <c r="H59" s="28"/>
      <c r="I59" s="28"/>
      <c r="J59" s="28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x14ac:dyDescent="0.2">
      <c r="B60" s="22" t="s">
        <v>41</v>
      </c>
      <c r="C60" s="73">
        <f>ROUND(($D$50*C14+C19)/10,3)</f>
        <v>5.7240000000000002</v>
      </c>
      <c r="D60" s="28">
        <f>ROUND(($D$50*D14+D19)/10,3)</f>
        <v>6.1349999999999998</v>
      </c>
      <c r="E60" s="28"/>
      <c r="F60" s="28"/>
      <c r="G60" s="28"/>
      <c r="H60" s="28"/>
      <c r="I60" s="28"/>
      <c r="J60" s="28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x14ac:dyDescent="0.2">
      <c r="B61" s="24" t="s">
        <v>42</v>
      </c>
      <c r="C61" s="28">
        <f>ROUND(($D$50*C14+C20)/10,3)</f>
        <v>8.5960000000000001</v>
      </c>
      <c r="D61" s="28">
        <f>ROUND(($D$50*D14+D20)/10,3)</f>
        <v>8.1630000000000003</v>
      </c>
      <c r="E61" s="28"/>
      <c r="F61" s="28"/>
      <c r="G61" s="28"/>
      <c r="H61" s="28"/>
      <c r="I61" s="28"/>
      <c r="J61" s="2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x14ac:dyDescent="0.2">
      <c r="B63" s="21"/>
      <c r="C63" s="28"/>
      <c r="D63" s="28"/>
      <c r="E63" s="28"/>
      <c r="F63" s="28"/>
      <c r="G63" s="28"/>
      <c r="H63" s="28"/>
      <c r="I63" s="2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x14ac:dyDescent="0.2">
      <c r="B64" s="22" t="s">
        <v>271</v>
      </c>
      <c r="C64" s="28"/>
      <c r="D64" s="28"/>
      <c r="E64" s="28"/>
      <c r="F64" s="28"/>
      <c r="G64" s="28"/>
      <c r="H64" s="28"/>
      <c r="I64" s="28">
        <f>'BGS Cost &amp; Bid Factors'!H213</f>
        <v>1.7629999999999999</v>
      </c>
      <c r="J64" s="164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x14ac:dyDescent="0.2">
      <c r="B65" s="22" t="s">
        <v>353</v>
      </c>
      <c r="C65" s="28"/>
      <c r="D65" s="28"/>
      <c r="E65" s="28"/>
      <c r="F65" s="28"/>
      <c r="G65" s="28"/>
      <c r="H65" s="28"/>
      <c r="I65" s="28">
        <f>'BGS Cost &amp; Bid Factors'!I213</f>
        <v>6.117</v>
      </c>
      <c r="J65" s="164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x14ac:dyDescent="0.2">
      <c r="B66" s="21"/>
      <c r="C66" s="28"/>
      <c r="D66" s="28"/>
      <c r="E66" s="28"/>
      <c r="F66" s="28"/>
      <c r="G66" s="28"/>
      <c r="H66" s="28"/>
      <c r="I66" s="2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x14ac:dyDescent="0.2">
      <c r="B67" s="52" t="s">
        <v>62</v>
      </c>
      <c r="C67" s="28"/>
      <c r="D67" s="28"/>
      <c r="E67" s="28"/>
      <c r="F67" s="28"/>
      <c r="G67" s="28"/>
      <c r="H67" s="28"/>
      <c r="I67" s="2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2">
      <c r="B68" s="24" t="s">
        <v>268</v>
      </c>
      <c r="C68" s="28">
        <f>ROUND(C23*$D$50/10,3)</f>
        <v>8.6820000000000004</v>
      </c>
      <c r="D68" s="28">
        <f>ROUND(D23*$D$50/10,3)</f>
        <v>7.1280000000000001</v>
      </c>
      <c r="E68" s="28"/>
      <c r="F68" s="28">
        <f>ROUND(F23*$D$50/10,3)</f>
        <v>6.5380000000000003</v>
      </c>
      <c r="G68" s="28">
        <f>ROUND(G23*$D$50/10,3)</f>
        <v>5.1429999999999998</v>
      </c>
      <c r="H68" s="28">
        <f>ROUND(H23*$D$50/10,3)</f>
        <v>5.1070000000000002</v>
      </c>
      <c r="I68" s="28">
        <f>ROUND((C39*$D$50+D39)/10,3)</f>
        <v>5.2759999999999998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x14ac:dyDescent="0.2">
      <c r="B69" s="24" t="s">
        <v>269</v>
      </c>
      <c r="C69" s="28"/>
      <c r="D69" s="28"/>
      <c r="E69" s="28">
        <f>ROUND(E24*$D$50/10,3)</f>
        <v>10.746</v>
      </c>
      <c r="F69" s="28"/>
      <c r="G69" s="28"/>
      <c r="H69" s="28"/>
      <c r="I69" s="28"/>
      <c r="J69" s="2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x14ac:dyDescent="0.2">
      <c r="B70" s="24" t="s">
        <v>270</v>
      </c>
      <c r="C70" s="28"/>
      <c r="D70" s="28"/>
      <c r="E70" s="28">
        <f>ROUND(E25*$D$50/10,3)</f>
        <v>5.0640000000000001</v>
      </c>
      <c r="F70" s="28"/>
      <c r="G70" s="28"/>
      <c r="H70" s="28"/>
      <c r="I70" s="28"/>
      <c r="J70" s="2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x14ac:dyDescent="0.2">
      <c r="B71" s="21"/>
      <c r="C71" s="28"/>
      <c r="D71" s="28"/>
      <c r="E71" s="28"/>
      <c r="F71" s="28"/>
      <c r="G71" s="28"/>
      <c r="H71" s="28"/>
      <c r="I71" s="2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x14ac:dyDescent="0.2">
      <c r="B72" s="22" t="s">
        <v>271</v>
      </c>
      <c r="C72" s="28"/>
      <c r="D72" s="28"/>
      <c r="E72" s="28"/>
      <c r="F72" s="28"/>
      <c r="G72" s="28"/>
      <c r="H72" s="28"/>
      <c r="I72" s="28">
        <f>'BGS Cost &amp; Bid Factors'!H214</f>
        <v>1.5740000000000001</v>
      </c>
      <c r="J72" s="164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x14ac:dyDescent="0.2">
      <c r="B73" s="22" t="s">
        <v>272</v>
      </c>
      <c r="C73" s="28"/>
      <c r="D73" s="28"/>
      <c r="E73" s="28"/>
      <c r="F73" s="28"/>
      <c r="G73" s="28"/>
      <c r="H73" s="28"/>
      <c r="I73" s="28">
        <f>'BGS Cost &amp; Bid Factors'!I214</f>
        <v>5.5730000000000004</v>
      </c>
      <c r="J73" s="16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x14ac:dyDescent="0.2">
      <c r="B74" s="22"/>
      <c r="C74" s="28"/>
      <c r="D74" s="28"/>
      <c r="E74" s="28"/>
      <c r="F74" s="28"/>
      <c r="G74" s="28"/>
      <c r="H74" s="28"/>
      <c r="I74" s="28"/>
      <c r="J74" s="164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x14ac:dyDescent="0.2">
      <c r="B75" s="22"/>
      <c r="C75" s="21"/>
      <c r="D75" s="21"/>
      <c r="E75" s="21"/>
      <c r="F75" s="21"/>
      <c r="G75" s="21"/>
      <c r="H75" s="21"/>
      <c r="I75" s="164"/>
      <c r="J75" s="16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x14ac:dyDescent="0.2">
      <c r="A76" s="41" t="s">
        <v>354</v>
      </c>
      <c r="B76" s="39" t="s">
        <v>355</v>
      </c>
      <c r="C76" s="21"/>
      <c r="D76" s="21"/>
      <c r="E76" s="21"/>
      <c r="F76" s="21"/>
      <c r="G76" s="21"/>
      <c r="H76" s="21"/>
      <c r="I76" s="164"/>
      <c r="J76" s="164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3.5" thickBot="1" x14ac:dyDescent="0.25">
      <c r="B77" s="22"/>
      <c r="C77" s="21"/>
      <c r="D77" s="21"/>
      <c r="E77" s="21"/>
      <c r="F77" s="21"/>
      <c r="G77" s="21"/>
      <c r="H77" s="21"/>
      <c r="I77" s="164"/>
      <c r="J77" s="16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x14ac:dyDescent="0.2">
      <c r="B78" s="21"/>
      <c r="C78" s="47" t="str">
        <f>'BGS Cost &amp; Bid Factors'!C$6</f>
        <v>SC1</v>
      </c>
      <c r="D78" s="47" t="str">
        <f>'BGS Cost &amp; Bid Factors'!D$6</f>
        <v>SC5</v>
      </c>
      <c r="E78" s="47" t="str">
        <f>'BGS Cost &amp; Bid Factors'!E$6</f>
        <v>SC3</v>
      </c>
      <c r="F78" s="47" t="str">
        <f>'BGS Cost &amp; Bid Factors'!F$6</f>
        <v>SC2 ND</v>
      </c>
      <c r="G78" s="47" t="str">
        <f>'BGS Cost &amp; Bid Factors'!G$6</f>
        <v>SC4</v>
      </c>
      <c r="H78" s="47" t="str">
        <f>'BGS Cost &amp; Bid Factors'!H$6</f>
        <v>SC6</v>
      </c>
      <c r="I78" s="47" t="str">
        <f>'BGS Cost &amp; Bid Factors'!I$6</f>
        <v>SC2 Dem</v>
      </c>
      <c r="J78" s="164"/>
      <c r="K78" s="190" t="s">
        <v>156</v>
      </c>
      <c r="L78" s="191"/>
      <c r="M78" s="21"/>
      <c r="N78" s="21"/>
      <c r="O78" s="21"/>
      <c r="P78" s="21"/>
      <c r="Q78" s="21"/>
      <c r="R78" s="21"/>
      <c r="S78" s="21"/>
      <c r="T78" s="21"/>
      <c r="U78" s="21"/>
    </row>
    <row r="79" spans="1:21" x14ac:dyDescent="0.2">
      <c r="B79" s="48" t="s">
        <v>289</v>
      </c>
      <c r="C79" s="21"/>
      <c r="D79" s="21"/>
      <c r="E79" s="21"/>
      <c r="F79" s="21"/>
      <c r="G79" s="21"/>
      <c r="H79" s="21"/>
      <c r="I79" s="21"/>
      <c r="J79" s="164"/>
      <c r="K79" s="192"/>
      <c r="L79" s="193" t="s">
        <v>159</v>
      </c>
      <c r="M79" s="21"/>
      <c r="N79" s="21"/>
      <c r="O79" s="21"/>
      <c r="P79" s="21"/>
      <c r="Q79" s="21"/>
      <c r="R79" s="21"/>
      <c r="S79" s="21"/>
      <c r="T79" s="21"/>
      <c r="U79" s="21"/>
    </row>
    <row r="80" spans="1:21" x14ac:dyDescent="0.2">
      <c r="B80" s="157" t="s">
        <v>69</v>
      </c>
      <c r="C80" s="107">
        <f>ROUND((C57*'BGS Cost &amp; Bid Factors'!M$48)/100,0)</f>
        <v>20456</v>
      </c>
      <c r="D80" s="107">
        <f>ROUND((D57*'BGS Cost &amp; Bid Factors'!N$48)/100,0)</f>
        <v>311</v>
      </c>
      <c r="E80" s="13">
        <f>ROUND((E58*'BGS Cost &amp; Bid Factors'!O$49+E59*'BGS Cost &amp; Bid Factors'!O$50)/100,0)</f>
        <v>6</v>
      </c>
      <c r="F80" s="107">
        <f>ROUND((F57*'BGS Cost &amp; Bid Factors'!P$48)/100,0)</f>
        <v>450</v>
      </c>
      <c r="G80" s="107">
        <f>ROUND((G57*'BGS Cost &amp; Bid Factors'!Q$48)/100,0)</f>
        <v>60</v>
      </c>
      <c r="H80" s="107">
        <f>ROUND((H57*'BGS Cost &amp; Bid Factors'!R$48)/100,0)</f>
        <v>70</v>
      </c>
      <c r="I80" s="13">
        <f>ROUND(I57*'BGS Cost &amp; Bid Factors'!S$48/100+(I64*($L$80/4*'BGS Cost &amp; Bid Factors'!H$144)+I65*($L$80/4*'BGS Cost &amp; Bid Factors'!H$144))/1000,0)</f>
        <v>8556</v>
      </c>
      <c r="J80" s="164"/>
      <c r="K80" s="192" t="s">
        <v>69</v>
      </c>
      <c r="L80" s="194">
        <v>334259.47169279348</v>
      </c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3.5" thickBot="1" x14ac:dyDescent="0.25">
      <c r="B81" s="157" t="s">
        <v>62</v>
      </c>
      <c r="C81" s="53">
        <f>ROUND(C68*'BGS Cost &amp; Bid Factors'!M$44/100,0)</f>
        <v>31030</v>
      </c>
      <c r="D81" s="53">
        <f>ROUND(D68*'BGS Cost &amp; Bid Factors'!N$44/100,0)</f>
        <v>647</v>
      </c>
      <c r="E81" s="236">
        <f>ROUND((E69*'BGS Cost &amp; Bid Factors'!O$45+E70*'BGS Cost &amp; Bid Factors'!O$46)/100,0)</f>
        <v>12</v>
      </c>
      <c r="F81" s="53">
        <f>ROUND(F68*'BGS Cost &amp; Bid Factors'!P$44/100,0)</f>
        <v>1039</v>
      </c>
      <c r="G81" s="53">
        <f>ROUND(G68*'BGS Cost &amp; Bid Factors'!Q$44/100,0)</f>
        <v>181</v>
      </c>
      <c r="H81" s="53">
        <f>ROUND(H68*'BGS Cost &amp; Bid Factors'!R$44/100,0)</f>
        <v>188</v>
      </c>
      <c r="I81" s="236">
        <f>ROUND(I68*'BGS Cost &amp; Bid Factors'!S$44/100+(I72*($L$81/8*'BGS Cost &amp; Bid Factors'!H$145)++I73*($L$81/8*'BGS Cost &amp; Bid Factors'!H$145))/1000,0)</f>
        <v>15825</v>
      </c>
      <c r="J81" s="164"/>
      <c r="K81" s="195" t="s">
        <v>62</v>
      </c>
      <c r="L81" s="196">
        <v>621967.13579808094</v>
      </c>
      <c r="M81" s="21"/>
      <c r="N81" s="21"/>
      <c r="O81" s="21"/>
      <c r="P81" s="21"/>
      <c r="Q81" s="21"/>
      <c r="R81" s="21"/>
      <c r="S81" s="21"/>
      <c r="T81" s="21"/>
      <c r="U81" s="21"/>
    </row>
    <row r="82" spans="1:21" x14ac:dyDescent="0.2">
      <c r="B82" s="157" t="s">
        <v>36</v>
      </c>
      <c r="C82" s="76">
        <f t="shared" ref="C82:I82" si="0">+C81+C80</f>
        <v>51486</v>
      </c>
      <c r="D82" s="76">
        <f t="shared" si="0"/>
        <v>958</v>
      </c>
      <c r="E82" s="76">
        <f t="shared" si="0"/>
        <v>18</v>
      </c>
      <c r="F82" s="76">
        <f t="shared" si="0"/>
        <v>1489</v>
      </c>
      <c r="G82" s="76">
        <f t="shared" si="0"/>
        <v>241</v>
      </c>
      <c r="H82" s="76">
        <f t="shared" si="0"/>
        <v>258</v>
      </c>
      <c r="I82" s="76">
        <f t="shared" si="0"/>
        <v>24381</v>
      </c>
      <c r="J82" s="164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x14ac:dyDescent="0.2">
      <c r="B83" s="157"/>
      <c r="C83" s="76"/>
      <c r="D83" s="76"/>
      <c r="E83" s="76"/>
      <c r="F83" s="76"/>
      <c r="G83" s="76"/>
      <c r="H83" s="76"/>
      <c r="I83" s="76"/>
      <c r="J83" s="164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x14ac:dyDescent="0.2">
      <c r="B84" s="157" t="s">
        <v>36</v>
      </c>
      <c r="C84" s="76"/>
      <c r="D84" s="76"/>
      <c r="E84" s="76"/>
      <c r="F84" s="76"/>
      <c r="G84" s="76"/>
      <c r="H84" s="76"/>
      <c r="I84" s="76"/>
      <c r="J84" s="164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2">
      <c r="B85" s="157" t="s">
        <v>69</v>
      </c>
      <c r="C85" s="76">
        <f>SUM(C80:I80)</f>
        <v>29909</v>
      </c>
      <c r="D85" s="76"/>
      <c r="E85" s="76"/>
      <c r="F85" s="76"/>
      <c r="G85" s="21"/>
      <c r="H85" s="76"/>
      <c r="I85" s="76"/>
      <c r="J85" s="164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x14ac:dyDescent="0.2">
      <c r="B86" s="157" t="s">
        <v>62</v>
      </c>
      <c r="C86" s="54">
        <f>SUM(C81:I81)</f>
        <v>48922</v>
      </c>
      <c r="D86" s="21"/>
      <c r="E86" s="40"/>
      <c r="F86" s="21"/>
      <c r="G86" s="21"/>
      <c r="H86" s="21"/>
      <c r="I86" s="21"/>
      <c r="J86" s="164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x14ac:dyDescent="0.2">
      <c r="B87" s="157" t="s">
        <v>36</v>
      </c>
      <c r="C87" s="76">
        <f>+C86+C85</f>
        <v>78831</v>
      </c>
      <c r="D87" s="21"/>
      <c r="E87" s="40"/>
      <c r="F87" s="21"/>
      <c r="G87" s="21"/>
      <c r="H87" s="21"/>
      <c r="I87" s="21"/>
      <c r="J87" s="164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x14ac:dyDescent="0.2">
      <c r="B88" s="157"/>
      <c r="C88" s="76"/>
      <c r="D88" s="21"/>
      <c r="E88" s="40"/>
      <c r="F88" s="21"/>
      <c r="G88" s="21"/>
      <c r="H88" s="21"/>
      <c r="I88" s="21"/>
      <c r="J88" s="164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x14ac:dyDescent="0.2">
      <c r="B89" s="21"/>
      <c r="C89" s="40"/>
      <c r="D89" s="40"/>
      <c r="E89" s="40"/>
      <c r="F89" s="40"/>
      <c r="G89" s="40"/>
      <c r="H89" s="40"/>
      <c r="I89" s="40"/>
      <c r="J89" s="164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x14ac:dyDescent="0.2">
      <c r="B90" s="52" t="s">
        <v>356</v>
      </c>
      <c r="C90" s="40"/>
      <c r="D90" s="40"/>
      <c r="E90" s="40"/>
      <c r="F90" s="40"/>
      <c r="G90" s="40"/>
      <c r="H90" s="40"/>
      <c r="I90" s="40"/>
      <c r="J90" s="164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x14ac:dyDescent="0.2">
      <c r="A91" s="71"/>
      <c r="B91" s="21"/>
      <c r="C91" s="40"/>
      <c r="D91" s="40"/>
      <c r="E91" s="40"/>
      <c r="F91" s="40"/>
      <c r="G91" s="40"/>
      <c r="H91" s="40"/>
      <c r="I91" s="40"/>
      <c r="J91" s="164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5" x14ac:dyDescent="0.35">
      <c r="A92" s="71"/>
      <c r="B92" s="21" t="s">
        <v>357</v>
      </c>
      <c r="C92" s="74" t="s">
        <v>36</v>
      </c>
      <c r="D92" s="74" t="s">
        <v>337</v>
      </c>
      <c r="E92" s="74" t="s">
        <v>358</v>
      </c>
      <c r="F92" s="40"/>
      <c r="G92" s="40"/>
      <c r="H92" s="40"/>
      <c r="I92" s="40"/>
      <c r="J92" s="164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x14ac:dyDescent="0.2">
      <c r="A93" s="71"/>
      <c r="B93" s="157" t="s">
        <v>69</v>
      </c>
      <c r="C93" s="76">
        <f>'Weighted Avg Price Calc'!G$27/1000</f>
        <v>33553.578999999998</v>
      </c>
      <c r="D93" s="108">
        <f>ROUND('BGS Cost &amp; Bid Factors'!$C$147*SUM('BGS Cost &amp; Bid Factors'!$C$141:$I$141)/12*'BGS Cost &amp; Bid Factors'!H$144/1000*'BGS Cost &amp; Bid Factors'!D447,0)</f>
        <v>4445</v>
      </c>
      <c r="E93" s="76">
        <f>C93-D93</f>
        <v>29108.578999999998</v>
      </c>
      <c r="F93" s="40"/>
      <c r="G93" s="40"/>
      <c r="H93" s="40"/>
      <c r="I93" s="40"/>
      <c r="J93" s="164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5" x14ac:dyDescent="0.35">
      <c r="A94" s="71"/>
      <c r="B94" s="157" t="s">
        <v>62</v>
      </c>
      <c r="C94" s="75">
        <f>'Weighted Avg Price Calc'!G$28/1000</f>
        <v>49018.682999999997</v>
      </c>
      <c r="D94" s="75">
        <f>ROUND('BGS Cost &amp; Bid Factors'!$C$147*SUM('BGS Cost &amp; Bid Factors'!$C$141:$I$141)/12*'BGS Cost &amp; Bid Factors'!H$145/1000*'BGS Cost &amp; Bid Factors'!F459,0)</f>
        <v>8890</v>
      </c>
      <c r="E94" s="75">
        <f>C94-D94</f>
        <v>40128.682999999997</v>
      </c>
      <c r="F94" s="40"/>
      <c r="G94" s="40"/>
      <c r="H94" s="40"/>
      <c r="I94" s="40"/>
      <c r="J94" s="164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x14ac:dyDescent="0.2">
      <c r="A95" s="71"/>
      <c r="B95" s="157" t="s">
        <v>36</v>
      </c>
      <c r="C95" s="76">
        <f>+C94+C93</f>
        <v>82572.261999999988</v>
      </c>
      <c r="D95" s="76">
        <f>D93+D94</f>
        <v>13335</v>
      </c>
      <c r="E95" s="76">
        <f>E93+E94</f>
        <v>69237.261999999988</v>
      </c>
      <c r="F95" s="40"/>
      <c r="G95" s="40"/>
      <c r="H95" s="40"/>
      <c r="I95" s="40"/>
      <c r="J95" s="164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x14ac:dyDescent="0.2">
      <c r="A96" s="71"/>
      <c r="B96" s="21"/>
      <c r="C96" s="40"/>
      <c r="D96" s="40"/>
      <c r="E96" s="40"/>
      <c r="F96" s="40"/>
      <c r="G96" s="40"/>
      <c r="H96" s="40"/>
      <c r="I96" s="40"/>
      <c r="J96" s="164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5" x14ac:dyDescent="0.35">
      <c r="A97" s="71"/>
      <c r="B97" s="21" t="s">
        <v>359</v>
      </c>
      <c r="C97" s="74" t="s">
        <v>36</v>
      </c>
      <c r="D97" s="74" t="s">
        <v>337</v>
      </c>
      <c r="E97" s="74" t="s">
        <v>358</v>
      </c>
      <c r="F97" s="40"/>
      <c r="G97" s="40"/>
      <c r="H97" s="40"/>
      <c r="I97" s="40"/>
      <c r="J97" s="164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x14ac:dyDescent="0.2">
      <c r="A98" s="71"/>
      <c r="B98" s="157" t="s">
        <v>69</v>
      </c>
      <c r="C98" s="76">
        <f>ROUND($E$251*1000*'Weighted Avg Price Calc'!E40/100/1000,0)</f>
        <v>3497</v>
      </c>
      <c r="D98" s="76">
        <v>0</v>
      </c>
      <c r="E98" s="76">
        <f>C98-D98</f>
        <v>3497</v>
      </c>
      <c r="F98" s="40"/>
      <c r="G98" s="40"/>
      <c r="H98" s="40"/>
      <c r="I98" s="40"/>
      <c r="J98" s="164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5" x14ac:dyDescent="0.35">
      <c r="A99" s="71"/>
      <c r="B99" s="157" t="s">
        <v>62</v>
      </c>
      <c r="C99" s="75">
        <f>ROUND($E$252*1000*'Weighted Avg Price Calc'!E40/100/1000,0)</f>
        <v>5060</v>
      </c>
      <c r="D99" s="75">
        <v>0</v>
      </c>
      <c r="E99" s="75">
        <f>C99-D99</f>
        <v>5060</v>
      </c>
      <c r="F99" s="40"/>
      <c r="G99" s="40"/>
      <c r="H99" s="40"/>
      <c r="I99" s="40"/>
      <c r="J99" s="164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x14ac:dyDescent="0.2">
      <c r="A100" s="71"/>
      <c r="B100" s="157" t="s">
        <v>36</v>
      </c>
      <c r="C100" s="76">
        <f>+C99+C98</f>
        <v>8557</v>
      </c>
      <c r="D100" s="76">
        <f>D98+D99</f>
        <v>0</v>
      </c>
      <c r="E100" s="76">
        <f>E98+E99</f>
        <v>8557</v>
      </c>
      <c r="F100" s="40"/>
      <c r="G100" s="40"/>
      <c r="H100" s="40"/>
      <c r="I100" s="40"/>
      <c r="J100" s="16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x14ac:dyDescent="0.2">
      <c r="A101" s="71"/>
      <c r="B101" s="21"/>
      <c r="C101" s="40"/>
      <c r="D101" s="40"/>
      <c r="E101" s="40"/>
      <c r="F101" s="40"/>
      <c r="G101" s="40"/>
      <c r="H101" s="40"/>
      <c r="I101" s="40"/>
      <c r="J101" s="16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5" x14ac:dyDescent="0.35">
      <c r="B102" s="21" t="s">
        <v>360</v>
      </c>
      <c r="C102" s="74" t="s">
        <v>36</v>
      </c>
      <c r="D102" s="74" t="s">
        <v>337</v>
      </c>
      <c r="E102" s="74" t="s">
        <v>358</v>
      </c>
      <c r="F102" s="40"/>
      <c r="G102" s="40"/>
      <c r="H102" s="40"/>
      <c r="I102" s="40"/>
      <c r="J102" s="16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2">
      <c r="B103" s="157" t="s">
        <v>69</v>
      </c>
      <c r="C103" s="76">
        <f>C93+C98</f>
        <v>37050.578999999998</v>
      </c>
      <c r="D103" s="76">
        <f>D93+D98</f>
        <v>4445</v>
      </c>
      <c r="E103" s="76">
        <f>C103-D103</f>
        <v>32605.578999999998</v>
      </c>
      <c r="F103" s="21"/>
      <c r="G103" s="21"/>
      <c r="H103" s="21"/>
      <c r="I103" s="21"/>
      <c r="J103" s="164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5" x14ac:dyDescent="0.35">
      <c r="B104" s="157" t="s">
        <v>62</v>
      </c>
      <c r="C104" s="75">
        <f>C94+C99</f>
        <v>54078.682999999997</v>
      </c>
      <c r="D104" s="75">
        <f>D94+D99</f>
        <v>8890</v>
      </c>
      <c r="E104" s="75">
        <f>C104-D104</f>
        <v>45188.682999999997</v>
      </c>
      <c r="F104" s="21"/>
      <c r="G104" s="21"/>
      <c r="H104" s="21"/>
      <c r="I104" s="21"/>
      <c r="J104" s="164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x14ac:dyDescent="0.2">
      <c r="B105" s="157" t="s">
        <v>36</v>
      </c>
      <c r="C105" s="76">
        <f>+C104+C103</f>
        <v>91129.261999999988</v>
      </c>
      <c r="D105" s="76">
        <f>+D104+D103</f>
        <v>13335</v>
      </c>
      <c r="E105" s="76">
        <f>E103+E104</f>
        <v>77794.261999999988</v>
      </c>
      <c r="F105" s="21"/>
      <c r="G105" s="21"/>
      <c r="H105" s="21"/>
      <c r="I105" s="21"/>
      <c r="J105" s="16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x14ac:dyDescent="0.2">
      <c r="B106" s="21"/>
      <c r="C106" s="40"/>
      <c r="D106" s="56"/>
      <c r="E106" s="40"/>
      <c r="F106" s="233"/>
      <c r="G106" s="22" t="s">
        <v>361</v>
      </c>
      <c r="H106" s="21"/>
      <c r="I106" s="21"/>
      <c r="J106" s="16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x14ac:dyDescent="0.2">
      <c r="B107" s="21" t="s">
        <v>111</v>
      </c>
      <c r="C107" s="22" t="s">
        <v>331</v>
      </c>
      <c r="D107" s="22" t="s">
        <v>331</v>
      </c>
      <c r="E107" s="22"/>
      <c r="F107" s="21"/>
      <c r="G107" s="22" t="s">
        <v>362</v>
      </c>
      <c r="H107" s="21"/>
      <c r="I107" s="21"/>
      <c r="J107" s="16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x14ac:dyDescent="0.2">
      <c r="B108" s="22"/>
      <c r="C108" s="219" t="s">
        <v>363</v>
      </c>
      <c r="D108" s="219" t="s">
        <v>364</v>
      </c>
      <c r="E108" s="219" t="s">
        <v>365</v>
      </c>
      <c r="F108" s="21"/>
      <c r="G108" s="219" t="s">
        <v>366</v>
      </c>
      <c r="H108" s="21"/>
      <c r="I108" s="164"/>
      <c r="J108" s="164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x14ac:dyDescent="0.2">
      <c r="B109" s="157" t="s">
        <v>69</v>
      </c>
      <c r="C109" s="76">
        <f>C85</f>
        <v>29909</v>
      </c>
      <c r="D109" s="76">
        <f>E103</f>
        <v>32605.578999999998</v>
      </c>
      <c r="E109" s="76">
        <f>D109-C109</f>
        <v>2696.5789999999979</v>
      </c>
      <c r="F109" s="21"/>
      <c r="G109" s="34">
        <f>ROUND(1+E109/C85,5)</f>
        <v>1.09016</v>
      </c>
      <c r="H109" s="21"/>
      <c r="I109" s="164"/>
      <c r="J109" s="164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x14ac:dyDescent="0.2">
      <c r="B110" s="157" t="s">
        <v>62</v>
      </c>
      <c r="C110" s="54">
        <f>C86</f>
        <v>48922</v>
      </c>
      <c r="D110" s="54">
        <f>E104</f>
        <v>45188.682999999997</v>
      </c>
      <c r="E110" s="54">
        <f>D110-C110</f>
        <v>-3733.3170000000027</v>
      </c>
      <c r="F110" s="21"/>
      <c r="G110" s="34">
        <f>ROUND(1+E110/C86,5)</f>
        <v>0.92369000000000001</v>
      </c>
      <c r="H110" s="21"/>
      <c r="I110" s="164"/>
      <c r="J110" s="16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x14ac:dyDescent="0.2">
      <c r="B111" s="157" t="s">
        <v>36</v>
      </c>
      <c r="C111" s="76">
        <f>+C110+C109</f>
        <v>78831</v>
      </c>
      <c r="D111" s="76">
        <f>+D110+D109</f>
        <v>77794.261999999988</v>
      </c>
      <c r="E111" s="76">
        <f>+E110+E109</f>
        <v>-1036.7380000000048</v>
      </c>
      <c r="F111" s="21"/>
      <c r="G111" s="21"/>
      <c r="H111" s="21"/>
      <c r="I111" s="164"/>
      <c r="J111" s="16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x14ac:dyDescent="0.2">
      <c r="B112" s="22"/>
      <c r="C112" s="21"/>
      <c r="D112" s="21"/>
      <c r="E112" s="21"/>
      <c r="F112" s="21"/>
      <c r="G112" s="21"/>
      <c r="H112" s="21"/>
      <c r="I112" s="164"/>
      <c r="J112" s="164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36" x14ac:dyDescent="0.2">
      <c r="A113" s="41" t="s">
        <v>367</v>
      </c>
      <c r="B113" s="39" t="s">
        <v>368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36" x14ac:dyDescent="0.2">
      <c r="A114" s="41"/>
      <c r="B114" s="3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36" x14ac:dyDescent="0.2">
      <c r="A115" s="41"/>
      <c r="B115" s="3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</row>
    <row r="116" spans="1:36" x14ac:dyDescent="0.2">
      <c r="B116" s="237" t="s">
        <v>369</v>
      </c>
      <c r="C116" s="21"/>
      <c r="D116" s="21"/>
      <c r="E116" s="21"/>
      <c r="F116" s="21"/>
      <c r="G116" s="21"/>
      <c r="H116" s="21"/>
      <c r="I116" s="21"/>
      <c r="J116" s="21"/>
      <c r="K116" s="237" t="s">
        <v>370</v>
      </c>
      <c r="L116" s="21"/>
      <c r="M116" s="21"/>
      <c r="N116" s="21"/>
      <c r="O116" s="21"/>
      <c r="P116" s="21"/>
      <c r="Q116" s="21"/>
      <c r="R116" s="21"/>
      <c r="S116" s="21"/>
      <c r="T116" s="237" t="s">
        <v>365</v>
      </c>
      <c r="U116" s="21"/>
      <c r="V116" s="77"/>
      <c r="W116" s="77"/>
      <c r="X116" s="77"/>
      <c r="Y116" s="77"/>
      <c r="Z116" s="77"/>
      <c r="AA116" s="77"/>
      <c r="AB116" s="77"/>
      <c r="AC116" s="78" t="s">
        <v>365</v>
      </c>
      <c r="AD116" s="77"/>
      <c r="AE116" s="77"/>
      <c r="AF116" s="77"/>
      <c r="AG116" s="77"/>
      <c r="AH116" s="77"/>
      <c r="AI116" s="77"/>
      <c r="AJ116" s="77"/>
    </row>
    <row r="117" spans="1:36" x14ac:dyDescent="0.2">
      <c r="B117" s="34"/>
      <c r="C117" s="21"/>
      <c r="D117" s="21"/>
      <c r="E117" s="21"/>
      <c r="F117" s="21"/>
      <c r="G117" s="21"/>
      <c r="H117" s="21"/>
      <c r="I117" s="21"/>
      <c r="J117" s="21"/>
      <c r="K117" s="34"/>
      <c r="L117" s="21"/>
      <c r="M117" s="21"/>
      <c r="N117" s="21"/>
      <c r="O117" s="21"/>
      <c r="P117" s="21"/>
      <c r="Q117" s="21"/>
      <c r="R117" s="21"/>
      <c r="S117" s="21"/>
      <c r="T117" s="34"/>
      <c r="U117" s="21"/>
      <c r="V117" s="77"/>
      <c r="W117" s="77"/>
      <c r="X117" s="77"/>
      <c r="Y117" s="77"/>
      <c r="Z117" s="77"/>
      <c r="AA117" s="77"/>
      <c r="AB117" s="77"/>
      <c r="AC117" s="79"/>
      <c r="AD117" s="77"/>
      <c r="AE117" s="77"/>
      <c r="AF117" s="77"/>
      <c r="AG117" s="77"/>
      <c r="AH117" s="77"/>
      <c r="AI117" s="77"/>
      <c r="AJ117" s="77"/>
    </row>
    <row r="118" spans="1:36" x14ac:dyDescent="0.2">
      <c r="B118" s="21"/>
      <c r="C118" s="47" t="str">
        <f>'BGS Cost &amp; Bid Factors'!C$6</f>
        <v>SC1</v>
      </c>
      <c r="D118" s="47" t="str">
        <f>'BGS Cost &amp; Bid Factors'!D$6</f>
        <v>SC5</v>
      </c>
      <c r="E118" s="47" t="str">
        <f>'BGS Cost &amp; Bid Factors'!E$6</f>
        <v>SC3</v>
      </c>
      <c r="F118" s="47" t="str">
        <f>'BGS Cost &amp; Bid Factors'!F$6</f>
        <v>SC2 ND</v>
      </c>
      <c r="G118" s="47" t="str">
        <f>'BGS Cost &amp; Bid Factors'!G$6</f>
        <v>SC4</v>
      </c>
      <c r="H118" s="47" t="str">
        <f>'BGS Cost &amp; Bid Factors'!H$6</f>
        <v>SC6</v>
      </c>
      <c r="I118" s="47" t="str">
        <f>'BGS Cost &amp; Bid Factors'!I$6</f>
        <v>SC2 Dem</v>
      </c>
      <c r="J118" s="51"/>
      <c r="K118" s="21"/>
      <c r="L118" s="47" t="s">
        <v>7</v>
      </c>
      <c r="M118" s="47" t="s">
        <v>8</v>
      </c>
      <c r="N118" s="47" t="s">
        <v>9</v>
      </c>
      <c r="O118" s="47" t="s">
        <v>10</v>
      </c>
      <c r="P118" s="47" t="s">
        <v>11</v>
      </c>
      <c r="Q118" s="47" t="s">
        <v>12</v>
      </c>
      <c r="R118" s="47" t="s">
        <v>13</v>
      </c>
      <c r="S118" s="21"/>
      <c r="T118" s="21"/>
      <c r="U118" s="47" t="s">
        <v>7</v>
      </c>
      <c r="V118" s="80" t="s">
        <v>8</v>
      </c>
      <c r="W118" s="80" t="s">
        <v>9</v>
      </c>
      <c r="X118" s="80" t="s">
        <v>10</v>
      </c>
      <c r="Y118" s="80" t="s">
        <v>11</v>
      </c>
      <c r="Z118" s="80" t="s">
        <v>12</v>
      </c>
      <c r="AA118" s="80" t="s">
        <v>13</v>
      </c>
      <c r="AB118" s="77"/>
      <c r="AC118" s="77"/>
      <c r="AD118" s="80" t="s">
        <v>7</v>
      </c>
      <c r="AE118" s="80" t="s">
        <v>8</v>
      </c>
      <c r="AF118" s="80" t="s">
        <v>9</v>
      </c>
      <c r="AG118" s="80" t="s">
        <v>10</v>
      </c>
      <c r="AH118" s="80" t="s">
        <v>11</v>
      </c>
      <c r="AI118" s="80" t="s">
        <v>12</v>
      </c>
      <c r="AJ118" s="80" t="s">
        <v>13</v>
      </c>
    </row>
    <row r="119" spans="1:36" x14ac:dyDescent="0.2">
      <c r="B119" s="21"/>
      <c r="C119" s="51"/>
      <c r="D119" s="51"/>
      <c r="E119" s="51"/>
      <c r="F119" s="51"/>
      <c r="G119" s="51"/>
      <c r="H119" s="51"/>
      <c r="I119" s="51"/>
      <c r="J119" s="51"/>
      <c r="K119" s="21"/>
      <c r="L119" s="51"/>
      <c r="M119" s="51"/>
      <c r="N119" s="51"/>
      <c r="O119" s="51"/>
      <c r="P119" s="51"/>
      <c r="Q119" s="51"/>
      <c r="R119" s="51"/>
      <c r="S119" s="21"/>
      <c r="T119" s="21"/>
      <c r="U119" s="51"/>
      <c r="V119" s="81"/>
      <c r="W119" s="81"/>
      <c r="X119" s="81"/>
      <c r="Y119" s="81"/>
      <c r="Z119" s="81"/>
      <c r="AA119" s="81"/>
      <c r="AB119" s="77"/>
      <c r="AC119" s="77"/>
      <c r="AD119" s="81"/>
      <c r="AE119" s="81"/>
      <c r="AF119" s="81"/>
      <c r="AG119" s="81"/>
      <c r="AH119" s="81"/>
      <c r="AI119" s="81"/>
      <c r="AJ119" s="81"/>
    </row>
    <row r="120" spans="1:36" x14ac:dyDescent="0.2">
      <c r="B120" s="52" t="s">
        <v>69</v>
      </c>
      <c r="C120" s="21"/>
      <c r="D120" s="21"/>
      <c r="E120" s="21"/>
      <c r="F120" s="21"/>
      <c r="G120" s="21"/>
      <c r="H120" s="21"/>
      <c r="I120" s="21"/>
      <c r="J120" s="21"/>
      <c r="K120" s="52" t="s">
        <v>69</v>
      </c>
      <c r="L120" s="21"/>
      <c r="M120" s="21"/>
      <c r="N120" s="21"/>
      <c r="O120" s="21"/>
      <c r="P120" s="21"/>
      <c r="Q120" s="21"/>
      <c r="R120" s="21"/>
      <c r="S120" s="21"/>
      <c r="T120" s="52" t="s">
        <v>69</v>
      </c>
      <c r="U120" s="21"/>
      <c r="V120" s="77"/>
      <c r="W120" s="77"/>
      <c r="X120" s="77"/>
      <c r="Y120" s="77"/>
      <c r="Z120" s="77"/>
      <c r="AA120" s="77"/>
      <c r="AB120" s="77"/>
      <c r="AC120" s="82" t="s">
        <v>69</v>
      </c>
      <c r="AD120" s="77"/>
      <c r="AE120" s="77"/>
      <c r="AF120" s="77"/>
      <c r="AG120" s="77"/>
      <c r="AH120" s="77"/>
      <c r="AI120" s="77"/>
      <c r="AJ120" s="77"/>
    </row>
    <row r="121" spans="1:36" x14ac:dyDescent="0.2">
      <c r="B121" s="24" t="s">
        <v>268</v>
      </c>
      <c r="C121" s="277">
        <f>ROUND(C57*$G$109,3)</f>
        <v>8.0530000000000008</v>
      </c>
      <c r="D121" s="277">
        <f>ROUND(D57*$G$109,3)</f>
        <v>7.5359999999999996</v>
      </c>
      <c r="E121" s="250"/>
      <c r="F121" s="277">
        <f>ROUND(F57*$G$109,3)</f>
        <v>7.0339999999999998</v>
      </c>
      <c r="G121" s="277">
        <f>ROUND(G57*$G$109,3)</f>
        <v>4.8230000000000004</v>
      </c>
      <c r="H121" s="277">
        <f>ROUND(H57*$G$109,3)</f>
        <v>4.8150000000000004</v>
      </c>
      <c r="I121" s="277">
        <f>ROUND(I57*$G$109,3)</f>
        <v>5.2480000000000002</v>
      </c>
      <c r="J121" s="28"/>
      <c r="K121" s="48" t="s">
        <v>268</v>
      </c>
      <c r="L121" s="277">
        <v>9.5500000000000007</v>
      </c>
      <c r="M121" s="277">
        <v>8.9689999999999994</v>
      </c>
      <c r="N121" s="250"/>
      <c r="O121" s="277">
        <v>9.7089999999999996</v>
      </c>
      <c r="P121" s="277">
        <v>5.8860000000000001</v>
      </c>
      <c r="Q121" s="277">
        <v>5.8860000000000001</v>
      </c>
      <c r="R121" s="277">
        <v>7.4980000000000002</v>
      </c>
      <c r="S121" s="21"/>
      <c r="T121" s="48" t="s">
        <v>268</v>
      </c>
      <c r="U121" s="277">
        <f>C121-L121</f>
        <v>-1.4969999999999999</v>
      </c>
      <c r="V121" s="84">
        <f>D121-M121</f>
        <v>-1.4329999999999998</v>
      </c>
      <c r="W121" s="85"/>
      <c r="X121" s="84">
        <f t="shared" ref="X121:AA121" si="1">F121-O121</f>
        <v>-2.6749999999999998</v>
      </c>
      <c r="Y121" s="84">
        <f t="shared" si="1"/>
        <v>-1.0629999999999997</v>
      </c>
      <c r="Z121" s="84">
        <f t="shared" si="1"/>
        <v>-1.0709999999999997</v>
      </c>
      <c r="AA121" s="84">
        <f t="shared" si="1"/>
        <v>-2.25</v>
      </c>
      <c r="AB121" s="77"/>
      <c r="AC121" s="83" t="s">
        <v>268</v>
      </c>
      <c r="AD121" s="86">
        <f>U121/L121</f>
        <v>-0.15675392670157065</v>
      </c>
      <c r="AE121" s="86">
        <f>V121/M121</f>
        <v>-0.1597725498940796</v>
      </c>
      <c r="AF121" s="85"/>
      <c r="AG121" s="86">
        <f t="shared" ref="AG121:AJ121" si="2">X121/O121</f>
        <v>-0.27551756102585229</v>
      </c>
      <c r="AH121" s="86">
        <f t="shared" si="2"/>
        <v>-0.18059802922188239</v>
      </c>
      <c r="AI121" s="86">
        <f t="shared" si="2"/>
        <v>-0.18195718654434245</v>
      </c>
      <c r="AJ121" s="86">
        <f t="shared" si="2"/>
        <v>-0.30008002133902373</v>
      </c>
    </row>
    <row r="122" spans="1:36" x14ac:dyDescent="0.2">
      <c r="B122" s="24" t="s">
        <v>269</v>
      </c>
      <c r="C122" s="250"/>
      <c r="D122" s="250"/>
      <c r="E122" s="277">
        <f>ROUND(E58*$G$109,3)</f>
        <v>12.53</v>
      </c>
      <c r="F122" s="250"/>
      <c r="G122" s="250"/>
      <c r="H122" s="250"/>
      <c r="I122" s="250"/>
      <c r="J122" s="28"/>
      <c r="K122" s="48" t="s">
        <v>269</v>
      </c>
      <c r="L122" s="250"/>
      <c r="M122" s="250"/>
      <c r="N122" s="277">
        <v>14.58</v>
      </c>
      <c r="O122" s="250"/>
      <c r="P122" s="250"/>
      <c r="Q122" s="250"/>
      <c r="R122" s="250"/>
      <c r="S122" s="21"/>
      <c r="T122" s="48" t="s">
        <v>269</v>
      </c>
      <c r="U122" s="250"/>
      <c r="V122" s="85"/>
      <c r="W122" s="84">
        <f t="shared" ref="W122:W123" si="3">E122-N122</f>
        <v>-2.0500000000000007</v>
      </c>
      <c r="X122" s="85"/>
      <c r="Y122" s="85"/>
      <c r="Z122" s="85"/>
      <c r="AA122" s="85"/>
      <c r="AB122" s="77"/>
      <c r="AC122" s="83" t="s">
        <v>269</v>
      </c>
      <c r="AD122" s="85"/>
      <c r="AE122" s="85"/>
      <c r="AF122" s="86">
        <f>W122/N122</f>
        <v>-0.14060356652949249</v>
      </c>
      <c r="AG122" s="85"/>
      <c r="AH122" s="85"/>
      <c r="AI122" s="85"/>
      <c r="AJ122" s="85"/>
    </row>
    <row r="123" spans="1:36" x14ac:dyDescent="0.2">
      <c r="B123" s="24" t="s">
        <v>270</v>
      </c>
      <c r="C123" s="250"/>
      <c r="D123" s="250"/>
      <c r="E123" s="277">
        <f>ROUND(E59*$G$109,3)</f>
        <v>4.72</v>
      </c>
      <c r="F123" s="250"/>
      <c r="G123" s="250"/>
      <c r="H123" s="250"/>
      <c r="I123" s="250"/>
      <c r="J123" s="28"/>
      <c r="K123" s="48" t="s">
        <v>270</v>
      </c>
      <c r="L123" s="250"/>
      <c r="M123" s="250"/>
      <c r="N123" s="277">
        <v>5.7709999999999999</v>
      </c>
      <c r="O123" s="250"/>
      <c r="P123" s="250"/>
      <c r="Q123" s="250"/>
      <c r="R123" s="250"/>
      <c r="S123" s="21"/>
      <c r="T123" s="48" t="s">
        <v>270</v>
      </c>
      <c r="U123" s="250"/>
      <c r="V123" s="85"/>
      <c r="W123" s="84">
        <f t="shared" si="3"/>
        <v>-1.0510000000000002</v>
      </c>
      <c r="X123" s="85"/>
      <c r="Y123" s="85"/>
      <c r="Z123" s="85"/>
      <c r="AA123" s="85"/>
      <c r="AB123" s="77"/>
      <c r="AC123" s="83" t="s">
        <v>270</v>
      </c>
      <c r="AD123" s="85"/>
      <c r="AE123" s="85"/>
      <c r="AF123" s="86">
        <f>W123/N123</f>
        <v>-0.18211748397158209</v>
      </c>
      <c r="AG123" s="85"/>
      <c r="AH123" s="85"/>
      <c r="AI123" s="85"/>
      <c r="AJ123" s="85"/>
    </row>
    <row r="124" spans="1:36" x14ac:dyDescent="0.2">
      <c r="B124" s="22" t="s">
        <v>41</v>
      </c>
      <c r="C124" s="277">
        <f>ROUND(C60*$G$109,3)</f>
        <v>6.24</v>
      </c>
      <c r="D124" s="277">
        <f>ROUND(D60*$G$109,3)</f>
        <v>6.6879999999999997</v>
      </c>
      <c r="E124" s="250"/>
      <c r="F124" s="250"/>
      <c r="G124" s="250"/>
      <c r="H124" s="250"/>
      <c r="I124" s="250"/>
      <c r="J124" s="28"/>
      <c r="K124" s="117" t="s">
        <v>41</v>
      </c>
      <c r="L124" s="277">
        <v>8.4120000000000008</v>
      </c>
      <c r="M124" s="277">
        <v>7.6520000000000001</v>
      </c>
      <c r="N124" s="250"/>
      <c r="O124" s="250"/>
      <c r="P124" s="250"/>
      <c r="Q124" s="250"/>
      <c r="R124" s="250"/>
      <c r="S124" s="21"/>
      <c r="T124" s="117" t="s">
        <v>41</v>
      </c>
      <c r="U124" s="277">
        <f t="shared" ref="U124:V125" si="4">C124-L124</f>
        <v>-2.1720000000000006</v>
      </c>
      <c r="V124" s="84">
        <f t="shared" si="4"/>
        <v>-0.96400000000000041</v>
      </c>
      <c r="W124" s="88"/>
      <c r="X124" s="85"/>
      <c r="Y124" s="85"/>
      <c r="Z124" s="85"/>
      <c r="AA124" s="85"/>
      <c r="AB124" s="77"/>
      <c r="AC124" s="87" t="s">
        <v>41</v>
      </c>
      <c r="AD124" s="86">
        <f t="shared" ref="AD124:AE126" si="5">U124/L124</f>
        <v>-0.25820256776034239</v>
      </c>
      <c r="AE124" s="86">
        <f t="shared" si="5"/>
        <v>-0.12598013591217988</v>
      </c>
      <c r="AF124" s="88"/>
      <c r="AG124" s="85"/>
      <c r="AH124" s="85"/>
      <c r="AI124" s="85"/>
      <c r="AJ124" s="85"/>
    </row>
    <row r="125" spans="1:36" x14ac:dyDescent="0.2">
      <c r="B125" s="24" t="s">
        <v>42</v>
      </c>
      <c r="C125" s="277">
        <f>ROUND(C61*$G$109,3)</f>
        <v>9.3710000000000004</v>
      </c>
      <c r="D125" s="277">
        <f>ROUND(D61*$G$109,3)</f>
        <v>8.8989999999999991</v>
      </c>
      <c r="E125" s="250"/>
      <c r="F125" s="250"/>
      <c r="G125" s="250"/>
      <c r="H125" s="250"/>
      <c r="I125" s="250"/>
      <c r="J125" s="28"/>
      <c r="K125" s="48" t="s">
        <v>42</v>
      </c>
      <c r="L125" s="277">
        <v>9.8390000000000004</v>
      </c>
      <c r="M125" s="277">
        <v>9.0920000000000005</v>
      </c>
      <c r="N125" s="250"/>
      <c r="O125" s="250"/>
      <c r="P125" s="250"/>
      <c r="Q125" s="250"/>
      <c r="R125" s="250"/>
      <c r="S125" s="21"/>
      <c r="T125" s="48" t="s">
        <v>42</v>
      </c>
      <c r="U125" s="277">
        <f t="shared" si="4"/>
        <v>-0.46799999999999997</v>
      </c>
      <c r="V125" s="84">
        <f t="shared" si="4"/>
        <v>-0.19300000000000139</v>
      </c>
      <c r="W125" s="88"/>
      <c r="X125" s="85"/>
      <c r="Y125" s="85"/>
      <c r="Z125" s="85"/>
      <c r="AA125" s="85"/>
      <c r="AB125" s="77"/>
      <c r="AC125" s="89" t="s">
        <v>42</v>
      </c>
      <c r="AD125" s="86">
        <f t="shared" si="5"/>
        <v>-4.756580953348917E-2</v>
      </c>
      <c r="AE125" s="86">
        <f t="shared" si="5"/>
        <v>-2.122745270567547E-2</v>
      </c>
      <c r="AF125" s="88"/>
      <c r="AG125" s="85"/>
      <c r="AH125" s="85"/>
      <c r="AI125" s="85"/>
      <c r="AJ125" s="85"/>
    </row>
    <row r="126" spans="1:36" x14ac:dyDescent="0.2">
      <c r="B126" s="250"/>
      <c r="C126" s="250"/>
      <c r="D126" s="250"/>
      <c r="E126" s="250"/>
      <c r="F126" s="250"/>
      <c r="G126" s="250"/>
      <c r="H126" s="250"/>
      <c r="I126" s="250"/>
      <c r="J126" s="28"/>
      <c r="K126" s="48" t="s">
        <v>43</v>
      </c>
      <c r="L126" s="251" t="s">
        <v>371</v>
      </c>
      <c r="M126" s="277">
        <v>10.063000000000001</v>
      </c>
      <c r="N126" s="250"/>
      <c r="O126" s="250"/>
      <c r="P126" s="250"/>
      <c r="Q126" s="250"/>
      <c r="R126" s="250"/>
      <c r="S126" s="21"/>
      <c r="T126" s="48" t="s">
        <v>43</v>
      </c>
      <c r="U126" s="251" t="s">
        <v>371</v>
      </c>
      <c r="V126" s="84">
        <f>D126-M126</f>
        <v>-10.063000000000001</v>
      </c>
      <c r="W126" s="88"/>
      <c r="X126" s="85"/>
      <c r="Y126" s="85"/>
      <c r="Z126" s="85"/>
      <c r="AA126" s="85"/>
      <c r="AB126" s="77"/>
      <c r="AC126" s="89" t="s">
        <v>43</v>
      </c>
      <c r="AD126" s="90" t="s">
        <v>371</v>
      </c>
      <c r="AE126" s="86">
        <f t="shared" si="5"/>
        <v>-1</v>
      </c>
      <c r="AF126" s="88"/>
      <c r="AG126" s="85"/>
      <c r="AH126" s="85"/>
      <c r="AI126" s="85"/>
      <c r="AJ126" s="85"/>
    </row>
    <row r="127" spans="1:36" x14ac:dyDescent="0.2">
      <c r="B127" s="21"/>
      <c r="C127" s="250"/>
      <c r="D127" s="250"/>
      <c r="E127" s="250"/>
      <c r="F127" s="250"/>
      <c r="G127" s="250"/>
      <c r="H127" s="250"/>
      <c r="I127" s="250"/>
      <c r="J127" s="21"/>
      <c r="K127" s="21"/>
      <c r="L127" s="250"/>
      <c r="M127" s="250"/>
      <c r="N127" s="250"/>
      <c r="O127" s="250"/>
      <c r="P127" s="250"/>
      <c r="Q127" s="250"/>
      <c r="R127" s="250"/>
      <c r="S127" s="21"/>
      <c r="T127" s="21"/>
      <c r="U127" s="250"/>
      <c r="V127" s="85"/>
      <c r="W127" s="85"/>
      <c r="X127" s="85"/>
      <c r="Y127" s="85"/>
      <c r="Z127" s="85"/>
      <c r="AA127" s="85"/>
      <c r="AB127" s="77"/>
      <c r="AC127" s="91"/>
      <c r="AD127" s="85"/>
      <c r="AE127" s="85"/>
      <c r="AF127" s="85"/>
      <c r="AG127" s="85"/>
      <c r="AH127" s="85"/>
      <c r="AI127" s="85"/>
      <c r="AJ127" s="85"/>
    </row>
    <row r="128" spans="1:36" x14ac:dyDescent="0.2">
      <c r="B128" s="22" t="s">
        <v>271</v>
      </c>
      <c r="C128" s="250"/>
      <c r="D128" s="250"/>
      <c r="E128" s="250"/>
      <c r="F128" s="250"/>
      <c r="G128" s="250"/>
      <c r="H128" s="250"/>
      <c r="I128" s="277">
        <f>ROUND(I64*$G$109,3)</f>
        <v>1.9219999999999999</v>
      </c>
      <c r="J128" s="164"/>
      <c r="K128" s="117" t="s">
        <v>281</v>
      </c>
      <c r="L128" s="250"/>
      <c r="M128" s="250"/>
      <c r="N128" s="250"/>
      <c r="O128" s="250"/>
      <c r="P128" s="250"/>
      <c r="Q128" s="250"/>
      <c r="R128" s="277">
        <v>5.4420000000000002</v>
      </c>
      <c r="S128" s="21"/>
      <c r="T128" s="117" t="s">
        <v>281</v>
      </c>
      <c r="U128" s="250"/>
      <c r="V128" s="85"/>
      <c r="W128" s="85"/>
      <c r="X128" s="85"/>
      <c r="Y128" s="85"/>
      <c r="Z128" s="85"/>
      <c r="AA128" s="84">
        <f>I128-R128</f>
        <v>-3.5200000000000005</v>
      </c>
      <c r="AB128" s="77"/>
      <c r="AC128" s="91" t="s">
        <v>281</v>
      </c>
      <c r="AD128" s="85"/>
      <c r="AE128" s="85"/>
      <c r="AF128" s="85"/>
      <c r="AG128" s="85"/>
      <c r="AH128" s="85"/>
      <c r="AI128" s="85"/>
      <c r="AJ128" s="86">
        <f>AA128/R128</f>
        <v>-0.64682102168320477</v>
      </c>
    </row>
    <row r="129" spans="1:36" x14ac:dyDescent="0.2">
      <c r="B129" s="22" t="s">
        <v>272</v>
      </c>
      <c r="C129" s="250"/>
      <c r="D129" s="250"/>
      <c r="E129" s="250"/>
      <c r="F129" s="250"/>
      <c r="G129" s="250"/>
      <c r="H129" s="250"/>
      <c r="I129" s="277">
        <f>ROUND(I65*$G$109,3)</f>
        <v>6.6689999999999996</v>
      </c>
      <c r="J129" s="164"/>
      <c r="K129" s="21"/>
      <c r="L129" s="250"/>
      <c r="M129" s="250"/>
      <c r="N129" s="250"/>
      <c r="O129" s="250"/>
      <c r="P129" s="250"/>
      <c r="Q129" s="250"/>
      <c r="R129" s="250"/>
      <c r="S129" s="21"/>
      <c r="T129" s="21"/>
      <c r="U129" s="250"/>
      <c r="V129" s="85"/>
      <c r="W129" s="85"/>
      <c r="X129" s="85"/>
      <c r="Y129" s="85"/>
      <c r="Z129" s="85"/>
      <c r="AA129" s="85"/>
      <c r="AB129" s="77"/>
      <c r="AC129" s="91"/>
      <c r="AD129" s="85"/>
      <c r="AE129" s="85"/>
      <c r="AF129" s="85"/>
      <c r="AG129" s="85"/>
      <c r="AH129" s="85"/>
      <c r="AI129" s="85"/>
      <c r="AJ129" s="85"/>
    </row>
    <row r="130" spans="1:36" x14ac:dyDescent="0.2">
      <c r="B130" s="21"/>
      <c r="C130" s="250"/>
      <c r="D130" s="250"/>
      <c r="E130" s="250"/>
      <c r="F130" s="250"/>
      <c r="G130" s="250"/>
      <c r="H130" s="250"/>
      <c r="I130" s="250"/>
      <c r="J130" s="21"/>
      <c r="K130" s="52" t="s">
        <v>62</v>
      </c>
      <c r="L130" s="250"/>
      <c r="M130" s="250"/>
      <c r="N130" s="250"/>
      <c r="O130" s="250"/>
      <c r="P130" s="250"/>
      <c r="Q130" s="250"/>
      <c r="R130" s="250"/>
      <c r="S130" s="21"/>
      <c r="T130" s="52" t="s">
        <v>62</v>
      </c>
      <c r="U130" s="250"/>
      <c r="V130" s="85"/>
      <c r="W130" s="85"/>
      <c r="X130" s="85"/>
      <c r="Y130" s="85"/>
      <c r="Z130" s="85"/>
      <c r="AA130" s="85"/>
      <c r="AB130" s="77"/>
      <c r="AC130" s="92" t="s">
        <v>62</v>
      </c>
      <c r="AD130" s="85"/>
      <c r="AE130" s="85"/>
      <c r="AF130" s="85"/>
      <c r="AG130" s="85"/>
      <c r="AH130" s="85"/>
      <c r="AI130" s="85"/>
      <c r="AJ130" s="85"/>
    </row>
    <row r="131" spans="1:36" x14ac:dyDescent="0.2">
      <c r="B131" s="52" t="s">
        <v>62</v>
      </c>
      <c r="C131" s="250"/>
      <c r="D131" s="250"/>
      <c r="E131" s="250"/>
      <c r="F131" s="250"/>
      <c r="G131" s="250"/>
      <c r="H131" s="250"/>
      <c r="I131" s="250"/>
      <c r="J131" s="21"/>
      <c r="K131" s="48" t="s">
        <v>268</v>
      </c>
      <c r="L131" s="277">
        <v>9.7379999999999995</v>
      </c>
      <c r="M131" s="277">
        <v>8.0760000000000005</v>
      </c>
      <c r="N131" s="250"/>
      <c r="O131" s="277">
        <v>8.1769999999999996</v>
      </c>
      <c r="P131" s="277">
        <v>5.8460000000000001</v>
      </c>
      <c r="Q131" s="277">
        <v>5.8209999999999997</v>
      </c>
      <c r="R131" s="277">
        <v>6.7539999999999996</v>
      </c>
      <c r="S131" s="21"/>
      <c r="T131" s="48" t="s">
        <v>268</v>
      </c>
      <c r="U131" s="277">
        <f>C132-L131</f>
        <v>-1.7189999999999994</v>
      </c>
      <c r="V131" s="84">
        <f>D132-M131</f>
        <v>-1.4920000000000009</v>
      </c>
      <c r="W131" s="85"/>
      <c r="X131" s="84">
        <f>F132-O131</f>
        <v>-2.1379999999999999</v>
      </c>
      <c r="Y131" s="84">
        <f>G132-P131</f>
        <v>-1.0949999999999998</v>
      </c>
      <c r="Z131" s="84">
        <f>H132-Q131</f>
        <v>-1.1040000000000001</v>
      </c>
      <c r="AA131" s="84">
        <f>I132-R131</f>
        <v>-1.8809999999999993</v>
      </c>
      <c r="AB131" s="77"/>
      <c r="AC131" s="83" t="s">
        <v>268</v>
      </c>
      <c r="AD131" s="86">
        <f t="shared" ref="AD131:AE131" si="6">U131/L131</f>
        <v>-0.17652495378927907</v>
      </c>
      <c r="AE131" s="86">
        <f t="shared" si="6"/>
        <v>-0.18474492322932154</v>
      </c>
      <c r="AF131" s="85"/>
      <c r="AG131" s="86">
        <f t="shared" ref="AG131:AJ131" si="7">X131/O131</f>
        <v>-0.26146508499449678</v>
      </c>
      <c r="AH131" s="86">
        <f t="shared" si="7"/>
        <v>-0.18730756072528221</v>
      </c>
      <c r="AI131" s="86">
        <f t="shared" si="7"/>
        <v>-0.18965813434117851</v>
      </c>
      <c r="AJ131" s="86">
        <f t="shared" si="7"/>
        <v>-0.27850162866449502</v>
      </c>
    </row>
    <row r="132" spans="1:36" x14ac:dyDescent="0.2">
      <c r="B132" s="24" t="s">
        <v>268</v>
      </c>
      <c r="C132" s="277">
        <f>ROUND(C68*$G$110,3)</f>
        <v>8.0190000000000001</v>
      </c>
      <c r="D132" s="277">
        <f>ROUND(D68*$G$110,3)</f>
        <v>6.5839999999999996</v>
      </c>
      <c r="E132" s="250"/>
      <c r="F132" s="277">
        <f>ROUND(F68*$G$110,3)</f>
        <v>6.0389999999999997</v>
      </c>
      <c r="G132" s="277">
        <f>ROUND(G68*$G$110,3)</f>
        <v>4.7510000000000003</v>
      </c>
      <c r="H132" s="277">
        <f>ROUND(H68*$G$110,3)</f>
        <v>4.7169999999999996</v>
      </c>
      <c r="I132" s="277">
        <f>ROUND(I68*$G$110,3)</f>
        <v>4.8730000000000002</v>
      </c>
      <c r="J132" s="21"/>
      <c r="K132" s="48" t="s">
        <v>269</v>
      </c>
      <c r="L132" s="250"/>
      <c r="M132" s="250"/>
      <c r="N132" s="277">
        <v>12.37</v>
      </c>
      <c r="O132" s="250"/>
      <c r="P132" s="250"/>
      <c r="Q132" s="250"/>
      <c r="R132" s="250"/>
      <c r="S132" s="21"/>
      <c r="T132" s="48" t="s">
        <v>269</v>
      </c>
      <c r="U132" s="250"/>
      <c r="V132" s="85"/>
      <c r="W132" s="84">
        <f>E133-N132</f>
        <v>-2.4439999999999991</v>
      </c>
      <c r="X132" s="85"/>
      <c r="Y132" s="85"/>
      <c r="Z132" s="85"/>
      <c r="AA132" s="85"/>
      <c r="AB132" s="77"/>
      <c r="AC132" s="83" t="s">
        <v>269</v>
      </c>
      <c r="AD132" s="85"/>
      <c r="AE132" s="85"/>
      <c r="AF132" s="86">
        <f t="shared" ref="AF132:AF133" si="8">W132/N132</f>
        <v>-0.19757477768795467</v>
      </c>
      <c r="AG132" s="85"/>
      <c r="AH132" s="85"/>
      <c r="AI132" s="85"/>
      <c r="AJ132" s="85"/>
    </row>
    <row r="133" spans="1:36" x14ac:dyDescent="0.2">
      <c r="B133" s="24" t="s">
        <v>269</v>
      </c>
      <c r="C133" s="250"/>
      <c r="D133" s="250"/>
      <c r="E133" s="277">
        <f>ROUND(E69*$G$110,3)</f>
        <v>9.9260000000000002</v>
      </c>
      <c r="F133" s="250"/>
      <c r="G133" s="250"/>
      <c r="H133" s="250"/>
      <c r="I133" s="250"/>
      <c r="J133" s="28"/>
      <c r="K133" s="48" t="s">
        <v>270</v>
      </c>
      <c r="L133" s="250"/>
      <c r="M133" s="250"/>
      <c r="N133" s="277">
        <v>5.6959999999999997</v>
      </c>
      <c r="O133" s="250"/>
      <c r="P133" s="250"/>
      <c r="Q133" s="250"/>
      <c r="R133" s="250"/>
      <c r="S133" s="21"/>
      <c r="T133" s="48" t="s">
        <v>270</v>
      </c>
      <c r="U133" s="250"/>
      <c r="V133" s="85"/>
      <c r="W133" s="84">
        <f>E134-N133</f>
        <v>-1.0179999999999998</v>
      </c>
      <c r="X133" s="85"/>
      <c r="Y133" s="85"/>
      <c r="Z133" s="85"/>
      <c r="AA133" s="85"/>
      <c r="AB133" s="77"/>
      <c r="AC133" s="83" t="s">
        <v>270</v>
      </c>
      <c r="AD133" s="85"/>
      <c r="AE133" s="85"/>
      <c r="AF133" s="86">
        <f t="shared" si="8"/>
        <v>-0.17872191011235952</v>
      </c>
      <c r="AG133" s="85"/>
      <c r="AH133" s="85"/>
      <c r="AI133" s="85"/>
      <c r="AJ133" s="85"/>
    </row>
    <row r="134" spans="1:36" x14ac:dyDescent="0.2">
      <c r="B134" s="24" t="s">
        <v>270</v>
      </c>
      <c r="C134" s="250"/>
      <c r="D134" s="250"/>
      <c r="E134" s="277">
        <f>ROUND(E70*$G$110,3)</f>
        <v>4.6779999999999999</v>
      </c>
      <c r="F134" s="250"/>
      <c r="G134" s="250"/>
      <c r="H134" s="250"/>
      <c r="I134" s="250"/>
      <c r="J134" s="28"/>
      <c r="K134" s="117"/>
      <c r="L134" s="250"/>
      <c r="M134" s="250"/>
      <c r="N134" s="250"/>
      <c r="O134" s="250"/>
      <c r="P134" s="250"/>
      <c r="Q134" s="250"/>
      <c r="R134" s="250"/>
      <c r="S134" s="21"/>
      <c r="T134" s="117"/>
      <c r="U134" s="250"/>
      <c r="V134" s="85"/>
      <c r="W134" s="85"/>
      <c r="X134" s="85"/>
      <c r="Y134" s="85"/>
      <c r="Z134" s="85"/>
      <c r="AA134" s="85"/>
      <c r="AB134" s="77"/>
      <c r="AC134" s="91"/>
      <c r="AD134" s="85"/>
      <c r="AE134" s="85"/>
      <c r="AF134" s="85"/>
      <c r="AG134" s="85"/>
      <c r="AH134" s="85"/>
      <c r="AI134" s="85"/>
      <c r="AJ134" s="85"/>
    </row>
    <row r="135" spans="1:36" x14ac:dyDescent="0.2">
      <c r="B135" s="21"/>
      <c r="C135" s="250"/>
      <c r="D135" s="250"/>
      <c r="E135" s="250"/>
      <c r="F135" s="250"/>
      <c r="G135" s="250"/>
      <c r="H135" s="250"/>
      <c r="I135" s="250"/>
      <c r="J135" s="21"/>
      <c r="K135" s="117" t="s">
        <v>281</v>
      </c>
      <c r="L135" s="250"/>
      <c r="M135" s="250"/>
      <c r="N135" s="250"/>
      <c r="O135" s="250"/>
      <c r="P135" s="250"/>
      <c r="Q135" s="250"/>
      <c r="R135" s="277">
        <v>5.4</v>
      </c>
      <c r="S135" s="21"/>
      <c r="T135" s="117" t="s">
        <v>281</v>
      </c>
      <c r="U135" s="250"/>
      <c r="V135" s="85"/>
      <c r="W135" s="85"/>
      <c r="X135" s="85"/>
      <c r="Y135" s="85"/>
      <c r="Z135" s="85"/>
      <c r="AA135" s="84">
        <f>I136-R135</f>
        <v>-3.9460000000000006</v>
      </c>
      <c r="AB135" s="77"/>
      <c r="AC135" s="91" t="s">
        <v>281</v>
      </c>
      <c r="AD135" s="85"/>
      <c r="AE135" s="85"/>
      <c r="AF135" s="85"/>
      <c r="AG135" s="85"/>
      <c r="AH135" s="85"/>
      <c r="AI135" s="85"/>
      <c r="AJ135" s="86">
        <f>AA135/R135</f>
        <v>-0.7307407407407408</v>
      </c>
    </row>
    <row r="136" spans="1:36" x14ac:dyDescent="0.2">
      <c r="B136" s="22" t="s">
        <v>271</v>
      </c>
      <c r="C136" s="250"/>
      <c r="D136" s="250"/>
      <c r="E136" s="250"/>
      <c r="F136" s="250"/>
      <c r="G136" s="250"/>
      <c r="H136" s="250"/>
      <c r="I136" s="277">
        <f>ROUND(I72*$G$110,3)</f>
        <v>1.454</v>
      </c>
      <c r="J136" s="164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</row>
    <row r="137" spans="1:36" x14ac:dyDescent="0.2">
      <c r="B137" s="22" t="s">
        <v>272</v>
      </c>
      <c r="C137" s="250"/>
      <c r="D137" s="250"/>
      <c r="E137" s="250"/>
      <c r="F137" s="250"/>
      <c r="G137" s="250"/>
      <c r="H137" s="250"/>
      <c r="I137" s="277">
        <f>ROUND(I73*$G$110,3)</f>
        <v>5.1479999999999997</v>
      </c>
      <c r="J137" s="164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</row>
    <row r="138" spans="1:36" x14ac:dyDescent="0.2">
      <c r="A138" s="71"/>
      <c r="B138" s="22"/>
      <c r="C138" s="21"/>
      <c r="D138" s="21"/>
      <c r="E138" s="21"/>
      <c r="F138" s="21"/>
      <c r="G138" s="21"/>
      <c r="H138" s="21"/>
      <c r="I138" s="73"/>
      <c r="J138" s="164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36" x14ac:dyDescent="0.2">
      <c r="A139" s="71"/>
      <c r="B139" s="237" t="s">
        <v>372</v>
      </c>
      <c r="C139" s="21"/>
      <c r="D139" s="21" t="s">
        <v>274</v>
      </c>
      <c r="E139" s="114">
        <v>6.6250000000000003E-2</v>
      </c>
      <c r="F139" s="21"/>
      <c r="G139" s="21"/>
      <c r="H139" s="21"/>
      <c r="I139" s="21"/>
      <c r="J139" s="164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36" x14ac:dyDescent="0.2">
      <c r="A140" s="71"/>
      <c r="B140" s="21"/>
      <c r="C140" s="21"/>
      <c r="D140" s="21"/>
      <c r="E140" s="21"/>
      <c r="F140" s="21"/>
      <c r="G140" s="21"/>
      <c r="H140" s="21"/>
      <c r="I140" s="21"/>
      <c r="J140" s="164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36" x14ac:dyDescent="0.2">
      <c r="A141" s="71"/>
      <c r="B141" s="21"/>
      <c r="C141" s="47" t="s">
        <v>7</v>
      </c>
      <c r="D141" s="47" t="s">
        <v>8</v>
      </c>
      <c r="E141" s="47" t="s">
        <v>9</v>
      </c>
      <c r="F141" s="47" t="s">
        <v>10</v>
      </c>
      <c r="G141" s="47" t="s">
        <v>11</v>
      </c>
      <c r="H141" s="47" t="s">
        <v>12</v>
      </c>
      <c r="I141" s="47" t="s">
        <v>13</v>
      </c>
      <c r="J141" s="16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36" x14ac:dyDescent="0.2">
      <c r="A142" s="71"/>
      <c r="B142" s="52" t="s">
        <v>69</v>
      </c>
      <c r="C142" s="21"/>
      <c r="D142" s="21"/>
      <c r="E142" s="21"/>
      <c r="F142" s="21"/>
      <c r="G142" s="21"/>
      <c r="H142" s="21"/>
      <c r="I142" s="21"/>
      <c r="J142" s="164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36" x14ac:dyDescent="0.2">
      <c r="A143" s="71"/>
      <c r="B143" s="24" t="s">
        <v>268</v>
      </c>
      <c r="C143" s="24"/>
      <c r="D143" s="24"/>
      <c r="E143" s="21"/>
      <c r="F143" s="73">
        <f>ROUND(F121*(1+$E$139),3)</f>
        <v>7.5</v>
      </c>
      <c r="G143" s="73">
        <f>ROUND(G121*(1+$E$139),3)</f>
        <v>5.1429999999999998</v>
      </c>
      <c r="H143" s="73">
        <f>ROUND(H121*(1+$E$139),3)</f>
        <v>5.1340000000000003</v>
      </c>
      <c r="I143" s="73">
        <f>ROUND(I121*(1+$E$139),3)</f>
        <v>5.5960000000000001</v>
      </c>
      <c r="J143" s="164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36" x14ac:dyDescent="0.2">
      <c r="A144" s="71"/>
      <c r="B144" s="24" t="s">
        <v>269</v>
      </c>
      <c r="C144" s="21"/>
      <c r="D144" s="21"/>
      <c r="E144" s="73">
        <f>ROUND(E122*(1+$E$139),3)</f>
        <v>13.36</v>
      </c>
      <c r="F144" s="21"/>
      <c r="G144" s="21"/>
      <c r="H144" s="21"/>
      <c r="I144" s="21"/>
      <c r="J144" s="164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x14ac:dyDescent="0.2">
      <c r="A145" s="71"/>
      <c r="B145" s="24" t="s">
        <v>270</v>
      </c>
      <c r="C145" s="21"/>
      <c r="D145" s="21"/>
      <c r="E145" s="73">
        <f>ROUND(E123*(1+$E$139),3)</f>
        <v>5.0330000000000004</v>
      </c>
      <c r="F145" s="21"/>
      <c r="G145" s="21"/>
      <c r="H145" s="21"/>
      <c r="I145" s="21"/>
      <c r="J145" s="164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x14ac:dyDescent="0.2">
      <c r="A146" s="71"/>
      <c r="B146" s="22" t="s">
        <v>41</v>
      </c>
      <c r="C146" s="73">
        <f>ROUND(C124*(1+$E$139),3)</f>
        <v>6.6529999999999996</v>
      </c>
      <c r="D146" s="73">
        <f>ROUND(D124*(1+$E$139),3)</f>
        <v>7.1310000000000002</v>
      </c>
      <c r="E146" s="28"/>
      <c r="F146" s="21"/>
      <c r="G146" s="21"/>
      <c r="H146" s="21"/>
      <c r="I146" s="21"/>
      <c r="J146" s="164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x14ac:dyDescent="0.2">
      <c r="A147" s="71"/>
      <c r="B147" s="24" t="s">
        <v>42</v>
      </c>
      <c r="C147" s="73">
        <f>ROUND(C125*(1+$E$139),3)</f>
        <v>9.9920000000000009</v>
      </c>
      <c r="D147" s="73">
        <f>ROUND(D125*(1+$E$139),3)</f>
        <v>9.4890000000000008</v>
      </c>
      <c r="E147" s="28"/>
      <c r="F147" s="21"/>
      <c r="G147" s="21"/>
      <c r="H147" s="21"/>
      <c r="I147" s="21"/>
      <c r="J147" s="164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x14ac:dyDescent="0.2">
      <c r="A148" s="71"/>
      <c r="B148" s="28"/>
      <c r="C148" s="28"/>
      <c r="D148" s="28"/>
      <c r="E148" s="28"/>
      <c r="F148" s="21"/>
      <c r="G148" s="21"/>
      <c r="H148" s="21"/>
      <c r="I148" s="21"/>
      <c r="J148" s="164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x14ac:dyDescent="0.2">
      <c r="A149" s="71"/>
      <c r="B149" s="21"/>
      <c r="C149" s="21"/>
      <c r="D149" s="21"/>
      <c r="E149" s="21"/>
      <c r="F149" s="21"/>
      <c r="G149" s="21"/>
      <c r="H149" s="21"/>
      <c r="I149" s="21"/>
      <c r="J149" s="164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x14ac:dyDescent="0.2">
      <c r="A150" s="71"/>
      <c r="B150" s="22" t="s">
        <v>271</v>
      </c>
      <c r="C150" s="21"/>
      <c r="D150" s="21"/>
      <c r="E150" s="21"/>
      <c r="F150" s="21"/>
      <c r="G150" s="21"/>
      <c r="H150" s="21"/>
      <c r="I150" s="278">
        <f>ROUND(I128*(1+$E$139),2)</f>
        <v>2.0499999999999998</v>
      </c>
      <c r="J150" s="164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x14ac:dyDescent="0.2">
      <c r="A151" s="71"/>
      <c r="B151" s="22" t="s">
        <v>353</v>
      </c>
      <c r="C151" s="21"/>
      <c r="D151" s="21"/>
      <c r="E151" s="21"/>
      <c r="F151" s="21"/>
      <c r="G151" s="21"/>
      <c r="H151" s="21"/>
      <c r="I151" s="278">
        <f>ROUND(I129*(1+$E$139),2)</f>
        <v>7.11</v>
      </c>
      <c r="J151" s="16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x14ac:dyDescent="0.2">
      <c r="A152" s="71"/>
      <c r="B152" s="21"/>
      <c r="C152" s="21"/>
      <c r="D152" s="21"/>
      <c r="E152" s="21"/>
      <c r="F152" s="21"/>
      <c r="G152" s="21"/>
      <c r="H152" s="21"/>
      <c r="I152" s="21"/>
      <c r="J152" s="164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x14ac:dyDescent="0.2">
      <c r="A153" s="71"/>
      <c r="B153" s="52" t="s">
        <v>62</v>
      </c>
      <c r="C153" s="21"/>
      <c r="D153" s="21"/>
      <c r="E153" s="21"/>
      <c r="F153" s="21"/>
      <c r="G153" s="21"/>
      <c r="H153" s="21"/>
      <c r="I153" s="21"/>
      <c r="J153" s="164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x14ac:dyDescent="0.2">
      <c r="A154" s="71"/>
      <c r="B154" s="24" t="s">
        <v>268</v>
      </c>
      <c r="C154" s="73">
        <f>ROUND(C132*(1+$E$139),3)</f>
        <v>8.5500000000000007</v>
      </c>
      <c r="D154" s="73">
        <f>ROUND(D132*(1+$E$139),3)</f>
        <v>7.02</v>
      </c>
      <c r="E154" s="21"/>
      <c r="F154" s="73">
        <f>ROUND(F132*(1+$E$139),3)</f>
        <v>6.4390000000000001</v>
      </c>
      <c r="G154" s="73">
        <f>ROUND(G132*(1+$E$139),3)</f>
        <v>5.0659999999999998</v>
      </c>
      <c r="H154" s="73">
        <f>ROUND(H132*(1+$E$139),3)</f>
        <v>5.03</v>
      </c>
      <c r="I154" s="73">
        <f>ROUND(I132*(1+$E$139),3)</f>
        <v>5.1959999999999997</v>
      </c>
      <c r="J154" s="164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x14ac:dyDescent="0.2">
      <c r="A155" s="71"/>
      <c r="B155" s="24" t="s">
        <v>269</v>
      </c>
      <c r="C155" s="21"/>
      <c r="D155" s="21"/>
      <c r="E155" s="73">
        <f>ROUND(E133*(1+$E$139),3)</f>
        <v>10.584</v>
      </c>
      <c r="F155" s="21"/>
      <c r="G155" s="21"/>
      <c r="H155" s="21"/>
      <c r="I155" s="21"/>
      <c r="J155" s="164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x14ac:dyDescent="0.2">
      <c r="A156" s="71"/>
      <c r="B156" s="24" t="s">
        <v>270</v>
      </c>
      <c r="C156" s="21"/>
      <c r="D156" s="21"/>
      <c r="E156" s="73">
        <f>ROUND(E134*(1+$E$139),3)</f>
        <v>4.9880000000000004</v>
      </c>
      <c r="F156" s="21"/>
      <c r="G156" s="21"/>
      <c r="H156" s="21"/>
      <c r="I156" s="21"/>
      <c r="J156" s="164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x14ac:dyDescent="0.2">
      <c r="A157" s="71"/>
      <c r="B157" s="21"/>
      <c r="C157" s="21"/>
      <c r="D157" s="21"/>
      <c r="E157" s="21"/>
      <c r="F157" s="21"/>
      <c r="G157" s="21"/>
      <c r="H157" s="21"/>
      <c r="I157" s="21"/>
      <c r="J157" s="164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x14ac:dyDescent="0.2">
      <c r="A158" s="71"/>
      <c r="B158" s="22" t="s">
        <v>271</v>
      </c>
      <c r="C158" s="21"/>
      <c r="D158" s="21"/>
      <c r="E158" s="21"/>
      <c r="F158" s="21"/>
      <c r="G158" s="21"/>
      <c r="H158" s="21"/>
      <c r="I158" s="278">
        <f>ROUND(I136*(1+$E$139),2)</f>
        <v>1.55</v>
      </c>
      <c r="J158" s="164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x14ac:dyDescent="0.2">
      <c r="A159" s="71"/>
      <c r="B159" s="22" t="s">
        <v>272</v>
      </c>
      <c r="C159" s="21"/>
      <c r="D159" s="21"/>
      <c r="E159" s="21"/>
      <c r="F159" s="21"/>
      <c r="G159" s="21"/>
      <c r="H159" s="21"/>
      <c r="I159" s="278">
        <f>ROUND(I137*(1+$E$139),2)</f>
        <v>5.49</v>
      </c>
      <c r="J159" s="164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x14ac:dyDescent="0.2">
      <c r="A160" s="71"/>
      <c r="B160" s="22"/>
      <c r="C160" s="21"/>
      <c r="D160" s="21"/>
      <c r="E160" s="21"/>
      <c r="F160" s="21"/>
      <c r="G160" s="21"/>
      <c r="H160" s="21"/>
      <c r="I160" s="73"/>
      <c r="J160" s="164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x14ac:dyDescent="0.2">
      <c r="B161" s="22"/>
      <c r="C161" s="21"/>
      <c r="D161" s="21"/>
      <c r="E161" s="21"/>
      <c r="F161" s="21"/>
      <c r="G161" s="21"/>
      <c r="H161" s="21"/>
      <c r="I161" s="164"/>
      <c r="J161" s="164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x14ac:dyDescent="0.2">
      <c r="A162" s="41" t="s">
        <v>373</v>
      </c>
      <c r="B162" s="214" t="s">
        <v>374</v>
      </c>
      <c r="C162" s="21"/>
      <c r="D162" s="21"/>
      <c r="E162" s="21"/>
      <c r="F162" s="21"/>
      <c r="G162" s="21"/>
      <c r="H162" s="21"/>
      <c r="I162" s="164"/>
      <c r="J162" s="164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x14ac:dyDescent="0.2">
      <c r="B163" s="214"/>
      <c r="C163" s="21"/>
      <c r="D163" s="21"/>
      <c r="E163" s="21"/>
      <c r="F163" s="21"/>
      <c r="G163" s="21"/>
      <c r="H163" s="21"/>
      <c r="I163" s="164"/>
      <c r="J163" s="164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x14ac:dyDescent="0.2">
      <c r="B164" s="214"/>
      <c r="C164" s="21"/>
      <c r="D164" s="21"/>
      <c r="E164" s="21"/>
      <c r="F164" s="21"/>
      <c r="G164" s="21"/>
      <c r="H164" s="21"/>
      <c r="I164" s="164"/>
      <c r="J164" s="164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x14ac:dyDescent="0.2">
      <c r="B165" s="50" t="s">
        <v>289</v>
      </c>
      <c r="C165" s="21"/>
      <c r="D165" s="21"/>
      <c r="E165" s="21"/>
      <c r="F165" s="21"/>
      <c r="G165" s="21"/>
      <c r="H165" s="21"/>
      <c r="I165" s="164"/>
      <c r="J165" s="164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3.5" thickBot="1" x14ac:dyDescent="0.25">
      <c r="B166" s="50"/>
      <c r="C166" s="21"/>
      <c r="D166" s="21"/>
      <c r="E166" s="21"/>
      <c r="F166" s="21"/>
      <c r="G166" s="21"/>
      <c r="H166" s="21"/>
      <c r="I166" s="164"/>
      <c r="J166" s="164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x14ac:dyDescent="0.2">
      <c r="B167" s="21"/>
      <c r="C167" s="47" t="str">
        <f>'BGS Cost &amp; Bid Factors'!C$6</f>
        <v>SC1</v>
      </c>
      <c r="D167" s="47" t="str">
        <f>'BGS Cost &amp; Bid Factors'!D$6</f>
        <v>SC5</v>
      </c>
      <c r="E167" s="47" t="str">
        <f>'BGS Cost &amp; Bid Factors'!E$6</f>
        <v>SC3</v>
      </c>
      <c r="F167" s="47" t="str">
        <f>'BGS Cost &amp; Bid Factors'!F$6</f>
        <v>SC2 ND</v>
      </c>
      <c r="G167" s="47" t="str">
        <f>'BGS Cost &amp; Bid Factors'!G$6</f>
        <v>SC4</v>
      </c>
      <c r="H167" s="47" t="str">
        <f>'BGS Cost &amp; Bid Factors'!H$6</f>
        <v>SC6</v>
      </c>
      <c r="I167" s="47" t="str">
        <f>'BGS Cost &amp; Bid Factors'!I$6</f>
        <v>SC2 Dem</v>
      </c>
      <c r="J167" s="164"/>
      <c r="K167" s="190" t="s">
        <v>156</v>
      </c>
      <c r="L167" s="19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x14ac:dyDescent="0.2">
      <c r="B168" s="50"/>
      <c r="C168" s="21"/>
      <c r="D168" s="21"/>
      <c r="E168" s="21"/>
      <c r="F168" s="21"/>
      <c r="G168" s="21"/>
      <c r="H168" s="21"/>
      <c r="I168" s="21"/>
      <c r="J168" s="164"/>
      <c r="K168" s="192"/>
      <c r="L168" s="193" t="s">
        <v>159</v>
      </c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x14ac:dyDescent="0.2">
      <c r="B169" s="157" t="s">
        <v>69</v>
      </c>
      <c r="C169" s="107">
        <f>ROUND((C121*'BGS Cost &amp; Bid Factors'!M$48)/100,0)</f>
        <v>22300</v>
      </c>
      <c r="D169" s="107">
        <f>ROUND((D121*'BGS Cost &amp; Bid Factors'!N$48)/100,0)</f>
        <v>339</v>
      </c>
      <c r="E169" s="13">
        <f>ROUND((E122*'BGS Cost &amp; Bid Factors'!O$49+E123*'BGS Cost &amp; Bid Factors'!O$50)/100,0)</f>
        <v>6</v>
      </c>
      <c r="F169" s="107">
        <f>ROUND((F121*'BGS Cost &amp; Bid Factors'!P$48)/100,0)</f>
        <v>491</v>
      </c>
      <c r="G169" s="107">
        <f>ROUND((G121*'BGS Cost &amp; Bid Factors'!Q$48)/100,0)</f>
        <v>66</v>
      </c>
      <c r="H169" s="107">
        <f>ROUND((H121*'BGS Cost &amp; Bid Factors'!R$48)/100,0)</f>
        <v>76</v>
      </c>
      <c r="I169" s="13">
        <f>ROUND(I121*'BGS Cost &amp; Bid Factors'!S$48/100+(I128*($L$169/4*'BGS Cost &amp; Bid Factors'!H$144)+I129*($L$169/4*'BGS Cost &amp; Bid Factors'!H$144))/1000,0)</f>
        <v>9327</v>
      </c>
      <c r="J169" s="164"/>
      <c r="K169" s="192" t="s">
        <v>69</v>
      </c>
      <c r="L169" s="194">
        <v>334259.47169279348</v>
      </c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3.5" thickBot="1" x14ac:dyDescent="0.25">
      <c r="B170" s="157" t="s">
        <v>62</v>
      </c>
      <c r="C170" s="53">
        <f>ROUND(C132*'BGS Cost &amp; Bid Factors'!M$44/100,0)</f>
        <v>28660</v>
      </c>
      <c r="D170" s="53">
        <f>ROUND(D132*'BGS Cost &amp; Bid Factors'!N$44/100,0)</f>
        <v>597</v>
      </c>
      <c r="E170" s="236">
        <f>ROUND((E133*'BGS Cost &amp; Bid Factors'!O$45+E134*'BGS Cost &amp; Bid Factors'!O$46)/100,0)</f>
        <v>11</v>
      </c>
      <c r="F170" s="53">
        <f>ROUND(F132*'BGS Cost &amp; Bid Factors'!P$44/100,0)</f>
        <v>960</v>
      </c>
      <c r="G170" s="53">
        <f>ROUND(G132*'BGS Cost &amp; Bid Factors'!Q$44/100,0)</f>
        <v>167</v>
      </c>
      <c r="H170" s="53">
        <f>ROUND(H132*'BGS Cost &amp; Bid Factors'!R$44/100,0)</f>
        <v>174</v>
      </c>
      <c r="I170" s="236">
        <f>ROUND(I132*'BGS Cost &amp; Bid Factors'!S$44/100+(I136*($L$170/8*'BGS Cost &amp; Bid Factors'!H$145)+I137*($L$170/8*'BGS Cost &amp; Bid Factors'!H$145))/1000,0)</f>
        <v>14617</v>
      </c>
      <c r="J170" s="164"/>
      <c r="K170" s="195" t="s">
        <v>62</v>
      </c>
      <c r="L170" s="196">
        <v>621967.13579808094</v>
      </c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x14ac:dyDescent="0.2">
      <c r="B171" s="157" t="s">
        <v>36</v>
      </c>
      <c r="C171" s="76">
        <f t="shared" ref="C171:I171" si="9">+C170+C169</f>
        <v>50960</v>
      </c>
      <c r="D171" s="76">
        <f t="shared" si="9"/>
        <v>936</v>
      </c>
      <c r="E171" s="76">
        <f t="shared" si="9"/>
        <v>17</v>
      </c>
      <c r="F171" s="76">
        <f t="shared" si="9"/>
        <v>1451</v>
      </c>
      <c r="G171" s="76">
        <f t="shared" si="9"/>
        <v>233</v>
      </c>
      <c r="H171" s="76">
        <f t="shared" si="9"/>
        <v>250</v>
      </c>
      <c r="I171" s="76">
        <f t="shared" si="9"/>
        <v>23944</v>
      </c>
      <c r="J171" s="164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x14ac:dyDescent="0.2">
      <c r="B172" s="157"/>
      <c r="C172" s="76"/>
      <c r="D172" s="76"/>
      <c r="E172" s="76"/>
      <c r="F172" s="76"/>
      <c r="G172" s="76"/>
      <c r="H172" s="76"/>
      <c r="I172" s="76"/>
      <c r="J172" s="16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x14ac:dyDescent="0.2">
      <c r="B173" s="157" t="s">
        <v>36</v>
      </c>
      <c r="C173" s="76"/>
      <c r="D173" s="76"/>
      <c r="E173" s="76"/>
      <c r="F173" s="76"/>
      <c r="G173" s="76"/>
      <c r="H173" s="76"/>
      <c r="I173" s="76"/>
      <c r="J173" s="164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x14ac:dyDescent="0.2">
      <c r="B174" s="157" t="s">
        <v>69</v>
      </c>
      <c r="C174" s="76">
        <f>SUM(C169:I169)</f>
        <v>32605</v>
      </c>
      <c r="D174" s="76"/>
      <c r="E174" s="76"/>
      <c r="F174" s="76"/>
      <c r="G174" s="76"/>
      <c r="H174" s="76"/>
      <c r="I174" s="76"/>
      <c r="J174" s="164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x14ac:dyDescent="0.2">
      <c r="B175" s="157" t="s">
        <v>62</v>
      </c>
      <c r="C175" s="54">
        <f>SUM(C170:I170)</f>
        <v>45186</v>
      </c>
      <c r="D175" s="21"/>
      <c r="E175" s="40"/>
      <c r="F175" s="21"/>
      <c r="G175" s="21"/>
      <c r="H175" s="21"/>
      <c r="I175" s="21"/>
      <c r="J175" s="164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x14ac:dyDescent="0.2">
      <c r="B176" s="157" t="s">
        <v>36</v>
      </c>
      <c r="C176" s="76">
        <f>+C175+C174</f>
        <v>77791</v>
      </c>
      <c r="D176" s="21"/>
      <c r="E176" s="40"/>
      <c r="F176" s="21"/>
      <c r="G176" s="21"/>
      <c r="H176" s="21"/>
      <c r="I176" s="13"/>
      <c r="J176" s="164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2:21" x14ac:dyDescent="0.2">
      <c r="B177" s="157"/>
      <c r="C177" s="76"/>
      <c r="D177" s="21"/>
      <c r="E177" s="40"/>
      <c r="F177" s="21"/>
      <c r="G177" s="21"/>
      <c r="H177" s="21"/>
      <c r="I177" s="236"/>
      <c r="J177" s="16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2:21" x14ac:dyDescent="0.2">
      <c r="B178" s="52" t="s">
        <v>375</v>
      </c>
      <c r="C178" s="51"/>
      <c r="D178" s="51"/>
      <c r="E178" s="51"/>
      <c r="F178" s="51"/>
      <c r="G178" s="51"/>
      <c r="H178" s="51"/>
      <c r="I178" s="76"/>
      <c r="J178" s="164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2:21" x14ac:dyDescent="0.2">
      <c r="B179" s="21"/>
      <c r="C179" s="51"/>
      <c r="D179" s="51"/>
      <c r="E179" s="51"/>
      <c r="F179" s="5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2:21" x14ac:dyDescent="0.2">
      <c r="B180" s="21" t="s">
        <v>357</v>
      </c>
      <c r="C180" s="40"/>
      <c r="D180" s="40"/>
      <c r="E180" s="40"/>
      <c r="F180" s="5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2:21" ht="15" x14ac:dyDescent="0.35">
      <c r="B181" s="21"/>
      <c r="C181" s="74" t="s">
        <v>36</v>
      </c>
      <c r="D181" s="74" t="s">
        <v>337</v>
      </c>
      <c r="E181" s="74" t="s">
        <v>358</v>
      </c>
      <c r="F181" s="5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2:21" x14ac:dyDescent="0.2">
      <c r="B182" s="157" t="s">
        <v>69</v>
      </c>
      <c r="C182" s="76">
        <f>'Weighted Avg Price Calc'!G$27/1000</f>
        <v>33553.578999999998</v>
      </c>
      <c r="D182" s="108">
        <f>ROUND('BGS Cost &amp; Bid Factors'!$C$147*SUM('BGS Cost &amp; Bid Factors'!$C$141:$I$141)/12*'BGS Cost &amp; Bid Factors'!H$144/1000*'BGS Cost &amp; Bid Factors'!D447,0)</f>
        <v>4445</v>
      </c>
      <c r="E182" s="76">
        <f>C182-D182</f>
        <v>29108.578999999998</v>
      </c>
      <c r="F182" s="5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2:21" ht="15" x14ac:dyDescent="0.35">
      <c r="B183" s="157" t="s">
        <v>62</v>
      </c>
      <c r="C183" s="75">
        <f>'Weighted Avg Price Calc'!G$28/1000</f>
        <v>49018.682999999997</v>
      </c>
      <c r="D183" s="75">
        <f>ROUND('BGS Cost &amp; Bid Factors'!$C$147*SUM('BGS Cost &amp; Bid Factors'!$C$141:$I$141)/12*'BGS Cost &amp; Bid Factors'!H$145/1000*'BGS Cost &amp; Bid Factors'!D447,0)</f>
        <v>8890</v>
      </c>
      <c r="E183" s="75">
        <f>C183-D183</f>
        <v>40128.682999999997</v>
      </c>
      <c r="F183" s="5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2:21" x14ac:dyDescent="0.2">
      <c r="B184" s="157" t="s">
        <v>36</v>
      </c>
      <c r="C184" s="76">
        <f>+C183+C182</f>
        <v>82572.261999999988</v>
      </c>
      <c r="D184" s="76">
        <f>D182+D183</f>
        <v>13335</v>
      </c>
      <c r="E184" s="76">
        <f>E182+E183</f>
        <v>69237.261999999988</v>
      </c>
      <c r="F184" s="5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2:21" x14ac:dyDescent="0.2">
      <c r="B185" s="21"/>
      <c r="C185" s="40"/>
      <c r="D185" s="40"/>
      <c r="E185" s="40"/>
      <c r="F185" s="5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2:21" x14ac:dyDescent="0.2">
      <c r="B186" s="21" t="s">
        <v>359</v>
      </c>
      <c r="C186" s="40"/>
      <c r="D186" s="40"/>
      <c r="E186" s="40"/>
      <c r="F186" s="5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2:21" ht="15" x14ac:dyDescent="0.35">
      <c r="B187" s="21"/>
      <c r="C187" s="74" t="s">
        <v>36</v>
      </c>
      <c r="D187" s="74" t="s">
        <v>337</v>
      </c>
      <c r="E187" s="74" t="s">
        <v>358</v>
      </c>
      <c r="F187" s="5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2:21" x14ac:dyDescent="0.2">
      <c r="B188" s="157" t="s">
        <v>69</v>
      </c>
      <c r="C188" s="76">
        <f>ROUND($E$251*1000*'Weighted Avg Price Calc'!E40/100/1000,0)</f>
        <v>3497</v>
      </c>
      <c r="D188" s="76">
        <v>0</v>
      </c>
      <c r="E188" s="76">
        <f>C188-D188</f>
        <v>3497</v>
      </c>
      <c r="F188" s="5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2:21" ht="15" x14ac:dyDescent="0.35">
      <c r="B189" s="157" t="s">
        <v>62</v>
      </c>
      <c r="C189" s="75">
        <f>ROUND($E$252*1000*'Weighted Avg Price Calc'!E40/100/1000,0)</f>
        <v>5060</v>
      </c>
      <c r="D189" s="75">
        <v>0</v>
      </c>
      <c r="E189" s="75">
        <f>C189-D189</f>
        <v>5060</v>
      </c>
      <c r="F189" s="5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2:21" x14ac:dyDescent="0.2">
      <c r="B190" s="157" t="s">
        <v>36</v>
      </c>
      <c r="C190" s="76">
        <f>+C189+C188</f>
        <v>8557</v>
      </c>
      <c r="D190" s="76">
        <f>D188+D189</f>
        <v>0</v>
      </c>
      <c r="E190" s="76">
        <f>E188+E189</f>
        <v>8557</v>
      </c>
      <c r="F190" s="5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2:21" x14ac:dyDescent="0.2">
      <c r="B191" s="21"/>
      <c r="C191" s="40"/>
      <c r="D191" s="40"/>
      <c r="E191" s="40"/>
      <c r="F191" s="5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2:21" x14ac:dyDescent="0.2">
      <c r="B192" s="21" t="s">
        <v>360</v>
      </c>
      <c r="C192" s="51"/>
      <c r="D192" s="51"/>
      <c r="E192" s="51"/>
      <c r="F192" s="5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5" x14ac:dyDescent="0.35">
      <c r="B193" s="21"/>
      <c r="C193" s="74" t="s">
        <v>36</v>
      </c>
      <c r="D193" s="74" t="s">
        <v>337</v>
      </c>
      <c r="E193" s="74" t="s">
        <v>358</v>
      </c>
      <c r="F193" s="40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x14ac:dyDescent="0.2">
      <c r="B194" s="157" t="s">
        <v>69</v>
      </c>
      <c r="C194" s="76">
        <f>C182+C188</f>
        <v>37050.578999999998</v>
      </c>
      <c r="D194" s="76">
        <f>D182+D188</f>
        <v>4445</v>
      </c>
      <c r="E194" s="76">
        <f>C194-D194</f>
        <v>32605.578999999998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5" x14ac:dyDescent="0.35">
      <c r="B195" s="157" t="s">
        <v>62</v>
      </c>
      <c r="C195" s="75">
        <f>C183+C189</f>
        <v>54078.682999999997</v>
      </c>
      <c r="D195" s="75">
        <f>D183+D189</f>
        <v>8890</v>
      </c>
      <c r="E195" s="75">
        <f>C195-D195</f>
        <v>45188.682999999997</v>
      </c>
      <c r="F195" s="21"/>
      <c r="G195" s="21"/>
      <c r="H195" s="21"/>
      <c r="I195" s="21"/>
      <c r="J195" s="164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x14ac:dyDescent="0.2">
      <c r="B196" s="157" t="s">
        <v>36</v>
      </c>
      <c r="C196" s="76">
        <f>+C195+C194</f>
        <v>91129.261999999988</v>
      </c>
      <c r="D196" s="76">
        <f>D194+D195</f>
        <v>13335</v>
      </c>
      <c r="E196" s="76">
        <f>E194+E195</f>
        <v>77794.261999999988</v>
      </c>
      <c r="F196" s="21"/>
      <c r="G196" s="21"/>
      <c r="H196" s="21"/>
      <c r="I196" s="21"/>
      <c r="J196" s="164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x14ac:dyDescent="0.2">
      <c r="B197" s="21"/>
      <c r="C197" s="40"/>
      <c r="D197" s="56"/>
      <c r="E197" s="40"/>
      <c r="F197" s="233"/>
      <c r="G197" s="21"/>
      <c r="H197" s="21"/>
      <c r="I197" s="21"/>
      <c r="J197" s="164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x14ac:dyDescent="0.2">
      <c r="B198" s="21" t="s">
        <v>111</v>
      </c>
      <c r="C198" s="21"/>
      <c r="D198" s="21"/>
      <c r="E198" s="21"/>
      <c r="F198" s="21"/>
      <c r="G198" s="22"/>
      <c r="H198" s="21"/>
      <c r="I198" s="21"/>
      <c r="J198" s="164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x14ac:dyDescent="0.2">
      <c r="B199" s="21"/>
      <c r="C199" s="22" t="s">
        <v>331</v>
      </c>
      <c r="D199" s="22" t="s">
        <v>331</v>
      </c>
      <c r="E199" s="22"/>
      <c r="F199" s="21"/>
      <c r="G199" s="22"/>
      <c r="H199" s="21"/>
      <c r="I199" s="21"/>
      <c r="J199" s="164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x14ac:dyDescent="0.2">
      <c r="B200" s="22"/>
      <c r="C200" s="219" t="s">
        <v>363</v>
      </c>
      <c r="D200" s="219" t="s">
        <v>364</v>
      </c>
      <c r="E200" s="219" t="s">
        <v>365</v>
      </c>
      <c r="F200" s="21"/>
      <c r="G200" s="219"/>
      <c r="H200" s="21"/>
      <c r="I200" s="164"/>
      <c r="J200" s="164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x14ac:dyDescent="0.2">
      <c r="B201" s="157" t="s">
        <v>69</v>
      </c>
      <c r="C201" s="76">
        <f>C174</f>
        <v>32605</v>
      </c>
      <c r="D201" s="76">
        <f>E194</f>
        <v>32605.578999999998</v>
      </c>
      <c r="E201" s="76">
        <f>D201-C201</f>
        <v>0.57899999999790452</v>
      </c>
      <c r="F201" s="21"/>
      <c r="G201" s="21"/>
      <c r="H201" s="21"/>
      <c r="I201" s="164"/>
      <c r="J201" s="164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x14ac:dyDescent="0.2">
      <c r="B202" s="157" t="s">
        <v>62</v>
      </c>
      <c r="C202" s="54">
        <f>C175</f>
        <v>45186</v>
      </c>
      <c r="D202" s="54">
        <f>E195</f>
        <v>45188.682999999997</v>
      </c>
      <c r="E202" s="54">
        <f>D202-C202</f>
        <v>2.6829999999972642</v>
      </c>
      <c r="F202" s="21"/>
      <c r="G202" s="21"/>
      <c r="H202" s="21"/>
      <c r="I202" s="164"/>
      <c r="J202" s="164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x14ac:dyDescent="0.2">
      <c r="B203" s="157" t="s">
        <v>36</v>
      </c>
      <c r="C203" s="76">
        <f>+C202+C201</f>
        <v>77791</v>
      </c>
      <c r="D203" s="76">
        <f>+D202+D201</f>
        <v>77794.261999999988</v>
      </c>
      <c r="E203" s="76">
        <f>+E202+E201</f>
        <v>3.2619999999951688</v>
      </c>
      <c r="F203" s="21"/>
      <c r="G203" s="21"/>
      <c r="H203" s="21"/>
      <c r="I203" s="164"/>
      <c r="J203" s="164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x14ac:dyDescent="0.2">
      <c r="B204" s="22"/>
      <c r="C204" s="21"/>
      <c r="D204" s="21"/>
      <c r="E204" s="21"/>
      <c r="F204" s="21"/>
      <c r="G204" s="21"/>
      <c r="H204" s="21"/>
      <c r="I204" s="164"/>
      <c r="J204" s="164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x14ac:dyDescent="0.2">
      <c r="A205" s="10"/>
      <c r="B205" s="39" t="s">
        <v>276</v>
      </c>
      <c r="C205" s="21"/>
      <c r="D205" s="21"/>
      <c r="E205" s="21"/>
      <c r="F205" s="21"/>
      <c r="G205" s="21"/>
      <c r="H205" s="21"/>
      <c r="I205" s="21"/>
      <c r="J205" s="164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x14ac:dyDescent="0.2">
      <c r="A206" s="10"/>
      <c r="B206" s="39"/>
      <c r="C206" s="21"/>
      <c r="D206" s="21"/>
      <c r="E206" s="21"/>
      <c r="F206" s="21"/>
      <c r="G206" s="21"/>
      <c r="H206" s="21"/>
      <c r="I206" s="21"/>
      <c r="J206" s="164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x14ac:dyDescent="0.2">
      <c r="A207" s="10"/>
      <c r="B207" s="50" t="s">
        <v>277</v>
      </c>
      <c r="C207" s="21"/>
      <c r="D207" s="21"/>
      <c r="E207" s="21"/>
      <c r="F207" s="21"/>
      <c r="G207" s="21"/>
      <c r="H207" s="21"/>
      <c r="I207" s="21"/>
      <c r="J207" s="164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x14ac:dyDescent="0.2">
      <c r="A208" s="10"/>
      <c r="B208" s="117"/>
      <c r="C208" s="51" t="str">
        <f t="shared" ref="C208:I208" si="10">C55</f>
        <v>SC1</v>
      </c>
      <c r="D208" s="51" t="str">
        <f t="shared" si="10"/>
        <v>SC5</v>
      </c>
      <c r="E208" s="51" t="str">
        <f t="shared" si="10"/>
        <v>SC3</v>
      </c>
      <c r="F208" s="51" t="str">
        <f t="shared" si="10"/>
        <v>SC2 ND</v>
      </c>
      <c r="G208" s="51" t="str">
        <f t="shared" si="10"/>
        <v>SC4</v>
      </c>
      <c r="H208" s="51" t="str">
        <f t="shared" si="10"/>
        <v>SC6</v>
      </c>
      <c r="I208" s="51" t="str">
        <f t="shared" si="10"/>
        <v>SC2 Dem</v>
      </c>
      <c r="J208" s="164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x14ac:dyDescent="0.2">
      <c r="A209" s="10"/>
      <c r="B209" s="117" t="s">
        <v>278</v>
      </c>
      <c r="C209" s="14">
        <f>'BGS Cost &amp; Bid Factors'!C538</f>
        <v>1.4850000000000001</v>
      </c>
      <c r="D209" s="14">
        <f>'BGS Cost &amp; Bid Factors'!D538</f>
        <v>1.4850000000000001</v>
      </c>
      <c r="E209" s="14">
        <f>'BGS Cost &amp; Bid Factors'!E538</f>
        <v>1.4850000000000001</v>
      </c>
      <c r="F209" s="14">
        <f>'BGS Cost &amp; Bid Factors'!F538</f>
        <v>0.53300000000000003</v>
      </c>
      <c r="G209" s="14">
        <f>'BGS Cost &amp; Bid Factors'!G538</f>
        <v>1.2</v>
      </c>
      <c r="H209" s="14">
        <f>'BGS Cost &amp; Bid Factors'!H538</f>
        <v>1.2</v>
      </c>
      <c r="I209" s="14">
        <f>'BGS Cost &amp; Bid Factors'!I538</f>
        <v>0.53300000000000003</v>
      </c>
      <c r="J209" s="164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x14ac:dyDescent="0.2">
      <c r="A210" s="10"/>
      <c r="B210" s="117" t="s">
        <v>279</v>
      </c>
      <c r="C210" s="21"/>
      <c r="D210" s="21"/>
      <c r="E210" s="21"/>
      <c r="F210" s="21"/>
      <c r="G210" s="21"/>
      <c r="H210" s="21"/>
      <c r="I210" s="116">
        <f>'BGS Cost &amp; Bid Factors'!I539</f>
        <v>1.42</v>
      </c>
      <c r="J210" s="164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x14ac:dyDescent="0.2">
      <c r="B211" s="21"/>
      <c r="C211" s="21"/>
      <c r="D211" s="21"/>
      <c r="E211" s="21"/>
      <c r="F211" s="21"/>
      <c r="G211" s="21"/>
      <c r="H211" s="21"/>
      <c r="I211" s="116">
        <f>'BGS Cost &amp; Bid Factors'!I540</f>
        <v>1.19</v>
      </c>
      <c r="J211" s="164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x14ac:dyDescent="0.2">
      <c r="B212" s="21"/>
      <c r="C212" s="21"/>
      <c r="D212" s="21"/>
      <c r="E212" s="21"/>
      <c r="F212" s="21"/>
      <c r="G212" s="21"/>
      <c r="H212" s="21"/>
      <c r="I212" s="21"/>
      <c r="J212" s="164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x14ac:dyDescent="0.2">
      <c r="B213" s="21"/>
      <c r="C213" s="21"/>
      <c r="D213" s="21"/>
      <c r="E213" s="21"/>
      <c r="F213" s="21"/>
      <c r="G213" s="21"/>
      <c r="H213" s="21"/>
      <c r="I213" s="21"/>
      <c r="J213" s="164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x14ac:dyDescent="0.2">
      <c r="B214" s="50" t="s">
        <v>280</v>
      </c>
      <c r="C214" s="21"/>
      <c r="D214" s="21"/>
      <c r="E214" s="21"/>
      <c r="F214" s="21"/>
      <c r="G214" s="21"/>
      <c r="H214" s="21"/>
      <c r="I214" s="21"/>
      <c r="J214" s="164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x14ac:dyDescent="0.2">
      <c r="B215" s="21"/>
      <c r="C215" s="21"/>
      <c r="D215" s="21"/>
      <c r="E215" s="21"/>
      <c r="F215" s="21"/>
      <c r="G215" s="21"/>
      <c r="H215" s="21"/>
      <c r="I215" s="21"/>
      <c r="J215" s="164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x14ac:dyDescent="0.2">
      <c r="B216" s="21"/>
      <c r="C216" s="21"/>
      <c r="D216" s="21"/>
      <c r="E216" s="21"/>
      <c r="F216" s="21"/>
      <c r="G216" s="21"/>
      <c r="H216" s="21"/>
      <c r="I216" s="21"/>
      <c r="J216" s="164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x14ac:dyDescent="0.2">
      <c r="B217" s="52" t="s">
        <v>69</v>
      </c>
      <c r="C217" s="21"/>
      <c r="D217" s="21"/>
      <c r="E217" s="21"/>
      <c r="F217" s="21"/>
      <c r="G217" s="21"/>
      <c r="H217" s="21"/>
      <c r="I217" s="21"/>
      <c r="J217" s="164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x14ac:dyDescent="0.2">
      <c r="B218" s="24" t="s">
        <v>268</v>
      </c>
      <c r="C218" s="28">
        <f t="shared" ref="C218:I225" si="11">IF(C121&gt;0,C121+C$209,"")</f>
        <v>9.5380000000000003</v>
      </c>
      <c r="D218" s="28">
        <f t="shared" si="11"/>
        <v>9.020999999999999</v>
      </c>
      <c r="E218" s="28" t="str">
        <f t="shared" si="11"/>
        <v/>
      </c>
      <c r="F218" s="28">
        <f t="shared" si="11"/>
        <v>7.5670000000000002</v>
      </c>
      <c r="G218" s="28">
        <f t="shared" si="11"/>
        <v>6.0230000000000006</v>
      </c>
      <c r="H218" s="28">
        <f t="shared" si="11"/>
        <v>6.0150000000000006</v>
      </c>
      <c r="I218" s="28">
        <f t="shared" si="11"/>
        <v>5.7810000000000006</v>
      </c>
      <c r="J218" s="164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x14ac:dyDescent="0.2">
      <c r="B219" s="24" t="s">
        <v>269</v>
      </c>
      <c r="C219" s="28" t="str">
        <f t="shared" si="11"/>
        <v/>
      </c>
      <c r="D219" s="28" t="str">
        <f t="shared" si="11"/>
        <v/>
      </c>
      <c r="E219" s="28">
        <f t="shared" si="11"/>
        <v>14.014999999999999</v>
      </c>
      <c r="F219" s="28" t="str">
        <f t="shared" si="11"/>
        <v/>
      </c>
      <c r="G219" s="28" t="str">
        <f t="shared" si="11"/>
        <v/>
      </c>
      <c r="H219" s="28" t="str">
        <f t="shared" si="11"/>
        <v/>
      </c>
      <c r="I219" s="28" t="str">
        <f t="shared" si="11"/>
        <v/>
      </c>
      <c r="J219" s="164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x14ac:dyDescent="0.2">
      <c r="B220" s="24" t="s">
        <v>270</v>
      </c>
      <c r="C220" s="28" t="str">
        <f t="shared" si="11"/>
        <v/>
      </c>
      <c r="D220" s="28" t="str">
        <f t="shared" si="11"/>
        <v/>
      </c>
      <c r="E220" s="28">
        <f t="shared" si="11"/>
        <v>6.2050000000000001</v>
      </c>
      <c r="F220" s="28" t="str">
        <f t="shared" si="11"/>
        <v/>
      </c>
      <c r="G220" s="28" t="str">
        <f t="shared" si="11"/>
        <v/>
      </c>
      <c r="H220" s="28" t="str">
        <f t="shared" si="11"/>
        <v/>
      </c>
      <c r="I220" s="28" t="str">
        <f t="shared" si="11"/>
        <v/>
      </c>
      <c r="J220" s="164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x14ac:dyDescent="0.2">
      <c r="B221" s="22" t="s">
        <v>41</v>
      </c>
      <c r="C221" s="28">
        <f t="shared" si="11"/>
        <v>7.7250000000000005</v>
      </c>
      <c r="D221" s="28">
        <f t="shared" si="11"/>
        <v>8.173</v>
      </c>
      <c r="E221" s="28" t="str">
        <f t="shared" si="11"/>
        <v/>
      </c>
      <c r="F221" s="28" t="str">
        <f t="shared" si="11"/>
        <v/>
      </c>
      <c r="G221" s="28" t="str">
        <f t="shared" si="11"/>
        <v/>
      </c>
      <c r="H221" s="28" t="str">
        <f t="shared" si="11"/>
        <v/>
      </c>
      <c r="I221" s="28" t="str">
        <f t="shared" si="11"/>
        <v/>
      </c>
      <c r="J221" s="164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x14ac:dyDescent="0.2">
      <c r="B222" s="24" t="s">
        <v>42</v>
      </c>
      <c r="C222" s="28">
        <f t="shared" si="11"/>
        <v>10.856</v>
      </c>
      <c r="D222" s="28">
        <f t="shared" si="11"/>
        <v>10.383999999999999</v>
      </c>
      <c r="E222" s="28" t="str">
        <f t="shared" si="11"/>
        <v/>
      </c>
      <c r="F222" s="28" t="str">
        <f t="shared" si="11"/>
        <v/>
      </c>
      <c r="G222" s="28" t="str">
        <f t="shared" si="11"/>
        <v/>
      </c>
      <c r="H222" s="28" t="str">
        <f t="shared" si="11"/>
        <v/>
      </c>
      <c r="I222" s="28" t="str">
        <f t="shared" si="11"/>
        <v/>
      </c>
      <c r="J222" s="164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x14ac:dyDescent="0.2">
      <c r="B223" s="28"/>
      <c r="C223" s="28"/>
      <c r="D223" s="28"/>
      <c r="E223" s="28" t="str">
        <f t="shared" si="11"/>
        <v/>
      </c>
      <c r="F223" s="28" t="str">
        <f t="shared" si="11"/>
        <v/>
      </c>
      <c r="G223" s="28" t="str">
        <f t="shared" si="11"/>
        <v/>
      </c>
      <c r="H223" s="28" t="str">
        <f t="shared" si="11"/>
        <v/>
      </c>
      <c r="I223" s="28" t="str">
        <f t="shared" si="11"/>
        <v/>
      </c>
      <c r="J223" s="164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x14ac:dyDescent="0.2">
      <c r="B224" s="21"/>
      <c r="C224" s="28" t="str">
        <f t="shared" si="11"/>
        <v/>
      </c>
      <c r="D224" s="28" t="str">
        <f t="shared" si="11"/>
        <v/>
      </c>
      <c r="E224" s="28" t="str">
        <f t="shared" si="11"/>
        <v/>
      </c>
      <c r="F224" s="28" t="str">
        <f t="shared" si="11"/>
        <v/>
      </c>
      <c r="G224" s="28" t="str">
        <f t="shared" si="11"/>
        <v/>
      </c>
      <c r="H224" s="28" t="str">
        <f t="shared" si="11"/>
        <v/>
      </c>
      <c r="I224" s="28" t="str">
        <f t="shared" si="11"/>
        <v/>
      </c>
      <c r="J224" s="164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2" x14ac:dyDescent="0.2">
      <c r="B225" s="22" t="s">
        <v>271</v>
      </c>
      <c r="C225" s="28" t="str">
        <f t="shared" si="11"/>
        <v/>
      </c>
      <c r="D225" s="28" t="str">
        <f t="shared" si="11"/>
        <v/>
      </c>
      <c r="E225" s="28" t="str">
        <f t="shared" si="11"/>
        <v/>
      </c>
      <c r="F225" s="28" t="str">
        <f t="shared" si="11"/>
        <v/>
      </c>
      <c r="G225" s="28" t="str">
        <f t="shared" si="11"/>
        <v/>
      </c>
      <c r="H225" s="28" t="str">
        <f t="shared" si="11"/>
        <v/>
      </c>
      <c r="I225" s="28">
        <f>IF(I128&gt;0,I128+I$210,"")</f>
        <v>3.3419999999999996</v>
      </c>
      <c r="J225" s="164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2" x14ac:dyDescent="0.2">
      <c r="B226" s="22" t="s">
        <v>272</v>
      </c>
      <c r="C226" s="21"/>
      <c r="D226" s="21"/>
      <c r="E226" s="21"/>
      <c r="F226" s="21"/>
      <c r="G226" s="21"/>
      <c r="H226" s="21"/>
      <c r="I226" s="28">
        <f>IF(I129&gt;0,I129+I$210,"")</f>
        <v>8.0889999999999986</v>
      </c>
      <c r="J226" s="164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2" x14ac:dyDescent="0.2">
      <c r="B227" s="22"/>
      <c r="C227" s="21"/>
      <c r="D227" s="21"/>
      <c r="E227" s="21"/>
      <c r="F227" s="21"/>
      <c r="G227" s="21"/>
      <c r="H227" s="21"/>
      <c r="I227" s="21"/>
      <c r="J227" s="164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2" x14ac:dyDescent="0.2">
      <c r="B228" s="52" t="s">
        <v>62</v>
      </c>
      <c r="C228" s="21"/>
      <c r="D228" s="21"/>
      <c r="E228" s="21"/>
      <c r="F228" s="21"/>
      <c r="G228" s="21"/>
      <c r="H228" s="21"/>
      <c r="I228" s="21"/>
      <c r="J228" s="164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2" x14ac:dyDescent="0.2">
      <c r="B229" s="24" t="s">
        <v>268</v>
      </c>
      <c r="C229" s="28">
        <f t="shared" ref="C229:I233" si="12">IF(C132&gt;0,C132+C$209,"")</f>
        <v>9.5039999999999996</v>
      </c>
      <c r="D229" s="28">
        <f t="shared" si="12"/>
        <v>8.0689999999999991</v>
      </c>
      <c r="E229" s="28" t="str">
        <f t="shared" si="12"/>
        <v/>
      </c>
      <c r="F229" s="28">
        <f t="shared" si="12"/>
        <v>6.5720000000000001</v>
      </c>
      <c r="G229" s="28">
        <f t="shared" si="12"/>
        <v>5.9510000000000005</v>
      </c>
      <c r="H229" s="28">
        <f t="shared" si="12"/>
        <v>5.9169999999999998</v>
      </c>
      <c r="I229" s="28">
        <f t="shared" si="12"/>
        <v>5.4060000000000006</v>
      </c>
      <c r="J229" s="164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2" x14ac:dyDescent="0.2">
      <c r="B230" s="24" t="s">
        <v>269</v>
      </c>
      <c r="C230" s="28" t="str">
        <f t="shared" si="12"/>
        <v/>
      </c>
      <c r="D230" s="28" t="str">
        <f t="shared" si="12"/>
        <v/>
      </c>
      <c r="E230" s="28">
        <f t="shared" si="12"/>
        <v>11.411</v>
      </c>
      <c r="F230" s="28" t="str">
        <f t="shared" si="12"/>
        <v/>
      </c>
      <c r="G230" s="28" t="str">
        <f t="shared" si="12"/>
        <v/>
      </c>
      <c r="H230" s="28" t="str">
        <f t="shared" si="12"/>
        <v/>
      </c>
      <c r="I230" s="28" t="str">
        <f t="shared" si="12"/>
        <v/>
      </c>
      <c r="J230" s="164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2" x14ac:dyDescent="0.2">
      <c r="B231" s="24" t="s">
        <v>270</v>
      </c>
      <c r="C231" s="28" t="str">
        <f t="shared" si="12"/>
        <v/>
      </c>
      <c r="D231" s="28" t="str">
        <f t="shared" si="12"/>
        <v/>
      </c>
      <c r="E231" s="28">
        <f t="shared" si="12"/>
        <v>6.1630000000000003</v>
      </c>
      <c r="F231" s="28" t="str">
        <f t="shared" si="12"/>
        <v/>
      </c>
      <c r="G231" s="28" t="str">
        <f t="shared" si="12"/>
        <v/>
      </c>
      <c r="H231" s="28" t="str">
        <f t="shared" si="12"/>
        <v/>
      </c>
      <c r="I231" s="28" t="str">
        <f t="shared" si="12"/>
        <v/>
      </c>
      <c r="J231" s="164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2" x14ac:dyDescent="0.2">
      <c r="B232" s="21"/>
      <c r="C232" s="28" t="str">
        <f t="shared" si="12"/>
        <v/>
      </c>
      <c r="D232" s="28" t="str">
        <f t="shared" si="12"/>
        <v/>
      </c>
      <c r="E232" s="28" t="str">
        <f t="shared" si="12"/>
        <v/>
      </c>
      <c r="F232" s="28" t="str">
        <f t="shared" si="12"/>
        <v/>
      </c>
      <c r="G232" s="28" t="str">
        <f t="shared" si="12"/>
        <v/>
      </c>
      <c r="H232" s="28" t="str">
        <f t="shared" si="12"/>
        <v/>
      </c>
      <c r="I232" s="28" t="str">
        <f t="shared" si="12"/>
        <v/>
      </c>
      <c r="J232" s="164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2" x14ac:dyDescent="0.2">
      <c r="B233" s="22" t="s">
        <v>271</v>
      </c>
      <c r="C233" s="28" t="str">
        <f t="shared" si="12"/>
        <v/>
      </c>
      <c r="D233" s="28" t="str">
        <f t="shared" si="12"/>
        <v/>
      </c>
      <c r="E233" s="28" t="str">
        <f t="shared" si="12"/>
        <v/>
      </c>
      <c r="F233" s="28" t="str">
        <f t="shared" si="12"/>
        <v/>
      </c>
      <c r="G233" s="28" t="str">
        <f t="shared" si="12"/>
        <v/>
      </c>
      <c r="H233" s="28" t="str">
        <f t="shared" si="12"/>
        <v/>
      </c>
      <c r="I233" s="28">
        <f>IF(I136&gt;0,I136+I$211,"")</f>
        <v>2.6440000000000001</v>
      </c>
      <c r="J233" s="164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2" x14ac:dyDescent="0.2">
      <c r="B234" s="22" t="s">
        <v>272</v>
      </c>
      <c r="C234" s="21"/>
      <c r="D234" s="21"/>
      <c r="E234" s="21"/>
      <c r="F234" s="21"/>
      <c r="G234" s="21"/>
      <c r="H234" s="21"/>
      <c r="I234" s="28">
        <f>IF(I137&gt;0,I137+I$211,"")</f>
        <v>6.3379999999999992</v>
      </c>
      <c r="J234" s="164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2" x14ac:dyDescent="0.2">
      <c r="B235" s="22"/>
      <c r="C235" s="21"/>
      <c r="D235" s="21"/>
      <c r="E235" s="21"/>
      <c r="F235" s="21"/>
      <c r="G235" s="21"/>
      <c r="H235" s="21"/>
      <c r="I235" s="164"/>
      <c r="J235" s="164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2" ht="13.5" thickBot="1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2" ht="13.5" thickBot="1" x14ac:dyDescent="0.25">
      <c r="A237" s="93" t="s">
        <v>376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94"/>
    </row>
    <row r="238" spans="1:22" ht="13.5" thickBot="1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2" x14ac:dyDescent="0.2">
      <c r="B239" s="253" t="s">
        <v>377</v>
      </c>
      <c r="C239" s="254"/>
      <c r="D239" s="254"/>
      <c r="E239" s="279"/>
      <c r="F239" s="19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2" x14ac:dyDescent="0.2">
      <c r="B240" s="255"/>
      <c r="C240" s="148"/>
      <c r="D240" s="148"/>
      <c r="E240" s="280"/>
      <c r="F240" s="193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2:21" x14ac:dyDescent="0.2">
      <c r="B241" s="256" t="s">
        <v>378</v>
      </c>
      <c r="C241" s="148"/>
      <c r="D241" s="148"/>
      <c r="E241" s="280"/>
      <c r="F241" s="193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2:21" x14ac:dyDescent="0.2">
      <c r="B242" s="255"/>
      <c r="C242" s="148"/>
      <c r="D242" s="149" t="s">
        <v>379</v>
      </c>
      <c r="E242" s="257" t="s">
        <v>380</v>
      </c>
      <c r="F242" s="258" t="s">
        <v>36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2:21" x14ac:dyDescent="0.2">
      <c r="B243" s="255"/>
      <c r="C243" s="148"/>
      <c r="D243" s="148"/>
      <c r="E243" s="280"/>
      <c r="F243" s="193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2:21" x14ac:dyDescent="0.2">
      <c r="B244" s="255"/>
      <c r="C244" s="148" t="s">
        <v>69</v>
      </c>
      <c r="D244" s="259">
        <v>369191</v>
      </c>
      <c r="E244" s="259">
        <v>45225</v>
      </c>
      <c r="F244" s="260">
        <f>SUM(D244:E244)</f>
        <v>414416</v>
      </c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2:21" x14ac:dyDescent="0.2">
      <c r="B245" s="255"/>
      <c r="C245" s="148" t="s">
        <v>62</v>
      </c>
      <c r="D245" s="259">
        <v>539363</v>
      </c>
      <c r="E245" s="259">
        <v>66071</v>
      </c>
      <c r="F245" s="260">
        <f>SUM(D245:E245)</f>
        <v>605434</v>
      </c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2:21" x14ac:dyDescent="0.2">
      <c r="B246" s="255"/>
      <c r="C246" s="261" t="s">
        <v>36</v>
      </c>
      <c r="D246" s="262">
        <f>SUM(D244:D245)</f>
        <v>908554</v>
      </c>
      <c r="E246" s="262">
        <f t="shared" ref="E246:F246" si="13">SUM(E244:E245)</f>
        <v>111296</v>
      </c>
      <c r="F246" s="262">
        <f t="shared" si="13"/>
        <v>1019850</v>
      </c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2:21" x14ac:dyDescent="0.2">
      <c r="B247" s="255"/>
      <c r="C247" s="148"/>
      <c r="D247" s="148"/>
      <c r="E247" s="280"/>
      <c r="F247" s="193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2:21" x14ac:dyDescent="0.2">
      <c r="B248" s="256" t="s">
        <v>381</v>
      </c>
      <c r="C248" s="148"/>
      <c r="D248" s="148"/>
      <c r="E248" s="280"/>
      <c r="F248" s="193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2:21" x14ac:dyDescent="0.2">
      <c r="B249" s="255"/>
      <c r="C249" s="148"/>
      <c r="D249" s="149" t="s">
        <v>379</v>
      </c>
      <c r="E249" s="257" t="s">
        <v>380</v>
      </c>
      <c r="F249" s="258" t="s">
        <v>36</v>
      </c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2:21" x14ac:dyDescent="0.2">
      <c r="B250" s="255"/>
      <c r="C250" s="148"/>
      <c r="D250" s="148"/>
      <c r="E250" s="280"/>
      <c r="F250" s="193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2:21" x14ac:dyDescent="0.2">
      <c r="B251" s="255"/>
      <c r="C251" s="148" t="s">
        <v>69</v>
      </c>
      <c r="D251" s="259">
        <v>396708.1931653776</v>
      </c>
      <c r="E251" s="259">
        <v>49064.831879738464</v>
      </c>
      <c r="F251" s="260">
        <f>SUM(D251:E251)</f>
        <v>445773.02504511608</v>
      </c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2:21" x14ac:dyDescent="0.2">
      <c r="B252" s="255"/>
      <c r="C252" s="148" t="s">
        <v>62</v>
      </c>
      <c r="D252" s="259">
        <v>579554.06655779528</v>
      </c>
      <c r="E252" s="259">
        <v>70994.33389978265</v>
      </c>
      <c r="F252" s="260">
        <f>SUM(D252:E252)</f>
        <v>650548.4004575779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2:21" x14ac:dyDescent="0.2">
      <c r="B253" s="263"/>
      <c r="C253" s="261" t="s">
        <v>36</v>
      </c>
      <c r="D253" s="262">
        <f>SUM(D251:D252)</f>
        <v>976262.25972317287</v>
      </c>
      <c r="E253" s="262">
        <f t="shared" ref="E253:F253" si="14">SUM(E251:E252)</f>
        <v>120059.16577952111</v>
      </c>
      <c r="F253" s="262">
        <f t="shared" si="14"/>
        <v>1096321.425502694</v>
      </c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2:21" ht="13.5" thickBot="1" x14ac:dyDescent="0.25">
      <c r="B254" s="195"/>
      <c r="C254" s="281"/>
      <c r="D254" s="281"/>
      <c r="E254" s="282"/>
      <c r="F254" s="22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2:21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2:21" ht="13.5" thickBot="1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2:21" ht="16.5" thickBot="1" x14ac:dyDescent="0.3">
      <c r="B257" s="264"/>
      <c r="C257" s="265"/>
      <c r="D257" s="266" t="s">
        <v>382</v>
      </c>
      <c r="E257" s="316" t="s">
        <v>383</v>
      </c>
      <c r="F257" s="316"/>
      <c r="G257" s="317"/>
      <c r="H257" s="316" t="s">
        <v>384</v>
      </c>
      <c r="I257" s="316"/>
      <c r="J257" s="316"/>
      <c r="K257" s="315" t="s">
        <v>385</v>
      </c>
      <c r="L257" s="316"/>
      <c r="M257" s="317"/>
      <c r="N257" s="316" t="s">
        <v>117</v>
      </c>
      <c r="O257" s="316"/>
      <c r="P257" s="315" t="s">
        <v>386</v>
      </c>
      <c r="Q257" s="316"/>
      <c r="R257" s="317"/>
      <c r="S257" s="315" t="s">
        <v>387</v>
      </c>
      <c r="T257" s="316"/>
      <c r="U257" s="317"/>
    </row>
    <row r="258" spans="2:21" ht="25.5" customHeight="1" thickBot="1" x14ac:dyDescent="0.25">
      <c r="B258" s="283"/>
      <c r="C258" s="267"/>
      <c r="D258" s="284" t="s">
        <v>388</v>
      </c>
      <c r="E258" s="285" t="s">
        <v>389</v>
      </c>
      <c r="F258" s="285" t="s">
        <v>390</v>
      </c>
      <c r="G258" s="286" t="s">
        <v>391</v>
      </c>
      <c r="H258" s="285" t="s">
        <v>388</v>
      </c>
      <c r="I258" s="285" t="s">
        <v>390</v>
      </c>
      <c r="J258" s="285" t="s">
        <v>391</v>
      </c>
      <c r="K258" s="287" t="s">
        <v>388</v>
      </c>
      <c r="L258" s="285" t="s">
        <v>392</v>
      </c>
      <c r="M258" s="286" t="s">
        <v>391</v>
      </c>
      <c r="N258" s="285" t="s">
        <v>393</v>
      </c>
      <c r="O258" s="285" t="s">
        <v>391</v>
      </c>
      <c r="P258" s="287" t="s">
        <v>394</v>
      </c>
      <c r="Q258" s="285" t="s">
        <v>395</v>
      </c>
      <c r="R258" s="286" t="s">
        <v>391</v>
      </c>
      <c r="S258" s="287" t="s">
        <v>394</v>
      </c>
      <c r="T258" s="285" t="s">
        <v>395</v>
      </c>
      <c r="U258" s="286" t="s">
        <v>391</v>
      </c>
    </row>
    <row r="259" spans="2:21" x14ac:dyDescent="0.2">
      <c r="B259" s="268"/>
      <c r="C259" s="269"/>
      <c r="D259" s="288"/>
      <c r="E259" s="289"/>
      <c r="F259" s="289"/>
      <c r="G259" s="289"/>
      <c r="H259" s="288"/>
      <c r="I259" s="288"/>
      <c r="J259" s="157"/>
      <c r="K259" s="290"/>
      <c r="L259" s="291"/>
      <c r="M259" s="292"/>
      <c r="N259" s="288"/>
      <c r="O259" s="157"/>
      <c r="P259" s="290"/>
      <c r="Q259" s="291"/>
      <c r="R259" s="193"/>
      <c r="S259" s="290"/>
      <c r="T259" s="291"/>
      <c r="U259" s="193"/>
    </row>
    <row r="260" spans="2:21" x14ac:dyDescent="0.2">
      <c r="B260" s="270">
        <v>43252</v>
      </c>
      <c r="C260" s="269"/>
      <c r="D260" s="293">
        <v>8036</v>
      </c>
      <c r="E260" s="294"/>
      <c r="F260" s="294"/>
      <c r="G260" s="294"/>
      <c r="H260" s="293">
        <v>7200</v>
      </c>
      <c r="I260" s="288">
        <v>34.81</v>
      </c>
      <c r="J260" s="295">
        <f t="shared" ref="J260:J271" si="15">H260*I260</f>
        <v>250632.00000000003</v>
      </c>
      <c r="K260" s="296">
        <f>D260-E260-H260</f>
        <v>836</v>
      </c>
      <c r="L260" s="289">
        <v>26.9</v>
      </c>
      <c r="M260" s="297">
        <f t="shared" ref="M260:M271" si="16">K260*L260</f>
        <v>22488.399999999998</v>
      </c>
      <c r="N260" s="293">
        <v>2.0788949451057026</v>
      </c>
      <c r="O260" s="295">
        <f t="shared" ref="O260:O271" si="17">N260*(K260+H260)</f>
        <v>16705.999778869427</v>
      </c>
      <c r="P260" s="298">
        <v>0</v>
      </c>
      <c r="Q260" s="289">
        <v>0</v>
      </c>
      <c r="R260" s="297">
        <v>0</v>
      </c>
      <c r="S260" s="298">
        <v>44.858656175989147</v>
      </c>
      <c r="T260" s="289">
        <v>9.4241627291345011</v>
      </c>
      <c r="U260" s="297">
        <f>S260*T260*1000</f>
        <v>422755.27561281616</v>
      </c>
    </row>
    <row r="261" spans="2:21" x14ac:dyDescent="0.2">
      <c r="B261" s="270">
        <f>B260+31-DAY(B260+31)+1</f>
        <v>43282</v>
      </c>
      <c r="C261" s="269"/>
      <c r="D261" s="293">
        <v>11048</v>
      </c>
      <c r="E261" s="294"/>
      <c r="F261" s="294"/>
      <c r="G261" s="294"/>
      <c r="H261" s="293">
        <v>7440</v>
      </c>
      <c r="I261" s="288">
        <v>34.81</v>
      </c>
      <c r="J261" s="295">
        <f t="shared" si="15"/>
        <v>258986.40000000002</v>
      </c>
      <c r="K261" s="296">
        <f t="shared" ref="K261:K271" si="18">D261-E261-H261</f>
        <v>3608</v>
      </c>
      <c r="L261" s="289">
        <v>31.983870967741936</v>
      </c>
      <c r="M261" s="297">
        <f t="shared" si="16"/>
        <v>115397.80645161291</v>
      </c>
      <c r="N261" s="293">
        <v>1.7957109137156937</v>
      </c>
      <c r="O261" s="295">
        <f t="shared" si="17"/>
        <v>19839.014174730983</v>
      </c>
      <c r="P261" s="298">
        <v>0</v>
      </c>
      <c r="Q261" s="289">
        <v>0</v>
      </c>
      <c r="R261" s="297">
        <v>0</v>
      </c>
      <c r="S261" s="298">
        <v>44.858656175989147</v>
      </c>
      <c r="T261" s="289">
        <v>9.4107185094605619</v>
      </c>
      <c r="U261" s="297">
        <f t="shared" ref="U261:U271" si="19">S261*T261*1000</f>
        <v>422152.18598490837</v>
      </c>
    </row>
    <row r="262" spans="2:21" x14ac:dyDescent="0.2">
      <c r="B262" s="270">
        <f t="shared" ref="B262:B271" si="20">B261+31-DAY(B261+31)+1</f>
        <v>43313</v>
      </c>
      <c r="C262" s="269"/>
      <c r="D262" s="293">
        <v>10679</v>
      </c>
      <c r="E262" s="294"/>
      <c r="F262" s="294"/>
      <c r="G262" s="294"/>
      <c r="H262" s="293">
        <v>7440</v>
      </c>
      <c r="I262" s="288">
        <v>34.81</v>
      </c>
      <c r="J262" s="295">
        <f t="shared" si="15"/>
        <v>258986.40000000002</v>
      </c>
      <c r="K262" s="296">
        <f t="shared" si="18"/>
        <v>3239</v>
      </c>
      <c r="L262" s="289">
        <v>31.059139784946236</v>
      </c>
      <c r="M262" s="297">
        <f t="shared" si="16"/>
        <v>100600.55376344085</v>
      </c>
      <c r="N262" s="293">
        <v>1.647365175857944</v>
      </c>
      <c r="O262" s="295">
        <f t="shared" si="17"/>
        <v>17592.212712986984</v>
      </c>
      <c r="P262" s="298">
        <v>0</v>
      </c>
      <c r="Q262" s="289">
        <v>0</v>
      </c>
      <c r="R262" s="297">
        <v>0</v>
      </c>
      <c r="S262" s="298">
        <v>44.858656175989147</v>
      </c>
      <c r="T262" s="289">
        <v>9.4107185094605619</v>
      </c>
      <c r="U262" s="297">
        <f t="shared" si="19"/>
        <v>422152.18598490837</v>
      </c>
    </row>
    <row r="263" spans="2:21" x14ac:dyDescent="0.2">
      <c r="B263" s="270">
        <f t="shared" si="20"/>
        <v>43344</v>
      </c>
      <c r="C263" s="269"/>
      <c r="D263" s="293">
        <v>8164</v>
      </c>
      <c r="E263" s="294"/>
      <c r="F263" s="294"/>
      <c r="G263" s="294"/>
      <c r="H263" s="293">
        <v>7200</v>
      </c>
      <c r="I263" s="288">
        <v>34.81</v>
      </c>
      <c r="J263" s="295">
        <f t="shared" si="15"/>
        <v>250632.00000000003</v>
      </c>
      <c r="K263" s="296">
        <f t="shared" si="18"/>
        <v>964</v>
      </c>
      <c r="L263" s="289">
        <v>25.538888888888888</v>
      </c>
      <c r="M263" s="297">
        <f t="shared" si="16"/>
        <v>24619.488888888889</v>
      </c>
      <c r="N263" s="293">
        <v>1.5826422928263864</v>
      </c>
      <c r="O263" s="295">
        <f t="shared" si="17"/>
        <v>12920.691678634617</v>
      </c>
      <c r="P263" s="298">
        <v>0</v>
      </c>
      <c r="Q263" s="289">
        <v>0</v>
      </c>
      <c r="R263" s="297">
        <v>0</v>
      </c>
      <c r="S263" s="298">
        <v>44.858656175989147</v>
      </c>
      <c r="T263" s="289">
        <v>9.4107185094605619</v>
      </c>
      <c r="U263" s="297">
        <f t="shared" si="19"/>
        <v>422152.18598490837</v>
      </c>
    </row>
    <row r="264" spans="2:21" x14ac:dyDescent="0.2">
      <c r="B264" s="270">
        <f t="shared" si="20"/>
        <v>43374</v>
      </c>
      <c r="C264" s="269"/>
      <c r="D264" s="293">
        <v>7235</v>
      </c>
      <c r="E264" s="294"/>
      <c r="F264" s="294"/>
      <c r="G264" s="294"/>
      <c r="H264" s="293">
        <v>7440</v>
      </c>
      <c r="I264" s="288">
        <v>34.81</v>
      </c>
      <c r="J264" s="295">
        <f t="shared" si="15"/>
        <v>258986.40000000002</v>
      </c>
      <c r="K264" s="296">
        <f t="shared" si="18"/>
        <v>-205</v>
      </c>
      <c r="L264" s="289">
        <v>25.81451612903226</v>
      </c>
      <c r="M264" s="297">
        <f t="shared" si="16"/>
        <v>-5291.9758064516136</v>
      </c>
      <c r="N264" s="293">
        <v>1.8033508476422835</v>
      </c>
      <c r="O264" s="295">
        <f t="shared" si="17"/>
        <v>13047.24338269192</v>
      </c>
      <c r="P264" s="298">
        <v>0</v>
      </c>
      <c r="Q264" s="289">
        <v>0</v>
      </c>
      <c r="R264" s="297">
        <v>0</v>
      </c>
      <c r="S264" s="298">
        <v>44.858656175989147</v>
      </c>
      <c r="T264" s="289">
        <v>9.4107185094605619</v>
      </c>
      <c r="U264" s="297">
        <f t="shared" si="19"/>
        <v>422152.18598490837</v>
      </c>
    </row>
    <row r="265" spans="2:21" x14ac:dyDescent="0.2">
      <c r="B265" s="270">
        <f t="shared" si="20"/>
        <v>43405</v>
      </c>
      <c r="C265" s="269"/>
      <c r="D265" s="293">
        <v>7174</v>
      </c>
      <c r="E265" s="294"/>
      <c r="F265" s="294"/>
      <c r="G265" s="294"/>
      <c r="H265" s="293">
        <v>7210</v>
      </c>
      <c r="I265" s="288">
        <v>34.81</v>
      </c>
      <c r="J265" s="295">
        <f t="shared" si="15"/>
        <v>250980.1</v>
      </c>
      <c r="K265" s="296">
        <f t="shared" si="18"/>
        <v>-36</v>
      </c>
      <c r="L265" s="289">
        <v>28.376213592233011</v>
      </c>
      <c r="M265" s="297">
        <f t="shared" si="16"/>
        <v>-1021.5436893203884</v>
      </c>
      <c r="N265" s="293">
        <v>1.8378024581976702</v>
      </c>
      <c r="O265" s="295">
        <f t="shared" si="17"/>
        <v>13184.394835110086</v>
      </c>
      <c r="P265" s="298">
        <v>0</v>
      </c>
      <c r="Q265" s="289">
        <v>0</v>
      </c>
      <c r="R265" s="297">
        <v>0</v>
      </c>
      <c r="S265" s="298">
        <v>44.858656175989147</v>
      </c>
      <c r="T265" s="289">
        <v>3.4210639570184584</v>
      </c>
      <c r="U265" s="297">
        <f t="shared" si="19"/>
        <v>153464.33180395994</v>
      </c>
    </row>
    <row r="266" spans="2:21" x14ac:dyDescent="0.2">
      <c r="B266" s="270">
        <f t="shared" si="20"/>
        <v>43435</v>
      </c>
      <c r="C266" s="269"/>
      <c r="D266" s="293">
        <v>9035</v>
      </c>
      <c r="E266" s="294"/>
      <c r="F266" s="294"/>
      <c r="G266" s="294"/>
      <c r="H266" s="293">
        <v>7440</v>
      </c>
      <c r="I266" s="288">
        <v>34.81</v>
      </c>
      <c r="J266" s="295">
        <f t="shared" si="15"/>
        <v>258986.40000000002</v>
      </c>
      <c r="K266" s="296">
        <f t="shared" si="18"/>
        <v>1595</v>
      </c>
      <c r="L266" s="289">
        <v>39.766129032258064</v>
      </c>
      <c r="M266" s="297">
        <f t="shared" si="16"/>
        <v>63426.975806451614</v>
      </c>
      <c r="N266" s="293">
        <v>1.985315604760979</v>
      </c>
      <c r="O266" s="295">
        <f t="shared" si="17"/>
        <v>17937.326489015446</v>
      </c>
      <c r="P266" s="298">
        <v>0</v>
      </c>
      <c r="Q266" s="289">
        <v>0</v>
      </c>
      <c r="R266" s="297">
        <v>0</v>
      </c>
      <c r="S266" s="298">
        <v>44.858656175989147</v>
      </c>
      <c r="T266" s="289">
        <v>3.4311930028410544</v>
      </c>
      <c r="U266" s="297">
        <f t="shared" si="19"/>
        <v>153918.70718790661</v>
      </c>
    </row>
    <row r="267" spans="2:21" x14ac:dyDescent="0.2">
      <c r="B267" s="270">
        <f t="shared" si="20"/>
        <v>43466</v>
      </c>
      <c r="C267" s="269"/>
      <c r="D267" s="293">
        <v>9349</v>
      </c>
      <c r="E267" s="294"/>
      <c r="F267" s="294"/>
      <c r="G267" s="294"/>
      <c r="H267" s="293">
        <v>7440</v>
      </c>
      <c r="I267" s="288">
        <v>34.81</v>
      </c>
      <c r="J267" s="295">
        <f t="shared" si="15"/>
        <v>258986.40000000002</v>
      </c>
      <c r="K267" s="296">
        <f t="shared" si="18"/>
        <v>1909</v>
      </c>
      <c r="L267" s="289">
        <v>58.161290322580648</v>
      </c>
      <c r="M267" s="297">
        <f t="shared" si="16"/>
        <v>111029.90322580645</v>
      </c>
      <c r="N267" s="293">
        <v>1.3492490560702841</v>
      </c>
      <c r="O267" s="295">
        <f t="shared" si="17"/>
        <v>12614.129425201087</v>
      </c>
      <c r="P267" s="298">
        <v>0</v>
      </c>
      <c r="Q267" s="289">
        <v>0</v>
      </c>
      <c r="R267" s="297">
        <v>0</v>
      </c>
      <c r="S267" s="298">
        <v>44.858656175989147</v>
      </c>
      <c r="T267" s="289">
        <v>3.4418267404022043</v>
      </c>
      <c r="U267" s="297">
        <f t="shared" si="19"/>
        <v>154395.72236502793</v>
      </c>
    </row>
    <row r="268" spans="2:21" x14ac:dyDescent="0.2">
      <c r="B268" s="270">
        <f t="shared" si="20"/>
        <v>43497</v>
      </c>
      <c r="C268" s="269"/>
      <c r="D268" s="293">
        <v>7799</v>
      </c>
      <c r="E268" s="294"/>
      <c r="F268" s="294"/>
      <c r="G268" s="294"/>
      <c r="H268" s="293">
        <v>6720</v>
      </c>
      <c r="I268" s="288">
        <v>34.81</v>
      </c>
      <c r="J268" s="295">
        <f t="shared" si="15"/>
        <v>233923.20000000001</v>
      </c>
      <c r="K268" s="296">
        <f t="shared" si="18"/>
        <v>1079</v>
      </c>
      <c r="L268" s="289">
        <v>56.214285714285715</v>
      </c>
      <c r="M268" s="297">
        <f t="shared" si="16"/>
        <v>60655.21428571429</v>
      </c>
      <c r="N268" s="293">
        <v>1.1578131169243833</v>
      </c>
      <c r="O268" s="295">
        <f t="shared" si="17"/>
        <v>9029.7844988932648</v>
      </c>
      <c r="P268" s="298">
        <v>0</v>
      </c>
      <c r="Q268" s="289">
        <v>0</v>
      </c>
      <c r="R268" s="297">
        <v>0</v>
      </c>
      <c r="S268" s="298">
        <v>44.858656175989147</v>
      </c>
      <c r="T268" s="289">
        <v>3.3623319230714475</v>
      </c>
      <c r="U268" s="297">
        <f t="shared" si="19"/>
        <v>150829.69168661445</v>
      </c>
    </row>
    <row r="269" spans="2:21" x14ac:dyDescent="0.2">
      <c r="B269" s="270">
        <f t="shared" si="20"/>
        <v>43525</v>
      </c>
      <c r="C269" s="269"/>
      <c r="D269" s="293">
        <v>8201</v>
      </c>
      <c r="E269" s="294"/>
      <c r="F269" s="294"/>
      <c r="G269" s="294"/>
      <c r="H269" s="293">
        <v>7430</v>
      </c>
      <c r="I269" s="288">
        <v>34.81</v>
      </c>
      <c r="J269" s="295">
        <f t="shared" si="15"/>
        <v>258638.30000000002</v>
      </c>
      <c r="K269" s="296">
        <f t="shared" si="18"/>
        <v>771</v>
      </c>
      <c r="L269" s="289">
        <v>38.956931359353973</v>
      </c>
      <c r="M269" s="297">
        <f t="shared" si="16"/>
        <v>30035.794078061914</v>
      </c>
      <c r="N269" s="293">
        <v>1.5201177357429845</v>
      </c>
      <c r="O269" s="295">
        <f t="shared" si="17"/>
        <v>12466.485550828216</v>
      </c>
      <c r="P269" s="298">
        <v>0</v>
      </c>
      <c r="Q269" s="289">
        <v>0</v>
      </c>
      <c r="R269" s="297">
        <v>0</v>
      </c>
      <c r="S269" s="298">
        <v>44.858656175989147</v>
      </c>
      <c r="T269" s="289">
        <v>3.372637024151679</v>
      </c>
      <c r="U269" s="297">
        <f t="shared" si="19"/>
        <v>151291.96467283138</v>
      </c>
    </row>
    <row r="270" spans="2:21" x14ac:dyDescent="0.2">
      <c r="B270" s="270">
        <f t="shared" si="20"/>
        <v>43556</v>
      </c>
      <c r="C270" s="269"/>
      <c r="D270" s="293">
        <v>6559</v>
      </c>
      <c r="E270" s="294"/>
      <c r="F270" s="294"/>
      <c r="G270" s="294"/>
      <c r="H270" s="293">
        <v>7200</v>
      </c>
      <c r="I270" s="288">
        <v>34.81</v>
      </c>
      <c r="J270" s="295">
        <f t="shared" si="15"/>
        <v>250632.00000000003</v>
      </c>
      <c r="K270" s="296">
        <f t="shared" si="18"/>
        <v>-641</v>
      </c>
      <c r="L270" s="289">
        <v>27.294444444444444</v>
      </c>
      <c r="M270" s="297">
        <f t="shared" si="16"/>
        <v>-17495.738888888889</v>
      </c>
      <c r="N270" s="293">
        <v>1.5858361680771822</v>
      </c>
      <c r="O270" s="295">
        <f t="shared" si="17"/>
        <v>10401.499426418239</v>
      </c>
      <c r="P270" s="298">
        <v>0</v>
      </c>
      <c r="Q270" s="289">
        <v>0</v>
      </c>
      <c r="R270" s="297">
        <v>0</v>
      </c>
      <c r="S270" s="298">
        <v>44.858656175989147</v>
      </c>
      <c r="T270" s="289">
        <v>3.3772144608501868</v>
      </c>
      <c r="U270" s="297">
        <f t="shared" si="19"/>
        <v>151497.30233185709</v>
      </c>
    </row>
    <row r="271" spans="2:21" x14ac:dyDescent="0.2">
      <c r="B271" s="270">
        <f t="shared" si="20"/>
        <v>43586</v>
      </c>
      <c r="C271" s="269"/>
      <c r="D271" s="293">
        <v>6955</v>
      </c>
      <c r="E271" s="294"/>
      <c r="F271" s="294"/>
      <c r="G271" s="294"/>
      <c r="H271" s="293">
        <v>7440</v>
      </c>
      <c r="I271" s="288">
        <v>34.81</v>
      </c>
      <c r="J271" s="295">
        <f t="shared" si="15"/>
        <v>258986.40000000002</v>
      </c>
      <c r="K271" s="296">
        <f t="shared" si="18"/>
        <v>-485</v>
      </c>
      <c r="L271" s="289">
        <v>24.416666666666668</v>
      </c>
      <c r="M271" s="297">
        <f t="shared" si="16"/>
        <v>-11842.083333333334</v>
      </c>
      <c r="N271" s="293">
        <v>1.7203885333158286</v>
      </c>
      <c r="O271" s="295">
        <f t="shared" si="17"/>
        <v>11965.302249211589</v>
      </c>
      <c r="P271" s="298">
        <v>0</v>
      </c>
      <c r="Q271" s="289">
        <v>0</v>
      </c>
      <c r="R271" s="297">
        <v>0</v>
      </c>
      <c r="S271" s="298">
        <v>44.858656175989147</v>
      </c>
      <c r="T271" s="289">
        <v>9.0835370079645585</v>
      </c>
      <c r="U271" s="297">
        <f t="shared" si="19"/>
        <v>407475.26350215531</v>
      </c>
    </row>
    <row r="272" spans="2:21" ht="13.5" thickBot="1" x14ac:dyDescent="0.25">
      <c r="B272" s="271"/>
      <c r="C272" s="229"/>
      <c r="D272" s="288"/>
      <c r="E272" s="299"/>
      <c r="F272" s="299"/>
      <c r="G272" s="300"/>
      <c r="H272" s="288"/>
      <c r="I272" s="288"/>
      <c r="J272" s="299"/>
      <c r="K272" s="301"/>
      <c r="L272" s="299"/>
      <c r="M272" s="300"/>
      <c r="N272" s="288"/>
      <c r="O272" s="299"/>
      <c r="P272" s="301"/>
      <c r="Q272" s="299"/>
      <c r="R272" s="229"/>
      <c r="S272" s="301"/>
      <c r="T272" s="299"/>
      <c r="U272" s="229"/>
    </row>
    <row r="273" spans="2:21" ht="13.5" thickBot="1" x14ac:dyDescent="0.25">
      <c r="B273" s="272" t="s">
        <v>36</v>
      </c>
      <c r="C273" s="302"/>
      <c r="D273" s="303">
        <f>SUM(D260:D272)</f>
        <v>100234</v>
      </c>
      <c r="E273" s="304">
        <v>0</v>
      </c>
      <c r="F273" s="305">
        <v>0</v>
      </c>
      <c r="G273" s="306">
        <v>0</v>
      </c>
      <c r="H273" s="304">
        <f>SUM(H260:H272)</f>
        <v>87600</v>
      </c>
      <c r="I273" s="305"/>
      <c r="J273" s="304">
        <f>SUM(J260:J272)</f>
        <v>3049356</v>
      </c>
      <c r="K273" s="307">
        <f>SUM(K260:K272)</f>
        <v>12634</v>
      </c>
      <c r="L273" s="305"/>
      <c r="M273" s="306">
        <f>SUM(M260:M272)</f>
        <v>492602.79478198278</v>
      </c>
      <c r="N273" s="308">
        <f>O273/D273</f>
        <v>1.6731257278228131</v>
      </c>
      <c r="O273" s="304">
        <f>SUM(O260:O271)</f>
        <v>167704.08420259185</v>
      </c>
      <c r="P273" s="309"/>
      <c r="Q273" s="305"/>
      <c r="R273" s="306">
        <v>0</v>
      </c>
      <c r="S273" s="309"/>
      <c r="T273" s="305"/>
      <c r="U273" s="306">
        <f>SUM(U260:U272)</f>
        <v>3434237.0031028022</v>
      </c>
    </row>
    <row r="274" spans="2:21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2:21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2:21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2:21" x14ac:dyDescent="0.2">
      <c r="B277" s="273" t="s">
        <v>396</v>
      </c>
      <c r="C277" s="157"/>
      <c r="D277" s="157"/>
      <c r="E277" s="157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2:21" x14ac:dyDescent="0.2">
      <c r="B278" s="157"/>
      <c r="C278" s="157"/>
      <c r="D278" s="157"/>
      <c r="E278" s="157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2:21" x14ac:dyDescent="0.2">
      <c r="B279" s="117" t="s">
        <v>397</v>
      </c>
      <c r="C279" s="157"/>
      <c r="D279" s="310">
        <f>$G$273</f>
        <v>0</v>
      </c>
      <c r="E279" s="311">
        <f>ROUND(D279/$D$273,2)</f>
        <v>0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2:21" x14ac:dyDescent="0.2">
      <c r="B280" s="117" t="s">
        <v>384</v>
      </c>
      <c r="C280" s="157"/>
      <c r="D280" s="310">
        <f>$J$273</f>
        <v>3049356</v>
      </c>
      <c r="E280" s="311">
        <f>ROUND(D280/$D$273,2)</f>
        <v>30.42</v>
      </c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2:21" x14ac:dyDescent="0.2">
      <c r="B281" s="117" t="s">
        <v>385</v>
      </c>
      <c r="C281" s="157"/>
      <c r="D281" s="310">
        <f>$M$273</f>
        <v>492602.79478198278</v>
      </c>
      <c r="E281" s="311">
        <f>ROUND(D281/$K$273,2)</f>
        <v>38.99</v>
      </c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2:21" x14ac:dyDescent="0.2">
      <c r="B282" s="117" t="s">
        <v>117</v>
      </c>
      <c r="C282" s="157"/>
      <c r="D282" s="310">
        <f>O273</f>
        <v>167704.08420259185</v>
      </c>
      <c r="E282" s="311">
        <f>ROUND(D282/$D$273,2)</f>
        <v>1.67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2:21" x14ac:dyDescent="0.2">
      <c r="B283" s="117" t="s">
        <v>386</v>
      </c>
      <c r="C283" s="157"/>
      <c r="D283" s="274">
        <f>U273</f>
        <v>3434237.0031028022</v>
      </c>
      <c r="E283" s="275">
        <f>ROUND(D283/$D$273,2)</f>
        <v>34.26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2:21" x14ac:dyDescent="0.2">
      <c r="B284" s="157"/>
      <c r="C284" s="157"/>
      <c r="D284" s="310">
        <f>SUM(D279:D283)</f>
        <v>7143899.8820873769</v>
      </c>
      <c r="E284" s="311">
        <f>SUM(E279:E283)</f>
        <v>105.34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2:21" x14ac:dyDescent="0.2">
      <c r="B285" s="157" t="s">
        <v>398</v>
      </c>
      <c r="C285" s="157"/>
      <c r="D285" s="310">
        <f>$D$273</f>
        <v>100234</v>
      </c>
      <c r="E285" s="147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2:21" x14ac:dyDescent="0.2">
      <c r="B286" s="157" t="s">
        <v>244</v>
      </c>
      <c r="C286" s="157"/>
      <c r="D286" s="312">
        <f>ROUND(D284/D285,2)</f>
        <v>71.27</v>
      </c>
      <c r="E286" s="147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2:21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2:21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2:21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2:21" x14ac:dyDescent="0.2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2:21" x14ac:dyDescent="0.2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2:21" x14ac:dyDescent="0.2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2:21" x14ac:dyDescent="0.2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2:21" x14ac:dyDescent="0.2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2:21" x14ac:dyDescent="0.2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2:21" x14ac:dyDescent="0.2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2:21" x14ac:dyDescent="0.2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2:21" x14ac:dyDescent="0.2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2:21" x14ac:dyDescent="0.2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2:21" x14ac:dyDescent="0.2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2:21" x14ac:dyDescent="0.2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2:21" x14ac:dyDescent="0.2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2:21" x14ac:dyDescent="0.2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2:21" x14ac:dyDescent="0.2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2:21" x14ac:dyDescent="0.2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Author</cp:lastModifiedBy>
  <dcterms:created xsi:type="dcterms:W3CDTF">2018-11-09T15:09:24Z</dcterms:created>
  <dcterms:modified xsi:type="dcterms:W3CDTF">2018-11-19T16:32:58Z</dcterms:modified>
</cp:coreProperties>
</file>