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192.168.101.22\Common\BGS\2019 Auction\0 Rates\3 January 2019\2 From EDCs\0 Posted\"/>
    </mc:Choice>
  </mc:AlternateContent>
  <xr:revisionPtr revIDLastSave="0" documentId="10_ncr:100000_{9A7E0DE1-FFE8-4B26-8180-81191755EC70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Calc'!$A$1:$N$49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9" i="3" l="1"/>
  <c r="U271" i="3"/>
  <c r="R271" i="3"/>
  <c r="J271" i="3"/>
  <c r="K271" i="3"/>
  <c r="U270" i="3"/>
  <c r="R270" i="3"/>
  <c r="J270" i="3"/>
  <c r="U269" i="3"/>
  <c r="R269" i="3"/>
  <c r="O269" i="3"/>
  <c r="J269" i="3"/>
  <c r="K269" i="3"/>
  <c r="M269" i="3" s="1"/>
  <c r="U268" i="3"/>
  <c r="R268" i="3"/>
  <c r="J268" i="3"/>
  <c r="U267" i="3"/>
  <c r="R267" i="3"/>
  <c r="J267" i="3"/>
  <c r="K267" i="3"/>
  <c r="M267" i="3" s="1"/>
  <c r="U266" i="3"/>
  <c r="R266" i="3"/>
  <c r="O266" i="3"/>
  <c r="K266" i="3"/>
  <c r="M266" i="3" s="1"/>
  <c r="J266" i="3"/>
  <c r="U265" i="3"/>
  <c r="R265" i="3"/>
  <c r="J265" i="3"/>
  <c r="K265" i="3"/>
  <c r="U264" i="3"/>
  <c r="R264" i="3"/>
  <c r="U263" i="3"/>
  <c r="R263" i="3"/>
  <c r="J263" i="3"/>
  <c r="K263" i="3"/>
  <c r="M263" i="3" s="1"/>
  <c r="U262" i="3"/>
  <c r="R262" i="3"/>
  <c r="K262" i="3"/>
  <c r="M262" i="3" s="1"/>
  <c r="J262" i="3"/>
  <c r="U261" i="3"/>
  <c r="R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K260" i="3"/>
  <c r="F252" i="3"/>
  <c r="D253" i="3"/>
  <c r="D246" i="3"/>
  <c r="E246" i="3"/>
  <c r="F244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D231" i="3"/>
  <c r="C231" i="3"/>
  <c r="I230" i="3"/>
  <c r="H230" i="3"/>
  <c r="G230" i="3"/>
  <c r="F230" i="3"/>
  <c r="D230" i="3"/>
  <c r="C230" i="3"/>
  <c r="E229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I222" i="3"/>
  <c r="H222" i="3"/>
  <c r="G222" i="3"/>
  <c r="F222" i="3"/>
  <c r="E222" i="3"/>
  <c r="I221" i="3"/>
  <c r="H221" i="3"/>
  <c r="G221" i="3"/>
  <c r="F221" i="3"/>
  <c r="E221" i="3"/>
  <c r="I220" i="3"/>
  <c r="H220" i="3"/>
  <c r="G220" i="3"/>
  <c r="F220" i="3"/>
  <c r="D220" i="3"/>
  <c r="C220" i="3"/>
  <c r="I219" i="3"/>
  <c r="H219" i="3"/>
  <c r="G219" i="3"/>
  <c r="F219" i="3"/>
  <c r="D219" i="3"/>
  <c r="C219" i="3"/>
  <c r="E218" i="3"/>
  <c r="I211" i="3"/>
  <c r="I210" i="3"/>
  <c r="I209" i="3"/>
  <c r="H209" i="3"/>
  <c r="G209" i="3"/>
  <c r="F209" i="3"/>
  <c r="E209" i="3"/>
  <c r="D209" i="3"/>
  <c r="C209" i="3"/>
  <c r="D190" i="3"/>
  <c r="I167" i="3"/>
  <c r="H167" i="3"/>
  <c r="G167" i="3"/>
  <c r="F167" i="3"/>
  <c r="E167" i="3"/>
  <c r="D167" i="3"/>
  <c r="C167" i="3"/>
  <c r="V126" i="3"/>
  <c r="AE126" i="3" s="1"/>
  <c r="I118" i="3"/>
  <c r="H118" i="3"/>
  <c r="G118" i="3"/>
  <c r="F118" i="3"/>
  <c r="E118" i="3"/>
  <c r="D118" i="3"/>
  <c r="C118" i="3"/>
  <c r="D100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H40" i="3"/>
  <c r="H39" i="3"/>
  <c r="J37" i="3"/>
  <c r="I37" i="3"/>
  <c r="H37" i="3"/>
  <c r="C33" i="3"/>
  <c r="D33" i="3" s="1"/>
  <c r="H12" i="3"/>
  <c r="G12" i="3"/>
  <c r="F12" i="3"/>
  <c r="E12" i="3"/>
  <c r="D12" i="3"/>
  <c r="C12" i="3"/>
  <c r="A2" i="3"/>
  <c r="I40" i="2"/>
  <c r="D39" i="2"/>
  <c r="D23" i="2"/>
  <c r="D22" i="2"/>
  <c r="D24" i="2" s="1"/>
  <c r="I10" i="2"/>
  <c r="G9" i="2"/>
  <c r="E6" i="2"/>
  <c r="D6" i="2"/>
  <c r="A2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H561" i="1"/>
  <c r="G561" i="1"/>
  <c r="F561" i="1"/>
  <c r="E561" i="1"/>
  <c r="D561" i="1"/>
  <c r="C561" i="1"/>
  <c r="I560" i="1"/>
  <c r="H560" i="1"/>
  <c r="G560" i="1"/>
  <c r="F560" i="1"/>
  <c r="E560" i="1"/>
  <c r="D560" i="1"/>
  <c r="C560" i="1"/>
  <c r="I559" i="1"/>
  <c r="H559" i="1"/>
  <c r="G559" i="1"/>
  <c r="F559" i="1"/>
  <c r="D559" i="1"/>
  <c r="C559" i="1"/>
  <c r="I558" i="1"/>
  <c r="H558" i="1"/>
  <c r="G558" i="1"/>
  <c r="F558" i="1"/>
  <c r="D558" i="1"/>
  <c r="C558" i="1"/>
  <c r="E557" i="1"/>
  <c r="H554" i="1"/>
  <c r="G554" i="1"/>
  <c r="F554" i="1"/>
  <c r="E554" i="1"/>
  <c r="D554" i="1"/>
  <c r="C554" i="1"/>
  <c r="I553" i="1"/>
  <c r="H553" i="1"/>
  <c r="G553" i="1"/>
  <c r="F553" i="1"/>
  <c r="E553" i="1"/>
  <c r="D553" i="1"/>
  <c r="C553" i="1"/>
  <c r="I552" i="1"/>
  <c r="H552" i="1"/>
  <c r="G552" i="1"/>
  <c r="F552" i="1"/>
  <c r="E552" i="1"/>
  <c r="I551" i="1"/>
  <c r="H551" i="1"/>
  <c r="G551" i="1"/>
  <c r="F551" i="1"/>
  <c r="E551" i="1"/>
  <c r="I550" i="1"/>
  <c r="H550" i="1"/>
  <c r="G550" i="1"/>
  <c r="F550" i="1"/>
  <c r="E550" i="1"/>
  <c r="I549" i="1"/>
  <c r="H549" i="1"/>
  <c r="G549" i="1"/>
  <c r="F549" i="1"/>
  <c r="D549" i="1"/>
  <c r="C549" i="1"/>
  <c r="I548" i="1"/>
  <c r="H548" i="1"/>
  <c r="G548" i="1"/>
  <c r="F548" i="1"/>
  <c r="D548" i="1"/>
  <c r="C548" i="1"/>
  <c r="E547" i="1"/>
  <c r="F537" i="1"/>
  <c r="E537" i="1"/>
  <c r="I491" i="1"/>
  <c r="I537" i="1" s="1"/>
  <c r="H491" i="1"/>
  <c r="H537" i="1" s="1"/>
  <c r="G491" i="1"/>
  <c r="G537" i="1" s="1"/>
  <c r="F491" i="1"/>
  <c r="E491" i="1"/>
  <c r="D491" i="1"/>
  <c r="D537" i="1" s="1"/>
  <c r="C491" i="1"/>
  <c r="C537" i="1" s="1"/>
  <c r="C474" i="1"/>
  <c r="C473" i="1"/>
  <c r="C472" i="1"/>
  <c r="C468" i="1"/>
  <c r="C467" i="1"/>
  <c r="C466" i="1"/>
  <c r="M465" i="1"/>
  <c r="L48" i="3"/>
  <c r="G461" i="1"/>
  <c r="F461" i="1"/>
  <c r="P457" i="1"/>
  <c r="Q456" i="1"/>
  <c r="Q455" i="1"/>
  <c r="Q454" i="1"/>
  <c r="Q453" i="1"/>
  <c r="Q452" i="1"/>
  <c r="R451" i="1"/>
  <c r="D451" i="1"/>
  <c r="C451" i="1"/>
  <c r="R450" i="1"/>
  <c r="R449" i="1"/>
  <c r="D449" i="1"/>
  <c r="G420" i="1"/>
  <c r="F420" i="1"/>
  <c r="I420" i="1" s="1"/>
  <c r="G419" i="1"/>
  <c r="F419" i="1"/>
  <c r="I419" i="1" s="1"/>
  <c r="F418" i="1"/>
  <c r="I418" i="1" s="1"/>
  <c r="G417" i="1"/>
  <c r="G416" i="1"/>
  <c r="F416" i="1"/>
  <c r="G415" i="1"/>
  <c r="F415" i="1"/>
  <c r="I414" i="1"/>
  <c r="F417" i="1"/>
  <c r="E414" i="1"/>
  <c r="J414" i="1" s="1"/>
  <c r="D415" i="1"/>
  <c r="E415" i="1" s="1"/>
  <c r="G413" i="1"/>
  <c r="G412" i="1"/>
  <c r="F412" i="1"/>
  <c r="D412" i="1"/>
  <c r="F411" i="1"/>
  <c r="I410" i="1"/>
  <c r="F410" i="1"/>
  <c r="I409" i="1"/>
  <c r="F413" i="1"/>
  <c r="I413" i="1" s="1"/>
  <c r="E409" i="1"/>
  <c r="J409" i="1" s="1"/>
  <c r="D420" i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C346" i="1"/>
  <c r="D346" i="1" s="1"/>
  <c r="H325" i="1"/>
  <c r="G325" i="1"/>
  <c r="F325" i="1"/>
  <c r="E325" i="1"/>
  <c r="D325" i="1"/>
  <c r="C325" i="1"/>
  <c r="J296" i="1"/>
  <c r="J350" i="1" s="1"/>
  <c r="I296" i="1"/>
  <c r="I350" i="1" s="1"/>
  <c r="C292" i="1"/>
  <c r="H271" i="1"/>
  <c r="G271" i="1"/>
  <c r="F271" i="1"/>
  <c r="E271" i="1"/>
  <c r="D271" i="1"/>
  <c r="C271" i="1"/>
  <c r="C253" i="1"/>
  <c r="D253" i="1" s="1"/>
  <c r="H231" i="1"/>
  <c r="G231" i="1"/>
  <c r="F231" i="1"/>
  <c r="E231" i="1"/>
  <c r="D231" i="1"/>
  <c r="C231" i="1"/>
  <c r="M217" i="1"/>
  <c r="M211" i="1"/>
  <c r="H206" i="1"/>
  <c r="H263" i="1" s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8" i="1"/>
  <c r="I157" i="1"/>
  <c r="H154" i="1"/>
  <c r="C154" i="1"/>
  <c r="E147" i="1"/>
  <c r="H146" i="1"/>
  <c r="E145" i="1"/>
  <c r="E144" i="1"/>
  <c r="M137" i="1"/>
  <c r="I137" i="1"/>
  <c r="H137" i="1"/>
  <c r="G137" i="1"/>
  <c r="F137" i="1"/>
  <c r="E137" i="1"/>
  <c r="D137" i="1"/>
  <c r="C137" i="1"/>
  <c r="M136" i="1"/>
  <c r="M133" i="1" s="1"/>
  <c r="B136" i="1"/>
  <c r="I122" i="1"/>
  <c r="H122" i="1"/>
  <c r="G122" i="1"/>
  <c r="F122" i="1"/>
  <c r="E122" i="1"/>
  <c r="D122" i="1"/>
  <c r="C122" i="1"/>
  <c r="I104" i="1"/>
  <c r="H104" i="1"/>
  <c r="G104" i="1"/>
  <c r="F104" i="1"/>
  <c r="E104" i="1"/>
  <c r="D104" i="1"/>
  <c r="C104" i="1"/>
  <c r="I86" i="1"/>
  <c r="H86" i="1"/>
  <c r="G86" i="1"/>
  <c r="F86" i="1"/>
  <c r="E86" i="1"/>
  <c r="D86" i="1"/>
  <c r="C86" i="1"/>
  <c r="I76" i="1"/>
  <c r="H76" i="1"/>
  <c r="G76" i="1"/>
  <c r="F76" i="1"/>
  <c r="E76" i="1"/>
  <c r="D76" i="1"/>
  <c r="C76" i="1"/>
  <c r="S60" i="1"/>
  <c r="S84" i="1" s="1"/>
  <c r="S77" i="1"/>
  <c r="Q48" i="1"/>
  <c r="M48" i="1"/>
  <c r="S73" i="1"/>
  <c r="M44" i="1"/>
  <c r="S42" i="1"/>
  <c r="R42" i="1"/>
  <c r="Q42" i="1"/>
  <c r="P42" i="1"/>
  <c r="O42" i="1"/>
  <c r="N42" i="1"/>
  <c r="M42" i="1"/>
  <c r="I42" i="1"/>
  <c r="H42" i="1"/>
  <c r="G42" i="1"/>
  <c r="F42" i="1"/>
  <c r="E42" i="1"/>
  <c r="D42" i="1"/>
  <c r="C42" i="1"/>
  <c r="B41" i="1"/>
  <c r="O37" i="1"/>
  <c r="O36" i="1"/>
  <c r="O35" i="1"/>
  <c r="O34" i="1"/>
  <c r="O33" i="1"/>
  <c r="O49" i="1"/>
  <c r="O31" i="1"/>
  <c r="O30" i="1"/>
  <c r="O29" i="1"/>
  <c r="O28" i="1"/>
  <c r="O27" i="1"/>
  <c r="O45" i="1"/>
  <c r="S24" i="1"/>
  <c r="R24" i="1"/>
  <c r="Q24" i="1"/>
  <c r="P24" i="1"/>
  <c r="O24" i="1"/>
  <c r="N24" i="1"/>
  <c r="M24" i="1"/>
  <c r="I24" i="1"/>
  <c r="H24" i="1"/>
  <c r="G24" i="1"/>
  <c r="F24" i="1"/>
  <c r="E24" i="1"/>
  <c r="D24" i="1"/>
  <c r="C24" i="1"/>
  <c r="O23" i="1"/>
  <c r="S19" i="1"/>
  <c r="Q19" i="1"/>
  <c r="O19" i="1"/>
  <c r="M19" i="1"/>
  <c r="H19" i="1"/>
  <c r="R19" i="1" s="1"/>
  <c r="P19" i="1"/>
  <c r="N19" i="1"/>
  <c r="S18" i="1"/>
  <c r="Q18" i="1"/>
  <c r="O18" i="1"/>
  <c r="M18" i="1"/>
  <c r="H18" i="1"/>
  <c r="R18" i="1" s="1"/>
  <c r="P18" i="1"/>
  <c r="N18" i="1"/>
  <c r="S17" i="1"/>
  <c r="Q17" i="1"/>
  <c r="O17" i="1"/>
  <c r="M17" i="1"/>
  <c r="H17" i="1"/>
  <c r="R17" i="1" s="1"/>
  <c r="P17" i="1"/>
  <c r="N17" i="1"/>
  <c r="S16" i="1"/>
  <c r="Q16" i="1"/>
  <c r="O16" i="1"/>
  <c r="M16" i="1"/>
  <c r="H16" i="1"/>
  <c r="R16" i="1" s="1"/>
  <c r="P16" i="1"/>
  <c r="N16" i="1"/>
  <c r="S15" i="1"/>
  <c r="Q15" i="1"/>
  <c r="O15" i="1"/>
  <c r="M15" i="1"/>
  <c r="H15" i="1"/>
  <c r="R15" i="1" s="1"/>
  <c r="P15" i="1"/>
  <c r="N15" i="1"/>
  <c r="S14" i="1"/>
  <c r="Q14" i="1"/>
  <c r="O14" i="1"/>
  <c r="M14" i="1"/>
  <c r="H14" i="1"/>
  <c r="R14" i="1" s="1"/>
  <c r="P14" i="1"/>
  <c r="N14" i="1"/>
  <c r="S13" i="1"/>
  <c r="Q13" i="1"/>
  <c r="O13" i="1"/>
  <c r="M13" i="1"/>
  <c r="H13" i="1"/>
  <c r="S78" i="1"/>
  <c r="S12" i="1"/>
  <c r="Q12" i="1"/>
  <c r="O12" i="1"/>
  <c r="M12" i="1"/>
  <c r="H12" i="1"/>
  <c r="R12" i="1" s="1"/>
  <c r="P12" i="1"/>
  <c r="N12" i="1"/>
  <c r="S11" i="1"/>
  <c r="Q11" i="1"/>
  <c r="O11" i="1"/>
  <c r="M11" i="1"/>
  <c r="H11" i="1"/>
  <c r="R11" i="1" s="1"/>
  <c r="P11" i="1"/>
  <c r="N11" i="1"/>
  <c r="S10" i="1"/>
  <c r="Q10" i="1"/>
  <c r="O10" i="1"/>
  <c r="M10" i="1"/>
  <c r="H10" i="1"/>
  <c r="R10" i="1" s="1"/>
  <c r="P10" i="1"/>
  <c r="N10" i="1"/>
  <c r="S9" i="1"/>
  <c r="Q9" i="1"/>
  <c r="O9" i="1"/>
  <c r="M9" i="1"/>
  <c r="H9" i="1"/>
  <c r="R9" i="1" s="1"/>
  <c r="P9" i="1"/>
  <c r="N9" i="1"/>
  <c r="S8" i="1"/>
  <c r="Q8" i="1"/>
  <c r="O8" i="1"/>
  <c r="M8" i="1"/>
  <c r="H8" i="1"/>
  <c r="R8" i="1" s="1"/>
  <c r="P8" i="1"/>
  <c r="N8" i="1"/>
  <c r="S6" i="1"/>
  <c r="R6" i="1"/>
  <c r="Q6" i="1"/>
  <c r="P6" i="1"/>
  <c r="O6" i="1"/>
  <c r="N6" i="1"/>
  <c r="M6" i="1"/>
  <c r="M4" i="1"/>
  <c r="E3" i="1"/>
  <c r="B1" i="1"/>
  <c r="M138" i="1" l="1"/>
  <c r="S75" i="1"/>
  <c r="J415" i="1"/>
  <c r="S71" i="1"/>
  <c r="R457" i="1"/>
  <c r="R273" i="3"/>
  <c r="O262" i="3"/>
  <c r="T78" i="1"/>
  <c r="N44" i="1"/>
  <c r="E56" i="1"/>
  <c r="S63" i="1"/>
  <c r="E167" i="1"/>
  <c r="E28" i="2"/>
  <c r="E27" i="2"/>
  <c r="E29" i="2" s="1"/>
  <c r="D28" i="2"/>
  <c r="D27" i="2"/>
  <c r="P13" i="1"/>
  <c r="O26" i="1"/>
  <c r="S64" i="1" s="1"/>
  <c r="O32" i="1"/>
  <c r="S68" i="1" s="1"/>
  <c r="O44" i="1"/>
  <c r="O46" i="1" s="1"/>
  <c r="N48" i="1"/>
  <c r="R48" i="1"/>
  <c r="S62" i="1"/>
  <c r="S66" i="1"/>
  <c r="S74" i="1"/>
  <c r="S79" i="1"/>
  <c r="J139" i="1"/>
  <c r="D416" i="1"/>
  <c r="D417" i="1"/>
  <c r="E417" i="1" s="1"/>
  <c r="J417" i="1" s="1"/>
  <c r="E420" i="1"/>
  <c r="J420" i="1" s="1"/>
  <c r="M466" i="1"/>
  <c r="L49" i="3"/>
  <c r="L50" i="3" s="1"/>
  <c r="M265" i="3"/>
  <c r="O265" i="3"/>
  <c r="O48" i="1"/>
  <c r="O50" i="1" s="1"/>
  <c r="C56" i="1"/>
  <c r="C167" i="1" s="1"/>
  <c r="G56" i="1"/>
  <c r="G167" i="1" s="1"/>
  <c r="E412" i="1"/>
  <c r="J412" i="1" s="1"/>
  <c r="I412" i="1"/>
  <c r="R44" i="1"/>
  <c r="S67" i="1"/>
  <c r="T67" i="1" s="1"/>
  <c r="N13" i="1"/>
  <c r="R13" i="1"/>
  <c r="Q44" i="1"/>
  <c r="D56" i="1"/>
  <c r="D167" i="1" s="1"/>
  <c r="H56" i="1"/>
  <c r="J141" i="1"/>
  <c r="H167" i="1"/>
  <c r="I417" i="1"/>
  <c r="E253" i="3"/>
  <c r="F251" i="3"/>
  <c r="F253" i="3" s="1"/>
  <c r="O260" i="3"/>
  <c r="M260" i="3"/>
  <c r="G418" i="1"/>
  <c r="G410" i="1"/>
  <c r="D410" i="1"/>
  <c r="E410" i="1" s="1"/>
  <c r="G411" i="1"/>
  <c r="D413" i="1"/>
  <c r="E413" i="1" s="1"/>
  <c r="J413" i="1" s="1"/>
  <c r="I415" i="1"/>
  <c r="D419" i="1"/>
  <c r="E419" i="1" s="1"/>
  <c r="J419" i="1" s="1"/>
  <c r="D411" i="1"/>
  <c r="E411" i="1" s="1"/>
  <c r="I411" i="1"/>
  <c r="E416" i="1"/>
  <c r="J416" i="1" s="1"/>
  <c r="I416" i="1"/>
  <c r="D418" i="1"/>
  <c r="E418" i="1" s="1"/>
  <c r="Q457" i="1"/>
  <c r="S457" i="1" s="1"/>
  <c r="U273" i="3"/>
  <c r="D283" i="3" s="1"/>
  <c r="O261" i="3"/>
  <c r="H273" i="3"/>
  <c r="J260" i="3"/>
  <c r="O263" i="3"/>
  <c r="O267" i="3"/>
  <c r="M271" i="3"/>
  <c r="O271" i="3"/>
  <c r="J264" i="3"/>
  <c r="K264" i="3"/>
  <c r="K270" i="3"/>
  <c r="F245" i="3"/>
  <c r="F246" i="3" s="1"/>
  <c r="D273" i="3"/>
  <c r="K268" i="3"/>
  <c r="E283" i="3" l="1"/>
  <c r="J411" i="1"/>
  <c r="O264" i="3"/>
  <c r="O273" i="3" s="1"/>
  <c r="M264" i="3"/>
  <c r="O270" i="3"/>
  <c r="M270" i="3"/>
  <c r="M273" i="3" s="1"/>
  <c r="D281" i="3" s="1"/>
  <c r="N52" i="1"/>
  <c r="N54" i="1" s="1"/>
  <c r="N53" i="1"/>
  <c r="J53" i="1"/>
  <c r="O268" i="3"/>
  <c r="M268" i="3"/>
  <c r="J273" i="3"/>
  <c r="D280" i="3" s="1"/>
  <c r="E39" i="2"/>
  <c r="E447" i="1"/>
  <c r="D447" i="1"/>
  <c r="D29" i="2"/>
  <c r="T63" i="1"/>
  <c r="S92" i="1"/>
  <c r="M52" i="1"/>
  <c r="M53" i="1" s="1"/>
  <c r="D285" i="3"/>
  <c r="E279" i="3"/>
  <c r="J418" i="1"/>
  <c r="J410" i="1"/>
  <c r="K273" i="3"/>
  <c r="T74" i="1"/>
  <c r="S87" i="1"/>
  <c r="N273" i="3" l="1"/>
  <c r="D282" i="3"/>
  <c r="E282" i="3" s="1"/>
  <c r="E280" i="3"/>
  <c r="D284" i="3"/>
  <c r="D286" i="3" s="1"/>
  <c r="E40" i="2" s="1"/>
  <c r="J55" i="1"/>
  <c r="P48" i="1"/>
  <c r="D182" i="3"/>
  <c r="D183" i="3"/>
  <c r="D195" i="3" s="1"/>
  <c r="F459" i="1"/>
  <c r="C599" i="1"/>
  <c r="J428" i="1"/>
  <c r="F425" i="1"/>
  <c r="C598" i="1"/>
  <c r="D93" i="3"/>
  <c r="F449" i="1"/>
  <c r="F451" i="1"/>
  <c r="G39" i="2"/>
  <c r="J51" i="1"/>
  <c r="J48" i="1"/>
  <c r="J52" i="1"/>
  <c r="J45" i="1"/>
  <c r="G459" i="1"/>
  <c r="J429" i="1"/>
  <c r="E281" i="3"/>
  <c r="E284" i="3" s="1"/>
  <c r="J50" i="1" l="1"/>
  <c r="D149" i="1"/>
  <c r="C464" i="1"/>
  <c r="H439" i="1"/>
  <c r="D73" i="1" s="1"/>
  <c r="H438" i="1"/>
  <c r="D72" i="1" s="1"/>
  <c r="H437" i="1"/>
  <c r="D71" i="1" s="1"/>
  <c r="H436" i="1"/>
  <c r="D70" i="1" s="1"/>
  <c r="H435" i="1"/>
  <c r="D69" i="1" s="1"/>
  <c r="H434" i="1"/>
  <c r="D68" i="1" s="1"/>
  <c r="H433" i="1"/>
  <c r="G432" i="1"/>
  <c r="C66" i="1" s="1"/>
  <c r="G431" i="1"/>
  <c r="C65" i="1" s="1"/>
  <c r="H429" i="1"/>
  <c r="D63" i="1" s="1"/>
  <c r="G428" i="1"/>
  <c r="G439" i="1"/>
  <c r="C73" i="1" s="1"/>
  <c r="G435" i="1"/>
  <c r="C69" i="1" s="1"/>
  <c r="G436" i="1"/>
  <c r="C70" i="1" s="1"/>
  <c r="G429" i="1"/>
  <c r="C63" i="1" s="1"/>
  <c r="G437" i="1"/>
  <c r="C71" i="1" s="1"/>
  <c r="H430" i="1"/>
  <c r="D64" i="1" s="1"/>
  <c r="H428" i="1"/>
  <c r="G438" i="1"/>
  <c r="C72" i="1" s="1"/>
  <c r="H431" i="1"/>
  <c r="D65" i="1" s="1"/>
  <c r="G430" i="1"/>
  <c r="C64" i="1" s="1"/>
  <c r="G433" i="1"/>
  <c r="H432" i="1"/>
  <c r="D66" i="1" s="1"/>
  <c r="G434" i="1"/>
  <c r="C68" i="1" s="1"/>
  <c r="J47" i="1"/>
  <c r="D103" i="3"/>
  <c r="J54" i="1"/>
  <c r="C465" i="1"/>
  <c r="D150" i="1"/>
  <c r="C189" i="3"/>
  <c r="C99" i="3"/>
  <c r="K40" i="2"/>
  <c r="E43" i="2"/>
  <c r="C188" i="3"/>
  <c r="E188" i="3" s="1"/>
  <c r="C98" i="3"/>
  <c r="E98" i="3" s="1"/>
  <c r="D184" i="3"/>
  <c r="D194" i="3"/>
  <c r="D196" i="3" s="1"/>
  <c r="J46" i="1"/>
  <c r="E44" i="2"/>
  <c r="E45" i="2"/>
  <c r="C600" i="1"/>
  <c r="D94" i="3"/>
  <c r="D104" i="3" s="1"/>
  <c r="D105" i="3" s="1"/>
  <c r="H461" i="1"/>
  <c r="D161" i="1" s="1"/>
  <c r="C469" i="1" s="1"/>
  <c r="D95" i="3" l="1"/>
  <c r="R432" i="1"/>
  <c r="R429" i="1"/>
  <c r="D62" i="1"/>
  <c r="E189" i="3"/>
  <c r="E190" i="3" s="1"/>
  <c r="C190" i="3"/>
  <c r="Q428" i="1"/>
  <c r="C67" i="1"/>
  <c r="G172" i="1"/>
  <c r="H172" i="1"/>
  <c r="E172" i="1"/>
  <c r="I150" i="1"/>
  <c r="D172" i="1"/>
  <c r="C172" i="1"/>
  <c r="Q214" i="1"/>
  <c r="I89" i="1"/>
  <c r="I107" i="1" s="1"/>
  <c r="S48" i="1"/>
  <c r="J49" i="1"/>
  <c r="C100" i="3"/>
  <c r="E99" i="3"/>
  <c r="E100" i="3" s="1"/>
  <c r="F172" i="1"/>
  <c r="C62" i="1"/>
  <c r="Q432" i="1"/>
  <c r="S432" i="1" s="1"/>
  <c r="Q429" i="1"/>
  <c r="R428" i="1"/>
  <c r="D67" i="1"/>
  <c r="E171" i="1"/>
  <c r="G170" i="1"/>
  <c r="C170" i="1"/>
  <c r="I149" i="1"/>
  <c r="H171" i="1"/>
  <c r="F171" i="1"/>
  <c r="D170" i="1"/>
  <c r="H170" i="1"/>
  <c r="G171" i="1"/>
  <c r="E170" i="1"/>
  <c r="Q213" i="1"/>
  <c r="C171" i="1"/>
  <c r="D171" i="1"/>
  <c r="R213" i="1"/>
  <c r="E94" i="1" l="1"/>
  <c r="G94" i="1"/>
  <c r="G112" i="1" s="1"/>
  <c r="H94" i="1"/>
  <c r="H112" i="1" s="1"/>
  <c r="D94" i="1"/>
  <c r="D112" i="1" s="1"/>
  <c r="C94" i="1"/>
  <c r="C112" i="1" s="1"/>
  <c r="Q217" i="1"/>
  <c r="E90" i="1"/>
  <c r="C90" i="1"/>
  <c r="C108" i="1" s="1"/>
  <c r="G90" i="1"/>
  <c r="G108" i="1" s="1"/>
  <c r="D90" i="1"/>
  <c r="D108" i="1" s="1"/>
  <c r="H90" i="1"/>
  <c r="H108" i="1" s="1"/>
  <c r="F90" i="1"/>
  <c r="F108" i="1" s="1"/>
  <c r="C93" i="1"/>
  <c r="C111" i="1" s="1"/>
  <c r="D93" i="1"/>
  <c r="D111" i="1" s="1"/>
  <c r="H93" i="1"/>
  <c r="H111" i="1" s="1"/>
  <c r="G92" i="1"/>
  <c r="G110" i="1" s="1"/>
  <c r="G128" i="1" s="1"/>
  <c r="G188" i="1" s="1"/>
  <c r="E92" i="1"/>
  <c r="E110" i="1" s="1"/>
  <c r="E128" i="1" s="1"/>
  <c r="E188" i="1" s="1"/>
  <c r="C92" i="1"/>
  <c r="C110" i="1" s="1"/>
  <c r="C128" i="1" s="1"/>
  <c r="C188" i="1" s="1"/>
  <c r="D92" i="1"/>
  <c r="D110" i="1" s="1"/>
  <c r="D128" i="1" s="1"/>
  <c r="D188" i="1" s="1"/>
  <c r="G93" i="1"/>
  <c r="G111" i="1" s="1"/>
  <c r="E93" i="1"/>
  <c r="F92" i="1"/>
  <c r="F110" i="1" s="1"/>
  <c r="F128" i="1" s="1"/>
  <c r="H92" i="1"/>
  <c r="H110" i="1" s="1"/>
  <c r="H128" i="1" s="1"/>
  <c r="H188" i="1" s="1"/>
  <c r="I88" i="1"/>
  <c r="E89" i="1"/>
  <c r="E88" i="1"/>
  <c r="H89" i="1"/>
  <c r="H107" i="1" s="1"/>
  <c r="D89" i="1"/>
  <c r="D107" i="1" s="1"/>
  <c r="C89" i="1"/>
  <c r="C107" i="1" s="1"/>
  <c r="G89" i="1"/>
  <c r="G107" i="1" s="1"/>
  <c r="C88" i="1"/>
  <c r="D88" i="1"/>
  <c r="G88" i="1"/>
  <c r="H88" i="1"/>
  <c r="F89" i="1"/>
  <c r="F107" i="1" s="1"/>
  <c r="F88" i="1"/>
  <c r="R430" i="1"/>
  <c r="P44" i="1"/>
  <c r="F56" i="1"/>
  <c r="F93" i="1"/>
  <c r="F111" i="1" s="1"/>
  <c r="F94" i="1"/>
  <c r="F112" i="1" s="1"/>
  <c r="I90" i="1"/>
  <c r="I108" i="1" s="1"/>
  <c r="Q430" i="1"/>
  <c r="J44" i="1"/>
  <c r="J56" i="1" s="1"/>
  <c r="F96" i="1" l="1"/>
  <c r="F106" i="1"/>
  <c r="E111" i="1"/>
  <c r="S88" i="1"/>
  <c r="S89" i="1" s="1"/>
  <c r="E129" i="1" s="1"/>
  <c r="E189" i="1" s="1"/>
  <c r="E364" i="1"/>
  <c r="E280" i="1"/>
  <c r="E386" i="1" s="1"/>
  <c r="C96" i="1"/>
  <c r="C106" i="1"/>
  <c r="I106" i="1"/>
  <c r="G280" i="1"/>
  <c r="G364" i="1"/>
  <c r="G96" i="1"/>
  <c r="G106" i="1"/>
  <c r="F167" i="1"/>
  <c r="F188" i="1" s="1"/>
  <c r="F170" i="1"/>
  <c r="D96" i="1"/>
  <c r="D106" i="1"/>
  <c r="I56" i="1"/>
  <c r="S44" i="1"/>
  <c r="I93" i="1"/>
  <c r="I111" i="1" s="1"/>
  <c r="I94" i="1"/>
  <c r="I112" i="1" s="1"/>
  <c r="I92" i="1"/>
  <c r="I110" i="1" s="1"/>
  <c r="I128" i="1" s="1"/>
  <c r="C202" i="1" s="1"/>
  <c r="S213" i="1"/>
  <c r="T213" i="1" s="1"/>
  <c r="M213" i="1"/>
  <c r="V213" i="1"/>
  <c r="W213" i="1" s="1"/>
  <c r="H96" i="1"/>
  <c r="H106" i="1"/>
  <c r="E106" i="1"/>
  <c r="E96" i="1"/>
  <c r="H364" i="1"/>
  <c r="H280" i="1"/>
  <c r="D280" i="1"/>
  <c r="D364" i="1"/>
  <c r="E108" i="1"/>
  <c r="E130" i="1"/>
  <c r="E190" i="1" s="1"/>
  <c r="E112" i="1"/>
  <c r="E125" i="1"/>
  <c r="E182" i="1" s="1"/>
  <c r="E107" i="1"/>
  <c r="S93" i="1"/>
  <c r="S94" i="1" s="1"/>
  <c r="E126" i="1" s="1"/>
  <c r="E183" i="1" s="1"/>
  <c r="C364" i="1"/>
  <c r="C280" i="1"/>
  <c r="I96" i="1" l="1"/>
  <c r="N213" i="1"/>
  <c r="F364" i="1"/>
  <c r="F280" i="1"/>
  <c r="D386" i="1"/>
  <c r="I259" i="1"/>
  <c r="I298" i="1" s="1"/>
  <c r="I352" i="1" s="1"/>
  <c r="O213" i="1"/>
  <c r="AA213" i="1" s="1"/>
  <c r="AB213" i="1" s="1"/>
  <c r="H213" i="1"/>
  <c r="E274" i="1"/>
  <c r="E275" i="1"/>
  <c r="E114" i="1"/>
  <c r="E124" i="1"/>
  <c r="G386" i="1"/>
  <c r="C98" i="1"/>
  <c r="H386" i="1"/>
  <c r="H124" i="1"/>
  <c r="H114" i="1"/>
  <c r="D124" i="1"/>
  <c r="D114" i="1"/>
  <c r="G114" i="1"/>
  <c r="G124" i="1"/>
  <c r="E281" i="1"/>
  <c r="E282" i="1"/>
  <c r="C298" i="1"/>
  <c r="I124" i="1"/>
  <c r="I114" i="1"/>
  <c r="R214" i="1"/>
  <c r="F114" i="1"/>
  <c r="F124" i="1"/>
  <c r="C386" i="1"/>
  <c r="C114" i="1"/>
  <c r="C124" i="1"/>
  <c r="H132" i="1" l="1"/>
  <c r="H192" i="1" s="1"/>
  <c r="H181" i="1"/>
  <c r="C181" i="1"/>
  <c r="C132" i="1"/>
  <c r="C192" i="1" s="1"/>
  <c r="F132" i="1"/>
  <c r="F192" i="1" s="1"/>
  <c r="F181" i="1"/>
  <c r="I213" i="1"/>
  <c r="J259" i="1"/>
  <c r="J298" i="1" s="1"/>
  <c r="J352" i="1" s="1"/>
  <c r="C116" i="1"/>
  <c r="C133" i="1" s="1"/>
  <c r="D181" i="1"/>
  <c r="D132" i="1"/>
  <c r="D192" i="1" s="1"/>
  <c r="E132" i="1"/>
  <c r="E192" i="1" s="1"/>
  <c r="E181" i="1"/>
  <c r="I39" i="3"/>
  <c r="I500" i="1"/>
  <c r="F386" i="1"/>
  <c r="C198" i="1"/>
  <c r="I132" i="1"/>
  <c r="C206" i="1" s="1"/>
  <c r="G181" i="1"/>
  <c r="G132" i="1"/>
  <c r="G192" i="1" s="1"/>
  <c r="I64" i="3"/>
  <c r="I202" i="1"/>
  <c r="F284" i="1" l="1"/>
  <c r="G284" i="1"/>
  <c r="D284" i="1"/>
  <c r="I65" i="3"/>
  <c r="J202" i="1"/>
  <c r="G273" i="1"/>
  <c r="G363" i="1"/>
  <c r="C302" i="1"/>
  <c r="I554" i="1"/>
  <c r="I522" i="1"/>
  <c r="E284" i="1"/>
  <c r="D184" i="1"/>
  <c r="D273" i="1"/>
  <c r="C273" i="1"/>
  <c r="C184" i="1"/>
  <c r="H363" i="1"/>
  <c r="H273" i="1"/>
  <c r="J39" i="3"/>
  <c r="I501" i="1"/>
  <c r="I523" i="1" s="1"/>
  <c r="E363" i="1"/>
  <c r="E273" i="1"/>
  <c r="E385" i="1" s="1"/>
  <c r="C284" i="1"/>
  <c r="C294" i="1"/>
  <c r="C210" i="1"/>
  <c r="S214" i="1"/>
  <c r="T214" i="1" s="1"/>
  <c r="M214" i="1"/>
  <c r="V214" i="1"/>
  <c r="W214" i="1" s="1"/>
  <c r="N214" i="1" s="1"/>
  <c r="F273" i="1"/>
  <c r="F363" i="1"/>
  <c r="H284" i="1"/>
  <c r="O214" i="1" l="1"/>
  <c r="H214" i="1"/>
  <c r="I260" i="1"/>
  <c r="I299" i="1" s="1"/>
  <c r="E365" i="1"/>
  <c r="E369" i="1" s="1"/>
  <c r="D185" i="1"/>
  <c r="D239" i="1" s="1"/>
  <c r="D238" i="1"/>
  <c r="G365" i="1"/>
  <c r="G369" i="1" s="1"/>
  <c r="I385" i="1"/>
  <c r="C305" i="1"/>
  <c r="F385" i="1"/>
  <c r="H385" i="1"/>
  <c r="C276" i="1"/>
  <c r="G385" i="1"/>
  <c r="F365" i="1"/>
  <c r="F369" i="1" s="1"/>
  <c r="C185" i="1"/>
  <c r="C239" i="1" s="1"/>
  <c r="C238" i="1"/>
  <c r="D255" i="1"/>
  <c r="E387" i="1"/>
  <c r="E391" i="1" s="1"/>
  <c r="H365" i="1"/>
  <c r="H369" i="1" s="1"/>
  <c r="D276" i="1"/>
  <c r="D363" i="1" l="1"/>
  <c r="D365" i="1" s="1"/>
  <c r="D369" i="1" s="1"/>
  <c r="F368" i="1"/>
  <c r="H368" i="1"/>
  <c r="F387" i="1"/>
  <c r="F391" i="1" s="1"/>
  <c r="D277" i="1"/>
  <c r="D333" i="1" s="1"/>
  <c r="D20" i="3" s="1"/>
  <c r="D385" i="1"/>
  <c r="D332" i="1"/>
  <c r="D19" i="3" s="1"/>
  <c r="G368" i="1"/>
  <c r="I72" i="3"/>
  <c r="I203" i="1"/>
  <c r="I353" i="1"/>
  <c r="E390" i="1"/>
  <c r="C363" i="1"/>
  <c r="E368" i="1"/>
  <c r="I214" i="1"/>
  <c r="J260" i="1"/>
  <c r="J299" i="1" s="1"/>
  <c r="C309" i="1" s="1"/>
  <c r="H387" i="1"/>
  <c r="H391" i="1" s="1"/>
  <c r="C277" i="1"/>
  <c r="C333" i="1" s="1"/>
  <c r="C20" i="3" s="1"/>
  <c r="C332" i="1"/>
  <c r="C19" i="3" s="1"/>
  <c r="G387" i="1"/>
  <c r="G391" i="1" s="1"/>
  <c r="D348" i="1"/>
  <c r="D35" i="3" s="1"/>
  <c r="G390" i="1" l="1"/>
  <c r="D352" i="1"/>
  <c r="D39" i="3" s="1"/>
  <c r="I73" i="3"/>
  <c r="J203" i="1"/>
  <c r="I386" i="1"/>
  <c r="C214" i="1"/>
  <c r="J353" i="1"/>
  <c r="C313" i="1"/>
  <c r="D387" i="1"/>
  <c r="D391" i="1" s="1"/>
  <c r="D368" i="1"/>
  <c r="C218" i="1"/>
  <c r="C385" i="1"/>
  <c r="H390" i="1"/>
  <c r="C372" i="1"/>
  <c r="C365" i="1"/>
  <c r="C369" i="1" s="1"/>
  <c r="I40" i="3"/>
  <c r="I508" i="1"/>
  <c r="F390" i="1"/>
  <c r="C368" i="1" l="1"/>
  <c r="C394" i="1"/>
  <c r="C387" i="1"/>
  <c r="C391" i="1" s="1"/>
  <c r="D390" i="1"/>
  <c r="I387" i="1"/>
  <c r="I390" i="1" s="1"/>
  <c r="C395" i="1"/>
  <c r="I530" i="1"/>
  <c r="I561" i="1"/>
  <c r="J40" i="3"/>
  <c r="I509" i="1"/>
  <c r="I531" i="1" s="1"/>
  <c r="D259" i="1"/>
  <c r="I365" i="1"/>
  <c r="I368" i="1" s="1"/>
  <c r="C373" i="1"/>
  <c r="E377" i="1"/>
  <c r="C221" i="1"/>
  <c r="C316" i="1"/>
  <c r="C396" i="1" l="1"/>
  <c r="C400" i="1" s="1"/>
  <c r="E400" i="1"/>
  <c r="D317" i="1"/>
  <c r="D318" i="1"/>
  <c r="C390" i="1"/>
  <c r="I391" i="1"/>
  <c r="E399" i="1"/>
  <c r="I369" i="1"/>
  <c r="D223" i="1"/>
  <c r="D222" i="1"/>
  <c r="E378" i="1"/>
  <c r="C374" i="1"/>
  <c r="C377" i="1" s="1"/>
  <c r="C378" i="1" l="1"/>
  <c r="J399" i="1"/>
  <c r="C399" i="1"/>
  <c r="J400" i="1"/>
  <c r="L52" i="3"/>
  <c r="F486" i="1"/>
  <c r="M468" i="1"/>
  <c r="C568" i="1"/>
  <c r="D484" i="1"/>
  <c r="G242" i="1"/>
  <c r="D242" i="1"/>
  <c r="C242" i="1"/>
  <c r="H242" i="1"/>
  <c r="E234" i="1"/>
  <c r="E243" i="1"/>
  <c r="E244" i="1"/>
  <c r="F242" i="1"/>
  <c r="E235" i="1"/>
  <c r="G246" i="1"/>
  <c r="F233" i="1"/>
  <c r="H246" i="1"/>
  <c r="D246" i="1"/>
  <c r="D233" i="1"/>
  <c r="F246" i="1"/>
  <c r="E246" i="1"/>
  <c r="G233" i="1"/>
  <c r="H233" i="1"/>
  <c r="C246" i="1"/>
  <c r="C233" i="1"/>
  <c r="C255" i="1"/>
  <c r="C259" i="1"/>
  <c r="C263" i="1"/>
  <c r="J378" i="1"/>
  <c r="J377" i="1"/>
  <c r="D336" i="1"/>
  <c r="G336" i="1"/>
  <c r="H336" i="1"/>
  <c r="C336" i="1"/>
  <c r="F336" i="1"/>
  <c r="E338" i="1"/>
  <c r="E337" i="1"/>
  <c r="E329" i="1"/>
  <c r="E328" i="1"/>
  <c r="H340" i="1"/>
  <c r="H27" i="3" s="1"/>
  <c r="H327" i="1"/>
  <c r="E340" i="1"/>
  <c r="E27" i="3" s="1"/>
  <c r="G340" i="1"/>
  <c r="G27" i="3" s="1"/>
  <c r="F340" i="1"/>
  <c r="F27" i="3" s="1"/>
  <c r="C340" i="1"/>
  <c r="C27" i="3" s="1"/>
  <c r="C327" i="1"/>
  <c r="C14" i="3" s="1"/>
  <c r="G327" i="1"/>
  <c r="D327" i="1"/>
  <c r="D14" i="3" s="1"/>
  <c r="F327" i="1"/>
  <c r="D340" i="1"/>
  <c r="D27" i="3" s="1"/>
  <c r="C348" i="1"/>
  <c r="C352" i="1"/>
  <c r="C356" i="1"/>
  <c r="C43" i="3" s="1"/>
  <c r="C39" i="3" l="1"/>
  <c r="E25" i="3"/>
  <c r="G23" i="3"/>
  <c r="C35" i="3"/>
  <c r="G14" i="3"/>
  <c r="E15" i="3"/>
  <c r="F23" i="3"/>
  <c r="D23" i="3"/>
  <c r="F11" i="2"/>
  <c r="M469" i="1"/>
  <c r="M470" i="1" s="1"/>
  <c r="D485" i="1" s="1"/>
  <c r="D486" i="1" s="1"/>
  <c r="F488" i="1"/>
  <c r="E16" i="3"/>
  <c r="C23" i="3"/>
  <c r="C569" i="1"/>
  <c r="C571" i="1" s="1"/>
  <c r="F18" i="2"/>
  <c r="F27" i="2" s="1"/>
  <c r="F14" i="3"/>
  <c r="H14" i="3"/>
  <c r="E24" i="3"/>
  <c r="H23" i="3"/>
  <c r="C570" i="1"/>
  <c r="C572" i="1" s="1"/>
  <c r="F19" i="2"/>
  <c r="F28" i="2" s="1"/>
  <c r="G28" i="2" s="1"/>
  <c r="F50" i="3"/>
  <c r="F52" i="3"/>
  <c r="I52" i="3"/>
  <c r="L53" i="3" s="1"/>
  <c r="L54" i="3" s="1"/>
  <c r="D49" i="3" s="1"/>
  <c r="E495" i="1" l="1"/>
  <c r="E549" i="1" s="1"/>
  <c r="E506" i="1"/>
  <c r="F29" i="2"/>
  <c r="G27" i="2"/>
  <c r="F12" i="2"/>
  <c r="F13" i="2" s="1"/>
  <c r="E11" i="2"/>
  <c r="D11" i="2"/>
  <c r="D42" i="2"/>
  <c r="D45" i="2" s="1"/>
  <c r="G45" i="2" s="1"/>
  <c r="F14" i="2"/>
  <c r="F588" i="1"/>
  <c r="I588" i="1"/>
  <c r="E588" i="1"/>
  <c r="H588" i="1"/>
  <c r="G588" i="1"/>
  <c r="D588" i="1"/>
  <c r="C588" i="1"/>
  <c r="E559" i="1"/>
  <c r="E528" i="1"/>
  <c r="C496" i="1"/>
  <c r="C493" i="1"/>
  <c r="D497" i="1"/>
  <c r="D496" i="1"/>
  <c r="D493" i="1"/>
  <c r="C497" i="1"/>
  <c r="H504" i="1"/>
  <c r="H493" i="1"/>
  <c r="F504" i="1"/>
  <c r="G493" i="1"/>
  <c r="G589" i="1"/>
  <c r="C589" i="1"/>
  <c r="F589" i="1"/>
  <c r="F590" i="1" s="1"/>
  <c r="I589" i="1"/>
  <c r="H589" i="1"/>
  <c r="E589" i="1"/>
  <c r="D589" i="1"/>
  <c r="E494" i="1"/>
  <c r="I493" i="1"/>
  <c r="G504" i="1"/>
  <c r="C94" i="3"/>
  <c r="C183" i="3"/>
  <c r="D33" i="2"/>
  <c r="F493" i="1"/>
  <c r="C504" i="1"/>
  <c r="E505" i="1"/>
  <c r="D504" i="1"/>
  <c r="I504" i="1"/>
  <c r="E517" i="1" l="1"/>
  <c r="D590" i="1"/>
  <c r="G590" i="1"/>
  <c r="H590" i="1"/>
  <c r="C593" i="1"/>
  <c r="C603" i="1" s="1"/>
  <c r="D557" i="1"/>
  <c r="D578" i="1"/>
  <c r="D526" i="1"/>
  <c r="C526" i="1"/>
  <c r="C557" i="1"/>
  <c r="C578" i="1"/>
  <c r="E183" i="3"/>
  <c r="C195" i="3"/>
  <c r="C519" i="1"/>
  <c r="C551" i="1"/>
  <c r="E12" i="2"/>
  <c r="E13" i="2" s="1"/>
  <c r="E14" i="2"/>
  <c r="C104" i="3"/>
  <c r="E94" i="3"/>
  <c r="E590" i="1"/>
  <c r="D577" i="1"/>
  <c r="D547" i="1"/>
  <c r="H577" i="1"/>
  <c r="H547" i="1"/>
  <c r="H515" i="1"/>
  <c r="D550" i="1"/>
  <c r="D518" i="1"/>
  <c r="I526" i="1"/>
  <c r="I557" i="1"/>
  <c r="I547" i="1"/>
  <c r="I515" i="1"/>
  <c r="F578" i="1"/>
  <c r="F557" i="1"/>
  <c r="F526" i="1"/>
  <c r="C547" i="1"/>
  <c r="C577" i="1"/>
  <c r="C182" i="3"/>
  <c r="C184" i="3" s="1"/>
  <c r="C93" i="3"/>
  <c r="C95" i="3" s="1"/>
  <c r="D32" i="2"/>
  <c r="G29" i="2"/>
  <c r="D34" i="2" s="1"/>
  <c r="D40" i="2" s="1"/>
  <c r="D43" i="2" s="1"/>
  <c r="D44" i="2" s="1"/>
  <c r="G44" i="2" s="1"/>
  <c r="G46" i="2" s="1"/>
  <c r="D48" i="3" s="1"/>
  <c r="D50" i="3" s="1"/>
  <c r="F547" i="1"/>
  <c r="F515" i="1"/>
  <c r="F577" i="1"/>
  <c r="E577" i="1"/>
  <c r="E516" i="1"/>
  <c r="E548" i="1"/>
  <c r="C594" i="1"/>
  <c r="C590" i="1"/>
  <c r="C550" i="1"/>
  <c r="C518" i="1"/>
  <c r="E558" i="1"/>
  <c r="E578" i="1"/>
  <c r="E579" i="1" s="1"/>
  <c r="E527" i="1"/>
  <c r="G557" i="1"/>
  <c r="G526" i="1"/>
  <c r="G578" i="1"/>
  <c r="I590" i="1"/>
  <c r="G577" i="1"/>
  <c r="G515" i="1"/>
  <c r="G547" i="1"/>
  <c r="H557" i="1"/>
  <c r="H526" i="1"/>
  <c r="H578" i="1"/>
  <c r="D519" i="1"/>
  <c r="D551" i="1"/>
  <c r="D12" i="2"/>
  <c r="D13" i="2" s="1"/>
  <c r="D14" i="2"/>
  <c r="G13" i="2" l="1"/>
  <c r="H579" i="1"/>
  <c r="G14" i="2"/>
  <c r="G15" i="2" s="1"/>
  <c r="I579" i="1"/>
  <c r="C595" i="1"/>
  <c r="C604" i="1"/>
  <c r="E182" i="3"/>
  <c r="E184" i="3" s="1"/>
  <c r="C194" i="3"/>
  <c r="E194" i="3" s="1"/>
  <c r="C583" i="1"/>
  <c r="C579" i="1"/>
  <c r="D579" i="1"/>
  <c r="E104" i="3"/>
  <c r="D110" i="3" s="1"/>
  <c r="C103" i="3"/>
  <c r="E103" i="3" s="1"/>
  <c r="E93" i="3"/>
  <c r="E95" i="3" s="1"/>
  <c r="G579" i="1"/>
  <c r="D61" i="3"/>
  <c r="C61" i="3"/>
  <c r="D60" i="3"/>
  <c r="D57" i="3"/>
  <c r="C60" i="3"/>
  <c r="C57" i="3"/>
  <c r="H68" i="3"/>
  <c r="G57" i="3"/>
  <c r="E70" i="3"/>
  <c r="E58" i="3"/>
  <c r="F57" i="3"/>
  <c r="H57" i="3"/>
  <c r="D68" i="3"/>
  <c r="I68" i="3"/>
  <c r="E69" i="3"/>
  <c r="I57" i="3"/>
  <c r="E59" i="3"/>
  <c r="C68" i="3"/>
  <c r="G68" i="3"/>
  <c r="F68" i="3"/>
  <c r="C582" i="1"/>
  <c r="C608" i="1" s="1"/>
  <c r="F579" i="1"/>
  <c r="E195" i="3"/>
  <c r="D202" i="3" s="1"/>
  <c r="C196" i="3" l="1"/>
  <c r="F80" i="3"/>
  <c r="E105" i="3"/>
  <c r="D109" i="3"/>
  <c r="D111" i="3" s="1"/>
  <c r="C609" i="1"/>
  <c r="C610" i="1" s="1"/>
  <c r="C605" i="1"/>
  <c r="G81" i="3"/>
  <c r="I81" i="3"/>
  <c r="I82" i="3" s="1"/>
  <c r="C80" i="3"/>
  <c r="D81" i="3"/>
  <c r="C584" i="1"/>
  <c r="E81" i="3"/>
  <c r="H81" i="3"/>
  <c r="H82" i="3" s="1"/>
  <c r="C81" i="3"/>
  <c r="E80" i="3"/>
  <c r="F81" i="3"/>
  <c r="F82" i="3" s="1"/>
  <c r="I80" i="3"/>
  <c r="H80" i="3"/>
  <c r="G80" i="3"/>
  <c r="D80" i="3"/>
  <c r="C105" i="3"/>
  <c r="D201" i="3"/>
  <c r="D203" i="3" s="1"/>
  <c r="E196" i="3"/>
  <c r="E82" i="3" l="1"/>
  <c r="C85" i="3"/>
  <c r="C109" i="3" s="1"/>
  <c r="C82" i="3"/>
  <c r="C86" i="3"/>
  <c r="D82" i="3"/>
  <c r="G82" i="3"/>
  <c r="E109" i="3"/>
  <c r="G109" i="3" s="1"/>
  <c r="I128" i="3" l="1"/>
  <c r="I129" i="3"/>
  <c r="C121" i="3"/>
  <c r="I121" i="3"/>
  <c r="E122" i="3"/>
  <c r="H121" i="3"/>
  <c r="F121" i="3"/>
  <c r="D124" i="3"/>
  <c r="G121" i="3"/>
  <c r="D121" i="3"/>
  <c r="D125" i="3"/>
  <c r="E123" i="3"/>
  <c r="C125" i="3"/>
  <c r="C124" i="3"/>
  <c r="C87" i="3"/>
  <c r="C110" i="3"/>
  <c r="C111" i="3" l="1"/>
  <c r="E110" i="3"/>
  <c r="D221" i="3"/>
  <c r="D146" i="3"/>
  <c r="V124" i="3"/>
  <c r="AE124" i="3" s="1"/>
  <c r="V125" i="3"/>
  <c r="AE125" i="3" s="1"/>
  <c r="D222" i="3"/>
  <c r="D147" i="3"/>
  <c r="C218" i="3"/>
  <c r="C169" i="3"/>
  <c r="U121" i="3"/>
  <c r="AD121" i="3" s="1"/>
  <c r="D218" i="3"/>
  <c r="D169" i="3"/>
  <c r="V121" i="3"/>
  <c r="AE121" i="3" s="1"/>
  <c r="I151" i="3"/>
  <c r="I226" i="3"/>
  <c r="E220" i="3"/>
  <c r="E145" i="3"/>
  <c r="W123" i="3"/>
  <c r="AF123" i="3" s="1"/>
  <c r="I218" i="3"/>
  <c r="I169" i="3"/>
  <c r="I143" i="3"/>
  <c r="AA121" i="3"/>
  <c r="AJ121" i="3" s="1"/>
  <c r="F143" i="3"/>
  <c r="F218" i="3"/>
  <c r="F169" i="3"/>
  <c r="X121" i="3"/>
  <c r="AG121" i="3" s="1"/>
  <c r="C221" i="3"/>
  <c r="C146" i="3"/>
  <c r="U124" i="3"/>
  <c r="AD124" i="3" s="1"/>
  <c r="H218" i="3"/>
  <c r="H169" i="3"/>
  <c r="H143" i="3"/>
  <c r="Z121" i="3"/>
  <c r="AI121" i="3" s="1"/>
  <c r="C222" i="3"/>
  <c r="C147" i="3"/>
  <c r="U125" i="3"/>
  <c r="AD125" i="3" s="1"/>
  <c r="G218" i="3"/>
  <c r="G169" i="3"/>
  <c r="Y121" i="3"/>
  <c r="AH121" i="3" s="1"/>
  <c r="G143" i="3"/>
  <c r="E144" i="3"/>
  <c r="E219" i="3"/>
  <c r="E169" i="3"/>
  <c r="W122" i="3"/>
  <c r="AF122" i="3" s="1"/>
  <c r="I150" i="3"/>
  <c r="I225" i="3"/>
  <c r="AA128" i="3"/>
  <c r="AJ128" i="3" s="1"/>
  <c r="C174" i="3" l="1"/>
  <c r="C201" i="3" s="1"/>
  <c r="E201" i="3" s="1"/>
  <c r="G110" i="3"/>
  <c r="E111" i="3"/>
  <c r="I136" i="3" l="1"/>
  <c r="I137" i="3"/>
  <c r="E134" i="3"/>
  <c r="H132" i="3"/>
  <c r="F132" i="3"/>
  <c r="G132" i="3"/>
  <c r="D132" i="3"/>
  <c r="E133" i="3"/>
  <c r="C132" i="3"/>
  <c r="I132" i="3"/>
  <c r="H229" i="3" l="1"/>
  <c r="H154" i="3"/>
  <c r="Z131" i="3"/>
  <c r="AI131" i="3" s="1"/>
  <c r="H170" i="3"/>
  <c r="H171" i="3" s="1"/>
  <c r="D229" i="3"/>
  <c r="D170" i="3"/>
  <c r="D171" i="3" s="1"/>
  <c r="V131" i="3"/>
  <c r="AE131" i="3" s="1"/>
  <c r="D154" i="3"/>
  <c r="E231" i="3"/>
  <c r="E156" i="3"/>
  <c r="W133" i="3"/>
  <c r="AF133" i="3" s="1"/>
  <c r="I229" i="3"/>
  <c r="I170" i="3"/>
  <c r="I171" i="3" s="1"/>
  <c r="I154" i="3"/>
  <c r="AA131" i="3"/>
  <c r="AJ131" i="3" s="1"/>
  <c r="G170" i="3"/>
  <c r="G171" i="3" s="1"/>
  <c r="G154" i="3"/>
  <c r="Y131" i="3"/>
  <c r="AH131" i="3" s="1"/>
  <c r="G229" i="3"/>
  <c r="I159" i="3"/>
  <c r="I234" i="3"/>
  <c r="E230" i="3"/>
  <c r="E170" i="3"/>
  <c r="E171" i="3" s="1"/>
  <c r="E155" i="3"/>
  <c r="W132" i="3"/>
  <c r="AF132" i="3" s="1"/>
  <c r="C170" i="3"/>
  <c r="C154" i="3"/>
  <c r="U131" i="3"/>
  <c r="AD131" i="3" s="1"/>
  <c r="C229" i="3"/>
  <c r="F170" i="3"/>
  <c r="F171" i="3" s="1"/>
  <c r="F154" i="3"/>
  <c r="X131" i="3"/>
  <c r="AG131" i="3" s="1"/>
  <c r="F229" i="3"/>
  <c r="I158" i="3"/>
  <c r="AA135" i="3"/>
  <c r="AJ135" i="3" s="1"/>
  <c r="I233" i="3"/>
  <c r="C175" i="3" l="1"/>
  <c r="C171" i="3"/>
  <c r="C176" i="3" l="1"/>
  <c r="C202" i="3"/>
  <c r="C203" i="3" l="1"/>
  <c r="E202" i="3"/>
  <c r="E20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</author>
  </authors>
  <commentList>
    <comment ref="S4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Tranche info for the next auction.  This can be obtained from NERA or the Provisional BGS-FP Auction Rules.  Or take the peak FP COB (from Dan C.)  divided by the number of PJM tranches.</t>
        </r>
      </text>
    </comment>
  </commentList>
</comments>
</file>

<file path=xl/sharedStrings.xml><?xml version="1.0" encoding="utf-8"?>
<sst xmlns="http://schemas.openxmlformats.org/spreadsheetml/2006/main" count="1148" uniqueCount="403">
  <si>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</si>
  <si>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</si>
  <si>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</si>
  <si>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</si>
  <si>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</si>
  <si>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</si>
  <si>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</si>
  <si>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</si>
  <si>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</si>
  <si>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</si>
  <si>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</si>
  <si>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</si>
  <si>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</si>
  <si>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</si>
  <si>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</si>
  <si>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</si>
  <si>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</si>
  <si>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</si>
  <si>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</si>
  <si>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</si>
  <si>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</si>
  <si>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</si>
  <si>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</si>
  <si>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</si>
  <si>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</si>
  <si>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</si>
  <si>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</si>
  <si>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</si>
  <si>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</si>
  <si>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</si>
  <si>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</si>
  <si>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</si>
  <si>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</si>
  <si>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</si>
  <si>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</si>
  <si>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</si>
  <si>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</si>
  <si>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</si>
  <si>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</si>
  <si>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</si>
  <si>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</si>
  <si>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</si>
  <si>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</si>
  <si>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</si>
  <si>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</si>
  <si>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</si>
  <si>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</si>
  <si>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</si>
  <si>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</si>
  <si>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</si>
  <si>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</si>
  <si>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</si>
  <si>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</si>
  <si>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</si>
  <si>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</si>
  <si>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</si>
  <si>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</si>
  <si>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</si>
  <si>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</si>
  <si>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</si>
  <si>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</si>
  <si>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</si>
  <si>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</si>
  <si>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</si>
  <si>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</si>
  <si>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</si>
  <si>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</si>
  <si>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</si>
  <si>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</si>
  <si>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</si>
  <si>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</si>
  <si>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</si>
  <si>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</si>
  <si>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</si>
  <si>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</si>
  <si>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</si>
  <si>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</si>
  <si>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</si>
  <si>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</si>
  <si>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</si>
  <si>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</si>
  <si>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</si>
  <si>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</si>
  <si>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</si>
  <si>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</si>
  <si>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</si>
  <si>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</si>
  <si>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</si>
  <si>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</si>
  <si>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</si>
  <si>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</si>
  <si>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</si>
  <si>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</si>
  <si>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</si>
  <si>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</si>
  <si>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</si>
  <si>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</si>
  <si>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</si>
  <si>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</si>
  <si>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</si>
  <si>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</si>
  <si>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</si>
  <si>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</si>
  <si>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</si>
  <si>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</si>
  <si>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</si>
  <si>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</si>
  <si>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</si>
  <si>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</si>
  <si>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</si>
  <si>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Chgs (¢/kWh)</t>
  </si>
  <si>
    <t>Differences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</si>
  <si>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</si>
  <si>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</si>
  <si>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</si>
  <si>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</si>
  <si>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</si>
  <si>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</si>
  <si>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</si>
  <si>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</si>
  <si>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</si>
  <si>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</si>
  <si>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</si>
  <si>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</si>
  <si>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</si>
  <si>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</si>
  <si>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</si>
  <si>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</si>
  <si>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</si>
  <si>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</si>
  <si>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</si>
  <si>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</si>
  <si>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</si>
  <si>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</si>
  <si>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</si>
  <si>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</si>
  <si>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</si>
  <si>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</si>
  <si>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</si>
  <si>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</si>
  <si>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</si>
  <si>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</si>
  <si>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</si>
  <si>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</si>
  <si>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</si>
  <si>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</si>
  <si>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</si>
  <si>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</si>
  <si>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</si>
  <si>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</si>
  <si>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</si>
  <si>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</si>
  <si>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</si>
  <si>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</si>
  <si>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</si>
  <si>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</si>
  <si>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</si>
  <si>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</si>
  <si>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</si>
  <si>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</si>
  <si>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</si>
  <si>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</si>
  <si>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</si>
  <si>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</si>
  <si>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</si>
  <si>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</si>
  <si>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</si>
  <si>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</si>
  <si>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</si>
  <si>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</si>
  <si>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</si>
  <si>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</si>
  <si>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</si>
  <si>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</si>
  <si>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</si>
  <si>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</si>
  <si>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</si>
  <si>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</si>
  <si>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</si>
  <si>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</si>
  <si>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</si>
  <si>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</si>
  <si>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</si>
  <si>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</si>
  <si>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</si>
  <si>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</si>
  <si>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</si>
  <si>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</si>
  <si>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</si>
  <si>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</si>
  <si>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</si>
  <si>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</si>
  <si>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</si>
  <si>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</si>
  <si>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</si>
  <si>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</si>
  <si>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</si>
  <si>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</si>
  <si>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</si>
  <si>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</si>
  <si>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</si>
  <si>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</si>
  <si>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</si>
  <si>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</si>
  <si>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</si>
  <si>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</si>
  <si>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</si>
  <si>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</si>
  <si>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</si>
  <si>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</si>
  <si>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</si>
  <si>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</si>
  <si>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</si>
  <si>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</si>
  <si>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</si>
  <si>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</si>
  <si>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</si>
  <si>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</si>
  <si>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</si>
  <si>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</si>
  <si>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</si>
  <si>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</si>
  <si>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</si>
  <si>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</si>
  <si>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</si>
  <si>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</si>
  <si>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</si>
  <si>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</si>
  <si>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</si>
  <si>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</si>
  <si>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</si>
  <si>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</si>
  <si>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</si>
  <si>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</si>
  <si>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</si>
  <si>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</si>
  <si>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</si>
  <si>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</si>
  <si>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</si>
  <si>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</si>
  <si>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</si>
  <si>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</si>
  <si>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</si>
  <si>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</si>
  <si>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</si>
  <si>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</si>
  <si>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</si>
  <si>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</si>
  <si>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</si>
  <si>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</si>
  <si>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</si>
  <si>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</si>
  <si>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</si>
  <si>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</si>
  <si>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</si>
  <si>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</si>
  <si>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</si>
  <si>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</si>
  <si>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</si>
  <si>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</si>
  <si>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</si>
  <si>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</si>
  <si>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</si>
  <si>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</si>
  <si>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</si>
  <si>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</si>
  <si>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</si>
  <si>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</si>
  <si>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</si>
  <si>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</si>
  <si>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</si>
  <si>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</si>
  <si>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</si>
  <si>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</si>
  <si>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</si>
  <si>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</si>
  <si>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</si>
  <si>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</si>
  <si>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</si>
  <si>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</si>
  <si>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</si>
  <si>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</si>
  <si>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</si>
  <si>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</si>
  <si>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</si>
  <si>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</si>
  <si>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</si>
  <si>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</si>
  <si>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</si>
  <si>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</si>
  <si>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</si>
  <si>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</si>
  <si>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</si>
  <si>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</si>
  <si>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</si>
  <si>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</si>
  <si>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</si>
  <si>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</si>
  <si>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</si>
  <si>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</si>
  <si>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</si>
  <si>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</si>
  <si>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</si>
  <si>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</si>
  <si>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Winning Bid Price (¢/kWh)*</t>
  </si>
  <si>
    <t>Transmission (¢/kWh)</t>
  </si>
  <si>
    <t>Average transmission cost included in bid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</si>
  <si>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</si>
  <si>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</si>
  <si>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</si>
  <si>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</si>
  <si>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</si>
  <si>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</si>
  <si>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</si>
  <si>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</si>
  <si>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</si>
  <si>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</si>
  <si>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</si>
  <si>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</si>
  <si>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</si>
  <si>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</si>
  <si>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</si>
  <si>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</si>
  <si>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</si>
  <si>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</si>
  <si>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</si>
  <si>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</si>
  <si>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</si>
  <si>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</si>
  <si>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</si>
  <si>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</si>
  <si>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</si>
  <si>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</si>
  <si>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</si>
  <si>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</si>
  <si>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</si>
  <si>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</si>
  <si>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</si>
  <si>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</si>
  <si>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</si>
  <si>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</si>
  <si>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</si>
  <si>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</si>
  <si>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</si>
  <si>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</si>
  <si>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</si>
  <si>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</si>
  <si>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</si>
  <si>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</si>
  <si>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</si>
  <si>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</si>
  <si>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</si>
  <si>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</si>
  <si>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</si>
  <si>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</si>
  <si>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</si>
  <si>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</si>
  <si>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</si>
  <si>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</si>
  <si>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</si>
  <si>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</si>
  <si>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</si>
  <si>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</si>
  <si>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</si>
  <si>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</si>
  <si>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</si>
  <si>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</si>
  <si>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</si>
  <si>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</si>
  <si>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</si>
  <si>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</si>
  <si>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</si>
  <si>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</si>
  <si>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</si>
  <si>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</si>
  <si>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</si>
  <si>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</si>
  <si>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</si>
  <si>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</si>
  <si>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</si>
  <si>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</si>
  <si>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</si>
  <si>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</si>
  <si>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</si>
  <si>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</si>
  <si>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</si>
  <si>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</si>
  <si>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</si>
  <si>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</si>
  <si>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</si>
  <si>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</si>
  <si>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</si>
  <si>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</si>
  <si>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</si>
  <si>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</si>
  <si>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</si>
  <si>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</si>
  <si>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</si>
  <si>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</si>
  <si>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</si>
  <si>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</si>
  <si>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2019 to May 2020 Forwards @ PJM West as of January 02, 2019</t>
  </si>
  <si>
    <t>Based on Jan 2020 to Dec 2020 Forwards @ NYISO Zone G and Lower Hudson Valley (LHV) as of January 07,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</si>
</sst>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&quot;$&quot;#,##0.00"/>
    <numFmt numFmtId="176" formatCode="0.000%"/>
    <numFmt numFmtId="177" formatCode="_(* #,##0.000000_);_(* \(#,##0.000000\);_(* &quot;-&quot;??_);_(@_)"/>
    <numFmt numFmtId="178" formatCode="0.0000"/>
    <numFmt numFmtId="179" formatCode="#,##0.000_);\(#,##0.000\)"/>
    <numFmt numFmtId="180" formatCode="0.00_);\(0.00\)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b/>
      <i/>
      <sz val="8.69999999999999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5" fillId="0" borderId="0" xfId="0" quotePrefix="1" applyFont="1" applyFill="1" applyAlignment="1">
      <alignment horizontal="left"/>
    </xf>
    <xf numFmtId="3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5" fillId="0" borderId="0" xfId="0" applyFont="1" applyFill="1" applyBorder="1"/>
    <xf numFmtId="44" fontId="0" fillId="0" borderId="0" xfId="2" quotePrefix="1" applyFont="1" applyFill="1"/>
    <xf numFmtId="166" fontId="0" fillId="0" borderId="0" xfId="2" quotePrefix="1" applyNumberFormat="1" applyFont="1" applyFill="1" applyAlignment="1">
      <alignment horizontal="left"/>
    </xf>
    <xf numFmtId="44" fontId="0" fillId="0" borderId="0" xfId="2" quotePrefix="1" applyFont="1" applyFill="1" applyAlignment="1">
      <alignment horizontal="left"/>
    </xf>
    <xf numFmtId="0" fontId="7" fillId="0" borderId="0" xfId="0" applyFont="1" applyFill="1"/>
    <xf numFmtId="173" fontId="7" fillId="0" borderId="0" xfId="1" quotePrefix="1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 applyBorder="1"/>
    <xf numFmtId="0" fontId="7" fillId="0" borderId="0" xfId="0" quotePrefix="1" applyFont="1" applyFill="1" applyAlignment="1">
      <alignment horizontal="left"/>
    </xf>
    <xf numFmtId="166" fontId="0" fillId="0" borderId="0" xfId="2" applyNumberFormat="1" applyFont="1" applyFill="1"/>
    <xf numFmtId="9" fontId="0" fillId="0" borderId="0" xfId="3" applyFont="1" applyFill="1"/>
    <xf numFmtId="166" fontId="0" fillId="0" borderId="0" xfId="3" applyNumberFormat="1" applyFont="1" applyFill="1"/>
    <xf numFmtId="0" fontId="8" fillId="0" borderId="0" xfId="0" applyFont="1" applyFill="1" applyAlignment="1">
      <alignment horizontal="right"/>
    </xf>
    <xf numFmtId="7" fontId="0" fillId="0" borderId="0" xfId="3" applyNumberFormat="1" applyFont="1" applyFill="1"/>
    <xf numFmtId="44" fontId="6" fillId="0" borderId="0" xfId="0" quotePrefix="1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166" fontId="9" fillId="0" borderId="0" xfId="2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76" fontId="6" fillId="0" borderId="0" xfId="3" applyNumberFormat="1" applyFont="1" applyFill="1"/>
    <xf numFmtId="166" fontId="9" fillId="0" borderId="0" xfId="0" quotePrefix="1" applyNumberFormat="1" applyFont="1" applyFill="1" applyAlignment="1">
      <alignment horizontal="left"/>
    </xf>
    <xf numFmtId="170" fontId="10" fillId="0" borderId="0" xfId="0" applyNumberFormat="1" applyFont="1" applyFill="1" applyBorder="1"/>
    <xf numFmtId="0" fontId="10" fillId="0" borderId="0" xfId="0" applyFont="1" applyFill="1"/>
    <xf numFmtId="178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8" fillId="0" borderId="0" xfId="0" applyFont="1" applyFill="1"/>
    <xf numFmtId="3" fontId="10" fillId="0" borderId="0" xfId="0" applyNumberFormat="1" applyFont="1" applyFill="1"/>
    <xf numFmtId="3" fontId="18" fillId="0" borderId="0" xfId="0" applyNumberFormat="1" applyFont="1" applyFill="1"/>
    <xf numFmtId="0" fontId="10" fillId="0" borderId="0" xfId="0" applyFont="1" applyFill="1" applyBorder="1"/>
    <xf numFmtId="170" fontId="19" fillId="0" borderId="15" xfId="0" applyNumberFormat="1" applyFont="1" applyFill="1" applyBorder="1"/>
    <xf numFmtId="44" fontId="7" fillId="0" borderId="0" xfId="2" quotePrefix="1" applyNumberFormat="1" applyFont="1" applyFill="1" applyBorder="1"/>
    <xf numFmtId="43" fontId="20" fillId="0" borderId="0" xfId="1" applyFont="1" applyFill="1" applyAlignment="1">
      <alignment horizontal="right"/>
    </xf>
    <xf numFmtId="166" fontId="20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quotePrefix="1" applyFont="1" applyFill="1" applyBorder="1"/>
    <xf numFmtId="0" fontId="7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left"/>
    </xf>
    <xf numFmtId="166" fontId="0" fillId="0" borderId="0" xfId="2" applyNumberFormat="1" applyFont="1" applyFill="1" applyBorder="1"/>
    <xf numFmtId="44" fontId="0" fillId="0" borderId="0" xfId="2" applyFont="1" applyFill="1"/>
    <xf numFmtId="166" fontId="10" fillId="0" borderId="0" xfId="0" applyNumberFormat="1" applyFont="1" applyFill="1"/>
    <xf numFmtId="43" fontId="0" fillId="0" borderId="0" xfId="1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11" fillId="0" borderId="0" xfId="0" applyFont="1" applyFill="1"/>
    <xf numFmtId="0" fontId="12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9" fontId="12" fillId="0" borderId="0" xfId="0" applyNumberFormat="1" applyFont="1" applyFill="1"/>
    <xf numFmtId="171" fontId="12" fillId="0" borderId="0" xfId="2" quotePrefix="1" applyNumberFormat="1" applyFont="1" applyFill="1"/>
    <xf numFmtId="3" fontId="12" fillId="0" borderId="0" xfId="0" quotePrefix="1" applyNumberFormat="1" applyFont="1" applyFill="1"/>
    <xf numFmtId="3" fontId="12" fillId="0" borderId="0" xfId="0" applyNumberFormat="1" applyFont="1" applyFill="1"/>
    <xf numFmtId="0" fontId="13" fillId="0" borderId="0" xfId="0" applyFont="1" applyFill="1" applyAlignment="1">
      <alignment horizontal="left"/>
    </xf>
    <xf numFmtId="0" fontId="12" fillId="0" borderId="0" xfId="0" quotePrefix="1" applyFont="1" applyFill="1"/>
    <xf numFmtId="44" fontId="12" fillId="0" borderId="0" xfId="2" applyNumberFormat="1" applyFont="1" applyFill="1"/>
    <xf numFmtId="44" fontId="12" fillId="0" borderId="0" xfId="0" applyNumberFormat="1" applyFont="1" applyFill="1"/>
    <xf numFmtId="43" fontId="7" fillId="0" borderId="0" xfId="1" quotePrefix="1" applyFont="1" applyFill="1" applyBorder="1"/>
    <xf numFmtId="0" fontId="7" fillId="0" borderId="4" xfId="0" applyFont="1" applyFill="1" applyBorder="1"/>
    <xf numFmtId="171" fontId="7" fillId="0" borderId="0" xfId="0" applyNumberFormat="1" applyFont="1" applyFill="1"/>
    <xf numFmtId="44" fontId="7" fillId="0" borderId="0" xfId="0" applyNumberFormat="1" applyFont="1" applyFill="1"/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0" fontId="10" fillId="0" borderId="6" xfId="0" applyFont="1" applyFill="1" applyBorder="1"/>
    <xf numFmtId="0" fontId="10" fillId="0" borderId="8" xfId="0" applyFont="1" applyFill="1" applyBorder="1"/>
    <xf numFmtId="169" fontId="0" fillId="0" borderId="0" xfId="1" applyNumberFormat="1" applyFont="1" applyFill="1"/>
    <xf numFmtId="0" fontId="10" fillId="0" borderId="10" xfId="0" applyFont="1" applyFill="1" applyBorder="1"/>
    <xf numFmtId="0" fontId="7" fillId="0" borderId="14" xfId="0" applyFont="1" applyFill="1" applyBorder="1" applyAlignment="1">
      <alignment horizontal="left"/>
    </xf>
    <xf numFmtId="44" fontId="9" fillId="0" borderId="0" xfId="0" applyNumberFormat="1" applyFont="1" applyFill="1"/>
    <xf numFmtId="44" fontId="10" fillId="0" borderId="0" xfId="0" applyNumberFormat="1" applyFont="1" applyFill="1"/>
    <xf numFmtId="166" fontId="0" fillId="0" borderId="0" xfId="2" quotePrefix="1" applyNumberFormat="1" applyFont="1" applyFill="1"/>
    <xf numFmtId="166" fontId="9" fillId="0" borderId="0" xfId="2" quotePrefix="1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22" fillId="0" borderId="0" xfId="0" applyFont="1" applyFill="1"/>
    <xf numFmtId="1" fontId="7" fillId="0" borderId="0" xfId="1" applyNumberFormat="1" applyFont="1" applyFill="1"/>
    <xf numFmtId="39" fontId="0" fillId="0" borderId="0" xfId="0" quotePrefix="1" applyNumberFormat="1" applyFont="1" applyFill="1"/>
    <xf numFmtId="0" fontId="0" fillId="0" borderId="0" xfId="0" applyFont="1" applyFill="1" applyAlignment="1">
      <alignment wrapText="1"/>
    </xf>
    <xf numFmtId="17" fontId="0" fillId="0" borderId="0" xfId="0" applyNumberFormat="1" applyFont="1" applyFill="1"/>
    <xf numFmtId="10" fontId="0" fillId="0" borderId="0" xfId="3" quotePrefix="1" applyNumberFormat="1" applyFont="1" applyFill="1"/>
    <xf numFmtId="164" fontId="0" fillId="0" borderId="0" xfId="3" quotePrefix="1" applyNumberFormat="1" applyFont="1" applyFill="1"/>
    <xf numFmtId="9" fontId="0" fillId="0" borderId="0" xfId="3" quotePrefix="1" applyFont="1" applyFill="1"/>
    <xf numFmtId="10" fontId="0" fillId="0" borderId="0" xfId="0" applyNumberFormat="1" applyFont="1" applyFill="1"/>
    <xf numFmtId="10" fontId="0" fillId="0" borderId="0" xfId="3" applyNumberFormat="1" applyFont="1" applyFill="1"/>
    <xf numFmtId="9" fontId="0" fillId="0" borderId="0" xfId="3" applyNumberFormat="1" applyFont="1" applyFill="1"/>
    <xf numFmtId="9" fontId="0" fillId="0" borderId="0" xfId="3" quotePrefix="1" applyFont="1" applyFill="1" applyAlignment="1">
      <alignment horizontal="center"/>
    </xf>
    <xf numFmtId="164" fontId="0" fillId="0" borderId="0" xfId="3" quotePrefix="1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 applyFill="1" applyAlignment="1">
      <alignment horizontal="right"/>
    </xf>
    <xf numFmtId="3" fontId="0" fillId="0" borderId="0" xfId="0" quotePrefix="1" applyNumberFormat="1" applyFont="1" applyFill="1"/>
    <xf numFmtId="0" fontId="0" fillId="0" borderId="0" xfId="0" quotePrefix="1" applyFont="1" applyFill="1" applyAlignment="1">
      <alignment horizontal="right"/>
    </xf>
    <xf numFmtId="3" fontId="0" fillId="0" borderId="0" xfId="0" quotePrefix="1" applyNumberFormat="1" applyFont="1" applyFill="1" applyBorder="1"/>
    <xf numFmtId="17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0" xfId="0" applyFont="1" applyFill="1" applyAlignment="1"/>
    <xf numFmtId="0" fontId="0" fillId="0" borderId="4" xfId="0" applyFont="1" applyFill="1" applyBorder="1"/>
    <xf numFmtId="3" fontId="0" fillId="0" borderId="4" xfId="0" applyNumberFormat="1" applyFont="1" applyFill="1" applyBorder="1"/>
    <xf numFmtId="4" fontId="0" fillId="0" borderId="0" xfId="0" applyNumberFormat="1" applyFont="1" applyFill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65" fontId="0" fillId="0" borderId="0" xfId="0" applyNumberFormat="1" applyFont="1" applyFill="1" applyBorder="1"/>
    <xf numFmtId="0" fontId="0" fillId="0" borderId="5" xfId="0" applyFont="1" applyFill="1" applyBorder="1" applyAlignment="1"/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/>
    <xf numFmtId="0" fontId="0" fillId="0" borderId="0" xfId="0" quotePrefix="1" applyFont="1" applyFill="1" applyBorder="1" applyAlignment="1">
      <alignment horizontal="right"/>
    </xf>
    <xf numFmtId="17" fontId="0" fillId="0" borderId="0" xfId="0" applyNumberFormat="1" applyFont="1" applyFill="1" applyAlignment="1">
      <alignment horizontal="right"/>
    </xf>
    <xf numFmtId="44" fontId="0" fillId="0" borderId="0" xfId="0" applyNumberFormat="1" applyFont="1" applyFill="1" applyBorder="1"/>
    <xf numFmtId="166" fontId="0" fillId="0" borderId="0" xfId="0" applyNumberFormat="1" applyFont="1" applyFill="1" applyBorder="1"/>
    <xf numFmtId="44" fontId="0" fillId="0" borderId="0" xfId="2" quotePrefix="1" applyNumberFormat="1" applyFont="1" applyFill="1"/>
    <xf numFmtId="166" fontId="0" fillId="0" borderId="0" xfId="0" applyNumberFormat="1" applyFont="1" applyFill="1"/>
    <xf numFmtId="39" fontId="0" fillId="0" borderId="0" xfId="0" applyNumberFormat="1" applyFont="1" applyFill="1"/>
    <xf numFmtId="14" fontId="0" fillId="0" borderId="0" xfId="0" applyNumberFormat="1" applyFont="1" applyFill="1"/>
    <xf numFmtId="167" fontId="0" fillId="0" borderId="0" xfId="0" applyNumberFormat="1" applyFont="1" applyFill="1"/>
    <xf numFmtId="168" fontId="0" fillId="0" borderId="0" xfId="0" applyNumberFormat="1" applyFont="1" applyFill="1"/>
    <xf numFmtId="169" fontId="0" fillId="0" borderId="0" xfId="0" applyNumberFormat="1" applyFont="1" applyFill="1"/>
    <xf numFmtId="168" fontId="0" fillId="0" borderId="0" xfId="0" applyNumberFormat="1" applyFont="1" applyFill="1" applyAlignment="1">
      <alignment horizontal="right"/>
    </xf>
    <xf numFmtId="0" fontId="0" fillId="0" borderId="0" xfId="0" quotePrefix="1" applyFont="1" applyFill="1"/>
    <xf numFmtId="43" fontId="0" fillId="0" borderId="0" xfId="0" applyNumberFormat="1" applyFont="1" applyFill="1"/>
    <xf numFmtId="7" fontId="0" fillId="0" borderId="0" xfId="2" applyNumberFormat="1" applyFont="1" applyFill="1"/>
    <xf numFmtId="0" fontId="0" fillId="0" borderId="0" xfId="0" quotePrefix="1" applyFont="1" applyFill="1" applyAlignment="1">
      <alignment horizontal="lef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0" fontId="0" fillId="0" borderId="0" xfId="0" applyNumberFormat="1" applyFont="1" applyFill="1"/>
    <xf numFmtId="10" fontId="0" fillId="0" borderId="0" xfId="0" applyNumberFormat="1" applyFont="1" applyFill="1" applyBorder="1"/>
    <xf numFmtId="7" fontId="0" fillId="0" borderId="0" xfId="0" applyNumberFormat="1" applyFont="1" applyFill="1"/>
    <xf numFmtId="5" fontId="0" fillId="0" borderId="0" xfId="0" applyNumberFormat="1" applyFont="1" applyFill="1"/>
    <xf numFmtId="171" fontId="0" fillId="0" borderId="0" xfId="2" quotePrefix="1" applyNumberFormat="1" applyFont="1" applyFill="1"/>
    <xf numFmtId="171" fontId="0" fillId="0" borderId="0" xfId="0" applyNumberFormat="1" applyFont="1" applyFill="1"/>
    <xf numFmtId="44" fontId="0" fillId="0" borderId="0" xfId="2" applyNumberFormat="1" applyFont="1" applyFill="1"/>
    <xf numFmtId="44" fontId="0" fillId="0" borderId="0" xfId="0" applyNumberFormat="1" applyFont="1" applyFill="1"/>
    <xf numFmtId="166" fontId="0" fillId="0" borderId="6" xfId="0" applyNumberFormat="1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3" fontId="0" fillId="0" borderId="9" xfId="0" applyNumberFormat="1" applyFont="1" applyFill="1" applyBorder="1"/>
    <xf numFmtId="0" fontId="0" fillId="0" borderId="10" xfId="0" applyFont="1" applyFill="1" applyBorder="1"/>
    <xf numFmtId="3" fontId="0" fillId="0" borderId="11" xfId="0" applyNumberFormat="1" applyFont="1" applyFill="1" applyBorder="1"/>
    <xf numFmtId="172" fontId="0" fillId="0" borderId="0" xfId="0" applyNumberFormat="1" applyFont="1" applyFill="1"/>
    <xf numFmtId="43" fontId="0" fillId="0" borderId="0" xfId="1" quotePrefix="1" applyFont="1" applyFill="1" applyBorder="1"/>
    <xf numFmtId="43" fontId="0" fillId="0" borderId="0" xfId="1" quotePrefix="1" applyFont="1" applyFill="1"/>
    <xf numFmtId="173" fontId="0" fillId="0" borderId="0" xfId="1" quotePrefix="1" applyNumberFormat="1" applyFont="1" applyFill="1" applyBorder="1"/>
    <xf numFmtId="173" fontId="0" fillId="0" borderId="0" xfId="1" quotePrefix="1" applyNumberFormat="1" applyFont="1" applyFill="1"/>
    <xf numFmtId="17" fontId="0" fillId="0" borderId="0" xfId="0" quotePrefix="1" applyNumberFormat="1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173" fontId="0" fillId="0" borderId="0" xfId="0" applyNumberFormat="1" applyFont="1" applyFill="1"/>
    <xf numFmtId="166" fontId="0" fillId="0" borderId="0" xfId="0" quotePrefix="1" applyNumberFormat="1" applyFont="1" applyFill="1" applyAlignment="1">
      <alignment horizontal="left"/>
    </xf>
    <xf numFmtId="0" fontId="0" fillId="0" borderId="5" xfId="0" applyFont="1" applyFill="1" applyBorder="1" applyAlignment="1">
      <alignment horizontal="right"/>
    </xf>
    <xf numFmtId="2" fontId="0" fillId="0" borderId="0" xfId="0" applyNumberFormat="1" applyFont="1" applyFill="1"/>
    <xf numFmtId="4" fontId="0" fillId="0" borderId="5" xfId="0" applyNumberFormat="1" applyFont="1" applyFill="1" applyBorder="1"/>
    <xf numFmtId="9" fontId="0" fillId="0" borderId="0" xfId="1" applyNumberFormat="1" applyFont="1" applyFill="1"/>
    <xf numFmtId="164" fontId="0" fillId="0" borderId="0" xfId="0" applyNumberFormat="1" applyFont="1" applyFill="1"/>
    <xf numFmtId="7" fontId="0" fillId="0" borderId="0" xfId="0" applyNumberFormat="1" applyFont="1" applyFill="1" applyAlignment="1">
      <alignment horizontal="right"/>
    </xf>
    <xf numFmtId="43" fontId="0" fillId="0" borderId="0" xfId="2" applyNumberFormat="1" applyFont="1" applyFill="1"/>
    <xf numFmtId="2" fontId="0" fillId="0" borderId="12" xfId="0" applyNumberFormat="1" applyFont="1" applyFill="1" applyBorder="1"/>
    <xf numFmtId="2" fontId="0" fillId="0" borderId="0" xfId="0" applyNumberFormat="1" applyFont="1" applyFill="1" applyBorder="1"/>
    <xf numFmtId="175" fontId="0" fillId="0" borderId="0" xfId="0" applyNumberFormat="1" applyFont="1" applyFill="1" applyBorder="1"/>
    <xf numFmtId="2" fontId="0" fillId="0" borderId="13" xfId="0" applyNumberFormat="1" applyFont="1" applyFill="1" applyBorder="1"/>
    <xf numFmtId="0" fontId="0" fillId="0" borderId="11" xfId="0" applyFont="1" applyFill="1" applyBorder="1"/>
    <xf numFmtId="0" fontId="0" fillId="0" borderId="14" xfId="0" applyFont="1" applyFill="1" applyBorder="1"/>
    <xf numFmtId="175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/>
    <xf numFmtId="170" fontId="0" fillId="0" borderId="0" xfId="0" quotePrefix="1" applyNumberFormat="1" applyFont="1" applyFill="1" applyAlignment="1">
      <alignment horizontal="right"/>
    </xf>
    <xf numFmtId="2" fontId="0" fillId="0" borderId="0" xfId="0" quotePrefix="1" applyNumberFormat="1" applyFont="1" applyFill="1" applyAlignment="1">
      <alignment horizontal="right"/>
    </xf>
    <xf numFmtId="175" fontId="0" fillId="0" borderId="0" xfId="0" applyNumberFormat="1" applyFont="1" applyFill="1"/>
    <xf numFmtId="177" fontId="0" fillId="0" borderId="0" xfId="1" quotePrefix="1" applyNumberFormat="1" applyFont="1" applyFill="1"/>
    <xf numFmtId="174" fontId="0" fillId="0" borderId="0" xfId="1" quotePrefix="1" applyNumberFormat="1" applyFont="1" applyFill="1"/>
    <xf numFmtId="0" fontId="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170" fontId="10" fillId="0" borderId="0" xfId="0" applyNumberFormat="1" applyFont="1" applyFill="1"/>
    <xf numFmtId="170" fontId="19" fillId="0" borderId="0" xfId="0" applyNumberFormat="1" applyFont="1" applyFill="1"/>
    <xf numFmtId="9" fontId="10" fillId="0" borderId="0" xfId="3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18" fillId="0" borderId="0" xfId="0" quotePrefix="1" applyFont="1" applyFill="1" applyAlignment="1">
      <alignment horizontal="right"/>
    </xf>
    <xf numFmtId="0" fontId="19" fillId="0" borderId="0" xfId="0" applyFont="1" applyFill="1"/>
    <xf numFmtId="0" fontId="10" fillId="0" borderId="0" xfId="0" applyFont="1" applyFill="1" applyAlignment="1">
      <alignment horizontal="left"/>
    </xf>
    <xf numFmtId="170" fontId="19" fillId="0" borderId="0" xfId="0" applyNumberFormat="1" applyFont="1" applyFill="1" applyBorder="1"/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0" fontId="21" fillId="0" borderId="0" xfId="0" applyFont="1" applyFill="1"/>
    <xf numFmtId="0" fontId="2" fillId="0" borderId="9" xfId="0" applyFont="1" applyFill="1" applyBorder="1"/>
    <xf numFmtId="0" fontId="21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9" xfId="0" applyFont="1" applyFill="1" applyBorder="1"/>
    <xf numFmtId="17" fontId="7" fillId="0" borderId="0" xfId="0" applyNumberFormat="1" applyFont="1" applyFill="1" applyBorder="1"/>
    <xf numFmtId="0" fontId="7" fillId="0" borderId="13" xfId="0" applyFont="1" applyFill="1" applyBorder="1"/>
    <xf numFmtId="0" fontId="7" fillId="0" borderId="1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 applyAlignment="1"/>
    <xf numFmtId="180" fontId="9" fillId="0" borderId="0" xfId="0" applyNumberFormat="1" applyFont="1" applyFill="1" applyAlignment="1"/>
    <xf numFmtId="44" fontId="0" fillId="0" borderId="0" xfId="0" quotePrefix="1" applyNumberFormat="1" applyFont="1" applyFill="1"/>
    <xf numFmtId="175" fontId="0" fillId="0" borderId="0" xfId="0" applyNumberFormat="1" applyFont="1" applyFill="1" applyAlignment="1">
      <alignment horizontal="left"/>
    </xf>
    <xf numFmtId="179" fontId="0" fillId="0" borderId="0" xfId="0" quotePrefix="1" applyNumberFormat="1" applyFont="1" applyFill="1" applyAlignment="1">
      <alignment horizontal="right"/>
    </xf>
    <xf numFmtId="179" fontId="0" fillId="0" borderId="0" xfId="0" applyNumberFormat="1" applyFont="1" applyFill="1"/>
    <xf numFmtId="179" fontId="0" fillId="0" borderId="0" xfId="0" applyNumberFormat="1" applyFont="1" applyFill="1" applyAlignment="1">
      <alignment horizontal="right"/>
    </xf>
    <xf numFmtId="178" fontId="0" fillId="0" borderId="0" xfId="0" quotePrefix="1" applyNumberFormat="1" applyFont="1" applyFill="1" applyAlignment="1">
      <alignment horizontal="right"/>
    </xf>
    <xf numFmtId="39" fontId="0" fillId="0" borderId="12" xfId="0" applyNumberFormat="1" applyFont="1" applyFill="1" applyBorder="1"/>
    <xf numFmtId="39" fontId="0" fillId="0" borderId="0" xfId="0" applyNumberFormat="1" applyFont="1" applyFill="1" applyBorder="1"/>
    <xf numFmtId="169" fontId="0" fillId="0" borderId="0" xfId="1" applyNumberFormat="1" applyFont="1" applyFill="1" applyBorder="1" applyAlignment="1">
      <alignment horizontal="right"/>
    </xf>
    <xf numFmtId="169" fontId="0" fillId="0" borderId="9" xfId="1" applyNumberFormat="1" applyFont="1" applyFill="1" applyBorder="1" applyAlignment="1">
      <alignment horizontal="right"/>
    </xf>
    <xf numFmtId="43" fontId="0" fillId="0" borderId="8" xfId="1" quotePrefix="1" applyFont="1" applyFill="1" applyBorder="1"/>
    <xf numFmtId="0" fontId="0" fillId="0" borderId="13" xfId="0" applyFont="1" applyFill="1" applyBorder="1"/>
    <xf numFmtId="39" fontId="0" fillId="0" borderId="13" xfId="0" applyNumberFormat="1" applyFont="1" applyFill="1" applyBorder="1"/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37" fontId="0" fillId="0" borderId="8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/>
    <xf numFmtId="37" fontId="0" fillId="0" borderId="15" xfId="0" applyNumberFormat="1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7" fontId="0" fillId="0" borderId="0" xfId="0" applyNumberFormat="1" applyFont="1" applyFill="1" applyAlignment="1"/>
    <xf numFmtId="180" fontId="0" fillId="0" borderId="0" xfId="0" applyNumberFormat="1" applyFont="1" applyFill="1" applyAlignment="1"/>
    <xf numFmtId="2" fontId="0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7030A0"/>
  </sheetPr>
  <dimension ref="A1:AB610"/>
  <sheetViews>
    <sheetView tabSelected="1" zoomScale="90" zoomScaleNormal="90" workbookViewId="0">
      <selection activeCell="I570" sqref="I570"/>
    </sheetView>
  </sheetViews>
  <sheetFormatPr defaultRowHeight="12.75" x14ac:dyDescent="0.2"/>
  <cols>
    <col min="1" max="1" width="10.7109375" style="110" customWidth="1"/>
    <col min="2" max="2" width="27.85546875" style="111" customWidth="1"/>
    <col min="3" max="3" width="16.42578125" style="111" customWidth="1"/>
    <col min="4" max="4" width="16.140625" style="111" customWidth="1"/>
    <col min="5" max="5" width="12.7109375" style="111" customWidth="1"/>
    <col min="6" max="7" width="13.42578125" style="111" customWidth="1"/>
    <col min="8" max="8" width="12.7109375" style="111" customWidth="1"/>
    <col min="9" max="9" width="14.85546875" style="111" customWidth="1"/>
    <col min="10" max="10" width="12.7109375" style="111" customWidth="1"/>
    <col min="11" max="11" width="17.28515625" style="111" customWidth="1"/>
    <col min="12" max="12" width="15.140625" style="111" bestFit="1" customWidth="1"/>
    <col min="13" max="13" width="13.42578125" style="111" customWidth="1"/>
    <col min="14" max="14" width="12" style="111" customWidth="1"/>
    <col min="15" max="15" width="11.140625" style="111" customWidth="1"/>
    <col min="16" max="16" width="9.85546875" style="111" bestFit="1" customWidth="1"/>
    <col min="17" max="17" width="13" style="111" customWidth="1"/>
    <col min="18" max="18" width="9.85546875" style="111" bestFit="1" customWidth="1"/>
    <col min="19" max="19" width="10.7109375" style="111" customWidth="1"/>
    <col min="20" max="22" width="11.7109375" style="111" customWidth="1"/>
    <col min="23" max="23" width="9.140625" style="111"/>
    <col min="24" max="24" width="11" style="111" bestFit="1" customWidth="1"/>
    <col min="25" max="26" width="9.140625" style="111"/>
    <col min="27" max="27" width="15.28515625" style="111" customWidth="1"/>
    <col min="28" max="28" width="13.5703125" style="111" customWidth="1"/>
    <col min="29" max="16384" width="9.140625" style="111"/>
  </cols>
  <sheetData>
    <row r="1" spans="1:28" ht="15.75" x14ac:dyDescent="0.25">
      <c r="B1" s="42" t="str">
        <f>"Development of BGS Cost and Bid Factors for Rates Effective June 1, " &amp;M1</f>
        <v>Development of BGS Cost and Bid Factors for Rates Effective June 1, 2019</v>
      </c>
      <c r="G1" s="112"/>
      <c r="M1" s="113">
        <v>2019</v>
      </c>
      <c r="N1" s="111" t="s">
        <v>0</v>
      </c>
    </row>
    <row r="2" spans="1:28" ht="15" x14ac:dyDescent="0.2">
      <c r="A2" s="43"/>
      <c r="I2" s="44"/>
    </row>
    <row r="3" spans="1:28" x14ac:dyDescent="0.2">
      <c r="E3" s="1" t="str">
        <f>"Based on " &amp;M1-2  &amp;" Load Profile Information"</f>
        <v>Based on 2017 Load Profile Information</v>
      </c>
    </row>
    <row r="4" spans="1:28" x14ac:dyDescent="0.2">
      <c r="A4" s="45" t="s">
        <v>1</v>
      </c>
      <c r="B4" s="46" t="s">
        <v>2</v>
      </c>
      <c r="C4" s="114"/>
      <c r="E4" s="4" t="s">
        <v>3</v>
      </c>
      <c r="L4" s="46"/>
      <c r="M4" s="47" t="str">
        <f>"'% usage during Off-Peak period (from "&amp;M1-1&amp;" profiles)"</f>
        <v>'% usage during Off-Peak period (from 2018 profiles)</v>
      </c>
    </row>
    <row r="5" spans="1:28" ht="38.25" x14ac:dyDescent="0.2">
      <c r="A5" s="3"/>
      <c r="C5" s="48" t="s">
        <v>4</v>
      </c>
      <c r="D5" s="48" t="s">
        <v>4</v>
      </c>
      <c r="E5" s="48" t="s">
        <v>4</v>
      </c>
      <c r="F5" s="48" t="s">
        <v>4</v>
      </c>
      <c r="G5" s="4" t="s">
        <v>5</v>
      </c>
      <c r="H5" s="115"/>
      <c r="I5" s="48" t="s">
        <v>4</v>
      </c>
      <c r="J5" s="48"/>
      <c r="K5" s="48"/>
      <c r="L5" s="4"/>
      <c r="M5" s="48" t="s">
        <v>4</v>
      </c>
      <c r="N5" s="48" t="s">
        <v>4</v>
      </c>
      <c r="O5" s="48" t="s">
        <v>4</v>
      </c>
      <c r="P5" s="48" t="s">
        <v>4</v>
      </c>
      <c r="Q5" s="4" t="s">
        <v>6</v>
      </c>
      <c r="R5" s="115"/>
      <c r="S5" s="48" t="s">
        <v>4</v>
      </c>
      <c r="T5" s="48"/>
    </row>
    <row r="6" spans="1:28" x14ac:dyDescent="0.2">
      <c r="A6" s="3"/>
      <c r="B6" s="49"/>
      <c r="C6" s="53" t="s">
        <v>7</v>
      </c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23"/>
      <c r="K6" s="23"/>
      <c r="L6" s="50"/>
      <c r="M6" s="23" t="str">
        <f t="shared" ref="M6:S6" si="0">+C6</f>
        <v>SC1</v>
      </c>
      <c r="N6" s="23" t="str">
        <f t="shared" si="0"/>
        <v>SC5</v>
      </c>
      <c r="O6" s="23" t="str">
        <f t="shared" si="0"/>
        <v>SC3</v>
      </c>
      <c r="P6" s="23" t="str">
        <f t="shared" si="0"/>
        <v>SC2 ND</v>
      </c>
      <c r="Q6" s="23" t="str">
        <f t="shared" si="0"/>
        <v>SC4</v>
      </c>
      <c r="R6" s="23" t="str">
        <f t="shared" si="0"/>
        <v>SC6</v>
      </c>
      <c r="S6" s="23" t="str">
        <f t="shared" si="0"/>
        <v>SC2 Dem</v>
      </c>
      <c r="T6" s="23"/>
    </row>
    <row r="7" spans="1:28" x14ac:dyDescent="0.2">
      <c r="A7" s="3"/>
    </row>
    <row r="8" spans="1:28" x14ac:dyDescent="0.2">
      <c r="A8" s="3"/>
      <c r="B8" s="116" t="s">
        <v>14</v>
      </c>
      <c r="C8" s="117">
        <v>0.50741594714339899</v>
      </c>
      <c r="D8" s="117">
        <v>0.47374949141912553</v>
      </c>
      <c r="E8" s="117">
        <v>0.47683170455160201</v>
      </c>
      <c r="F8" s="117">
        <v>0.5120758221093793</v>
      </c>
      <c r="G8" s="117">
        <v>0.30414746543781601</v>
      </c>
      <c r="H8" s="117">
        <f>G8</f>
        <v>0.30414746543781601</v>
      </c>
      <c r="I8" s="117">
        <v>0.53471362898473385</v>
      </c>
      <c r="J8" s="118"/>
      <c r="K8" s="118"/>
      <c r="L8" s="119"/>
      <c r="M8" s="118">
        <f t="shared" ref="M8:S19" si="1">1-C8</f>
        <v>0.49258405285660101</v>
      </c>
      <c r="N8" s="118">
        <f t="shared" si="1"/>
        <v>0.52625050858087441</v>
      </c>
      <c r="O8" s="118">
        <f t="shared" si="1"/>
        <v>0.52316829544839805</v>
      </c>
      <c r="P8" s="118">
        <f t="shared" si="1"/>
        <v>0.4879241778906207</v>
      </c>
      <c r="Q8" s="118">
        <f t="shared" si="1"/>
        <v>0.69585253456218399</v>
      </c>
      <c r="R8" s="118">
        <f t="shared" si="1"/>
        <v>0.69585253456218399</v>
      </c>
      <c r="S8" s="118">
        <f t="shared" si="1"/>
        <v>0.46528637101526615</v>
      </c>
      <c r="T8" s="119"/>
      <c r="U8" s="120"/>
      <c r="V8" s="120"/>
      <c r="W8" s="120"/>
      <c r="X8" s="120"/>
      <c r="Y8" s="120"/>
      <c r="Z8" s="120"/>
      <c r="AA8" s="120"/>
      <c r="AB8" s="120"/>
    </row>
    <row r="9" spans="1:28" x14ac:dyDescent="0.2">
      <c r="A9" s="3"/>
      <c r="B9" s="116" t="s">
        <v>15</v>
      </c>
      <c r="C9" s="117">
        <v>0.50196252279369202</v>
      </c>
      <c r="D9" s="117">
        <v>0.45819288973769695</v>
      </c>
      <c r="E9" s="117">
        <v>0.48450236361312804</v>
      </c>
      <c r="F9" s="117">
        <v>0.52140482730109738</v>
      </c>
      <c r="G9" s="117">
        <v>0.30612244897956004</v>
      </c>
      <c r="H9" s="117">
        <f t="shared" ref="H9:H19" si="2">G9</f>
        <v>0.30612244897956004</v>
      </c>
      <c r="I9" s="117">
        <v>0.53929820101419323</v>
      </c>
      <c r="J9" s="118"/>
      <c r="K9" s="118"/>
      <c r="L9" s="119"/>
      <c r="M9" s="118">
        <f t="shared" si="1"/>
        <v>0.49803747720630798</v>
      </c>
      <c r="N9" s="118">
        <f t="shared" si="1"/>
        <v>0.54180711026230299</v>
      </c>
      <c r="O9" s="118">
        <f t="shared" si="1"/>
        <v>0.51549763638687196</v>
      </c>
      <c r="P9" s="118">
        <f t="shared" si="1"/>
        <v>0.47859517269890262</v>
      </c>
      <c r="Q9" s="118">
        <f t="shared" si="1"/>
        <v>0.69387755102044002</v>
      </c>
      <c r="R9" s="118">
        <f t="shared" si="1"/>
        <v>0.69387755102044002</v>
      </c>
      <c r="S9" s="118">
        <f t="shared" si="1"/>
        <v>0.46070179898580677</v>
      </c>
      <c r="T9" s="119"/>
      <c r="U9" s="120"/>
      <c r="V9" s="120"/>
      <c r="W9" s="120"/>
      <c r="X9" s="120"/>
      <c r="Y9" s="120"/>
      <c r="Z9" s="120"/>
      <c r="AA9" s="120"/>
      <c r="AB9" s="120"/>
    </row>
    <row r="10" spans="1:28" x14ac:dyDescent="0.2">
      <c r="A10" s="3"/>
      <c r="B10" s="116" t="s">
        <v>16</v>
      </c>
      <c r="C10" s="117">
        <v>0.48777606416316499</v>
      </c>
      <c r="D10" s="117">
        <v>0.44473838767769802</v>
      </c>
      <c r="E10" s="117">
        <v>0.45412935778242708</v>
      </c>
      <c r="F10" s="117">
        <v>0.49417968811453095</v>
      </c>
      <c r="G10" s="117">
        <v>0.29267609034116188</v>
      </c>
      <c r="H10" s="117">
        <f t="shared" si="2"/>
        <v>0.29267609034116188</v>
      </c>
      <c r="I10" s="117">
        <v>0.53195570931486003</v>
      </c>
      <c r="J10" s="118"/>
      <c r="K10" s="118"/>
      <c r="L10" s="119"/>
      <c r="M10" s="118">
        <f t="shared" si="1"/>
        <v>0.51222393583683501</v>
      </c>
      <c r="N10" s="118">
        <f t="shared" si="1"/>
        <v>0.55526161232230198</v>
      </c>
      <c r="O10" s="118">
        <f t="shared" si="1"/>
        <v>0.54587064221757298</v>
      </c>
      <c r="P10" s="118">
        <f t="shared" si="1"/>
        <v>0.50582031188546905</v>
      </c>
      <c r="Q10" s="118">
        <f t="shared" si="1"/>
        <v>0.70732390965883818</v>
      </c>
      <c r="R10" s="118">
        <f t="shared" si="1"/>
        <v>0.70732390965883818</v>
      </c>
      <c r="S10" s="118">
        <f t="shared" si="1"/>
        <v>0.46804429068513997</v>
      </c>
      <c r="T10" s="119"/>
      <c r="U10" s="120"/>
      <c r="V10" s="120"/>
      <c r="W10" s="120"/>
      <c r="X10" s="120"/>
      <c r="Y10" s="120"/>
      <c r="Z10" s="120"/>
      <c r="AA10" s="120"/>
      <c r="AB10" s="120"/>
    </row>
    <row r="11" spans="1:28" x14ac:dyDescent="0.2">
      <c r="A11" s="3"/>
      <c r="B11" s="116" t="s">
        <v>17</v>
      </c>
      <c r="C11" s="117">
        <v>0.49192908253663814</v>
      </c>
      <c r="D11" s="117">
        <v>0.4399977547281137</v>
      </c>
      <c r="E11" s="117">
        <v>0.47680926489530606</v>
      </c>
      <c r="F11" s="117">
        <v>0.57206913400239467</v>
      </c>
      <c r="G11" s="117">
        <v>0.28137255972545999</v>
      </c>
      <c r="H11" s="117">
        <f t="shared" si="2"/>
        <v>0.28137255972545999</v>
      </c>
      <c r="I11" s="117">
        <v>0.54442895284889237</v>
      </c>
      <c r="J11" s="118"/>
      <c r="K11" s="118"/>
      <c r="L11" s="119"/>
      <c r="M11" s="118">
        <f t="shared" si="1"/>
        <v>0.50807091746336186</v>
      </c>
      <c r="N11" s="118">
        <f t="shared" si="1"/>
        <v>0.56000224527188625</v>
      </c>
      <c r="O11" s="118">
        <f t="shared" si="1"/>
        <v>0.52319073510469394</v>
      </c>
      <c r="P11" s="118">
        <f t="shared" si="1"/>
        <v>0.42793086599760533</v>
      </c>
      <c r="Q11" s="118">
        <f t="shared" si="1"/>
        <v>0.71862744027454006</v>
      </c>
      <c r="R11" s="118">
        <f t="shared" si="1"/>
        <v>0.71862744027454006</v>
      </c>
      <c r="S11" s="118">
        <f t="shared" si="1"/>
        <v>0.45557104715110763</v>
      </c>
      <c r="T11" s="119"/>
      <c r="U11" s="120"/>
      <c r="V11" s="120"/>
      <c r="W11" s="120"/>
      <c r="X11" s="120"/>
      <c r="Y11" s="120"/>
      <c r="Z11" s="120"/>
      <c r="AA11" s="120"/>
      <c r="AB11" s="120"/>
    </row>
    <row r="12" spans="1:28" x14ac:dyDescent="0.2">
      <c r="A12" s="3"/>
      <c r="B12" s="116" t="s">
        <v>18</v>
      </c>
      <c r="C12" s="117">
        <v>0.53661688917396666</v>
      </c>
      <c r="D12" s="117">
        <v>0.49876873208259398</v>
      </c>
      <c r="E12" s="117">
        <v>0.51354995281108606</v>
      </c>
      <c r="F12" s="117">
        <v>0.61005315616493372</v>
      </c>
      <c r="G12" s="117">
        <v>0.23124977394235194</v>
      </c>
      <c r="H12" s="117">
        <f t="shared" si="2"/>
        <v>0.23124977394235194</v>
      </c>
      <c r="I12" s="117">
        <v>0.56702217630319629</v>
      </c>
      <c r="J12" s="118"/>
      <c r="K12" s="118"/>
      <c r="L12" s="119"/>
      <c r="M12" s="118">
        <f t="shared" si="1"/>
        <v>0.46338311082603334</v>
      </c>
      <c r="N12" s="118">
        <f t="shared" si="1"/>
        <v>0.50123126791740602</v>
      </c>
      <c r="O12" s="118">
        <f t="shared" si="1"/>
        <v>0.48645004718891394</v>
      </c>
      <c r="P12" s="118">
        <f t="shared" si="1"/>
        <v>0.38994684383506628</v>
      </c>
      <c r="Q12" s="118">
        <f t="shared" si="1"/>
        <v>0.76875022605764809</v>
      </c>
      <c r="R12" s="118">
        <f t="shared" si="1"/>
        <v>0.76875022605764809</v>
      </c>
      <c r="S12" s="118">
        <f t="shared" si="1"/>
        <v>0.43297782369680371</v>
      </c>
      <c r="T12" s="119"/>
      <c r="U12" s="120"/>
      <c r="V12" s="120"/>
      <c r="W12" s="120"/>
      <c r="X12" s="120"/>
      <c r="Y12" s="120"/>
      <c r="Z12" s="120"/>
      <c r="AA12" s="120"/>
      <c r="AB12" s="120"/>
    </row>
    <row r="13" spans="1:28" x14ac:dyDescent="0.2">
      <c r="A13" s="3"/>
      <c r="B13" s="116" t="s">
        <v>19</v>
      </c>
      <c r="C13" s="117">
        <v>0.53739554215225738</v>
      </c>
      <c r="D13" s="117">
        <v>0.5207210326963152</v>
      </c>
      <c r="E13" s="117">
        <v>0.51831047563467403</v>
      </c>
      <c r="F13" s="117">
        <v>0.61195289206951597</v>
      </c>
      <c r="G13" s="117">
        <v>0.20622586648020003</v>
      </c>
      <c r="H13" s="117">
        <f t="shared" si="2"/>
        <v>0.20622586648020003</v>
      </c>
      <c r="I13" s="117">
        <v>0.55680282267399406</v>
      </c>
      <c r="J13" s="118"/>
      <c r="K13" s="118"/>
      <c r="L13" s="119"/>
      <c r="M13" s="118">
        <f t="shared" si="1"/>
        <v>0.46260445784774262</v>
      </c>
      <c r="N13" s="118">
        <f t="shared" si="1"/>
        <v>0.4792789673036848</v>
      </c>
      <c r="O13" s="118">
        <f t="shared" si="1"/>
        <v>0.48168952436532597</v>
      </c>
      <c r="P13" s="118">
        <f t="shared" si="1"/>
        <v>0.38804710793048403</v>
      </c>
      <c r="Q13" s="118">
        <f t="shared" si="1"/>
        <v>0.79377413351979997</v>
      </c>
      <c r="R13" s="118">
        <f t="shared" si="1"/>
        <v>0.79377413351979997</v>
      </c>
      <c r="S13" s="118">
        <f t="shared" si="1"/>
        <v>0.44319717732600594</v>
      </c>
      <c r="T13" s="119"/>
      <c r="U13" s="120"/>
      <c r="V13" s="120"/>
      <c r="W13" s="120"/>
      <c r="X13" s="120"/>
      <c r="Y13" s="120"/>
      <c r="Z13" s="120"/>
      <c r="AA13" s="120"/>
      <c r="AB13" s="120"/>
    </row>
    <row r="14" spans="1:28" x14ac:dyDescent="0.2">
      <c r="A14" s="3"/>
      <c r="B14" s="116" t="s">
        <v>20</v>
      </c>
      <c r="C14" s="117">
        <v>0.52249975088265832</v>
      </c>
      <c r="D14" s="117">
        <v>0.51026513836441789</v>
      </c>
      <c r="E14" s="117">
        <v>0.508625077154651</v>
      </c>
      <c r="F14" s="117">
        <v>0.56117653126647327</v>
      </c>
      <c r="G14" s="117">
        <v>0.19692422104613999</v>
      </c>
      <c r="H14" s="117">
        <f t="shared" si="2"/>
        <v>0.19692422104613999</v>
      </c>
      <c r="I14" s="117">
        <v>0.53355634655849771</v>
      </c>
      <c r="J14" s="118"/>
      <c r="K14" s="118"/>
      <c r="L14" s="119"/>
      <c r="M14" s="118">
        <f t="shared" si="1"/>
        <v>0.47750024911734168</v>
      </c>
      <c r="N14" s="118">
        <f t="shared" si="1"/>
        <v>0.48973486163558211</v>
      </c>
      <c r="O14" s="118">
        <f t="shared" si="1"/>
        <v>0.491374922845349</v>
      </c>
      <c r="P14" s="118">
        <f t="shared" si="1"/>
        <v>0.43882346873352673</v>
      </c>
      <c r="Q14" s="118">
        <f t="shared" si="1"/>
        <v>0.80307577895386006</v>
      </c>
      <c r="R14" s="118">
        <f t="shared" si="1"/>
        <v>0.80307577895386006</v>
      </c>
      <c r="S14" s="118">
        <f t="shared" si="1"/>
        <v>0.46644365344150229</v>
      </c>
      <c r="T14" s="119"/>
      <c r="U14" s="120"/>
      <c r="V14" s="120"/>
      <c r="W14" s="120"/>
      <c r="X14" s="120"/>
      <c r="Y14" s="120"/>
      <c r="Z14" s="120"/>
      <c r="AA14" s="120"/>
      <c r="AB14" s="120"/>
    </row>
    <row r="15" spans="1:28" x14ac:dyDescent="0.2">
      <c r="A15" s="3"/>
      <c r="B15" s="116" t="s">
        <v>21</v>
      </c>
      <c r="C15" s="117">
        <v>0.5739682171349163</v>
      </c>
      <c r="D15" s="117">
        <v>0.56502578250876667</v>
      </c>
      <c r="E15" s="117">
        <v>0.5593483965187821</v>
      </c>
      <c r="F15" s="117">
        <v>0.62335314191716806</v>
      </c>
      <c r="G15" s="117">
        <v>0.22338053063701394</v>
      </c>
      <c r="H15" s="117">
        <f t="shared" si="2"/>
        <v>0.22338053063701394</v>
      </c>
      <c r="I15" s="117">
        <v>0.58008404850659756</v>
      </c>
      <c r="J15" s="118"/>
      <c r="K15" s="118"/>
      <c r="L15" s="119"/>
      <c r="M15" s="118">
        <f t="shared" si="1"/>
        <v>0.4260317828650837</v>
      </c>
      <c r="N15" s="118">
        <f t="shared" si="1"/>
        <v>0.43497421749123333</v>
      </c>
      <c r="O15" s="118">
        <f t="shared" si="1"/>
        <v>0.4406516034812179</v>
      </c>
      <c r="P15" s="118">
        <f t="shared" si="1"/>
        <v>0.37664685808283194</v>
      </c>
      <c r="Q15" s="118">
        <f t="shared" si="1"/>
        <v>0.77661946936298609</v>
      </c>
      <c r="R15" s="118">
        <f t="shared" si="1"/>
        <v>0.77661946936298609</v>
      </c>
      <c r="S15" s="118">
        <f t="shared" si="1"/>
        <v>0.41991595149340244</v>
      </c>
      <c r="T15" s="119"/>
      <c r="U15" s="120"/>
      <c r="V15" s="120"/>
      <c r="W15" s="120"/>
      <c r="X15" s="120"/>
      <c r="Y15" s="120"/>
      <c r="Z15" s="120"/>
      <c r="AA15" s="120"/>
      <c r="AB15" s="120"/>
    </row>
    <row r="16" spans="1:28" x14ac:dyDescent="0.2">
      <c r="A16" s="3"/>
      <c r="B16" s="116" t="s">
        <v>22</v>
      </c>
      <c r="C16" s="117">
        <v>0.48658536708723177</v>
      </c>
      <c r="D16" s="117">
        <v>0.47225823084848673</v>
      </c>
      <c r="E16" s="117">
        <v>0.46954628534566617</v>
      </c>
      <c r="F16" s="117">
        <v>0.56205453620858492</v>
      </c>
      <c r="G16" s="117">
        <v>0.25478926919154304</v>
      </c>
      <c r="H16" s="117">
        <f t="shared" si="2"/>
        <v>0.25478926919154304</v>
      </c>
      <c r="I16" s="117">
        <v>0.51947095004749078</v>
      </c>
      <c r="J16" s="118"/>
      <c r="K16" s="118"/>
      <c r="L16" s="119"/>
      <c r="M16" s="118">
        <f t="shared" si="1"/>
        <v>0.51341463291276823</v>
      </c>
      <c r="N16" s="118">
        <f t="shared" si="1"/>
        <v>0.52774176915151327</v>
      </c>
      <c r="O16" s="118">
        <f t="shared" si="1"/>
        <v>0.53045371465433377</v>
      </c>
      <c r="P16" s="118">
        <f t="shared" si="1"/>
        <v>0.43794546379141508</v>
      </c>
      <c r="Q16" s="118">
        <f t="shared" si="1"/>
        <v>0.74521073080845701</v>
      </c>
      <c r="R16" s="118">
        <f t="shared" si="1"/>
        <v>0.74521073080845701</v>
      </c>
      <c r="S16" s="118">
        <f t="shared" si="1"/>
        <v>0.48052904995250922</v>
      </c>
      <c r="T16" s="119"/>
      <c r="U16" s="120"/>
      <c r="V16" s="120"/>
      <c r="W16" s="120"/>
      <c r="X16" s="120"/>
      <c r="Y16" s="120"/>
      <c r="Z16" s="120"/>
      <c r="AA16" s="120"/>
      <c r="AB16" s="120"/>
    </row>
    <row r="17" spans="1:28" x14ac:dyDescent="0.2">
      <c r="A17" s="3"/>
      <c r="B17" s="116" t="s">
        <v>23</v>
      </c>
      <c r="C17" s="117">
        <v>0.53805105140209863</v>
      </c>
      <c r="D17" s="117">
        <v>0.51533474718220207</v>
      </c>
      <c r="E17" s="117">
        <v>0.529006955749589</v>
      </c>
      <c r="F17" s="117">
        <v>0.58814273158749231</v>
      </c>
      <c r="G17" s="121">
        <v>0.3051551990965749</v>
      </c>
      <c r="H17" s="117">
        <f t="shared" si="2"/>
        <v>0.3051551990965749</v>
      </c>
      <c r="I17" s="117">
        <v>0.57616380663131739</v>
      </c>
      <c r="J17" s="118"/>
      <c r="K17" s="118"/>
      <c r="L17" s="119"/>
      <c r="M17" s="118">
        <f t="shared" si="1"/>
        <v>0.46194894859790137</v>
      </c>
      <c r="N17" s="118">
        <f t="shared" si="1"/>
        <v>0.48466525281779793</v>
      </c>
      <c r="O17" s="118">
        <f t="shared" si="1"/>
        <v>0.470993044250411</v>
      </c>
      <c r="P17" s="118">
        <f t="shared" si="1"/>
        <v>0.41185726841250769</v>
      </c>
      <c r="Q17" s="118">
        <f t="shared" si="1"/>
        <v>0.69484480090342515</v>
      </c>
      <c r="R17" s="118">
        <f t="shared" si="1"/>
        <v>0.69484480090342515</v>
      </c>
      <c r="S17" s="118">
        <f t="shared" si="1"/>
        <v>0.42383619336868261</v>
      </c>
      <c r="T17" s="119"/>
      <c r="U17" s="120"/>
      <c r="V17" s="120"/>
      <c r="W17" s="120"/>
      <c r="X17" s="120"/>
      <c r="Y17" s="120"/>
      <c r="Z17" s="120"/>
      <c r="AA17" s="120"/>
      <c r="AB17" s="120"/>
    </row>
    <row r="18" spans="1:28" x14ac:dyDescent="0.2">
      <c r="A18" s="3"/>
      <c r="B18" s="116" t="s">
        <v>24</v>
      </c>
      <c r="C18" s="117">
        <v>0.49550969225298325</v>
      </c>
      <c r="D18" s="117">
        <v>0.43943328862359288</v>
      </c>
      <c r="E18" s="117">
        <v>0.46031561743666205</v>
      </c>
      <c r="F18" s="117">
        <v>0.51825762139453924</v>
      </c>
      <c r="G18" s="117">
        <v>0.29814815125926603</v>
      </c>
      <c r="H18" s="117">
        <f t="shared" si="2"/>
        <v>0.29814815125926603</v>
      </c>
      <c r="I18" s="117">
        <v>0.54496936945527441</v>
      </c>
      <c r="J18" s="118"/>
      <c r="K18" s="118"/>
      <c r="L18" s="119"/>
      <c r="M18" s="118">
        <f t="shared" si="1"/>
        <v>0.50449030774701675</v>
      </c>
      <c r="N18" s="118">
        <f t="shared" si="1"/>
        <v>0.56056671137640712</v>
      </c>
      <c r="O18" s="118">
        <f t="shared" si="1"/>
        <v>0.53968438256333795</v>
      </c>
      <c r="P18" s="118">
        <f t="shared" si="1"/>
        <v>0.48174237860546076</v>
      </c>
      <c r="Q18" s="118">
        <f t="shared" si="1"/>
        <v>0.70185184874073392</v>
      </c>
      <c r="R18" s="118">
        <f t="shared" si="1"/>
        <v>0.70185184874073392</v>
      </c>
      <c r="S18" s="118">
        <f t="shared" si="1"/>
        <v>0.45503063054472559</v>
      </c>
      <c r="T18" s="119"/>
      <c r="U18" s="120"/>
      <c r="V18" s="120"/>
      <c r="W18" s="120"/>
      <c r="X18" s="120"/>
      <c r="Y18" s="120"/>
      <c r="Z18" s="120"/>
      <c r="AA18" s="120"/>
      <c r="AB18" s="120"/>
    </row>
    <row r="19" spans="1:28" x14ac:dyDescent="0.2">
      <c r="A19" s="3"/>
      <c r="B19" s="116" t="s">
        <v>25</v>
      </c>
      <c r="C19" s="117">
        <v>0.45433594006612932</v>
      </c>
      <c r="D19" s="117">
        <v>0.39328126008758602</v>
      </c>
      <c r="E19" s="117">
        <v>0.43794415891095395</v>
      </c>
      <c r="F19" s="117">
        <v>0.47262190866766174</v>
      </c>
      <c r="G19" s="117">
        <v>0.27649769585256001</v>
      </c>
      <c r="H19" s="117">
        <f t="shared" si="2"/>
        <v>0.27649769585256001</v>
      </c>
      <c r="I19" s="117">
        <v>0.49355959746384548</v>
      </c>
      <c r="J19" s="118"/>
      <c r="K19" s="118"/>
      <c r="L19" s="119"/>
      <c r="M19" s="118">
        <f t="shared" si="1"/>
        <v>0.54566405993387068</v>
      </c>
      <c r="N19" s="118">
        <f t="shared" si="1"/>
        <v>0.60671873991241398</v>
      </c>
      <c r="O19" s="118">
        <f t="shared" si="1"/>
        <v>0.56205584108904605</v>
      </c>
      <c r="P19" s="118">
        <f t="shared" si="1"/>
        <v>0.52737809133233826</v>
      </c>
      <c r="Q19" s="118">
        <f t="shared" si="1"/>
        <v>0.72350230414743999</v>
      </c>
      <c r="R19" s="118">
        <f t="shared" si="1"/>
        <v>0.72350230414743999</v>
      </c>
      <c r="S19" s="118">
        <f t="shared" si="1"/>
        <v>0.50644040253615452</v>
      </c>
      <c r="T19" s="119"/>
      <c r="U19" s="120"/>
      <c r="V19" s="120"/>
      <c r="W19" s="120"/>
      <c r="X19" s="120"/>
      <c r="Y19" s="120"/>
      <c r="Z19" s="120"/>
      <c r="AA19" s="120"/>
      <c r="AB19" s="120"/>
    </row>
    <row r="20" spans="1:28" x14ac:dyDescent="0.2">
      <c r="A20" s="3"/>
      <c r="B20" s="116"/>
      <c r="C20" s="119"/>
      <c r="D20" s="119"/>
      <c r="E20" s="119"/>
      <c r="F20" s="119"/>
      <c r="G20" s="122"/>
      <c r="H20" s="122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8" x14ac:dyDescent="0.2">
      <c r="A21" s="3"/>
      <c r="B21" s="116"/>
      <c r="C21" s="119"/>
      <c r="D21" s="119"/>
      <c r="E21" s="119"/>
      <c r="F21" s="119"/>
      <c r="G21" s="122"/>
      <c r="H21" s="122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8" x14ac:dyDescent="0.2">
      <c r="A22" s="45" t="s">
        <v>26</v>
      </c>
      <c r="B22" s="47" t="s">
        <v>27</v>
      </c>
      <c r="C22" s="119"/>
      <c r="D22" s="119"/>
      <c r="E22" s="119"/>
      <c r="F22" s="51" t="s">
        <v>28</v>
      </c>
      <c r="G22" s="122"/>
      <c r="H22" s="122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8" ht="38.25" x14ac:dyDescent="0.2">
      <c r="A23" s="3"/>
      <c r="C23" s="48" t="s">
        <v>29</v>
      </c>
      <c r="D23" s="48" t="s">
        <v>29</v>
      </c>
      <c r="E23" s="48"/>
      <c r="F23" s="48" t="s">
        <v>29</v>
      </c>
      <c r="G23" s="48" t="s">
        <v>29</v>
      </c>
      <c r="H23" s="48" t="s">
        <v>29</v>
      </c>
      <c r="I23" s="48" t="s">
        <v>29</v>
      </c>
      <c r="J23" s="48"/>
      <c r="K23" s="48"/>
      <c r="L23" s="4"/>
      <c r="M23" s="48" t="s">
        <v>29</v>
      </c>
      <c r="N23" s="48" t="s">
        <v>29</v>
      </c>
      <c r="O23" s="52" t="str">
        <f>M1-2&amp;" Forecasted Billed Sales"</f>
        <v>2017 Forecasted Billed Sales</v>
      </c>
      <c r="P23" s="48" t="s">
        <v>29</v>
      </c>
      <c r="Q23" s="48" t="s">
        <v>29</v>
      </c>
      <c r="R23" s="48" t="s">
        <v>29</v>
      </c>
      <c r="S23" s="48" t="s">
        <v>29</v>
      </c>
      <c r="T23" s="48"/>
    </row>
    <row r="24" spans="1:28" x14ac:dyDescent="0.2">
      <c r="A24" s="3"/>
      <c r="B24" s="49" t="s">
        <v>30</v>
      </c>
      <c r="C24" s="53" t="str">
        <f>+C6</f>
        <v>SC1</v>
      </c>
      <c r="D24" s="53" t="str">
        <f t="shared" ref="D24:I24" si="3">+D6</f>
        <v>SC5</v>
      </c>
      <c r="E24" s="53" t="str">
        <f t="shared" si="3"/>
        <v>SC3</v>
      </c>
      <c r="F24" s="53" t="str">
        <f t="shared" si="3"/>
        <v>SC2 ND</v>
      </c>
      <c r="G24" s="53" t="str">
        <f t="shared" si="3"/>
        <v>SC4</v>
      </c>
      <c r="H24" s="53" t="str">
        <f t="shared" si="3"/>
        <v>SC6</v>
      </c>
      <c r="I24" s="53" t="str">
        <f t="shared" si="3"/>
        <v>SC2 Dem</v>
      </c>
      <c r="J24" s="23"/>
      <c r="K24" s="23"/>
      <c r="L24" s="50"/>
      <c r="M24" s="23" t="str">
        <f t="shared" ref="M24:S24" si="4">+C6</f>
        <v>SC1</v>
      </c>
      <c r="N24" s="23" t="str">
        <f t="shared" si="4"/>
        <v>SC5</v>
      </c>
      <c r="O24" s="23" t="str">
        <f t="shared" si="4"/>
        <v>SC3</v>
      </c>
      <c r="P24" s="23" t="str">
        <f t="shared" si="4"/>
        <v>SC2 ND</v>
      </c>
      <c r="Q24" s="23" t="str">
        <f t="shared" si="4"/>
        <v>SC4</v>
      </c>
      <c r="R24" s="23" t="str">
        <f t="shared" si="4"/>
        <v>SC6</v>
      </c>
      <c r="S24" s="23" t="str">
        <f t="shared" si="4"/>
        <v>SC2 Dem</v>
      </c>
      <c r="T24" s="23"/>
    </row>
    <row r="25" spans="1:28" x14ac:dyDescent="0.2">
      <c r="A25" s="3"/>
    </row>
    <row r="26" spans="1:28" x14ac:dyDescent="0.2">
      <c r="A26" s="3"/>
      <c r="B26" s="116" t="s">
        <v>14</v>
      </c>
      <c r="C26" s="123" t="s">
        <v>31</v>
      </c>
      <c r="D26" s="123" t="s">
        <v>31</v>
      </c>
      <c r="E26" s="124">
        <v>0.3408920922009927</v>
      </c>
      <c r="F26" s="123" t="s">
        <v>31</v>
      </c>
      <c r="G26" s="123" t="s">
        <v>31</v>
      </c>
      <c r="H26" s="123" t="s">
        <v>31</v>
      </c>
      <c r="I26" s="123" t="s">
        <v>31</v>
      </c>
      <c r="J26" s="118"/>
      <c r="K26" s="118"/>
      <c r="L26" s="119"/>
      <c r="M26" s="119"/>
      <c r="N26" s="119"/>
      <c r="O26" s="118">
        <f t="shared" ref="O26:O37" si="5">1-E26</f>
        <v>0.6591079077990073</v>
      </c>
      <c r="P26" s="119"/>
      <c r="Q26" s="119"/>
      <c r="R26" s="119"/>
      <c r="S26" s="119"/>
      <c r="T26" s="119"/>
    </row>
    <row r="27" spans="1:28" x14ac:dyDescent="0.2">
      <c r="A27" s="3"/>
      <c r="B27" s="116" t="s">
        <v>15</v>
      </c>
      <c r="C27" s="123" t="s">
        <v>31</v>
      </c>
      <c r="D27" s="123" t="s">
        <v>31</v>
      </c>
      <c r="E27" s="124">
        <v>0.3725081820886641</v>
      </c>
      <c r="F27" s="123" t="s">
        <v>31</v>
      </c>
      <c r="G27" s="123" t="s">
        <v>31</v>
      </c>
      <c r="H27" s="123" t="s">
        <v>31</v>
      </c>
      <c r="I27" s="123" t="s">
        <v>31</v>
      </c>
      <c r="J27" s="118"/>
      <c r="K27" s="118"/>
      <c r="L27" s="119"/>
      <c r="M27" s="119"/>
      <c r="N27" s="119"/>
      <c r="O27" s="118">
        <f t="shared" si="5"/>
        <v>0.6274918179113359</v>
      </c>
      <c r="P27" s="119"/>
      <c r="Q27" s="119"/>
      <c r="R27" s="119"/>
      <c r="S27" s="119"/>
      <c r="T27" s="119"/>
    </row>
    <row r="28" spans="1:28" x14ac:dyDescent="0.2">
      <c r="A28" s="3"/>
      <c r="B28" s="116" t="s">
        <v>16</v>
      </c>
      <c r="C28" s="123" t="s">
        <v>31</v>
      </c>
      <c r="D28" s="123" t="s">
        <v>31</v>
      </c>
      <c r="E28" s="124">
        <v>0.34465868103486663</v>
      </c>
      <c r="F28" s="123" t="s">
        <v>31</v>
      </c>
      <c r="G28" s="123" t="s">
        <v>31</v>
      </c>
      <c r="H28" s="123" t="s">
        <v>31</v>
      </c>
      <c r="I28" s="123" t="s">
        <v>31</v>
      </c>
      <c r="J28" s="118"/>
      <c r="K28" s="118"/>
      <c r="L28" s="119"/>
      <c r="M28" s="119"/>
      <c r="N28" s="119"/>
      <c r="O28" s="118">
        <f t="shared" si="5"/>
        <v>0.65534131896513337</v>
      </c>
      <c r="P28" s="119"/>
      <c r="Q28" s="119"/>
      <c r="R28" s="119"/>
      <c r="S28" s="119"/>
      <c r="T28" s="119"/>
    </row>
    <row r="29" spans="1:28" x14ac:dyDescent="0.2">
      <c r="A29" s="3"/>
      <c r="B29" s="116" t="s">
        <v>17</v>
      </c>
      <c r="C29" s="123" t="s">
        <v>31</v>
      </c>
      <c r="D29" s="123" t="s">
        <v>31</v>
      </c>
      <c r="E29" s="124">
        <v>0.34077012835472581</v>
      </c>
      <c r="F29" s="123" t="s">
        <v>31</v>
      </c>
      <c r="G29" s="123" t="s">
        <v>31</v>
      </c>
      <c r="H29" s="123" t="s">
        <v>31</v>
      </c>
      <c r="I29" s="123" t="s">
        <v>31</v>
      </c>
      <c r="J29" s="118"/>
      <c r="K29" s="118"/>
      <c r="L29" s="119"/>
      <c r="M29" s="119"/>
      <c r="N29" s="119"/>
      <c r="O29" s="118">
        <f t="shared" si="5"/>
        <v>0.65922987164527425</v>
      </c>
      <c r="P29" s="119"/>
      <c r="Q29" s="119"/>
      <c r="R29" s="119"/>
      <c r="S29" s="119"/>
      <c r="T29" s="119"/>
    </row>
    <row r="30" spans="1:28" x14ac:dyDescent="0.2">
      <c r="A30" s="3"/>
      <c r="B30" s="116" t="s">
        <v>18</v>
      </c>
      <c r="C30" s="123" t="s">
        <v>31</v>
      </c>
      <c r="D30" s="123" t="s">
        <v>31</v>
      </c>
      <c r="E30" s="124">
        <v>0.35256965944272445</v>
      </c>
      <c r="F30" s="123" t="s">
        <v>31</v>
      </c>
      <c r="G30" s="123" t="s">
        <v>31</v>
      </c>
      <c r="H30" s="123" t="s">
        <v>31</v>
      </c>
      <c r="I30" s="123" t="s">
        <v>31</v>
      </c>
      <c r="J30" s="118"/>
      <c r="K30" s="118"/>
      <c r="L30" s="119"/>
      <c r="M30" s="119"/>
      <c r="N30" s="119"/>
      <c r="O30" s="118">
        <f t="shared" si="5"/>
        <v>0.64743034055727555</v>
      </c>
      <c r="P30" s="119"/>
      <c r="Q30" s="119"/>
      <c r="R30" s="119"/>
      <c r="S30" s="119"/>
      <c r="T30" s="119"/>
    </row>
    <row r="31" spans="1:28" x14ac:dyDescent="0.2">
      <c r="A31" s="3"/>
      <c r="B31" s="116" t="s">
        <v>19</v>
      </c>
      <c r="C31" s="123" t="s">
        <v>31</v>
      </c>
      <c r="D31" s="123" t="s">
        <v>31</v>
      </c>
      <c r="E31" s="124">
        <v>0.34841918644735548</v>
      </c>
      <c r="F31" s="123" t="s">
        <v>31</v>
      </c>
      <c r="G31" s="123" t="s">
        <v>31</v>
      </c>
      <c r="H31" s="123" t="s">
        <v>31</v>
      </c>
      <c r="I31" s="123" t="s">
        <v>31</v>
      </c>
      <c r="J31" s="118"/>
      <c r="K31" s="118"/>
      <c r="L31" s="119"/>
      <c r="M31" s="119"/>
      <c r="N31" s="119"/>
      <c r="O31" s="118">
        <f t="shared" si="5"/>
        <v>0.65158081355264452</v>
      </c>
      <c r="P31" s="119"/>
      <c r="Q31" s="119"/>
      <c r="R31" s="119"/>
      <c r="S31" s="119"/>
      <c r="T31" s="119"/>
    </row>
    <row r="32" spans="1:28" x14ac:dyDescent="0.2">
      <c r="A32" s="3"/>
      <c r="B32" s="116" t="s">
        <v>20</v>
      </c>
      <c r="C32" s="123" t="s">
        <v>31</v>
      </c>
      <c r="D32" s="123" t="s">
        <v>31</v>
      </c>
      <c r="E32" s="124">
        <v>0.37661495716601068</v>
      </c>
      <c r="F32" s="123" t="s">
        <v>31</v>
      </c>
      <c r="G32" s="123" t="s">
        <v>31</v>
      </c>
      <c r="H32" s="123" t="s">
        <v>31</v>
      </c>
      <c r="I32" s="123" t="s">
        <v>31</v>
      </c>
      <c r="J32" s="118"/>
      <c r="K32" s="118"/>
      <c r="L32" s="119"/>
      <c r="M32" s="119"/>
      <c r="N32" s="119"/>
      <c r="O32" s="118">
        <f t="shared" si="5"/>
        <v>0.62338504283398932</v>
      </c>
      <c r="P32" s="119"/>
      <c r="Q32" s="119"/>
      <c r="R32" s="119"/>
      <c r="S32" s="119"/>
      <c r="T32" s="119"/>
    </row>
    <row r="33" spans="1:20" x14ac:dyDescent="0.2">
      <c r="A33" s="3"/>
      <c r="B33" s="116" t="s">
        <v>21</v>
      </c>
      <c r="C33" s="123" t="s">
        <v>31</v>
      </c>
      <c r="D33" s="123" t="s">
        <v>31</v>
      </c>
      <c r="E33" s="124">
        <v>0.41232900283919816</v>
      </c>
      <c r="F33" s="123" t="s">
        <v>31</v>
      </c>
      <c r="G33" s="123" t="s">
        <v>31</v>
      </c>
      <c r="H33" s="123" t="s">
        <v>31</v>
      </c>
      <c r="I33" s="123" t="s">
        <v>31</v>
      </c>
      <c r="J33" s="118"/>
      <c r="K33" s="118"/>
      <c r="L33" s="119"/>
      <c r="M33" s="119"/>
      <c r="N33" s="119"/>
      <c r="O33" s="118">
        <f t="shared" si="5"/>
        <v>0.58767099716080184</v>
      </c>
      <c r="P33" s="119"/>
      <c r="Q33" s="119"/>
      <c r="R33" s="119"/>
      <c r="S33" s="119"/>
      <c r="T33" s="119"/>
    </row>
    <row r="34" spans="1:20" x14ac:dyDescent="0.2">
      <c r="A34" s="3"/>
      <c r="B34" s="116" t="s">
        <v>22</v>
      </c>
      <c r="C34" s="123" t="s">
        <v>31</v>
      </c>
      <c r="D34" s="123" t="s">
        <v>31</v>
      </c>
      <c r="E34" s="124">
        <v>0.39051999999999998</v>
      </c>
      <c r="F34" s="123" t="s">
        <v>31</v>
      </c>
      <c r="G34" s="123" t="s">
        <v>31</v>
      </c>
      <c r="H34" s="123" t="s">
        <v>31</v>
      </c>
      <c r="I34" s="123" t="s">
        <v>31</v>
      </c>
      <c r="J34" s="118"/>
      <c r="K34" s="118"/>
      <c r="L34" s="119"/>
      <c r="M34" s="119"/>
      <c r="N34" s="119"/>
      <c r="O34" s="118">
        <f t="shared" si="5"/>
        <v>0.60948000000000002</v>
      </c>
      <c r="P34" s="119"/>
      <c r="Q34" s="119"/>
      <c r="R34" s="119"/>
      <c r="S34" s="119"/>
      <c r="T34" s="119"/>
    </row>
    <row r="35" spans="1:20" x14ac:dyDescent="0.2">
      <c r="A35" s="3"/>
      <c r="B35" s="116" t="s">
        <v>23</v>
      </c>
      <c r="C35" s="123" t="s">
        <v>31</v>
      </c>
      <c r="D35" s="123" t="s">
        <v>31</v>
      </c>
      <c r="E35" s="124">
        <v>0.40350776637817387</v>
      </c>
      <c r="F35" s="123" t="s">
        <v>31</v>
      </c>
      <c r="G35" s="123" t="s">
        <v>31</v>
      </c>
      <c r="H35" s="123" t="s">
        <v>31</v>
      </c>
      <c r="I35" s="123" t="s">
        <v>31</v>
      </c>
      <c r="J35" s="118"/>
      <c r="K35" s="118"/>
      <c r="L35" s="119"/>
      <c r="M35" s="119"/>
      <c r="N35" s="119"/>
      <c r="O35" s="118">
        <f t="shared" si="5"/>
        <v>0.59649223362182613</v>
      </c>
      <c r="P35" s="119"/>
      <c r="Q35" s="119"/>
      <c r="R35" s="119"/>
      <c r="S35" s="119"/>
      <c r="T35" s="119"/>
    </row>
    <row r="36" spans="1:20" x14ac:dyDescent="0.2">
      <c r="A36" s="3"/>
      <c r="B36" s="116" t="s">
        <v>24</v>
      </c>
      <c r="C36" s="123" t="s">
        <v>31</v>
      </c>
      <c r="D36" s="123" t="s">
        <v>31</v>
      </c>
      <c r="E36" s="124">
        <v>0.37501985492666912</v>
      </c>
      <c r="F36" s="123" t="s">
        <v>31</v>
      </c>
      <c r="G36" s="123" t="s">
        <v>31</v>
      </c>
      <c r="H36" s="123" t="s">
        <v>31</v>
      </c>
      <c r="I36" s="123" t="s">
        <v>31</v>
      </c>
      <c r="J36" s="118"/>
      <c r="K36" s="118"/>
      <c r="L36" s="119"/>
      <c r="M36" s="119"/>
      <c r="N36" s="119"/>
      <c r="O36" s="118">
        <f t="shared" si="5"/>
        <v>0.62498014507333088</v>
      </c>
      <c r="P36" s="119"/>
      <c r="Q36" s="119"/>
      <c r="R36" s="119"/>
      <c r="S36" s="119"/>
      <c r="T36" s="119"/>
    </row>
    <row r="37" spans="1:20" x14ac:dyDescent="0.2">
      <c r="A37" s="3"/>
      <c r="B37" s="116" t="s">
        <v>25</v>
      </c>
      <c r="C37" s="123" t="s">
        <v>31</v>
      </c>
      <c r="D37" s="123" t="s">
        <v>31</v>
      </c>
      <c r="E37" s="124">
        <v>0.36531613515866107</v>
      </c>
      <c r="F37" s="123" t="s">
        <v>31</v>
      </c>
      <c r="G37" s="123" t="s">
        <v>31</v>
      </c>
      <c r="H37" s="123" t="s">
        <v>31</v>
      </c>
      <c r="I37" s="123" t="s">
        <v>31</v>
      </c>
      <c r="J37" s="118"/>
      <c r="K37" s="118"/>
      <c r="L37" s="119"/>
      <c r="M37" s="119"/>
      <c r="N37" s="119"/>
      <c r="O37" s="118">
        <f t="shared" si="5"/>
        <v>0.63468386484133887</v>
      </c>
      <c r="P37" s="119"/>
      <c r="Q37" s="119"/>
      <c r="R37" s="119"/>
      <c r="S37" s="119"/>
      <c r="T37" s="119"/>
    </row>
    <row r="38" spans="1:20" x14ac:dyDescent="0.2">
      <c r="A38" s="3"/>
      <c r="B38" s="116"/>
      <c r="C38" s="119"/>
      <c r="D38" s="119"/>
      <c r="E38" s="119"/>
      <c r="F38" s="119"/>
      <c r="G38" s="122"/>
      <c r="H38" s="122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x14ac:dyDescent="0.2">
      <c r="A39" s="3"/>
      <c r="B39" s="116"/>
      <c r="C39" s="119"/>
      <c r="D39" s="119"/>
      <c r="E39" s="119"/>
      <c r="F39" s="119"/>
      <c r="G39" s="122"/>
      <c r="H39" s="122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x14ac:dyDescent="0.2">
      <c r="A40" s="45" t="s">
        <v>32</v>
      </c>
      <c r="B40" s="54" t="s">
        <v>33</v>
      </c>
      <c r="M40" s="10" t="s">
        <v>34</v>
      </c>
    </row>
    <row r="41" spans="1:20" x14ac:dyDescent="0.2">
      <c r="A41" s="3"/>
      <c r="B41" s="55" t="str">
        <f>"Calendar month billed sales forecasted for " &amp;M1</f>
        <v>Calendar month billed sales forecasted for 2019</v>
      </c>
    </row>
    <row r="42" spans="1:20" x14ac:dyDescent="0.2">
      <c r="A42" s="3"/>
      <c r="B42" s="4" t="s">
        <v>35</v>
      </c>
      <c r="C42" s="19" t="str">
        <f>+C6</f>
        <v>SC1</v>
      </c>
      <c r="D42" s="19" t="str">
        <f t="shared" ref="D42:I42" si="6">+D6</f>
        <v>SC5</v>
      </c>
      <c r="E42" s="19" t="str">
        <f t="shared" si="6"/>
        <v>SC3</v>
      </c>
      <c r="F42" s="19" t="str">
        <f t="shared" si="6"/>
        <v>SC2 ND</v>
      </c>
      <c r="G42" s="19" t="str">
        <f t="shared" si="6"/>
        <v>SC4</v>
      </c>
      <c r="H42" s="19" t="str">
        <f t="shared" si="6"/>
        <v>SC6</v>
      </c>
      <c r="I42" s="19" t="str">
        <f t="shared" si="6"/>
        <v>SC2 Dem</v>
      </c>
      <c r="J42" s="19" t="s">
        <v>36</v>
      </c>
      <c r="K42" s="23"/>
      <c r="L42" s="23"/>
      <c r="M42" s="23" t="str">
        <f t="shared" ref="M42:S42" si="7">+C6</f>
        <v>SC1</v>
      </c>
      <c r="N42" s="23" t="str">
        <f t="shared" si="7"/>
        <v>SC5</v>
      </c>
      <c r="O42" s="23" t="str">
        <f t="shared" si="7"/>
        <v>SC3</v>
      </c>
      <c r="P42" s="23" t="str">
        <f t="shared" si="7"/>
        <v>SC2 ND</v>
      </c>
      <c r="Q42" s="23" t="str">
        <f t="shared" si="7"/>
        <v>SC4</v>
      </c>
      <c r="R42" s="23" t="str">
        <f t="shared" si="7"/>
        <v>SC6</v>
      </c>
      <c r="S42" s="23" t="str">
        <f t="shared" si="7"/>
        <v>SC2 Dem</v>
      </c>
      <c r="T42" s="23"/>
    </row>
    <row r="43" spans="1:20" x14ac:dyDescent="0.2">
      <c r="A43" s="3"/>
    </row>
    <row r="44" spans="1:20" x14ac:dyDescent="0.2">
      <c r="A44" s="3"/>
      <c r="B44" s="116" t="s">
        <v>14</v>
      </c>
      <c r="C44" s="125">
        <v>55142</v>
      </c>
      <c r="D44" s="125">
        <v>1746</v>
      </c>
      <c r="E44" s="125">
        <v>34.5</v>
      </c>
      <c r="F44" s="125">
        <v>2257</v>
      </c>
      <c r="G44" s="125">
        <v>473.5</v>
      </c>
      <c r="H44" s="125">
        <v>496</v>
      </c>
      <c r="I44" s="125">
        <v>27877.856500000002</v>
      </c>
      <c r="J44" s="125">
        <f>SUM(C44:I44)</f>
        <v>88026.856499999994</v>
      </c>
      <c r="K44" s="125"/>
      <c r="L44" s="126" t="s">
        <v>37</v>
      </c>
      <c r="M44" s="127">
        <f t="shared" ref="M44:S44" si="8">SUM(C44:C48,C53:C55)</f>
        <v>367336.5</v>
      </c>
      <c r="N44" s="125">
        <f t="shared" si="8"/>
        <v>9320</v>
      </c>
      <c r="O44" s="125">
        <f t="shared" si="8"/>
        <v>202</v>
      </c>
      <c r="P44" s="125">
        <f t="shared" si="8"/>
        <v>15561</v>
      </c>
      <c r="Q44" s="125">
        <f t="shared" si="8"/>
        <v>3409</v>
      </c>
      <c r="R44" s="125">
        <f t="shared" si="8"/>
        <v>3677.5</v>
      </c>
      <c r="S44" s="125">
        <f t="shared" si="8"/>
        <v>215889.19750000001</v>
      </c>
      <c r="T44" s="125"/>
    </row>
    <row r="45" spans="1:20" x14ac:dyDescent="0.2">
      <c r="A45" s="3"/>
      <c r="B45" s="116" t="s">
        <v>15</v>
      </c>
      <c r="C45" s="125">
        <v>47843</v>
      </c>
      <c r="D45" s="125">
        <v>1417.5</v>
      </c>
      <c r="E45" s="125">
        <v>42</v>
      </c>
      <c r="F45" s="125">
        <v>2610</v>
      </c>
      <c r="G45" s="125">
        <v>433.5</v>
      </c>
      <c r="H45" s="125">
        <v>409.5</v>
      </c>
      <c r="I45" s="125">
        <v>28801.811999999998</v>
      </c>
      <c r="J45" s="125">
        <f t="shared" ref="J45:J55" si="9">SUM(C45:I45)</f>
        <v>81557.312000000005</v>
      </c>
      <c r="K45" s="125"/>
      <c r="L45" s="126" t="s">
        <v>38</v>
      </c>
      <c r="M45" s="127"/>
      <c r="O45" s="125">
        <f>SUMPRODUCT(E26:E30,E44:E48)+SUMPRODUCT(E35:E37,E53:E55)</f>
        <v>72.887254430941155</v>
      </c>
      <c r="T45" s="125"/>
    </row>
    <row r="46" spans="1:20" x14ac:dyDescent="0.2">
      <c r="A46" s="3"/>
      <c r="B46" s="116" t="s">
        <v>16</v>
      </c>
      <c r="C46" s="125">
        <v>44335.5</v>
      </c>
      <c r="D46" s="125">
        <v>1257</v>
      </c>
      <c r="E46" s="125">
        <v>23</v>
      </c>
      <c r="F46" s="125">
        <v>2260</v>
      </c>
      <c r="G46" s="125">
        <v>408</v>
      </c>
      <c r="H46" s="125">
        <v>406</v>
      </c>
      <c r="I46" s="125">
        <v>26921.745999999999</v>
      </c>
      <c r="J46" s="125">
        <f t="shared" si="9"/>
        <v>75611.245999999999</v>
      </c>
      <c r="K46" s="125"/>
      <c r="L46" s="126" t="s">
        <v>39</v>
      </c>
      <c r="M46" s="127"/>
      <c r="O46" s="125">
        <f>+O44-O45</f>
        <v>129.11274556905886</v>
      </c>
      <c r="T46" s="125"/>
    </row>
    <row r="47" spans="1:20" x14ac:dyDescent="0.2">
      <c r="A47" s="3"/>
      <c r="B47" s="116" t="s">
        <v>17</v>
      </c>
      <c r="C47" s="125">
        <v>39187</v>
      </c>
      <c r="D47" s="125">
        <v>1000</v>
      </c>
      <c r="E47" s="125">
        <v>22</v>
      </c>
      <c r="F47" s="125">
        <v>1745</v>
      </c>
      <c r="G47" s="125">
        <v>354.5</v>
      </c>
      <c r="H47" s="125">
        <v>423.5</v>
      </c>
      <c r="I47" s="125">
        <v>25433.710999999999</v>
      </c>
      <c r="J47" s="125">
        <f t="shared" si="9"/>
        <v>68165.710999999996</v>
      </c>
      <c r="K47" s="125"/>
    </row>
    <row r="48" spans="1:20" x14ac:dyDescent="0.2">
      <c r="A48" s="3"/>
      <c r="B48" s="116" t="s">
        <v>18</v>
      </c>
      <c r="C48" s="125">
        <v>41434</v>
      </c>
      <c r="D48" s="125">
        <v>849</v>
      </c>
      <c r="E48" s="125">
        <v>16</v>
      </c>
      <c r="F48" s="125">
        <v>1579</v>
      </c>
      <c r="G48" s="125">
        <v>330</v>
      </c>
      <c r="H48" s="125">
        <v>398.5</v>
      </c>
      <c r="I48" s="125">
        <v>25413.8505</v>
      </c>
      <c r="J48" s="125">
        <f t="shared" si="9"/>
        <v>70020.3505</v>
      </c>
      <c r="K48" s="125"/>
      <c r="L48" s="126" t="s">
        <v>40</v>
      </c>
      <c r="M48" s="127">
        <f>SUM(C49:C52)</f>
        <v>280559.5</v>
      </c>
      <c r="N48" s="125">
        <f t="shared" ref="N48:S48" si="10">+SUM(D49:D52)</f>
        <v>4604.5</v>
      </c>
      <c r="O48" s="125">
        <f t="shared" si="10"/>
        <v>86</v>
      </c>
      <c r="P48" s="125">
        <f t="shared" si="10"/>
        <v>7003</v>
      </c>
      <c r="Q48" s="125">
        <f t="shared" si="10"/>
        <v>1346</v>
      </c>
      <c r="R48" s="125">
        <f t="shared" si="10"/>
        <v>1474</v>
      </c>
      <c r="S48" s="125">
        <f t="shared" si="10"/>
        <v>120253.258</v>
      </c>
      <c r="T48" s="125"/>
    </row>
    <row r="49" spans="1:24" x14ac:dyDescent="0.2">
      <c r="A49" s="3"/>
      <c r="B49" s="116" t="s">
        <v>19</v>
      </c>
      <c r="C49" s="125">
        <v>55649.5</v>
      </c>
      <c r="D49" s="125">
        <v>937.5</v>
      </c>
      <c r="E49" s="125">
        <v>20</v>
      </c>
      <c r="F49" s="125">
        <v>1462</v>
      </c>
      <c r="G49" s="125">
        <v>301.5</v>
      </c>
      <c r="H49" s="125">
        <v>371.5</v>
      </c>
      <c r="I49" s="125">
        <v>26347.089</v>
      </c>
      <c r="J49" s="125">
        <f t="shared" si="9"/>
        <v>85089.089000000007</v>
      </c>
      <c r="K49" s="125"/>
      <c r="L49" s="126" t="s">
        <v>38</v>
      </c>
      <c r="M49" s="127"/>
      <c r="O49" s="125">
        <f>+SUMPRODUCT(E31:E34,E49:E52)</f>
        <v>32.874875720559736</v>
      </c>
      <c r="T49" s="125"/>
    </row>
    <row r="50" spans="1:24" x14ac:dyDescent="0.2">
      <c r="A50" s="3"/>
      <c r="B50" s="116" t="s">
        <v>20</v>
      </c>
      <c r="C50" s="125">
        <v>78263</v>
      </c>
      <c r="D50" s="125">
        <v>1256</v>
      </c>
      <c r="E50" s="125">
        <v>25</v>
      </c>
      <c r="F50" s="125">
        <v>1947</v>
      </c>
      <c r="G50" s="125">
        <v>318.5</v>
      </c>
      <c r="H50" s="125">
        <v>351</v>
      </c>
      <c r="I50" s="125">
        <v>32192.5625</v>
      </c>
      <c r="J50" s="125">
        <f t="shared" si="9"/>
        <v>114353.0625</v>
      </c>
      <c r="K50" s="125"/>
      <c r="L50" s="126" t="s">
        <v>39</v>
      </c>
      <c r="M50" s="127"/>
      <c r="O50" s="125">
        <f>+O48-O49</f>
        <v>53.125124279440264</v>
      </c>
      <c r="T50" s="125"/>
    </row>
    <row r="51" spans="1:24" x14ac:dyDescent="0.2">
      <c r="A51" s="3"/>
      <c r="B51" s="116" t="s">
        <v>21</v>
      </c>
      <c r="C51" s="125">
        <v>80037.5</v>
      </c>
      <c r="D51" s="125">
        <v>1301.5</v>
      </c>
      <c r="E51" s="125">
        <v>22</v>
      </c>
      <c r="F51" s="125">
        <v>1863</v>
      </c>
      <c r="G51" s="125">
        <v>337.5</v>
      </c>
      <c r="H51" s="125">
        <v>344.5</v>
      </c>
      <c r="I51" s="125">
        <v>31125.891</v>
      </c>
      <c r="J51" s="125">
        <f t="shared" si="9"/>
        <v>115031.891</v>
      </c>
      <c r="K51" s="125"/>
    </row>
    <row r="52" spans="1:24" x14ac:dyDescent="0.2">
      <c r="A52" s="3"/>
      <c r="B52" s="116" t="s">
        <v>22</v>
      </c>
      <c r="C52" s="125">
        <v>66609.5</v>
      </c>
      <c r="D52" s="125">
        <v>1109.5</v>
      </c>
      <c r="E52" s="125">
        <v>19</v>
      </c>
      <c r="F52" s="125">
        <v>1731</v>
      </c>
      <c r="G52" s="125">
        <v>388.5</v>
      </c>
      <c r="H52" s="125">
        <v>407</v>
      </c>
      <c r="I52" s="125">
        <v>30587.715499999998</v>
      </c>
      <c r="J52" s="125">
        <f t="shared" si="9"/>
        <v>100852.21549999999</v>
      </c>
      <c r="K52" s="125"/>
      <c r="L52" s="126" t="s">
        <v>41</v>
      </c>
      <c r="M52" s="127">
        <f>ROUND(M48*E156,0)</f>
        <v>118116</v>
      </c>
      <c r="N52" s="127">
        <f>ROUND(N48*J156,0)</f>
        <v>2839</v>
      </c>
    </row>
    <row r="53" spans="1:24" x14ac:dyDescent="0.2">
      <c r="A53" s="3"/>
      <c r="B53" s="116" t="s">
        <v>23</v>
      </c>
      <c r="C53" s="125">
        <v>46357.5</v>
      </c>
      <c r="D53" s="125">
        <v>834.5</v>
      </c>
      <c r="E53" s="125">
        <v>17</v>
      </c>
      <c r="F53" s="125">
        <v>1419</v>
      </c>
      <c r="G53" s="125">
        <v>432</v>
      </c>
      <c r="H53" s="125">
        <v>480.5</v>
      </c>
      <c r="I53" s="125">
        <v>26260.941500000001</v>
      </c>
      <c r="J53" s="125">
        <f t="shared" si="9"/>
        <v>75801.441500000001</v>
      </c>
      <c r="K53" s="125"/>
      <c r="L53" s="128" t="s">
        <v>42</v>
      </c>
      <c r="M53" s="127">
        <f>M48-M52</f>
        <v>162443.5</v>
      </c>
      <c r="N53" s="127">
        <f>ROUND(N48*J157,0)</f>
        <v>1766</v>
      </c>
    </row>
    <row r="54" spans="1:24" x14ac:dyDescent="0.2">
      <c r="A54" s="3"/>
      <c r="B54" s="116" t="s">
        <v>24</v>
      </c>
      <c r="C54" s="125">
        <v>42923.5</v>
      </c>
      <c r="D54" s="125">
        <v>988.5</v>
      </c>
      <c r="E54" s="125">
        <v>21</v>
      </c>
      <c r="F54" s="125">
        <v>1635</v>
      </c>
      <c r="G54" s="125">
        <v>469.5</v>
      </c>
      <c r="H54" s="125">
        <v>524</v>
      </c>
      <c r="I54" s="125">
        <v>26856.925500000001</v>
      </c>
      <c r="J54" s="125">
        <f t="shared" si="9"/>
        <v>73418.425499999998</v>
      </c>
      <c r="K54" s="125"/>
      <c r="L54" s="128" t="s">
        <v>43</v>
      </c>
      <c r="M54" s="127"/>
      <c r="N54" s="127">
        <f>N48-N52-N53</f>
        <v>-0.5</v>
      </c>
    </row>
    <row r="55" spans="1:24" x14ac:dyDescent="0.2">
      <c r="A55" s="3"/>
      <c r="B55" s="116" t="s">
        <v>25</v>
      </c>
      <c r="C55" s="2">
        <v>50114</v>
      </c>
      <c r="D55" s="2">
        <v>1227.5</v>
      </c>
      <c r="E55" s="2">
        <v>26.5</v>
      </c>
      <c r="F55" s="2">
        <v>2056</v>
      </c>
      <c r="G55" s="2">
        <v>508</v>
      </c>
      <c r="H55" s="2">
        <v>539.5</v>
      </c>
      <c r="I55" s="2">
        <v>28322.354500000001</v>
      </c>
      <c r="J55" s="2">
        <f t="shared" si="9"/>
        <v>82793.854500000001</v>
      </c>
      <c r="K55" s="125"/>
      <c r="N55" s="129"/>
    </row>
    <row r="56" spans="1:24" x14ac:dyDescent="0.2">
      <c r="A56" s="3"/>
      <c r="B56" s="130" t="s">
        <v>36</v>
      </c>
      <c r="C56" s="125">
        <f>SUM(C44:C55)</f>
        <v>647896</v>
      </c>
      <c r="D56" s="125">
        <f t="shared" ref="D56:I56" si="11">SUM(D44:D55)</f>
        <v>13924.5</v>
      </c>
      <c r="E56" s="125">
        <f t="shared" si="11"/>
        <v>288</v>
      </c>
      <c r="F56" s="125">
        <f t="shared" si="11"/>
        <v>22564</v>
      </c>
      <c r="G56" s="125">
        <f>SUM(G44:G55)</f>
        <v>4755</v>
      </c>
      <c r="H56" s="125">
        <f>SUM(H44:H55)</f>
        <v>5151.5</v>
      </c>
      <c r="I56" s="125">
        <f t="shared" si="11"/>
        <v>336142.45550000004</v>
      </c>
      <c r="J56" s="125">
        <f>SUM(J44:J55)</f>
        <v>1030721.4554999999</v>
      </c>
      <c r="K56" s="125"/>
      <c r="N56" s="129"/>
    </row>
    <row r="57" spans="1:24" x14ac:dyDescent="0.2">
      <c r="A57" s="3"/>
      <c r="B57" s="116"/>
      <c r="N57" s="129"/>
      <c r="O57" s="10" t="s">
        <v>44</v>
      </c>
    </row>
    <row r="58" spans="1:24" x14ac:dyDescent="0.2">
      <c r="A58" s="3"/>
      <c r="N58" s="131"/>
      <c r="O58" s="132"/>
      <c r="P58" s="133"/>
      <c r="Q58" s="133"/>
      <c r="R58" s="133"/>
      <c r="S58" s="133"/>
      <c r="T58" s="133"/>
      <c r="U58" s="133"/>
      <c r="V58" s="133"/>
      <c r="W58" s="134"/>
    </row>
    <row r="59" spans="1:24" x14ac:dyDescent="0.2">
      <c r="A59" s="45" t="s">
        <v>45</v>
      </c>
      <c r="B59" s="10" t="s">
        <v>46</v>
      </c>
      <c r="G59" s="56"/>
      <c r="H59" s="10"/>
      <c r="N59" s="129"/>
      <c r="O59" s="57"/>
      <c r="P59" s="131" t="s">
        <v>47</v>
      </c>
      <c r="Q59" s="131"/>
      <c r="R59" s="131"/>
      <c r="S59" s="131"/>
      <c r="T59" s="131"/>
      <c r="U59" s="131"/>
      <c r="V59" s="131"/>
      <c r="W59" s="135"/>
    </row>
    <row r="60" spans="1:24" s="136" customFormat="1" x14ac:dyDescent="0.2">
      <c r="A60" s="3"/>
      <c r="B60" s="1" t="s">
        <v>48</v>
      </c>
      <c r="G60" s="111"/>
      <c r="N60" s="129"/>
      <c r="O60" s="137"/>
      <c r="P60" s="58"/>
      <c r="Q60" s="58"/>
      <c r="R60" s="58"/>
      <c r="S60" s="59" t="str">
        <f>E6</f>
        <v>SC3</v>
      </c>
      <c r="T60" s="59"/>
      <c r="U60" s="59"/>
      <c r="V60" s="131"/>
      <c r="W60" s="60"/>
      <c r="X60" s="111"/>
    </row>
    <row r="61" spans="1:24" x14ac:dyDescent="0.2">
      <c r="A61" s="3"/>
      <c r="C61" s="19" t="s">
        <v>49</v>
      </c>
      <c r="D61" s="19" t="s">
        <v>50</v>
      </c>
      <c r="G61" s="23"/>
      <c r="H61" s="23"/>
      <c r="I61" s="23"/>
      <c r="N61" s="129"/>
      <c r="O61" s="138"/>
      <c r="P61" s="131"/>
      <c r="Q61" s="131"/>
      <c r="R61" s="131"/>
      <c r="S61" s="131"/>
      <c r="T61" s="131"/>
      <c r="U61" s="131"/>
      <c r="V61" s="131"/>
      <c r="W61" s="135"/>
    </row>
    <row r="62" spans="1:24" x14ac:dyDescent="0.2">
      <c r="A62" s="3"/>
      <c r="B62" s="116" t="s">
        <v>14</v>
      </c>
      <c r="C62" s="139">
        <f t="shared" ref="C62:D73" si="12">G428</f>
        <v>51.36</v>
      </c>
      <c r="D62" s="139">
        <f t="shared" si="12"/>
        <v>40.229999999999997</v>
      </c>
      <c r="H62" s="23"/>
      <c r="I62" s="23"/>
      <c r="M62" s="131"/>
      <c r="N62" s="131"/>
      <c r="O62" s="137"/>
      <c r="P62" s="140"/>
      <c r="Q62" s="141" t="s">
        <v>37</v>
      </c>
      <c r="R62" s="140"/>
      <c r="S62" s="142">
        <f>SUM(E44:E48,E53:E55)</f>
        <v>202</v>
      </c>
      <c r="T62" s="140"/>
      <c r="U62" s="142"/>
      <c r="V62" s="140"/>
      <c r="W62" s="135"/>
    </row>
    <row r="63" spans="1:24" x14ac:dyDescent="0.2">
      <c r="A63" s="3"/>
      <c r="B63" s="116" t="s">
        <v>15</v>
      </c>
      <c r="C63" s="139">
        <f t="shared" si="12"/>
        <v>48.78</v>
      </c>
      <c r="D63" s="139">
        <f t="shared" si="12"/>
        <v>38.15</v>
      </c>
      <c r="H63" s="23"/>
      <c r="I63" s="23"/>
      <c r="N63" s="131"/>
      <c r="O63" s="137"/>
      <c r="P63" s="140"/>
      <c r="Q63" s="141" t="s">
        <v>38</v>
      </c>
      <c r="R63" s="131"/>
      <c r="S63" s="142">
        <f>SUMPRODUCT(E26:E30,E44:E48)+SUMPRODUCT(E35:E37,E53:E55)</f>
        <v>72.887254430941155</v>
      </c>
      <c r="T63" s="131">
        <f>S63/S62</f>
        <v>0.36082799223238193</v>
      </c>
      <c r="U63" s="142"/>
      <c r="V63" s="131"/>
      <c r="W63" s="135"/>
    </row>
    <row r="64" spans="1:24" x14ac:dyDescent="0.2">
      <c r="A64" s="3"/>
      <c r="B64" s="116" t="s">
        <v>16</v>
      </c>
      <c r="C64" s="139">
        <f t="shared" si="12"/>
        <v>37.78</v>
      </c>
      <c r="D64" s="139">
        <f t="shared" si="12"/>
        <v>29.38</v>
      </c>
      <c r="H64" s="23"/>
      <c r="I64" s="23"/>
      <c r="M64" s="58"/>
      <c r="N64" s="58"/>
      <c r="O64" s="137"/>
      <c r="P64" s="140"/>
      <c r="Q64" s="141" t="s">
        <v>39</v>
      </c>
      <c r="R64" s="131"/>
      <c r="S64" s="142">
        <f>SUMPRODUCT(O26:O30,E44:E48)+SUMPRODUCT(O35:O37,E53:E55)</f>
        <v>129.11274556905886</v>
      </c>
      <c r="T64" s="131"/>
      <c r="U64" s="142"/>
      <c r="V64" s="131"/>
      <c r="W64" s="135"/>
    </row>
    <row r="65" spans="1:24" x14ac:dyDescent="0.2">
      <c r="A65" s="3"/>
      <c r="B65" s="116" t="s">
        <v>17</v>
      </c>
      <c r="C65" s="139">
        <f t="shared" si="12"/>
        <v>32.76</v>
      </c>
      <c r="D65" s="139">
        <f t="shared" si="12"/>
        <v>25.06</v>
      </c>
      <c r="H65" s="23"/>
      <c r="I65" s="23"/>
      <c r="M65" s="131"/>
      <c r="N65" s="131"/>
      <c r="O65" s="138"/>
      <c r="P65" s="131"/>
      <c r="Q65" s="131"/>
      <c r="R65" s="131"/>
      <c r="S65" s="131"/>
      <c r="T65" s="131"/>
      <c r="U65" s="131"/>
      <c r="V65" s="131"/>
      <c r="W65" s="135"/>
      <c r="X65" s="136"/>
    </row>
    <row r="66" spans="1:24" x14ac:dyDescent="0.2">
      <c r="A66" s="3"/>
      <c r="B66" s="116" t="s">
        <v>18</v>
      </c>
      <c r="C66" s="139">
        <f t="shared" si="12"/>
        <v>32.409999999999997</v>
      </c>
      <c r="D66" s="139">
        <f t="shared" si="12"/>
        <v>24.84</v>
      </c>
      <c r="H66" s="23"/>
      <c r="I66" s="23"/>
      <c r="N66" s="129"/>
      <c r="O66" s="137"/>
      <c r="P66" s="140"/>
      <c r="Q66" s="141" t="s">
        <v>40</v>
      </c>
      <c r="R66" s="140"/>
      <c r="S66" s="142">
        <f>+SUM(E49:E52)</f>
        <v>86</v>
      </c>
      <c r="T66" s="140"/>
      <c r="U66" s="142"/>
      <c r="V66" s="140"/>
      <c r="W66" s="135"/>
    </row>
    <row r="67" spans="1:24" x14ac:dyDescent="0.2">
      <c r="A67" s="3"/>
      <c r="B67" s="116" t="s">
        <v>19</v>
      </c>
      <c r="C67" s="139">
        <f t="shared" si="12"/>
        <v>34.04</v>
      </c>
      <c r="D67" s="139">
        <f t="shared" si="12"/>
        <v>21.2</v>
      </c>
      <c r="H67" s="23"/>
      <c r="I67" s="23"/>
      <c r="N67" s="129"/>
      <c r="O67" s="137"/>
      <c r="P67" s="140"/>
      <c r="Q67" s="141" t="s">
        <v>38</v>
      </c>
      <c r="R67" s="131"/>
      <c r="S67" s="142">
        <f>+SUMPRODUCT(E31:E34,E49:E52)</f>
        <v>32.874875720559736</v>
      </c>
      <c r="T67" s="143">
        <f>S67/S66</f>
        <v>0.38226599675069461</v>
      </c>
      <c r="U67" s="142"/>
      <c r="V67" s="143"/>
      <c r="W67" s="144"/>
    </row>
    <row r="68" spans="1:24" x14ac:dyDescent="0.2">
      <c r="A68" s="3"/>
      <c r="B68" s="116" t="s">
        <v>20</v>
      </c>
      <c r="C68" s="139">
        <f t="shared" si="12"/>
        <v>38.659999999999997</v>
      </c>
      <c r="D68" s="139">
        <f t="shared" si="12"/>
        <v>24.17</v>
      </c>
      <c r="H68" s="23"/>
      <c r="I68" s="23"/>
      <c r="N68" s="129"/>
      <c r="O68" s="137"/>
      <c r="P68" s="140"/>
      <c r="Q68" s="141" t="s">
        <v>39</v>
      </c>
      <c r="R68" s="131"/>
      <c r="S68" s="142">
        <f>SUMPRODUCT(O31:O34,E49:E52)</f>
        <v>53.125124279440264</v>
      </c>
      <c r="T68" s="131"/>
      <c r="U68" s="142"/>
      <c r="V68" s="131"/>
      <c r="W68" s="135"/>
    </row>
    <row r="69" spans="1:24" x14ac:dyDescent="0.2">
      <c r="A69" s="3"/>
      <c r="B69" s="116" t="s">
        <v>21</v>
      </c>
      <c r="C69" s="139">
        <f t="shared" si="12"/>
        <v>36.04</v>
      </c>
      <c r="D69" s="139">
        <f t="shared" si="12"/>
        <v>22.52</v>
      </c>
      <c r="H69" s="23"/>
      <c r="I69" s="23"/>
      <c r="N69" s="131"/>
      <c r="O69" s="137"/>
      <c r="P69" s="131"/>
      <c r="Q69" s="131"/>
      <c r="R69" s="131"/>
      <c r="S69" s="131"/>
      <c r="T69" s="131"/>
      <c r="U69" s="131"/>
      <c r="V69" s="131"/>
      <c r="W69" s="135"/>
    </row>
    <row r="70" spans="1:24" x14ac:dyDescent="0.2">
      <c r="A70" s="3"/>
      <c r="B70" s="116" t="s">
        <v>22</v>
      </c>
      <c r="C70" s="139">
        <f t="shared" si="12"/>
        <v>34.869999999999997</v>
      </c>
      <c r="D70" s="139">
        <f t="shared" si="12"/>
        <v>21.45</v>
      </c>
      <c r="H70" s="23"/>
      <c r="I70" s="23"/>
      <c r="N70" s="129"/>
      <c r="O70" s="57"/>
      <c r="P70" s="131" t="s">
        <v>51</v>
      </c>
      <c r="Q70" s="131"/>
      <c r="R70" s="131"/>
      <c r="S70" s="131"/>
      <c r="T70" s="131"/>
      <c r="U70" s="131"/>
      <c r="V70" s="131"/>
      <c r="W70" s="135"/>
    </row>
    <row r="71" spans="1:24" x14ac:dyDescent="0.2">
      <c r="A71" s="3"/>
      <c r="B71" s="116" t="s">
        <v>23</v>
      </c>
      <c r="C71" s="139">
        <f t="shared" si="12"/>
        <v>31.71</v>
      </c>
      <c r="D71" s="139">
        <f t="shared" si="12"/>
        <v>24.48</v>
      </c>
      <c r="H71" s="23"/>
      <c r="I71" s="23"/>
      <c r="N71" s="129"/>
      <c r="O71" s="137"/>
      <c r="P71" s="58"/>
      <c r="Q71" s="58"/>
      <c r="R71" s="58"/>
      <c r="S71" s="58" t="str">
        <f>S60</f>
        <v>SC3</v>
      </c>
      <c r="T71" s="58"/>
      <c r="U71" s="58"/>
      <c r="V71" s="58"/>
      <c r="W71" s="135"/>
    </row>
    <row r="72" spans="1:24" x14ac:dyDescent="0.2">
      <c r="A72" s="3"/>
      <c r="B72" s="116" t="s">
        <v>24</v>
      </c>
      <c r="C72" s="139">
        <f t="shared" si="12"/>
        <v>32.020000000000003</v>
      </c>
      <c r="D72" s="139">
        <f t="shared" si="12"/>
        <v>24.88</v>
      </c>
      <c r="H72" s="23"/>
      <c r="I72" s="23"/>
      <c r="N72" s="129"/>
      <c r="O72" s="138"/>
      <c r="P72" s="131"/>
      <c r="Q72" s="131"/>
      <c r="R72" s="131"/>
      <c r="S72" s="131"/>
      <c r="T72" s="131"/>
      <c r="U72" s="131"/>
      <c r="V72" s="131"/>
      <c r="W72" s="135"/>
    </row>
    <row r="73" spans="1:24" x14ac:dyDescent="0.2">
      <c r="A73" s="3"/>
      <c r="B73" s="116" t="s">
        <v>25</v>
      </c>
      <c r="C73" s="139">
        <f t="shared" si="12"/>
        <v>36.53</v>
      </c>
      <c r="D73" s="139">
        <f t="shared" si="12"/>
        <v>28.53</v>
      </c>
      <c r="H73" s="23"/>
      <c r="I73" s="23"/>
      <c r="N73" s="131"/>
      <c r="O73" s="137"/>
      <c r="P73" s="140"/>
      <c r="Q73" s="141" t="s">
        <v>37</v>
      </c>
      <c r="R73" s="140"/>
      <c r="S73" s="142">
        <f>SUM(E44:E48,E53:E55)</f>
        <v>202</v>
      </c>
      <c r="T73" s="140"/>
      <c r="U73" s="142"/>
      <c r="V73" s="140"/>
      <c r="W73" s="135"/>
    </row>
    <row r="74" spans="1:24" x14ac:dyDescent="0.2">
      <c r="A74" s="3"/>
      <c r="B74" s="116"/>
      <c r="C74" s="139"/>
      <c r="D74" s="139"/>
      <c r="G74" s="17"/>
      <c r="M74" s="58"/>
      <c r="N74" s="58"/>
      <c r="O74" s="137"/>
      <c r="P74" s="140"/>
      <c r="Q74" s="141" t="s">
        <v>38</v>
      </c>
      <c r="R74" s="131"/>
      <c r="S74" s="142">
        <f>SUMPRODUCT(E8:E12,E44:E48)+SUMPRODUCT(E17:E19,E53:E55)</f>
        <v>96.216637805504774</v>
      </c>
      <c r="T74" s="131">
        <f>S74/S73</f>
        <v>0.47631998913616225</v>
      </c>
      <c r="U74" s="142"/>
      <c r="V74" s="131"/>
      <c r="W74" s="135"/>
    </row>
    <row r="75" spans="1:24" x14ac:dyDescent="0.2">
      <c r="A75" s="3"/>
      <c r="B75" s="116"/>
      <c r="C75" s="139"/>
      <c r="D75" s="139"/>
      <c r="I75" s="17"/>
      <c r="M75" s="131"/>
      <c r="N75" s="131"/>
      <c r="O75" s="137"/>
      <c r="P75" s="140"/>
      <c r="Q75" s="141" t="s">
        <v>39</v>
      </c>
      <c r="R75" s="131"/>
      <c r="S75" s="142">
        <f>SUMPRODUCT(O8:O12,E44:E48)+SUMPRODUCT(O17:O19,E53:E55)</f>
        <v>105.78336219449523</v>
      </c>
      <c r="T75" s="131"/>
      <c r="U75" s="142"/>
      <c r="V75" s="131"/>
      <c r="W75" s="135"/>
    </row>
    <row r="76" spans="1:24" x14ac:dyDescent="0.2">
      <c r="A76" s="61" t="s">
        <v>52</v>
      </c>
      <c r="B76" s="54" t="s">
        <v>53</v>
      </c>
      <c r="C76" s="19" t="str">
        <f>+C6</f>
        <v>SC1</v>
      </c>
      <c r="D76" s="19" t="str">
        <f t="shared" ref="D76:I76" si="13">+D6</f>
        <v>SC5</v>
      </c>
      <c r="E76" s="19" t="str">
        <f t="shared" si="13"/>
        <v>SC3</v>
      </c>
      <c r="F76" s="19" t="str">
        <f t="shared" si="13"/>
        <v>SC2 ND</v>
      </c>
      <c r="G76" s="19" t="str">
        <f t="shared" si="13"/>
        <v>SC4</v>
      </c>
      <c r="H76" s="19" t="str">
        <f t="shared" si="13"/>
        <v>SC6</v>
      </c>
      <c r="I76" s="19" t="str">
        <f t="shared" si="13"/>
        <v>SC2 Dem</v>
      </c>
      <c r="J76" s="23"/>
      <c r="K76" s="23"/>
      <c r="N76" s="129"/>
      <c r="O76" s="138"/>
      <c r="P76" s="131"/>
      <c r="Q76" s="131"/>
      <c r="R76" s="131"/>
      <c r="S76" s="131"/>
      <c r="T76" s="131"/>
      <c r="U76" s="131"/>
      <c r="V76" s="131"/>
      <c r="W76" s="135"/>
    </row>
    <row r="77" spans="1:24" x14ac:dyDescent="0.2">
      <c r="A77" s="3"/>
      <c r="B77" s="116"/>
      <c r="C77" s="145"/>
      <c r="D77" s="145"/>
      <c r="E77" s="145"/>
      <c r="F77" s="145"/>
      <c r="N77" s="129"/>
      <c r="O77" s="137"/>
      <c r="P77" s="58"/>
      <c r="Q77" s="141" t="s">
        <v>40</v>
      </c>
      <c r="R77" s="58"/>
      <c r="S77" s="142">
        <f>+SUM(E49:E52)</f>
        <v>86</v>
      </c>
      <c r="T77" s="58"/>
      <c r="U77" s="142"/>
      <c r="V77" s="58"/>
      <c r="W77" s="135"/>
    </row>
    <row r="78" spans="1:24" x14ac:dyDescent="0.2">
      <c r="A78" s="3"/>
      <c r="B78" s="111" t="s">
        <v>54</v>
      </c>
      <c r="C78" s="146">
        <v>1.0849318014292777</v>
      </c>
      <c r="D78" s="146">
        <v>1.0849318014292777</v>
      </c>
      <c r="E78" s="146">
        <v>1.0849318014292777</v>
      </c>
      <c r="F78" s="146">
        <v>1.0849318014292777</v>
      </c>
      <c r="G78" s="146">
        <v>1.0811541767398483</v>
      </c>
      <c r="H78" s="146">
        <v>1.0811541767398483</v>
      </c>
      <c r="I78" s="146">
        <v>1.0849318014292777</v>
      </c>
      <c r="J78" s="146"/>
      <c r="K78" s="146"/>
      <c r="N78" s="129"/>
      <c r="O78" s="137"/>
      <c r="P78" s="140"/>
      <c r="Q78" s="141" t="s">
        <v>38</v>
      </c>
      <c r="R78" s="131"/>
      <c r="S78" s="142">
        <f>+SUMPRODUCT(E13:E16,E49:E52)</f>
        <v>44.308880586540617</v>
      </c>
      <c r="T78" s="131">
        <f>S78/S77</f>
        <v>0.51521954170396067</v>
      </c>
      <c r="U78" s="142"/>
      <c r="V78" s="131"/>
      <c r="W78" s="135"/>
    </row>
    <row r="79" spans="1:24" x14ac:dyDescent="0.2">
      <c r="A79" s="3"/>
      <c r="J79" s="146"/>
      <c r="K79" s="146"/>
      <c r="N79" s="131"/>
      <c r="O79" s="137"/>
      <c r="P79" s="140"/>
      <c r="Q79" s="141" t="s">
        <v>39</v>
      </c>
      <c r="R79" s="131"/>
      <c r="S79" s="142">
        <f>SUMPRODUCT(O13:O16,E49:E52)</f>
        <v>41.691119413459383</v>
      </c>
      <c r="T79" s="131"/>
      <c r="U79" s="142"/>
      <c r="V79" s="131"/>
      <c r="W79" s="135"/>
    </row>
    <row r="80" spans="1:24" x14ac:dyDescent="0.2">
      <c r="A80" s="3"/>
      <c r="B80" s="111" t="s">
        <v>55</v>
      </c>
      <c r="C80" s="146"/>
      <c r="J80" s="146"/>
      <c r="K80" s="146"/>
      <c r="N80" s="131"/>
      <c r="O80" s="137"/>
      <c r="P80" s="140"/>
      <c r="Q80" s="141"/>
      <c r="R80" s="131"/>
      <c r="S80" s="142"/>
      <c r="T80" s="131"/>
      <c r="U80" s="142"/>
      <c r="V80" s="131"/>
      <c r="W80" s="135"/>
    </row>
    <row r="81" spans="1:23" x14ac:dyDescent="0.2">
      <c r="A81" s="3"/>
      <c r="B81" s="111" t="s">
        <v>56</v>
      </c>
      <c r="C81" s="146">
        <v>1.0745602607303497</v>
      </c>
      <c r="D81" s="146">
        <v>1.0745602607303497</v>
      </c>
      <c r="E81" s="146">
        <v>1.0745602607303497</v>
      </c>
      <c r="F81" s="146">
        <v>1.0745602607303497</v>
      </c>
      <c r="G81" s="146">
        <v>1.0708187487146938</v>
      </c>
      <c r="H81" s="146">
        <v>1.0708187487146938</v>
      </c>
      <c r="I81" s="146">
        <v>1.0745602607303497</v>
      </c>
      <c r="J81" s="146"/>
      <c r="K81" s="146"/>
      <c r="N81" s="131"/>
      <c r="O81" s="137"/>
      <c r="P81" s="140"/>
      <c r="Q81" s="141"/>
      <c r="R81" s="131"/>
      <c r="S81" s="142"/>
      <c r="T81" s="131"/>
      <c r="U81" s="142"/>
      <c r="V81" s="131"/>
      <c r="W81" s="135"/>
    </row>
    <row r="82" spans="1:23" x14ac:dyDescent="0.2">
      <c r="A82" s="3"/>
      <c r="N82" s="129"/>
      <c r="O82" s="57"/>
      <c r="P82" s="131"/>
      <c r="Q82" s="131"/>
      <c r="R82" s="131"/>
      <c r="S82" s="131"/>
      <c r="T82" s="131"/>
      <c r="U82" s="131"/>
      <c r="V82" s="131"/>
      <c r="W82" s="135"/>
    </row>
    <row r="83" spans="1:23" x14ac:dyDescent="0.2">
      <c r="A83" s="61" t="s">
        <v>57</v>
      </c>
      <c r="B83" s="10" t="s">
        <v>58</v>
      </c>
      <c r="N83" s="129"/>
      <c r="O83" s="137"/>
      <c r="P83" s="131" t="s">
        <v>59</v>
      </c>
      <c r="Q83" s="131"/>
      <c r="R83" s="131"/>
      <c r="S83" s="131"/>
      <c r="T83" s="131"/>
      <c r="U83" s="131"/>
      <c r="V83" s="131"/>
      <c r="W83" s="135"/>
    </row>
    <row r="84" spans="1:23" x14ac:dyDescent="0.2">
      <c r="A84" s="3"/>
      <c r="B84" s="1" t="s">
        <v>60</v>
      </c>
      <c r="N84" s="129"/>
      <c r="O84" s="138"/>
      <c r="P84" s="58"/>
      <c r="Q84" s="58"/>
      <c r="R84" s="58"/>
      <c r="S84" s="58" t="str">
        <f>S60</f>
        <v>SC3</v>
      </c>
      <c r="T84" s="58"/>
      <c r="U84" s="58"/>
      <c r="V84" s="58"/>
      <c r="W84" s="135"/>
    </row>
    <row r="85" spans="1:23" x14ac:dyDescent="0.2">
      <c r="A85" s="3"/>
      <c r="B85" s="4" t="s">
        <v>61</v>
      </c>
      <c r="N85" s="131"/>
      <c r="O85" s="137"/>
      <c r="P85" s="131"/>
      <c r="Q85" s="131"/>
      <c r="R85" s="131"/>
      <c r="S85" s="131"/>
      <c r="T85" s="131"/>
      <c r="U85" s="131"/>
      <c r="V85" s="131"/>
      <c r="W85" s="135"/>
    </row>
    <row r="86" spans="1:23" x14ac:dyDescent="0.2">
      <c r="A86" s="3"/>
      <c r="B86" s="10"/>
      <c r="C86" s="19" t="str">
        <f>+C6</f>
        <v>SC1</v>
      </c>
      <c r="D86" s="19" t="str">
        <f t="shared" ref="D86:I86" si="14">+D6</f>
        <v>SC5</v>
      </c>
      <c r="E86" s="19" t="str">
        <f t="shared" si="14"/>
        <v>SC3</v>
      </c>
      <c r="F86" s="19" t="str">
        <f t="shared" si="14"/>
        <v>SC2 ND</v>
      </c>
      <c r="G86" s="19" t="str">
        <f t="shared" si="14"/>
        <v>SC4</v>
      </c>
      <c r="H86" s="19" t="str">
        <f t="shared" si="14"/>
        <v>SC6</v>
      </c>
      <c r="I86" s="19" t="str">
        <f t="shared" si="14"/>
        <v>SC2 Dem</v>
      </c>
      <c r="J86" s="23"/>
      <c r="K86" s="23"/>
      <c r="M86" s="131"/>
      <c r="N86" s="131"/>
      <c r="O86" s="137"/>
      <c r="P86" s="140"/>
      <c r="Q86" s="141" t="s">
        <v>62</v>
      </c>
      <c r="R86" s="140"/>
      <c r="S86" s="140"/>
      <c r="T86" s="140"/>
      <c r="U86" s="140"/>
      <c r="V86" s="140"/>
      <c r="W86" s="135"/>
    </row>
    <row r="87" spans="1:23" x14ac:dyDescent="0.2">
      <c r="A87" s="3"/>
      <c r="M87" s="131"/>
      <c r="N87" s="131"/>
      <c r="O87" s="137"/>
      <c r="P87" s="140"/>
      <c r="Q87" s="147" t="s">
        <v>63</v>
      </c>
      <c r="R87" s="131"/>
      <c r="S87" s="140">
        <f>S74-S63</f>
        <v>23.329383374563619</v>
      </c>
      <c r="T87" s="131"/>
      <c r="U87" s="140"/>
      <c r="V87" s="131"/>
      <c r="W87" s="135"/>
    </row>
    <row r="88" spans="1:23" x14ac:dyDescent="0.2">
      <c r="A88" s="3"/>
      <c r="B88" s="116" t="s">
        <v>64</v>
      </c>
      <c r="C88" s="7">
        <f>(SUMPRODUCT(C13:C16,C49:C52,$C67:$C70)*C78+SUMPRODUCT(M13:M16,C49:C52,$D67:$D70)*C78)/SUM(C49:C52)</f>
        <v>32.232381460508094</v>
      </c>
      <c r="D88" s="7">
        <f t="shared" ref="D88:I88" si="15">(SUMPRODUCT(D13:D16,D49:D52,$C67:$C70)*D78+SUMPRODUCT(N13:N16,D49:D52,$D67:$D70)*D78)/SUM(D49:D52)</f>
        <v>32.014225155503901</v>
      </c>
      <c r="E88" s="7">
        <f t="shared" si="15"/>
        <v>31.976334551678175</v>
      </c>
      <c r="F88" s="7">
        <f t="shared" si="15"/>
        <v>33.032101215862475</v>
      </c>
      <c r="G88" s="7">
        <f t="shared" si="15"/>
        <v>27.373132590938077</v>
      </c>
      <c r="H88" s="7">
        <f t="shared" si="15"/>
        <v>27.333319002682277</v>
      </c>
      <c r="I88" s="7">
        <f t="shared" si="15"/>
        <v>32.373984539207548</v>
      </c>
      <c r="J88" s="7"/>
      <c r="K88" s="7"/>
      <c r="M88" s="131"/>
      <c r="N88" s="131"/>
      <c r="O88" s="138"/>
      <c r="P88" s="140"/>
      <c r="Q88" s="141" t="s">
        <v>65</v>
      </c>
      <c r="R88" s="131"/>
      <c r="S88" s="62">
        <f>S87*(E93-E94)</f>
        <v>224.66089359243554</v>
      </c>
      <c r="T88" s="131"/>
      <c r="U88" s="62"/>
      <c r="V88" s="131"/>
      <c r="W88" s="135"/>
    </row>
    <row r="89" spans="1:23" x14ac:dyDescent="0.2">
      <c r="A89" s="3"/>
      <c r="B89" s="148" t="s">
        <v>66</v>
      </c>
      <c r="C89" s="7">
        <f>(SUMPRODUCT(C13:C16,C49:C52,$C67:$C70)*C78)/SUMPRODUCT(C13:C16,C49:C52)</f>
        <v>39.169358549094277</v>
      </c>
      <c r="D89" s="7">
        <f t="shared" ref="D89:I89" si="16">(SUMPRODUCT(D13:D16,D49:D52,$C67:$C70)*D78)/SUMPRODUCT(D13:D16,D49:D52)</f>
        <v>39.141707238781585</v>
      </c>
      <c r="E89" s="7">
        <f t="shared" si="16"/>
        <v>39.153451838000571</v>
      </c>
      <c r="F89" s="7">
        <f t="shared" si="16"/>
        <v>39.083825852965106</v>
      </c>
      <c r="G89" s="7">
        <f t="shared" si="16"/>
        <v>38.690817634055392</v>
      </c>
      <c r="H89" s="7">
        <f t="shared" si="16"/>
        <v>38.655216271879048</v>
      </c>
      <c r="I89" s="7">
        <f t="shared" si="16"/>
        <v>39.052652490591676</v>
      </c>
      <c r="J89" s="7"/>
      <c r="K89" s="7"/>
      <c r="O89" s="137"/>
      <c r="P89" s="131"/>
      <c r="Q89" s="141" t="s">
        <v>67</v>
      </c>
      <c r="R89" s="131"/>
      <c r="S89" s="149">
        <f>ROUND(S88/S73,2)</f>
        <v>1.1100000000000001</v>
      </c>
      <c r="T89" s="131"/>
      <c r="U89" s="149"/>
      <c r="V89" s="131"/>
      <c r="W89" s="135"/>
    </row>
    <row r="90" spans="1:23" x14ac:dyDescent="0.2">
      <c r="A90" s="3"/>
      <c r="B90" s="148" t="s">
        <v>68</v>
      </c>
      <c r="C90" s="7">
        <f>(SUMPRODUCT(M13:M16,C49:C52,$D67:$D70)*C78)/SUMPRODUCT(M13:M16,C49:C52)</f>
        <v>24.35908351589644</v>
      </c>
      <c r="D90" s="7">
        <f t="shared" ref="D90:I90" si="17">(SUMPRODUCT(N13:N16,D49:D52,$D67:$D70)*D78)/SUMPRODUCT(N13:N16,D49:D52)</f>
        <v>24.33244975552363</v>
      </c>
      <c r="E90" s="7">
        <f t="shared" si="17"/>
        <v>24.348570239535707</v>
      </c>
      <c r="F90" s="7">
        <f t="shared" si="17"/>
        <v>24.376082641231001</v>
      </c>
      <c r="G90" s="7">
        <f t="shared" si="17"/>
        <v>24.13724353023602</v>
      </c>
      <c r="H90" s="7">
        <f t="shared" si="17"/>
        <v>24.113311851499805</v>
      </c>
      <c r="I90" s="7">
        <f t="shared" si="17"/>
        <v>24.305880089996069</v>
      </c>
      <c r="J90" s="7"/>
      <c r="K90" s="7"/>
      <c r="O90" s="137"/>
      <c r="P90" s="58"/>
      <c r="V90" s="58"/>
      <c r="W90" s="135"/>
    </row>
    <row r="91" spans="1:23" x14ac:dyDescent="0.2">
      <c r="A91" s="3"/>
      <c r="C91" s="63"/>
      <c r="D91" s="63"/>
      <c r="E91" s="63"/>
      <c r="F91" s="63"/>
      <c r="G91" s="63"/>
      <c r="H91" s="63"/>
      <c r="I91" s="63"/>
      <c r="J91" s="63"/>
      <c r="K91" s="63"/>
      <c r="O91" s="137"/>
      <c r="P91" s="140"/>
      <c r="Q91" s="141" t="s">
        <v>69</v>
      </c>
      <c r="R91" s="58"/>
      <c r="S91" s="150"/>
      <c r="T91" s="58"/>
      <c r="U91" s="150"/>
      <c r="V91" s="131"/>
      <c r="W91" s="135"/>
    </row>
    <row r="92" spans="1:23" x14ac:dyDescent="0.2">
      <c r="A92" s="3"/>
      <c r="B92" s="116" t="s">
        <v>70</v>
      </c>
      <c r="C92" s="7">
        <f t="shared" ref="C92:I92" si="18">(SUMPRODUCT(C8:C12,C44:C48,$C62:$C66)*C78+SUMPRODUCT(M8:M12,C44:C48,$D62:$D66)*C78+SUMPRODUCT(C17:C19,C53:C55,$C71:$C73)*C78+SUMPRODUCT(M17:M19,C53:C55,$D71:$D73)*C78)/SUM(C44:C48,C53:C55)</f>
        <v>37.123743784749038</v>
      </c>
      <c r="D92" s="7">
        <f t="shared" si="18"/>
        <v>37.822985230490588</v>
      </c>
      <c r="E92" s="7">
        <f t="shared" si="18"/>
        <v>38.490489290016512</v>
      </c>
      <c r="F92" s="7">
        <f t="shared" si="18"/>
        <v>38.021939486878992</v>
      </c>
      <c r="G92" s="7">
        <f t="shared" si="18"/>
        <v>34.83646489508903</v>
      </c>
      <c r="H92" s="7">
        <f t="shared" si="18"/>
        <v>34.456392917976586</v>
      </c>
      <c r="I92" s="7">
        <f t="shared" si="18"/>
        <v>37.146754447621056</v>
      </c>
      <c r="J92" s="7"/>
      <c r="K92" s="7"/>
      <c r="O92" s="137"/>
      <c r="P92" s="140"/>
      <c r="Q92" s="147" t="s">
        <v>63</v>
      </c>
      <c r="R92" s="131"/>
      <c r="S92" s="140">
        <f>S78-S67</f>
        <v>11.434004865980882</v>
      </c>
      <c r="T92" s="131"/>
      <c r="U92" s="140"/>
      <c r="V92" s="131"/>
      <c r="W92" s="135"/>
    </row>
    <row r="93" spans="1:23" x14ac:dyDescent="0.2">
      <c r="A93" s="3"/>
      <c r="B93" s="148" t="s">
        <v>66</v>
      </c>
      <c r="C93" s="7">
        <f t="shared" ref="C93:I93" si="19">(SUMPRODUCT(C8:C12,C44:C48,$C62:$C66)*C78+SUMPRODUCT(C17:C19,C53:C55,$C71:$C73)*C78)/(SUMPRODUCT(C8:C12,C44:C48)+SUMPRODUCT(C17:C19,C53:C55))</f>
        <v>41.728824601114894</v>
      </c>
      <c r="D93" s="7">
        <f t="shared" si="19"/>
        <v>43.078374655684726</v>
      </c>
      <c r="E93" s="7">
        <f t="shared" si="19"/>
        <v>43.533503814157008</v>
      </c>
      <c r="F93" s="7">
        <f t="shared" si="19"/>
        <v>42.214489536996979</v>
      </c>
      <c r="G93" s="7">
        <f t="shared" si="19"/>
        <v>41.639880932799969</v>
      </c>
      <c r="H93" s="7">
        <f t="shared" si="19"/>
        <v>41.211855559616531</v>
      </c>
      <c r="I93" s="7">
        <f t="shared" si="19"/>
        <v>41.293289413622396</v>
      </c>
      <c r="J93" s="7"/>
      <c r="K93" s="7"/>
      <c r="O93" s="131"/>
      <c r="P93" s="131"/>
      <c r="Q93" s="141" t="s">
        <v>65</v>
      </c>
      <c r="R93" s="131"/>
      <c r="S93" s="62">
        <f>S92*(E89-E90)</f>
        <v>169.27908823711806</v>
      </c>
      <c r="T93" s="131"/>
      <c r="U93" s="62"/>
      <c r="V93" s="131"/>
      <c r="W93" s="131"/>
    </row>
    <row r="94" spans="1:23" x14ac:dyDescent="0.2">
      <c r="A94" s="3"/>
      <c r="B94" s="148" t="s">
        <v>68</v>
      </c>
      <c r="C94" s="7">
        <f t="shared" ref="C94:I94" si="20">(SUMPRODUCT(M8:M12,C44:C48,$D62:$D66)*C78+SUMPRODUCT(M17:M19,C53:C55,$D71:$D73)*C78)/(SUMPRODUCT(M8:M12,C44:C48)+SUMPRODUCT(M17:M19,C53:C55))</f>
        <v>32.496315067623563</v>
      </c>
      <c r="D94" s="7">
        <f t="shared" si="20"/>
        <v>33.424581285755465</v>
      </c>
      <c r="E94" s="7">
        <f t="shared" si="20"/>
        <v>33.903549606392275</v>
      </c>
      <c r="F94" s="7">
        <f t="shared" si="20"/>
        <v>33.292573695570574</v>
      </c>
      <c r="G94" s="7">
        <f t="shared" si="20"/>
        <v>32.074017588302084</v>
      </c>
      <c r="H94" s="7">
        <f t="shared" si="20"/>
        <v>31.726518608306883</v>
      </c>
      <c r="I94" s="7">
        <f t="shared" si="20"/>
        <v>32.262433675377686</v>
      </c>
      <c r="J94" s="7"/>
      <c r="K94" s="7"/>
      <c r="O94" s="131"/>
      <c r="P94" s="131"/>
      <c r="Q94" s="141" t="s">
        <v>67</v>
      </c>
      <c r="R94" s="131"/>
      <c r="S94" s="149">
        <f>ROUND(S93/S77,2)</f>
        <v>1.97</v>
      </c>
      <c r="T94" s="131"/>
      <c r="U94" s="149"/>
      <c r="V94" s="131"/>
      <c r="W94" s="131"/>
    </row>
    <row r="95" spans="1:23" x14ac:dyDescent="0.2">
      <c r="A95" s="3"/>
      <c r="C95" s="63"/>
      <c r="D95" s="63"/>
      <c r="E95" s="63"/>
      <c r="F95" s="63"/>
      <c r="G95" s="63"/>
      <c r="H95" s="63"/>
      <c r="I95" s="63"/>
      <c r="J95" s="63"/>
      <c r="K95" s="63"/>
      <c r="P95" s="131"/>
      <c r="Q95" s="131"/>
      <c r="R95" s="131"/>
      <c r="S95" s="131"/>
      <c r="T95" s="131"/>
      <c r="U95" s="131"/>
      <c r="V95" s="131"/>
      <c r="W95" s="131"/>
    </row>
    <row r="96" spans="1:23" x14ac:dyDescent="0.2">
      <c r="A96" s="3"/>
      <c r="B96" s="111" t="s">
        <v>71</v>
      </c>
      <c r="C96" s="7">
        <f t="shared" ref="C96:I96" si="21">(C88*SUM(C49:C52)+C92*SUM(C44:C48,C53:C55))/C56</f>
        <v>35.00562888975373</v>
      </c>
      <c r="D96" s="63">
        <f t="shared" si="21"/>
        <v>35.902166833759921</v>
      </c>
      <c r="E96" s="63">
        <f t="shared" si="21"/>
        <v>36.545290305651598</v>
      </c>
      <c r="F96" s="63">
        <f t="shared" si="21"/>
        <v>36.473285107694068</v>
      </c>
      <c r="G96" s="63">
        <f t="shared" si="21"/>
        <v>32.723816045165329</v>
      </c>
      <c r="H96" s="63">
        <f t="shared" si="21"/>
        <v>32.418265974145896</v>
      </c>
      <c r="I96" s="63">
        <f t="shared" si="21"/>
        <v>35.439320228050754</v>
      </c>
      <c r="J96" s="63"/>
      <c r="K96" s="63"/>
    </row>
    <row r="97" spans="1:11" x14ac:dyDescent="0.2">
      <c r="A97" s="3"/>
      <c r="C97" s="7"/>
      <c r="D97" s="63"/>
      <c r="E97" s="63"/>
      <c r="F97" s="63"/>
      <c r="G97" s="63"/>
      <c r="H97" s="63"/>
      <c r="I97" s="63"/>
      <c r="J97" s="63"/>
      <c r="K97" s="63"/>
    </row>
    <row r="98" spans="1:11" x14ac:dyDescent="0.2">
      <c r="A98" s="3"/>
      <c r="B98" s="111" t="s">
        <v>72</v>
      </c>
      <c r="C98" s="151">
        <f>SUMPRODUCT(C96:I96,C56:I56)/SUM(C56:I56)</f>
        <v>35.168278760234834</v>
      </c>
      <c r="D98" s="63"/>
      <c r="E98" s="63"/>
      <c r="F98" s="63"/>
      <c r="G98" s="63"/>
      <c r="H98" s="63"/>
      <c r="I98" s="63"/>
      <c r="J98" s="63"/>
      <c r="K98" s="63"/>
    </row>
    <row r="99" spans="1:11" x14ac:dyDescent="0.2">
      <c r="A99" s="3"/>
      <c r="C99" s="7"/>
      <c r="D99" s="63"/>
      <c r="E99" s="63"/>
      <c r="F99" s="63"/>
      <c r="G99" s="63"/>
      <c r="H99" s="63"/>
      <c r="I99" s="63"/>
      <c r="J99" s="63"/>
      <c r="K99" s="63"/>
    </row>
    <row r="100" spans="1:11" x14ac:dyDescent="0.2">
      <c r="A100" s="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x14ac:dyDescent="0.2">
      <c r="A101" s="61" t="s">
        <v>73</v>
      </c>
      <c r="B101" s="10" t="s">
        <v>74</v>
      </c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x14ac:dyDescent="0.2">
      <c r="A102" s="3"/>
      <c r="B102" s="4" t="s">
        <v>60</v>
      </c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x14ac:dyDescent="0.2">
      <c r="A103" s="3"/>
      <c r="B103" s="4" t="s">
        <v>75</v>
      </c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x14ac:dyDescent="0.2">
      <c r="A104" s="3"/>
      <c r="B104" s="10"/>
      <c r="C104" s="19" t="str">
        <f>+C6</f>
        <v>SC1</v>
      </c>
      <c r="D104" s="19" t="str">
        <f t="shared" ref="D104:I104" si="22">+D6</f>
        <v>SC5</v>
      </c>
      <c r="E104" s="19" t="str">
        <f t="shared" si="22"/>
        <v>SC3</v>
      </c>
      <c r="F104" s="19" t="str">
        <f t="shared" si="22"/>
        <v>SC2 ND</v>
      </c>
      <c r="G104" s="19" t="str">
        <f t="shared" si="22"/>
        <v>SC4</v>
      </c>
      <c r="H104" s="19" t="str">
        <f t="shared" si="22"/>
        <v>SC6</v>
      </c>
      <c r="I104" s="19" t="str">
        <f t="shared" si="22"/>
        <v>SC2 Dem</v>
      </c>
      <c r="J104" s="23"/>
      <c r="K104" s="23"/>
    </row>
    <row r="105" spans="1:11" x14ac:dyDescent="0.2">
      <c r="A105" s="3"/>
      <c r="C105" s="152"/>
    </row>
    <row r="106" spans="1:11" x14ac:dyDescent="0.2">
      <c r="A106" s="3"/>
      <c r="B106" s="116" t="s">
        <v>64</v>
      </c>
      <c r="C106" s="108">
        <f t="shared" ref="C106:I106" si="23">SUM(C49:C52)*C88/1000</f>
        <v>9043.1008263694202</v>
      </c>
      <c r="D106" s="108">
        <f t="shared" si="23"/>
        <v>147.40949972851772</v>
      </c>
      <c r="E106" s="108">
        <f t="shared" si="23"/>
        <v>2.7499647714443229</v>
      </c>
      <c r="F106" s="108">
        <f t="shared" si="23"/>
        <v>231.32380481468491</v>
      </c>
      <c r="G106" s="108">
        <f t="shared" si="23"/>
        <v>36.844236467402652</v>
      </c>
      <c r="H106" s="108">
        <f t="shared" si="23"/>
        <v>40.289312209953678</v>
      </c>
      <c r="I106" s="108">
        <f t="shared" si="23"/>
        <v>3893.0771152813363</v>
      </c>
      <c r="J106" s="108"/>
      <c r="K106" s="108"/>
    </row>
    <row r="107" spans="1:11" x14ac:dyDescent="0.2">
      <c r="A107" s="3"/>
      <c r="B107" s="148" t="s">
        <v>66</v>
      </c>
      <c r="C107" s="108">
        <f t="shared" ref="C107:I107" si="24">SUMPRODUCT(C49:C52,C13:C16)*C89/1000</f>
        <v>5842.046389463032</v>
      </c>
      <c r="D107" s="108">
        <f t="shared" si="24"/>
        <v>93.486857735483497</v>
      </c>
      <c r="E107" s="108">
        <f t="shared" si="24"/>
        <v>1.7348456220408366</v>
      </c>
      <c r="F107" s="108">
        <f t="shared" si="24"/>
        <v>161.08434548503439</v>
      </c>
      <c r="G107" s="108">
        <f t="shared" si="24"/>
        <v>11.579156658802233</v>
      </c>
      <c r="H107" s="108">
        <f t="shared" si="24"/>
        <v>12.616565343968478</v>
      </c>
      <c r="I107" s="108">
        <f t="shared" si="24"/>
        <v>2569.3420391668201</v>
      </c>
      <c r="J107" s="108"/>
      <c r="K107" s="108"/>
    </row>
    <row r="108" spans="1:11" x14ac:dyDescent="0.2">
      <c r="A108" s="3"/>
      <c r="B108" s="148" t="s">
        <v>68</v>
      </c>
      <c r="C108" s="108">
        <f t="shared" ref="C108:I108" si="25">SUMPRODUCT(C49:C52,M13:M16)*C90/1000</f>
        <v>3201.0544369063891</v>
      </c>
      <c r="D108" s="108">
        <f t="shared" si="25"/>
        <v>53.922641993034233</v>
      </c>
      <c r="E108" s="108">
        <f t="shared" si="25"/>
        <v>1.0151191494034866</v>
      </c>
      <c r="F108" s="108">
        <f t="shared" si="25"/>
        <v>70.239459329650487</v>
      </c>
      <c r="G108" s="108">
        <f t="shared" si="25"/>
        <v>25.265079808600422</v>
      </c>
      <c r="H108" s="108">
        <f t="shared" si="25"/>
        <v>27.672746865985204</v>
      </c>
      <c r="I108" s="108">
        <f t="shared" si="25"/>
        <v>1323.7350761145162</v>
      </c>
      <c r="J108" s="108"/>
      <c r="K108" s="108"/>
    </row>
    <row r="109" spans="1:11" x14ac:dyDescent="0.2">
      <c r="A109" s="3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x14ac:dyDescent="0.2">
      <c r="A110" s="3"/>
      <c r="B110" s="116" t="s">
        <v>70</v>
      </c>
      <c r="C110" s="16">
        <f t="shared" ref="C110:I110" si="26">SUM(C44:C48,C53:C55)*C92/1000</f>
        <v>13636.906108786465</v>
      </c>
      <c r="D110" s="16">
        <f t="shared" si="26"/>
        <v>352.51022234817225</v>
      </c>
      <c r="E110" s="16">
        <f t="shared" si="26"/>
        <v>7.7750788365833357</v>
      </c>
      <c r="F110" s="16">
        <f t="shared" si="26"/>
        <v>591.65940035532401</v>
      </c>
      <c r="G110" s="16">
        <f t="shared" si="26"/>
        <v>118.75750882735849</v>
      </c>
      <c r="H110" s="16">
        <f t="shared" si="26"/>
        <v>126.7133849558589</v>
      </c>
      <c r="I110" s="16">
        <f t="shared" si="26"/>
        <v>8019.5830074264659</v>
      </c>
      <c r="J110" s="16"/>
      <c r="K110" s="16"/>
    </row>
    <row r="111" spans="1:11" x14ac:dyDescent="0.2">
      <c r="A111" s="3"/>
      <c r="B111" s="148" t="s">
        <v>66</v>
      </c>
      <c r="C111" s="108">
        <f t="shared" ref="C111:I111" si="27">(SUMPRODUCT(C44:C48,C8:C12)+SUMPRODUCT(C53:C55,C17:C19))*C93/1000</f>
        <v>7682.8120384059521</v>
      </c>
      <c r="D111" s="108">
        <f t="shared" si="27"/>
        <v>182.92469283956493</v>
      </c>
      <c r="E111" s="108">
        <f t="shared" si="27"/>
        <v>4.1886473688913055</v>
      </c>
      <c r="F111" s="108">
        <f t="shared" si="27"/>
        <v>348.21207583741017</v>
      </c>
      <c r="G111" s="108">
        <f t="shared" si="27"/>
        <v>40.992679830233023</v>
      </c>
      <c r="H111" s="108">
        <f t="shared" si="27"/>
        <v>43.617898626558357</v>
      </c>
      <c r="I111" s="108">
        <f t="shared" si="27"/>
        <v>4821.5387920595867</v>
      </c>
      <c r="J111" s="108"/>
      <c r="K111" s="108"/>
    </row>
    <row r="112" spans="1:11" x14ac:dyDescent="0.2">
      <c r="A112" s="3"/>
      <c r="B112" s="148" t="s">
        <v>68</v>
      </c>
      <c r="C112" s="108">
        <f t="shared" ref="C112:I112" si="28">+(SUMPRODUCT(C44:C48,M8:M12)+SUMPRODUCT(C53:C55,M17:M19))*C94/1000</f>
        <v>5954.0940703805145</v>
      </c>
      <c r="D112" s="108">
        <f t="shared" si="28"/>
        <v>169.58552950860729</v>
      </c>
      <c r="E112" s="108">
        <f t="shared" si="28"/>
        <v>3.5864314676920297</v>
      </c>
      <c r="F112" s="108">
        <f t="shared" si="28"/>
        <v>243.44732451791381</v>
      </c>
      <c r="G112" s="108">
        <f t="shared" si="28"/>
        <v>77.764828997125491</v>
      </c>
      <c r="H112" s="108">
        <f t="shared" si="28"/>
        <v>83.095486329300527</v>
      </c>
      <c r="I112" s="108">
        <f t="shared" si="28"/>
        <v>3198.0442153668796</v>
      </c>
      <c r="J112" s="108"/>
      <c r="K112" s="108"/>
    </row>
    <row r="113" spans="1:11" x14ac:dyDescent="0.2">
      <c r="A113" s="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x14ac:dyDescent="0.2">
      <c r="A114" s="3"/>
      <c r="B114" s="111" t="s">
        <v>71</v>
      </c>
      <c r="C114" s="16">
        <f>+C106+C110</f>
        <v>22680.006935155885</v>
      </c>
      <c r="D114" s="16">
        <f t="shared" ref="D114:I114" si="29">+D106+D110</f>
        <v>499.91972207668994</v>
      </c>
      <c r="E114" s="16">
        <f t="shared" si="29"/>
        <v>10.525043608027659</v>
      </c>
      <c r="F114" s="16">
        <f t="shared" si="29"/>
        <v>822.98320517000889</v>
      </c>
      <c r="G114" s="16">
        <f t="shared" si="29"/>
        <v>155.60174529476114</v>
      </c>
      <c r="H114" s="16">
        <f t="shared" si="29"/>
        <v>167.00269716581258</v>
      </c>
      <c r="I114" s="16">
        <f t="shared" si="29"/>
        <v>11912.660122707803</v>
      </c>
      <c r="J114" s="16"/>
      <c r="K114" s="16"/>
    </row>
    <row r="115" spans="1:11" x14ac:dyDescent="0.2">
      <c r="A115" s="3"/>
    </row>
    <row r="116" spans="1:11" x14ac:dyDescent="0.2">
      <c r="A116" s="3"/>
      <c r="B116" s="111" t="s">
        <v>72</v>
      </c>
      <c r="C116" s="108">
        <f>SUM(C114:I114)</f>
        <v>36248.699471178988</v>
      </c>
      <c r="D116" s="64"/>
      <c r="E116" s="153"/>
      <c r="F116" s="7"/>
    </row>
    <row r="117" spans="1:11" x14ac:dyDescent="0.2">
      <c r="A117" s="3"/>
    </row>
    <row r="118" spans="1:11" x14ac:dyDescent="0.2">
      <c r="A118" s="3"/>
    </row>
    <row r="119" spans="1:11" x14ac:dyDescent="0.2">
      <c r="A119" s="61" t="s">
        <v>76</v>
      </c>
      <c r="B119" s="15" t="s">
        <v>77</v>
      </c>
      <c r="C119" s="63"/>
    </row>
    <row r="120" spans="1:11" x14ac:dyDescent="0.2">
      <c r="A120" s="3"/>
      <c r="B120" s="1" t="s">
        <v>78</v>
      </c>
      <c r="C120" s="63"/>
    </row>
    <row r="121" spans="1:11" x14ac:dyDescent="0.2">
      <c r="A121" s="3"/>
      <c r="B121" s="4"/>
      <c r="C121" s="63"/>
    </row>
    <row r="122" spans="1:11" x14ac:dyDescent="0.2">
      <c r="A122" s="3"/>
      <c r="B122" s="10"/>
      <c r="C122" s="19" t="str">
        <f>+C6</f>
        <v>SC1</v>
      </c>
      <c r="D122" s="19" t="str">
        <f t="shared" ref="D122:I122" si="30">+D6</f>
        <v>SC5</v>
      </c>
      <c r="E122" s="19" t="str">
        <f t="shared" si="30"/>
        <v>SC3</v>
      </c>
      <c r="F122" s="19" t="str">
        <f t="shared" si="30"/>
        <v>SC2 ND</v>
      </c>
      <c r="G122" s="19" t="str">
        <f t="shared" si="30"/>
        <v>SC4</v>
      </c>
      <c r="H122" s="19" t="str">
        <f t="shared" si="30"/>
        <v>SC6</v>
      </c>
      <c r="I122" s="19" t="str">
        <f t="shared" si="30"/>
        <v>SC2 Dem</v>
      </c>
      <c r="J122" s="23"/>
      <c r="K122" s="23"/>
    </row>
    <row r="123" spans="1:11" x14ac:dyDescent="0.2">
      <c r="A123" s="3"/>
      <c r="C123" s="152"/>
    </row>
    <row r="124" spans="1:11" x14ac:dyDescent="0.2">
      <c r="A124" s="3"/>
      <c r="B124" s="116" t="s">
        <v>64</v>
      </c>
      <c r="C124" s="151">
        <f t="shared" ref="C124:I124" si="31">+C106/SUM(C49:C52)*1000</f>
        <v>32.232381460508094</v>
      </c>
      <c r="D124" s="151">
        <f t="shared" si="31"/>
        <v>32.014225155503901</v>
      </c>
      <c r="E124" s="151">
        <f t="shared" si="31"/>
        <v>31.976334551678171</v>
      </c>
      <c r="F124" s="151">
        <f t="shared" si="31"/>
        <v>33.032101215862475</v>
      </c>
      <c r="G124" s="151">
        <f t="shared" si="31"/>
        <v>27.373132590938077</v>
      </c>
      <c r="H124" s="151">
        <f t="shared" si="31"/>
        <v>27.333319002682281</v>
      </c>
      <c r="I124" s="151">
        <f t="shared" si="31"/>
        <v>32.373984539207548</v>
      </c>
      <c r="J124" s="151"/>
      <c r="K124" s="151"/>
    </row>
    <row r="125" spans="1:11" x14ac:dyDescent="0.2">
      <c r="A125" s="3"/>
      <c r="B125" s="148" t="s">
        <v>79</v>
      </c>
      <c r="C125" s="108"/>
      <c r="D125" s="108"/>
      <c r="E125" s="151">
        <f>E89+S94</f>
        <v>41.12345183800057</v>
      </c>
      <c r="F125" s="108"/>
      <c r="G125" s="108"/>
      <c r="H125" s="108"/>
      <c r="I125" s="108"/>
      <c r="J125" s="151"/>
      <c r="K125" s="151"/>
    </row>
    <row r="126" spans="1:11" x14ac:dyDescent="0.2">
      <c r="A126" s="3"/>
      <c r="B126" s="148" t="s">
        <v>80</v>
      </c>
      <c r="C126" s="108"/>
      <c r="D126" s="108"/>
      <c r="E126" s="151">
        <f>E90+S94</f>
        <v>26.318570239535706</v>
      </c>
      <c r="F126" s="108"/>
      <c r="G126" s="108"/>
      <c r="H126" s="108"/>
      <c r="I126" s="108"/>
      <c r="J126" s="151"/>
      <c r="K126" s="151"/>
    </row>
    <row r="127" spans="1:11" x14ac:dyDescent="0.2">
      <c r="A127" s="3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x14ac:dyDescent="0.2">
      <c r="A128" s="3"/>
      <c r="B128" s="116" t="s">
        <v>70</v>
      </c>
      <c r="C128" s="63">
        <f t="shared" ref="C128:I128" si="32">+C110/SUM(C44:C48,C53:C55)*1000</f>
        <v>37.123743784749038</v>
      </c>
      <c r="D128" s="63">
        <f t="shared" si="32"/>
        <v>37.82298523049058</v>
      </c>
      <c r="E128" s="63">
        <f t="shared" si="32"/>
        <v>38.490489290016512</v>
      </c>
      <c r="F128" s="63">
        <f t="shared" si="32"/>
        <v>38.021939486878992</v>
      </c>
      <c r="G128" s="63">
        <f t="shared" si="32"/>
        <v>34.83646489508903</v>
      </c>
      <c r="H128" s="63">
        <f t="shared" si="32"/>
        <v>34.456392917976586</v>
      </c>
      <c r="I128" s="63">
        <f t="shared" si="32"/>
        <v>37.146754447621056</v>
      </c>
      <c r="J128" s="63"/>
      <c r="K128" s="63"/>
    </row>
    <row r="129" spans="1:22" x14ac:dyDescent="0.2">
      <c r="A129" s="3"/>
      <c r="B129" s="148" t="s">
        <v>79</v>
      </c>
      <c r="C129" s="108"/>
      <c r="D129" s="108"/>
      <c r="E129" s="151">
        <f>E93+S89</f>
        <v>44.643503814157008</v>
      </c>
      <c r="F129" s="108"/>
      <c r="G129" s="108"/>
      <c r="H129" s="108"/>
      <c r="I129" s="108"/>
      <c r="J129" s="151"/>
      <c r="K129" s="151"/>
    </row>
    <row r="130" spans="1:22" x14ac:dyDescent="0.2">
      <c r="A130" s="3"/>
      <c r="B130" s="148" t="s">
        <v>80</v>
      </c>
      <c r="C130" s="108"/>
      <c r="D130" s="108"/>
      <c r="E130" s="151">
        <f>E94+S89</f>
        <v>35.013549606392274</v>
      </c>
      <c r="F130" s="108"/>
      <c r="G130" s="108"/>
      <c r="H130" s="108"/>
      <c r="I130" s="108"/>
      <c r="J130" s="151"/>
      <c r="K130" s="151"/>
    </row>
    <row r="131" spans="1:22" x14ac:dyDescent="0.2">
      <c r="A131" s="3"/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22" x14ac:dyDescent="0.2">
      <c r="A132" s="3"/>
      <c r="B132" s="111" t="s">
        <v>81</v>
      </c>
      <c r="C132" s="7">
        <f t="shared" ref="C132:I132" si="33">(C124*SUM(C49:C52)+C128*SUM(C44:C48,C53:C55))/C56</f>
        <v>35.00562888975373</v>
      </c>
      <c r="D132" s="7">
        <f t="shared" si="33"/>
        <v>35.902166833759914</v>
      </c>
      <c r="E132" s="7">
        <f t="shared" si="33"/>
        <v>36.545290305651598</v>
      </c>
      <c r="F132" s="7">
        <f t="shared" si="33"/>
        <v>36.473285107694068</v>
      </c>
      <c r="G132" s="7">
        <f t="shared" si="33"/>
        <v>32.723816045165329</v>
      </c>
      <c r="H132" s="7">
        <f t="shared" si="33"/>
        <v>32.418265974145896</v>
      </c>
      <c r="I132" s="7">
        <f t="shared" si="33"/>
        <v>35.439320228050754</v>
      </c>
      <c r="J132" s="7"/>
      <c r="K132" s="7"/>
      <c r="M132" s="111">
        <v>42644</v>
      </c>
    </row>
    <row r="133" spans="1:22" x14ac:dyDescent="0.2">
      <c r="A133" s="3"/>
      <c r="B133" s="111" t="s">
        <v>82</v>
      </c>
      <c r="C133" s="151">
        <f>+C116/SUM(C56:I56)*1000</f>
        <v>35.168278760234834</v>
      </c>
      <c r="M133" s="111">
        <f>M136-M132</f>
        <v>1339</v>
      </c>
    </row>
    <row r="134" spans="1:22" x14ac:dyDescent="0.2">
      <c r="A134" s="3"/>
    </row>
    <row r="135" spans="1:22" x14ac:dyDescent="0.2">
      <c r="A135" s="61" t="s">
        <v>83</v>
      </c>
      <c r="B135" s="15" t="s">
        <v>84</v>
      </c>
    </row>
    <row r="136" spans="1:22" x14ac:dyDescent="0.2">
      <c r="A136" s="3"/>
      <c r="B136" s="1" t="str">
        <f>"Obligations - annual average forecasted for " &amp;M1-1 &amp;"; costs are market estimates"</f>
        <v>Obligations - annual average forecasted for 2018; costs are market estimates</v>
      </c>
      <c r="M136" s="154">
        <f>(DATE($M$1+1,6,1))</f>
        <v>43983</v>
      </c>
    </row>
    <row r="137" spans="1:22" x14ac:dyDescent="0.2">
      <c r="A137" s="3"/>
      <c r="B137" s="4" t="s">
        <v>85</v>
      </c>
      <c r="C137" s="19" t="str">
        <f>+C6</f>
        <v>SC1</v>
      </c>
      <c r="D137" s="19" t="str">
        <f t="shared" ref="D137:I137" si="34">+D6</f>
        <v>SC5</v>
      </c>
      <c r="E137" s="19" t="str">
        <f t="shared" si="34"/>
        <v>SC3</v>
      </c>
      <c r="F137" s="19" t="str">
        <f t="shared" si="34"/>
        <v>SC2 ND</v>
      </c>
      <c r="G137" s="19" t="str">
        <f t="shared" si="34"/>
        <v>SC4</v>
      </c>
      <c r="H137" s="19" t="str">
        <f t="shared" si="34"/>
        <v>SC6</v>
      </c>
      <c r="I137" s="19" t="str">
        <f t="shared" si="34"/>
        <v>SC2 Dem</v>
      </c>
      <c r="J137" s="19" t="s">
        <v>86</v>
      </c>
      <c r="K137" s="23"/>
      <c r="M137" s="154">
        <f>(DATE($M$1,10,1))</f>
        <v>43739</v>
      </c>
    </row>
    <row r="138" spans="1:22" x14ac:dyDescent="0.2">
      <c r="A138" s="3"/>
      <c r="M138" s="111">
        <f>M136-M137</f>
        <v>244</v>
      </c>
    </row>
    <row r="139" spans="1:22" x14ac:dyDescent="0.2">
      <c r="A139" s="3"/>
      <c r="B139" s="111" t="s">
        <v>87</v>
      </c>
      <c r="C139" s="155">
        <v>352.16699999999997</v>
      </c>
      <c r="D139" s="155">
        <v>4.3170000000000002</v>
      </c>
      <c r="E139" s="155">
        <v>8.5000000000000006E-2</v>
      </c>
      <c r="F139" s="155">
        <v>5.226</v>
      </c>
      <c r="G139" s="156">
        <v>0</v>
      </c>
      <c r="H139" s="156">
        <v>0</v>
      </c>
      <c r="I139" s="155">
        <v>100.711</v>
      </c>
      <c r="J139" s="155">
        <f>SUM(C139:I139)</f>
        <v>462.50599999999997</v>
      </c>
      <c r="K139" s="156" t="b">
        <v>1</v>
      </c>
      <c r="L139" s="155"/>
      <c r="M139" s="155"/>
      <c r="N139" s="155"/>
      <c r="O139" s="155"/>
      <c r="P139" s="155"/>
      <c r="Q139" s="155"/>
      <c r="R139" s="155"/>
      <c r="S139" s="139"/>
      <c r="T139" s="139"/>
      <c r="U139" s="139"/>
      <c r="V139" s="139"/>
    </row>
    <row r="140" spans="1:22" x14ac:dyDescent="0.2">
      <c r="A140" s="3"/>
      <c r="C140" s="155"/>
      <c r="D140" s="155"/>
      <c r="E140" s="155"/>
      <c r="F140" s="155"/>
      <c r="G140" s="155"/>
      <c r="H140" s="155"/>
      <c r="I140" s="155"/>
      <c r="J140" s="155"/>
    </row>
    <row r="141" spans="1:22" x14ac:dyDescent="0.2">
      <c r="A141" s="3"/>
      <c r="B141" s="111" t="s">
        <v>88</v>
      </c>
      <c r="C141" s="155">
        <v>262.26900000000001</v>
      </c>
      <c r="D141" s="155">
        <v>3.3759999999999999</v>
      </c>
      <c r="E141" s="155">
        <v>7.0999999999999994E-2</v>
      </c>
      <c r="F141" s="155">
        <v>4.91</v>
      </c>
      <c r="G141" s="156">
        <v>0</v>
      </c>
      <c r="H141" s="156">
        <v>0</v>
      </c>
      <c r="I141" s="155">
        <v>91.971000000000004</v>
      </c>
      <c r="J141" s="155">
        <f>SUM(C141:I141)</f>
        <v>362.59700000000004</v>
      </c>
      <c r="K141" s="156" t="b">
        <v>0</v>
      </c>
      <c r="L141" s="155"/>
      <c r="M141" s="155"/>
      <c r="Q141" s="155"/>
      <c r="R141" s="155"/>
      <c r="S141" s="139"/>
      <c r="T141" s="139"/>
      <c r="U141" s="139"/>
      <c r="V141" s="139"/>
    </row>
    <row r="142" spans="1:22" x14ac:dyDescent="0.2">
      <c r="A142" s="3"/>
      <c r="C142" s="156"/>
      <c r="D142" s="156"/>
      <c r="E142" s="156"/>
      <c r="F142" s="156"/>
      <c r="G142" s="156"/>
      <c r="H142" s="156"/>
      <c r="I142" s="156"/>
      <c r="J142" s="156"/>
      <c r="K142" s="156"/>
    </row>
    <row r="143" spans="1:22" x14ac:dyDescent="0.2">
      <c r="A143" s="3"/>
      <c r="B143" s="111" t="s">
        <v>89</v>
      </c>
      <c r="G143" s="156"/>
      <c r="H143" s="156"/>
      <c r="I143" s="156"/>
      <c r="J143" s="156"/>
      <c r="K143" s="156"/>
    </row>
    <row r="144" spans="1:22" x14ac:dyDescent="0.2">
      <c r="A144" s="3"/>
      <c r="D144" s="126" t="s">
        <v>90</v>
      </c>
      <c r="E144" s="157">
        <f>(DATE($M$1,10,1))-(DATE($M$1,6,1))</f>
        <v>122</v>
      </c>
      <c r="G144" s="126" t="s">
        <v>91</v>
      </c>
      <c r="H144" s="111">
        <v>4</v>
      </c>
      <c r="I144" s="156"/>
      <c r="J144" s="156"/>
      <c r="K144" s="158"/>
      <c r="L144" s="65"/>
    </row>
    <row r="145" spans="1:12" x14ac:dyDescent="0.2">
      <c r="A145" s="3"/>
      <c r="D145" s="128" t="s">
        <v>92</v>
      </c>
      <c r="E145" s="157">
        <f>(DATE($M$1+1,6,1))-(DATE($M$1,10,1))</f>
        <v>244</v>
      </c>
      <c r="G145" s="128" t="s">
        <v>93</v>
      </c>
      <c r="H145" s="111">
        <v>8</v>
      </c>
      <c r="I145" s="156"/>
      <c r="J145" s="156"/>
      <c r="K145" s="158"/>
      <c r="L145" s="65"/>
    </row>
    <row r="146" spans="1:12" x14ac:dyDescent="0.2">
      <c r="A146" s="3"/>
      <c r="G146" s="126" t="s">
        <v>94</v>
      </c>
      <c r="H146" s="111">
        <f>+H144+H145</f>
        <v>12</v>
      </c>
      <c r="I146" s="156"/>
      <c r="J146" s="156"/>
      <c r="K146" s="156"/>
    </row>
    <row r="147" spans="1:12" x14ac:dyDescent="0.2">
      <c r="A147" s="3"/>
      <c r="B147" s="111" t="s">
        <v>95</v>
      </c>
      <c r="C147" s="16">
        <v>42548</v>
      </c>
      <c r="D147" s="159" t="s">
        <v>96</v>
      </c>
      <c r="E147" s="160">
        <f>C147/365</f>
        <v>116.56986301369864</v>
      </c>
      <c r="F147" s="160"/>
    </row>
    <row r="148" spans="1:12" x14ac:dyDescent="0.2">
      <c r="A148" s="3"/>
    </row>
    <row r="149" spans="1:12" x14ac:dyDescent="0.2">
      <c r="A149" s="3"/>
      <c r="B149" s="111" t="s">
        <v>97</v>
      </c>
      <c r="C149" s="111" t="s">
        <v>98</v>
      </c>
      <c r="D149" s="161">
        <f>F449</f>
        <v>156.22999999999999</v>
      </c>
      <c r="E149" s="159" t="s">
        <v>99</v>
      </c>
      <c r="G149" s="128" t="s">
        <v>100</v>
      </c>
      <c r="H149" s="126" t="s">
        <v>101</v>
      </c>
      <c r="I149" s="63">
        <f>+D149*365/1000</f>
        <v>57.023949999999999</v>
      </c>
      <c r="J149" s="111" t="s">
        <v>102</v>
      </c>
    </row>
    <row r="150" spans="1:12" x14ac:dyDescent="0.2">
      <c r="A150" s="3"/>
      <c r="B150" s="162" t="s">
        <v>103</v>
      </c>
      <c r="C150" s="111" t="s">
        <v>104</v>
      </c>
      <c r="D150" s="161">
        <f>F451</f>
        <v>138.78</v>
      </c>
      <c r="E150" s="159" t="s">
        <v>99</v>
      </c>
      <c r="H150" s="126" t="s">
        <v>105</v>
      </c>
      <c r="I150" s="63">
        <f>+D150*365/1000</f>
        <v>50.654699999999998</v>
      </c>
      <c r="J150" s="111" t="s">
        <v>102</v>
      </c>
      <c r="L150" s="154"/>
    </row>
    <row r="151" spans="1:12" x14ac:dyDescent="0.2">
      <c r="A151" s="3"/>
      <c r="D151" s="161"/>
      <c r="E151" s="159"/>
      <c r="H151" s="126"/>
      <c r="I151" s="63"/>
      <c r="L151" s="154"/>
    </row>
    <row r="152" spans="1:12" x14ac:dyDescent="0.2">
      <c r="A152" s="3"/>
      <c r="B152" s="162" t="s">
        <v>106</v>
      </c>
      <c r="L152" s="65"/>
    </row>
    <row r="153" spans="1:12" x14ac:dyDescent="0.2">
      <c r="A153" s="3"/>
      <c r="B153" s="1" t="s">
        <v>107</v>
      </c>
    </row>
    <row r="154" spans="1:12" x14ac:dyDescent="0.2">
      <c r="A154" s="3"/>
      <c r="B154" s="4"/>
      <c r="C154" s="5" t="str">
        <f>" ---------- "&amp;C6&amp;" ----------"</f>
        <v xml:space="preserve"> ---------- SC1 ----------</v>
      </c>
      <c r="D154" s="163"/>
      <c r="E154" s="164"/>
      <c r="F154" s="131"/>
      <c r="H154" s="5" t="str">
        <f>" ---------- "&amp;D6&amp;" ----------"</f>
        <v xml:space="preserve"> ---------- SC5 ----------</v>
      </c>
      <c r="I154" s="163"/>
      <c r="J154" s="163"/>
    </row>
    <row r="155" spans="1:12" x14ac:dyDescent="0.2">
      <c r="A155" s="3"/>
      <c r="C155" s="126" t="s">
        <v>108</v>
      </c>
      <c r="D155" s="126"/>
      <c r="E155" s="141" t="s">
        <v>109</v>
      </c>
      <c r="F155" s="131"/>
      <c r="H155" s="128" t="s">
        <v>110</v>
      </c>
      <c r="I155" s="126" t="s">
        <v>111</v>
      </c>
      <c r="J155" s="126" t="s">
        <v>109</v>
      </c>
    </row>
    <row r="156" spans="1:12" x14ac:dyDescent="0.2">
      <c r="A156" s="3"/>
      <c r="B156" s="128" t="s">
        <v>112</v>
      </c>
      <c r="C156" s="165">
        <v>6.7480000000000002</v>
      </c>
      <c r="D156" s="111" t="s">
        <v>113</v>
      </c>
      <c r="E156" s="166">
        <v>0.42099999999999999</v>
      </c>
      <c r="F156" s="137"/>
      <c r="G156" s="128" t="s">
        <v>112</v>
      </c>
      <c r="H156" s="111">
        <v>7.0309999999999997</v>
      </c>
      <c r="J156" s="120">
        <v>0.61660000000000004</v>
      </c>
    </row>
    <row r="157" spans="1:12" x14ac:dyDescent="0.2">
      <c r="A157" s="3"/>
      <c r="B157" s="128" t="s">
        <v>114</v>
      </c>
      <c r="C157" s="165">
        <v>9.6199999999999992</v>
      </c>
      <c r="D157" s="111" t="s">
        <v>113</v>
      </c>
      <c r="E157" s="166">
        <v>0.57899999999999996</v>
      </c>
      <c r="F157" s="137"/>
      <c r="G157" s="128" t="s">
        <v>114</v>
      </c>
      <c r="H157" s="111">
        <v>9.0589999999999993</v>
      </c>
      <c r="I157" s="165">
        <f>H157-H156</f>
        <v>2.0279999999999996</v>
      </c>
      <c r="J157" s="120">
        <v>0.38350000000000001</v>
      </c>
    </row>
    <row r="158" spans="1:12" x14ac:dyDescent="0.2">
      <c r="A158" s="3"/>
      <c r="B158" s="126" t="s">
        <v>115</v>
      </c>
      <c r="C158" s="165">
        <f>+C157-C156</f>
        <v>2.871999999999999</v>
      </c>
      <c r="D158" s="111" t="s">
        <v>113</v>
      </c>
      <c r="E158" s="131"/>
      <c r="F158" s="137"/>
    </row>
    <row r="159" spans="1:12" x14ac:dyDescent="0.2">
      <c r="A159" s="111"/>
      <c r="E159" s="131"/>
      <c r="F159" s="6"/>
    </row>
    <row r="160" spans="1:12" x14ac:dyDescent="0.2">
      <c r="A160" s="61" t="s">
        <v>116</v>
      </c>
      <c r="B160" s="10" t="s">
        <v>117</v>
      </c>
    </row>
    <row r="161" spans="1:11" x14ac:dyDescent="0.2">
      <c r="A161" s="3"/>
      <c r="B161" s="4" t="s">
        <v>118</v>
      </c>
      <c r="D161" s="167">
        <f>H461</f>
        <v>17.03</v>
      </c>
      <c r="E161" s="162" t="s">
        <v>119</v>
      </c>
      <c r="F161" s="159"/>
    </row>
    <row r="162" spans="1:11" x14ac:dyDescent="0.2">
      <c r="A162" s="3"/>
      <c r="B162" s="4"/>
      <c r="F162" s="159"/>
    </row>
    <row r="163" spans="1:11" x14ac:dyDescent="0.2">
      <c r="A163" s="61" t="s">
        <v>120</v>
      </c>
      <c r="B163" s="10" t="s">
        <v>121</v>
      </c>
    </row>
    <row r="164" spans="1:11" x14ac:dyDescent="0.2">
      <c r="A164" s="45"/>
      <c r="B164" s="10"/>
    </row>
    <row r="165" spans="1:11" x14ac:dyDescent="0.2">
      <c r="A165" s="45"/>
      <c r="B165" s="10"/>
      <c r="C165" s="19" t="str">
        <f t="shared" ref="C165:H165" si="35">+C6</f>
        <v>SC1</v>
      </c>
      <c r="D165" s="19" t="str">
        <f t="shared" si="35"/>
        <v>SC5</v>
      </c>
      <c r="E165" s="19" t="str">
        <f t="shared" si="35"/>
        <v>SC3</v>
      </c>
      <c r="F165" s="19" t="str">
        <f t="shared" si="35"/>
        <v>SC2 ND</v>
      </c>
      <c r="G165" s="19" t="str">
        <f t="shared" si="35"/>
        <v>SC4</v>
      </c>
      <c r="H165" s="19" t="str">
        <f t="shared" si="35"/>
        <v>SC6</v>
      </c>
    </row>
    <row r="166" spans="1:11" x14ac:dyDescent="0.2">
      <c r="A166" s="45"/>
      <c r="B166" s="10"/>
    </row>
    <row r="167" spans="1:11" x14ac:dyDescent="0.2">
      <c r="A167" s="3"/>
      <c r="B167" s="126" t="s">
        <v>122</v>
      </c>
      <c r="C167" s="7">
        <f t="shared" ref="C167:H167" si="36">(+$C$147*C141*$H$146/12)/C56</f>
        <v>17.223476317186709</v>
      </c>
      <c r="D167" s="7">
        <f t="shared" si="36"/>
        <v>10.315777801716401</v>
      </c>
      <c r="E167" s="7">
        <f>(+$C$147*E141*$H$146/12)/E56</f>
        <v>10.489263888888889</v>
      </c>
      <c r="F167" s="7">
        <f t="shared" si="36"/>
        <v>9.2585835844708395</v>
      </c>
      <c r="G167" s="7">
        <f t="shared" si="36"/>
        <v>0</v>
      </c>
      <c r="H167" s="7">
        <f t="shared" si="36"/>
        <v>0</v>
      </c>
      <c r="I167" s="7"/>
      <c r="J167" s="7"/>
      <c r="K167" s="7"/>
    </row>
    <row r="168" spans="1:11" x14ac:dyDescent="0.2">
      <c r="A168" s="3"/>
      <c r="B168" s="126"/>
      <c r="C168" s="7"/>
      <c r="D168" s="7"/>
      <c r="E168" s="7"/>
      <c r="F168" s="7"/>
      <c r="G168" s="7"/>
      <c r="H168" s="7"/>
      <c r="I168" s="7"/>
      <c r="J168" s="7"/>
      <c r="K168" s="7"/>
    </row>
    <row r="169" spans="1:11" x14ac:dyDescent="0.2">
      <c r="A169" s="3"/>
      <c r="B169" s="126" t="s">
        <v>123</v>
      </c>
      <c r="C169" s="7"/>
      <c r="D169" s="7"/>
      <c r="E169" s="7"/>
      <c r="F169" s="7"/>
      <c r="G169" s="7"/>
      <c r="H169" s="7"/>
      <c r="I169" s="7"/>
      <c r="J169" s="7"/>
      <c r="K169" s="7"/>
    </row>
    <row r="170" spans="1:11" x14ac:dyDescent="0.2">
      <c r="A170" s="3"/>
      <c r="B170" s="126" t="s">
        <v>124</v>
      </c>
      <c r="C170" s="7">
        <f t="shared" ref="C170:H170" si="37">((+$D$149*$E$144*C139)+($D$150*$E$145*C139))/C56</f>
        <v>28.766215252849218</v>
      </c>
      <c r="D170" s="7">
        <f t="shared" si="37"/>
        <v>16.407477069912744</v>
      </c>
      <c r="E170" s="7">
        <f t="shared" si="37"/>
        <v>15.619452430555555</v>
      </c>
      <c r="F170" s="7">
        <f t="shared" si="37"/>
        <v>12.257239757135258</v>
      </c>
      <c r="G170" s="7">
        <f t="shared" si="37"/>
        <v>0</v>
      </c>
      <c r="H170" s="7">
        <f t="shared" si="37"/>
        <v>0</v>
      </c>
      <c r="I170" s="7"/>
      <c r="J170" s="7"/>
      <c r="K170" s="7"/>
    </row>
    <row r="171" spans="1:11" x14ac:dyDescent="0.2">
      <c r="A171" s="3"/>
      <c r="B171" s="126" t="s">
        <v>125</v>
      </c>
      <c r="C171" s="7">
        <f t="shared" ref="C171:H171" si="38">C$139*$D149*$E144/SUM(C$49:C$52)</f>
        <v>23.924779414063678</v>
      </c>
      <c r="D171" s="7">
        <f t="shared" si="38"/>
        <v>17.869970468020412</v>
      </c>
      <c r="E171" s="7">
        <f t="shared" si="38"/>
        <v>18.838431395348838</v>
      </c>
      <c r="F171" s="7">
        <f t="shared" si="38"/>
        <v>14.223600394116806</v>
      </c>
      <c r="G171" s="7">
        <f t="shared" si="38"/>
        <v>0</v>
      </c>
      <c r="H171" s="7">
        <f t="shared" si="38"/>
        <v>0</v>
      </c>
      <c r="I171" s="7"/>
      <c r="J171" s="7"/>
      <c r="K171" s="7"/>
    </row>
    <row r="172" spans="1:11" x14ac:dyDescent="0.2">
      <c r="A172" s="3"/>
      <c r="B172" s="126" t="s">
        <v>126</v>
      </c>
      <c r="C172" s="7">
        <f t="shared" ref="C172:H172" si="39">C$139*$D150*$E145/(SUM(C$44:C$48)+SUM(C$53:C$55))</f>
        <v>32.4639442240017</v>
      </c>
      <c r="D172" s="7">
        <f t="shared" si="39"/>
        <v>15.684939424892706</v>
      </c>
      <c r="E172" s="7">
        <f t="shared" si="39"/>
        <v>14.248996039603961</v>
      </c>
      <c r="F172" s="7">
        <f t="shared" si="39"/>
        <v>11.372307969924812</v>
      </c>
      <c r="G172" s="7">
        <f t="shared" si="39"/>
        <v>0</v>
      </c>
      <c r="H172" s="7">
        <f t="shared" si="39"/>
        <v>0</v>
      </c>
      <c r="I172" s="7"/>
      <c r="J172" s="7"/>
      <c r="K172" s="7"/>
    </row>
    <row r="173" spans="1:11" x14ac:dyDescent="0.2">
      <c r="A173" s="3"/>
      <c r="C173" s="152"/>
      <c r="D173" s="152"/>
      <c r="E173" s="152"/>
      <c r="F173" s="152"/>
      <c r="G173" s="152"/>
      <c r="H173" s="152"/>
      <c r="I173" s="152"/>
      <c r="J173" s="7"/>
      <c r="K173" s="7"/>
    </row>
    <row r="174" spans="1:11" x14ac:dyDescent="0.2">
      <c r="A174" s="3"/>
      <c r="C174" s="168"/>
      <c r="D174" s="168"/>
      <c r="E174" s="168"/>
      <c r="F174" s="168"/>
      <c r="G174" s="168"/>
      <c r="H174" s="168"/>
    </row>
    <row r="175" spans="1:11" x14ac:dyDescent="0.2">
      <c r="A175" s="61" t="s">
        <v>127</v>
      </c>
      <c r="B175" s="10" t="s">
        <v>128</v>
      </c>
    </row>
    <row r="176" spans="1:11" x14ac:dyDescent="0.2">
      <c r="A176" s="3"/>
      <c r="B176" s="10"/>
      <c r="C176" s="152"/>
      <c r="D176" s="152"/>
      <c r="E176" s="152"/>
      <c r="F176" s="152"/>
      <c r="G176" s="152"/>
      <c r="H176" s="152"/>
    </row>
    <row r="177" spans="1:9" x14ac:dyDescent="0.2">
      <c r="A177" s="3"/>
      <c r="B177" s="15" t="s">
        <v>129</v>
      </c>
      <c r="C177" s="168"/>
      <c r="D177" s="168"/>
      <c r="E177" s="168"/>
      <c r="F177" s="168"/>
      <c r="G177" s="168"/>
      <c r="H177" s="168"/>
    </row>
    <row r="178" spans="1:9" x14ac:dyDescent="0.2">
      <c r="A178" s="3"/>
      <c r="B178" s="4"/>
    </row>
    <row r="179" spans="1:9" x14ac:dyDescent="0.2">
      <c r="A179" s="3"/>
      <c r="C179" s="19" t="str">
        <f t="shared" ref="C179:H179" si="40">+C6</f>
        <v>SC1</v>
      </c>
      <c r="D179" s="19" t="str">
        <f t="shared" si="40"/>
        <v>SC5</v>
      </c>
      <c r="E179" s="19" t="str">
        <f t="shared" si="40"/>
        <v>SC3</v>
      </c>
      <c r="F179" s="19" t="str">
        <f t="shared" si="40"/>
        <v>SC2 ND</v>
      </c>
      <c r="G179" s="19" t="str">
        <f t="shared" si="40"/>
        <v>SC4</v>
      </c>
      <c r="H179" s="19" t="str">
        <f t="shared" si="40"/>
        <v>SC6</v>
      </c>
    </row>
    <row r="180" spans="1:9" x14ac:dyDescent="0.2">
      <c r="A180" s="3"/>
      <c r="C180" s="23"/>
      <c r="D180" s="23"/>
      <c r="E180" s="7"/>
      <c r="F180" s="23"/>
    </row>
    <row r="181" spans="1:9" x14ac:dyDescent="0.2">
      <c r="A181" s="3"/>
      <c r="B181" s="116" t="s">
        <v>64</v>
      </c>
      <c r="C181" s="9">
        <f t="shared" ref="C181:H181" si="41">+C124+$D$161+C$167+C171</f>
        <v>90.410637191758482</v>
      </c>
      <c r="D181" s="7">
        <f t="shared" si="41"/>
        <v>77.229973425240715</v>
      </c>
      <c r="E181" s="7">
        <f t="shared" si="41"/>
        <v>78.334029835915899</v>
      </c>
      <c r="F181" s="7">
        <f t="shared" si="41"/>
        <v>73.544285194450126</v>
      </c>
      <c r="G181" s="7">
        <f t="shared" si="41"/>
        <v>44.403132590938078</v>
      </c>
      <c r="H181" s="7">
        <f t="shared" si="41"/>
        <v>44.363319002682282</v>
      </c>
      <c r="I181" s="7"/>
    </row>
    <row r="182" spans="1:9" x14ac:dyDescent="0.2">
      <c r="A182" s="3"/>
      <c r="B182" s="148" t="s">
        <v>79</v>
      </c>
      <c r="C182" s="7"/>
      <c r="D182" s="7"/>
      <c r="E182" s="9">
        <f>+E125+$D$161+E$167+(E171*O48/O49)</f>
        <v>117.92366552487749</v>
      </c>
      <c r="F182" s="7"/>
      <c r="G182" s="7"/>
      <c r="H182" s="7"/>
    </row>
    <row r="183" spans="1:9" x14ac:dyDescent="0.2">
      <c r="A183" s="3"/>
      <c r="B183" s="148" t="s">
        <v>80</v>
      </c>
      <c r="C183" s="7"/>
      <c r="D183" s="7"/>
      <c r="E183" s="9">
        <f>+E126+$D$161+E$167</f>
        <v>53.837834128424589</v>
      </c>
      <c r="F183" s="7"/>
      <c r="G183" s="7"/>
      <c r="H183" s="7"/>
    </row>
    <row r="184" spans="1:9" x14ac:dyDescent="0.2">
      <c r="A184" s="3"/>
      <c r="B184" s="126" t="s">
        <v>130</v>
      </c>
      <c r="C184" s="7">
        <f>(C181*SUM(C49:C52)-C158*10*E157*SUM(C49:C52))/SUM(C49:C52)</f>
        <v>73.781757191758487</v>
      </c>
      <c r="D184" s="7">
        <f>(D181*SUM(D49:D52)-I157*10*J157*SUM(D49:D52))/SUM(D49:D52)</f>
        <v>69.452593425240707</v>
      </c>
      <c r="E184" s="7"/>
      <c r="F184" s="7"/>
      <c r="G184" s="7"/>
      <c r="H184" s="7"/>
    </row>
    <row r="185" spans="1:9" x14ac:dyDescent="0.2">
      <c r="A185" s="3"/>
      <c r="B185" s="126" t="s">
        <v>131</v>
      </c>
      <c r="C185" s="7">
        <f>C184+C158*10</f>
        <v>102.50175719175849</v>
      </c>
      <c r="D185" s="7">
        <f>D184+I157*10</f>
        <v>89.732593425240708</v>
      </c>
      <c r="E185" s="7"/>
      <c r="F185" s="7"/>
      <c r="G185" s="7"/>
      <c r="H185" s="7"/>
    </row>
    <row r="186" spans="1:9" x14ac:dyDescent="0.2">
      <c r="A186" s="3"/>
      <c r="B186" s="7"/>
      <c r="C186" s="7"/>
      <c r="D186" s="7"/>
      <c r="E186" s="7"/>
      <c r="F186" s="7"/>
      <c r="G186" s="7"/>
      <c r="H186" s="7"/>
    </row>
    <row r="187" spans="1:9" x14ac:dyDescent="0.2">
      <c r="A187" s="3"/>
      <c r="C187" s="7"/>
      <c r="D187" s="7"/>
      <c r="E187" s="7"/>
      <c r="F187" s="7"/>
      <c r="G187" s="7"/>
      <c r="H187" s="7"/>
    </row>
    <row r="188" spans="1:9" x14ac:dyDescent="0.2">
      <c r="A188" s="3"/>
      <c r="B188" s="116" t="s">
        <v>70</v>
      </c>
      <c r="C188" s="9">
        <f t="shared" ref="C188:H188" si="42">+C128+$D$161+C$167+C172</f>
        <v>103.84116432593746</v>
      </c>
      <c r="D188" s="7">
        <f t="shared" si="42"/>
        <v>80.853702457099686</v>
      </c>
      <c r="E188" s="7">
        <f t="shared" si="42"/>
        <v>80.258749218509365</v>
      </c>
      <c r="F188" s="7">
        <f t="shared" si="42"/>
        <v>75.682831041274653</v>
      </c>
      <c r="G188" s="7">
        <f t="shared" si="42"/>
        <v>51.866464895089031</v>
      </c>
      <c r="H188" s="7">
        <f t="shared" si="42"/>
        <v>51.486392917976588</v>
      </c>
      <c r="I188" s="7"/>
    </row>
    <row r="189" spans="1:9" x14ac:dyDescent="0.2">
      <c r="A189" s="3"/>
      <c r="B189" s="148" t="s">
        <v>79</v>
      </c>
      <c r="C189" s="7"/>
      <c r="D189" s="7"/>
      <c r="E189" s="9">
        <f>+E129+$D$161+E$167+(E172*O44/O45)</f>
        <v>111.65248675573864</v>
      </c>
      <c r="F189" s="7"/>
      <c r="G189" s="7"/>
      <c r="H189" s="7"/>
    </row>
    <row r="190" spans="1:9" x14ac:dyDescent="0.2">
      <c r="A190" s="3"/>
      <c r="B190" s="148" t="s">
        <v>80</v>
      </c>
      <c r="C190" s="7"/>
      <c r="D190" s="7"/>
      <c r="E190" s="9">
        <f>+E130+$D$161+E$167</f>
        <v>62.532813495281161</v>
      </c>
      <c r="F190" s="7"/>
      <c r="G190" s="7"/>
      <c r="H190" s="7"/>
    </row>
    <row r="191" spans="1:9" x14ac:dyDescent="0.2">
      <c r="A191" s="3"/>
      <c r="C191" s="7"/>
      <c r="D191" s="7"/>
      <c r="E191" s="7"/>
      <c r="F191" s="7"/>
      <c r="G191" s="7"/>
      <c r="H191" s="7"/>
    </row>
    <row r="192" spans="1:9" x14ac:dyDescent="0.2">
      <c r="A192" s="3"/>
      <c r="B192" s="111" t="s">
        <v>132</v>
      </c>
      <c r="C192" s="9">
        <f t="shared" ref="C192:H192" si="43">+C132+$D$161+C$167+C170</f>
        <v>98.025320459789654</v>
      </c>
      <c r="D192" s="7">
        <f t="shared" si="43"/>
        <v>79.65542170538906</v>
      </c>
      <c r="E192" s="7">
        <f t="shared" si="43"/>
        <v>79.684006625096046</v>
      </c>
      <c r="F192" s="7">
        <f t="shared" si="43"/>
        <v>75.019108449300163</v>
      </c>
      <c r="G192" s="7">
        <f t="shared" si="43"/>
        <v>49.75381604516533</v>
      </c>
      <c r="H192" s="7">
        <f t="shared" si="43"/>
        <v>49.448265974145897</v>
      </c>
      <c r="I192" s="7"/>
    </row>
    <row r="193" spans="1:27" x14ac:dyDescent="0.2">
      <c r="A193" s="3"/>
      <c r="C193" s="7"/>
      <c r="D193" s="7"/>
      <c r="E193" s="7"/>
      <c r="F193" s="7"/>
      <c r="G193" s="7"/>
      <c r="H193" s="7"/>
      <c r="I193" s="7"/>
    </row>
    <row r="194" spans="1:27" x14ac:dyDescent="0.2">
      <c r="A194" s="3"/>
      <c r="B194" s="15" t="s">
        <v>133</v>
      </c>
    </row>
    <row r="195" spans="1:27" x14ac:dyDescent="0.2">
      <c r="A195" s="3"/>
      <c r="B195" s="4"/>
    </row>
    <row r="196" spans="1:27" x14ac:dyDescent="0.2">
      <c r="A196" s="3"/>
      <c r="C196" s="19" t="str">
        <f>+I6</f>
        <v>SC2 Dem</v>
      </c>
      <c r="D196" s="23"/>
      <c r="E196" s="23"/>
      <c r="G196" s="10" t="s">
        <v>134</v>
      </c>
    </row>
    <row r="197" spans="1:27" x14ac:dyDescent="0.2">
      <c r="A197" s="3"/>
      <c r="C197" s="23"/>
      <c r="D197" s="23"/>
      <c r="F197" s="10"/>
    </row>
    <row r="198" spans="1:27" x14ac:dyDescent="0.2">
      <c r="A198" s="3"/>
      <c r="B198" s="116" t="s">
        <v>64</v>
      </c>
      <c r="C198" s="7">
        <f>+I124+$D$161</f>
        <v>49.403984539207549</v>
      </c>
      <c r="D198" s="7"/>
      <c r="G198" s="22" t="s">
        <v>135</v>
      </c>
    </row>
    <row r="199" spans="1:27" x14ac:dyDescent="0.2">
      <c r="A199" s="3"/>
      <c r="B199" s="148"/>
      <c r="C199" s="7"/>
      <c r="D199" s="7"/>
    </row>
    <row r="200" spans="1:27" x14ac:dyDescent="0.2">
      <c r="A200" s="3"/>
      <c r="B200" s="148"/>
      <c r="C200" s="7"/>
      <c r="D200" s="7"/>
      <c r="H200" s="19"/>
      <c r="I200" s="12" t="s">
        <v>136</v>
      </c>
      <c r="J200" s="12" t="s">
        <v>137</v>
      </c>
    </row>
    <row r="201" spans="1:27" x14ac:dyDescent="0.2">
      <c r="A201" s="3"/>
      <c r="C201" s="7"/>
      <c r="D201" s="7"/>
    </row>
    <row r="202" spans="1:27" x14ac:dyDescent="0.2">
      <c r="A202" s="3"/>
      <c r="B202" s="116" t="s">
        <v>70</v>
      </c>
      <c r="C202" s="7">
        <f>+I128+$D$161</f>
        <v>54.176754447621057</v>
      </c>
      <c r="D202" s="7"/>
      <c r="G202" s="126" t="s">
        <v>98</v>
      </c>
      <c r="H202" s="169"/>
      <c r="I202" s="170">
        <f>H213</f>
        <v>1.546</v>
      </c>
      <c r="J202" s="170">
        <f>I213</f>
        <v>5.36</v>
      </c>
    </row>
    <row r="203" spans="1:27" x14ac:dyDescent="0.2">
      <c r="A203" s="3"/>
      <c r="B203" s="148"/>
      <c r="C203" s="7"/>
      <c r="D203" s="7"/>
      <c r="G203" s="126" t="s">
        <v>104</v>
      </c>
      <c r="H203" s="169"/>
      <c r="I203" s="170">
        <f>H214</f>
        <v>1.502</v>
      </c>
      <c r="J203" s="170">
        <f>I214</f>
        <v>5.3179999999999996</v>
      </c>
    </row>
    <row r="204" spans="1:27" x14ac:dyDescent="0.2">
      <c r="A204" s="3"/>
      <c r="B204" s="148"/>
      <c r="C204" s="7"/>
      <c r="D204" s="7"/>
    </row>
    <row r="205" spans="1:27" x14ac:dyDescent="0.2">
      <c r="A205" s="3"/>
      <c r="B205" s="148"/>
      <c r="C205" s="7"/>
      <c r="D205" s="7"/>
      <c r="G205" s="66" t="s">
        <v>138</v>
      </c>
      <c r="I205" s="159"/>
    </row>
    <row r="206" spans="1:27" x14ac:dyDescent="0.2">
      <c r="A206" s="3"/>
      <c r="B206" s="111" t="s">
        <v>139</v>
      </c>
      <c r="C206" s="7">
        <f>+I132+$D$161</f>
        <v>52.469320228050755</v>
      </c>
      <c r="D206" s="7"/>
      <c r="G206" s="126" t="s">
        <v>140</v>
      </c>
      <c r="H206" s="171">
        <f>+C147/1000/12</f>
        <v>3.545666666666667</v>
      </c>
      <c r="I206" s="159" t="s">
        <v>141</v>
      </c>
      <c r="Q206" s="172"/>
    </row>
    <row r="207" spans="1:27" x14ac:dyDescent="0.2">
      <c r="A207" s="61" t="s">
        <v>127</v>
      </c>
      <c r="B207" s="67" t="s">
        <v>142</v>
      </c>
      <c r="C207" s="7"/>
      <c r="D207" s="7"/>
      <c r="L207" s="68" t="s">
        <v>134</v>
      </c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</row>
    <row r="208" spans="1:27" x14ac:dyDescent="0.2">
      <c r="A208" s="61"/>
      <c r="C208" s="7"/>
      <c r="D208" s="7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</row>
    <row r="209" spans="1:28" x14ac:dyDescent="0.2">
      <c r="A209" s="3"/>
      <c r="B209" s="70" t="s">
        <v>143</v>
      </c>
      <c r="C209" s="7"/>
      <c r="D209" s="7"/>
      <c r="F209" s="71" t="s">
        <v>135</v>
      </c>
      <c r="L209" s="72" t="s">
        <v>135</v>
      </c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</row>
    <row r="210" spans="1:28" x14ac:dyDescent="0.2">
      <c r="A210" s="3"/>
      <c r="B210" s="116" t="s">
        <v>64</v>
      </c>
      <c r="C210" s="9">
        <f>(C198*S48+($H213*($M$223/4*H144))+($I213*($M$223/4*H144))+($H206*$H144*I141*1000))/S48</f>
        <v>79.614140707961354</v>
      </c>
      <c r="D210" s="9"/>
      <c r="F210" s="137"/>
      <c r="L210" s="69"/>
      <c r="M210" s="69"/>
      <c r="N210" s="69"/>
      <c r="O210" s="69"/>
      <c r="P210" s="69"/>
      <c r="Q210" s="69"/>
      <c r="R210" s="69"/>
      <c r="S210" s="69"/>
      <c r="T210" s="69"/>
      <c r="U210" s="287" t="s">
        <v>144</v>
      </c>
      <c r="V210" s="287"/>
      <c r="W210" s="73"/>
      <c r="X210" s="73"/>
      <c r="Y210" s="69"/>
      <c r="Z210" s="69"/>
      <c r="AA210" s="69" t="s">
        <v>145</v>
      </c>
      <c r="AB210" s="111">
        <v>3</v>
      </c>
    </row>
    <row r="211" spans="1:28" x14ac:dyDescent="0.2">
      <c r="A211" s="3"/>
      <c r="B211" s="148"/>
      <c r="C211" s="7"/>
      <c r="D211" s="9"/>
      <c r="L211" s="69"/>
      <c r="M211" s="74" t="str">
        <f>I6</f>
        <v>SC2 Dem</v>
      </c>
      <c r="N211" s="75" t="s">
        <v>146</v>
      </c>
      <c r="O211" s="75" t="s">
        <v>137</v>
      </c>
      <c r="P211" s="69"/>
      <c r="Q211" s="69" t="s">
        <v>147</v>
      </c>
      <c r="R211" s="76" t="s">
        <v>146</v>
      </c>
      <c r="S211" s="76" t="s">
        <v>137</v>
      </c>
      <c r="T211" s="76" t="s">
        <v>148</v>
      </c>
      <c r="U211" s="69" t="s">
        <v>149</v>
      </c>
      <c r="V211" s="69" t="s">
        <v>150</v>
      </c>
      <c r="W211" s="69" t="s">
        <v>151</v>
      </c>
      <c r="X211" s="69" t="s">
        <v>152</v>
      </c>
      <c r="Y211" s="77">
        <v>0.33</v>
      </c>
      <c r="Z211" s="69"/>
      <c r="AA211" s="69"/>
    </row>
    <row r="212" spans="1:28" x14ac:dyDescent="0.2">
      <c r="A212" s="3"/>
      <c r="B212" s="148"/>
      <c r="C212" s="7"/>
      <c r="D212" s="9"/>
      <c r="F212" s="137"/>
      <c r="G212" s="19"/>
      <c r="H212" s="12" t="s">
        <v>136</v>
      </c>
      <c r="I212" s="12" t="s">
        <v>137</v>
      </c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</row>
    <row r="213" spans="1:28" x14ac:dyDescent="0.2">
      <c r="A213" s="3"/>
      <c r="C213" s="7"/>
      <c r="D213" s="7"/>
      <c r="F213" s="111" t="s">
        <v>98</v>
      </c>
      <c r="G213" s="170"/>
      <c r="H213" s="170">
        <f t="shared" ref="H213:I214" si="44">N213</f>
        <v>1.546</v>
      </c>
      <c r="I213" s="170">
        <f t="shared" si="44"/>
        <v>5.36</v>
      </c>
      <c r="L213" s="76" t="s">
        <v>98</v>
      </c>
      <c r="M213" s="78">
        <f>ROUND(I139*D149*E144/$M$223,3)</f>
        <v>5.6929999999999996</v>
      </c>
      <c r="N213" s="165">
        <f>ROUND((Q213-W213*(1-$Y$211)*S213)/T213,$AB$210)</f>
        <v>1.546</v>
      </c>
      <c r="O213" s="165">
        <f>ROUND(N213+W213*(1-$Y$211),$AB$210)</f>
        <v>5.36</v>
      </c>
      <c r="P213" s="69"/>
      <c r="Q213" s="78">
        <f>I139*D149*E144</f>
        <v>1919557.70266</v>
      </c>
      <c r="R213" s="79">
        <f>$M$229</f>
        <v>72632.947005293594</v>
      </c>
      <c r="S213" s="79">
        <f>$M$223</f>
        <v>337167.05299470644</v>
      </c>
      <c r="T213" s="80">
        <f>R213+S213</f>
        <v>409800</v>
      </c>
      <c r="U213" s="69">
        <v>0</v>
      </c>
      <c r="V213" s="69">
        <f>ROUND(I139*D149*E144/$M$223,3)</f>
        <v>5.6929999999999996</v>
      </c>
      <c r="W213" s="69">
        <f>V213-U213</f>
        <v>5.6929999999999996</v>
      </c>
      <c r="X213" s="69"/>
      <c r="Y213" s="69"/>
      <c r="Z213" s="69"/>
      <c r="AA213" s="172">
        <f>N213*R213+O213*S213</f>
        <v>1919505.9401218104</v>
      </c>
      <c r="AB213" s="172">
        <f>Q213-AA213</f>
        <v>51.762538189534098</v>
      </c>
    </row>
    <row r="214" spans="1:28" x14ac:dyDescent="0.2">
      <c r="A214" s="3"/>
      <c r="B214" s="116" t="s">
        <v>70</v>
      </c>
      <c r="C214" s="9">
        <f>(C202*S44+($H214*($M$224/8*H145))+($I214*($M$224/8*H145))+($H206*$H145*I141*1000))/S44</f>
        <v>85.179036236521384</v>
      </c>
      <c r="D214" s="9"/>
      <c r="F214" s="111" t="s">
        <v>104</v>
      </c>
      <c r="G214" s="170"/>
      <c r="H214" s="170">
        <f t="shared" si="44"/>
        <v>1.502</v>
      </c>
      <c r="I214" s="170">
        <f t="shared" si="44"/>
        <v>5.3179999999999996</v>
      </c>
      <c r="L214" s="76" t="s">
        <v>104</v>
      </c>
      <c r="M214" s="78">
        <f>ROUND(I139*D150*E145/$M$224,3)</f>
        <v>5.6950000000000003</v>
      </c>
      <c r="N214" s="111">
        <f>ROUND((Q214-W214*(1-$Y$211)*S214)/T214,$AB$210)</f>
        <v>1.502</v>
      </c>
      <c r="O214" s="165">
        <f>ROUND(N214+W214*(1-$Y$211),$AB$210)</f>
        <v>5.3179999999999996</v>
      </c>
      <c r="P214" s="69"/>
      <c r="Q214" s="78">
        <f>I139*D150*E145</f>
        <v>3410308.1095199999</v>
      </c>
      <c r="R214" s="79">
        <f>$M$230</f>
        <v>150246.18034097413</v>
      </c>
      <c r="S214" s="79">
        <f>$M$224</f>
        <v>598866.51965902583</v>
      </c>
      <c r="T214" s="80">
        <f>R214+S214</f>
        <v>749112.7</v>
      </c>
      <c r="U214" s="69">
        <v>0</v>
      </c>
      <c r="V214" s="69">
        <f>ROUND(I139*D150*E145/$M$224,3)</f>
        <v>5.6950000000000003</v>
      </c>
      <c r="W214" s="69">
        <f>V214-U214</f>
        <v>5.6950000000000003</v>
      </c>
      <c r="X214" s="69"/>
      <c r="Y214" s="69"/>
      <c r="Z214" s="69"/>
      <c r="AA214" s="69"/>
    </row>
    <row r="215" spans="1:28" x14ac:dyDescent="0.2">
      <c r="A215" s="3"/>
      <c r="B215" s="148"/>
      <c r="C215" s="7"/>
      <c r="D215" s="9"/>
      <c r="H215" s="168"/>
      <c r="I215" s="168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</row>
    <row r="216" spans="1:28" x14ac:dyDescent="0.2">
      <c r="A216" s="3"/>
      <c r="B216" s="148"/>
      <c r="C216" s="7"/>
      <c r="D216" s="9"/>
      <c r="L216" s="81" t="s">
        <v>138</v>
      </c>
      <c r="M216" s="69"/>
      <c r="N216" s="82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</row>
    <row r="217" spans="1:28" x14ac:dyDescent="0.2">
      <c r="A217" s="3"/>
      <c r="B217" s="148"/>
      <c r="C217" s="7"/>
      <c r="D217" s="7"/>
      <c r="H217" s="152"/>
      <c r="I217" s="152"/>
      <c r="L217" s="76" t="s">
        <v>140</v>
      </c>
      <c r="M217" s="83">
        <f>+C147/1000/12</f>
        <v>3.545666666666667</v>
      </c>
      <c r="N217" s="82" t="s">
        <v>141</v>
      </c>
      <c r="O217" s="69"/>
      <c r="P217" s="69"/>
      <c r="Q217" s="84">
        <f>Q213+Q214</f>
        <v>5329865.8121799994</v>
      </c>
      <c r="R217" s="69"/>
      <c r="S217" s="69"/>
      <c r="T217" s="69"/>
      <c r="U217" s="69"/>
      <c r="V217" s="69"/>
      <c r="W217" s="69"/>
      <c r="X217" s="69"/>
      <c r="Y217" s="69"/>
      <c r="Z217" s="69"/>
      <c r="AA217" s="69"/>
    </row>
    <row r="218" spans="1:28" x14ac:dyDescent="0.2">
      <c r="A218" s="3"/>
      <c r="B218" s="111" t="s">
        <v>153</v>
      </c>
      <c r="C218" s="9">
        <f>(C206*I56+($H213*($M$229/4*H144)+$H214*($M$230/8*H145)+$I213*($M$223/4*H144)+$I214*($M$224/8*H145))+($H206*$H146*I141*1000))/I56</f>
        <v>79.966977281789553</v>
      </c>
      <c r="D218" s="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</row>
    <row r="219" spans="1:28" x14ac:dyDescent="0.2">
      <c r="A219" s="3"/>
      <c r="C219" s="108"/>
      <c r="D219" s="108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spans="1:28" ht="13.5" thickBot="1" x14ac:dyDescent="0.25">
      <c r="A220" s="3"/>
      <c r="B220" s="10" t="s">
        <v>154</v>
      </c>
      <c r="C220" s="7"/>
      <c r="D220" s="7"/>
    </row>
    <row r="221" spans="1:28" x14ac:dyDescent="0.2">
      <c r="A221" s="3"/>
      <c r="B221" s="126" t="s">
        <v>155</v>
      </c>
      <c r="C221" s="8">
        <f>(+SUMPRODUCT(C192:H192,C56:H56)+SUMPRODUCT(C218,I56))/1000</f>
        <v>93706.66334098464</v>
      </c>
      <c r="L221" s="173" t="s">
        <v>156</v>
      </c>
      <c r="M221" s="174"/>
    </row>
    <row r="222" spans="1:28" x14ac:dyDescent="0.2">
      <c r="A222" s="3"/>
      <c r="C222" s="126" t="s">
        <v>157</v>
      </c>
      <c r="D222" s="9">
        <f>+C221/SUM(C56:I56)*1000</f>
        <v>90.913663280180572</v>
      </c>
      <c r="E222" s="111" t="s">
        <v>158</v>
      </c>
      <c r="L222" s="175"/>
      <c r="M222" s="176" t="s">
        <v>159</v>
      </c>
    </row>
    <row r="223" spans="1:28" x14ac:dyDescent="0.2">
      <c r="A223" s="3"/>
      <c r="C223" s="126" t="s">
        <v>160</v>
      </c>
      <c r="D223" s="9">
        <f>+C221/SUMPRODUCT(C56:I56,C81:I81)*1000</f>
        <v>84.608289699119936</v>
      </c>
      <c r="E223" s="111" t="s">
        <v>161</v>
      </c>
      <c r="L223" s="175" t="s">
        <v>69</v>
      </c>
      <c r="M223" s="177">
        <v>337167.05299470644</v>
      </c>
    </row>
    <row r="224" spans="1:28" ht="13.5" thickBot="1" x14ac:dyDescent="0.25">
      <c r="A224" s="3"/>
      <c r="L224" s="178" t="s">
        <v>62</v>
      </c>
      <c r="M224" s="179">
        <v>598866.51965902583</v>
      </c>
    </row>
    <row r="225" spans="1:13" x14ac:dyDescent="0.2">
      <c r="A225" s="3"/>
      <c r="E225" s="180"/>
    </row>
    <row r="226" spans="1:13" ht="13.5" thickBot="1" x14ac:dyDescent="0.25">
      <c r="A226" s="61" t="s">
        <v>162</v>
      </c>
      <c r="B226" s="10" t="s">
        <v>163</v>
      </c>
    </row>
    <row r="227" spans="1:13" x14ac:dyDescent="0.2">
      <c r="A227" s="3"/>
      <c r="B227" s="10"/>
      <c r="L227" s="173" t="s">
        <v>156</v>
      </c>
      <c r="M227" s="174"/>
    </row>
    <row r="228" spans="1:13" x14ac:dyDescent="0.2">
      <c r="A228" s="3"/>
      <c r="B228" s="10" t="s">
        <v>164</v>
      </c>
      <c r="L228" s="175"/>
      <c r="M228" s="176" t="s">
        <v>165</v>
      </c>
    </row>
    <row r="229" spans="1:13" x14ac:dyDescent="0.2">
      <c r="A229" s="3"/>
      <c r="B229" s="4" t="s">
        <v>166</v>
      </c>
      <c r="L229" s="175" t="s">
        <v>69</v>
      </c>
      <c r="M229" s="177">
        <v>72632.947005293594</v>
      </c>
    </row>
    <row r="230" spans="1:13" ht="13.5" thickBot="1" x14ac:dyDescent="0.25">
      <c r="A230" s="3"/>
      <c r="B230" s="10"/>
      <c r="L230" s="178" t="s">
        <v>62</v>
      </c>
      <c r="M230" s="179">
        <v>150246.18034097413</v>
      </c>
    </row>
    <row r="231" spans="1:13" x14ac:dyDescent="0.2">
      <c r="A231" s="3"/>
      <c r="C231" s="19" t="str">
        <f t="shared" ref="C231:H231" si="45">+C6</f>
        <v>SC1</v>
      </c>
      <c r="D231" s="19" t="str">
        <f t="shared" si="45"/>
        <v>SC5</v>
      </c>
      <c r="E231" s="19" t="str">
        <f t="shared" si="45"/>
        <v>SC3</v>
      </c>
      <c r="F231" s="19" t="str">
        <f t="shared" si="45"/>
        <v>SC2 ND</v>
      </c>
      <c r="G231" s="19" t="str">
        <f t="shared" si="45"/>
        <v>SC4</v>
      </c>
      <c r="H231" s="19" t="str">
        <f t="shared" si="45"/>
        <v>SC6</v>
      </c>
    </row>
    <row r="232" spans="1:13" x14ac:dyDescent="0.2">
      <c r="A232" s="3"/>
      <c r="C232" s="23"/>
      <c r="D232" s="23"/>
      <c r="E232" s="23"/>
      <c r="F232" s="23"/>
    </row>
    <row r="233" spans="1:13" x14ac:dyDescent="0.2">
      <c r="A233" s="3"/>
      <c r="B233" s="116" t="s">
        <v>64</v>
      </c>
      <c r="C233" s="11">
        <f>ROUND(+C181/$D$223,3)</f>
        <v>1.069</v>
      </c>
      <c r="D233" s="11">
        <f>ROUND(+D181/$D$223,3)</f>
        <v>0.91300000000000003</v>
      </c>
      <c r="E233" s="181"/>
      <c r="F233" s="11">
        <f>ROUND(+F181/$D$223,3)</f>
        <v>0.86899999999999999</v>
      </c>
      <c r="G233" s="11">
        <f>ROUND(+G181/$D$223,3)</f>
        <v>0.52500000000000002</v>
      </c>
      <c r="H233" s="11">
        <f>ROUND(+H181/$D$223,3)</f>
        <v>0.52400000000000002</v>
      </c>
      <c r="I233" s="182"/>
      <c r="J233" s="182"/>
      <c r="K233" s="182"/>
    </row>
    <row r="234" spans="1:13" x14ac:dyDescent="0.2">
      <c r="A234" s="3"/>
      <c r="B234" s="148" t="s">
        <v>79</v>
      </c>
      <c r="C234" s="181"/>
      <c r="D234" s="181"/>
      <c r="E234" s="11">
        <f>ROUND(+E182/$D$223,3)</f>
        <v>1.3939999999999999</v>
      </c>
      <c r="F234" s="181"/>
      <c r="G234" s="181"/>
      <c r="H234" s="181"/>
      <c r="I234" s="182"/>
      <c r="J234" s="182"/>
      <c r="K234" s="182"/>
    </row>
    <row r="235" spans="1:13" x14ac:dyDescent="0.2">
      <c r="A235" s="3"/>
      <c r="B235" s="148" t="s">
        <v>80</v>
      </c>
      <c r="C235" s="181"/>
      <c r="D235" s="181"/>
      <c r="E235" s="11">
        <f>ROUND(+E183/$D$223,3)</f>
        <v>0.63600000000000001</v>
      </c>
      <c r="F235" s="181"/>
      <c r="G235" s="181"/>
      <c r="H235" s="181"/>
      <c r="I235" s="182"/>
      <c r="J235" s="182"/>
      <c r="K235" s="182"/>
    </row>
    <row r="236" spans="1:13" x14ac:dyDescent="0.2">
      <c r="A236" s="3"/>
      <c r="B236" s="148"/>
      <c r="C236" s="181"/>
      <c r="D236" s="181"/>
      <c r="E236" s="85"/>
      <c r="F236" s="181"/>
      <c r="G236" s="181"/>
      <c r="H236" s="181"/>
      <c r="I236" s="182"/>
      <c r="J236" s="182"/>
      <c r="K236" s="182"/>
    </row>
    <row r="237" spans="1:13" x14ac:dyDescent="0.2">
      <c r="A237" s="3"/>
      <c r="B237" s="12"/>
      <c r="E237" s="85"/>
      <c r="F237" s="181"/>
      <c r="G237" s="181"/>
      <c r="H237" s="181"/>
      <c r="I237" s="182"/>
      <c r="J237" s="182"/>
      <c r="K237" s="182"/>
    </row>
    <row r="238" spans="1:13" x14ac:dyDescent="0.2">
      <c r="A238" s="3"/>
      <c r="B238" s="13" t="s">
        <v>167</v>
      </c>
      <c r="C238" s="14">
        <f>C184-C181</f>
        <v>-16.628879999999995</v>
      </c>
      <c r="D238" s="14">
        <f>D184-D181</f>
        <v>-7.777380000000008</v>
      </c>
      <c r="E238" s="85"/>
      <c r="F238" s="181"/>
      <c r="G238" s="181"/>
      <c r="H238" s="181"/>
      <c r="I238" s="182"/>
      <c r="J238" s="182"/>
      <c r="K238" s="182"/>
    </row>
    <row r="239" spans="1:13" x14ac:dyDescent="0.2">
      <c r="A239" s="3"/>
      <c r="B239" s="13" t="s">
        <v>168</v>
      </c>
      <c r="C239" s="14">
        <f>C185-C181</f>
        <v>12.091120000000004</v>
      </c>
      <c r="D239" s="14">
        <f>D185-D181</f>
        <v>12.502619999999993</v>
      </c>
      <c r="E239" s="85"/>
      <c r="F239" s="181"/>
      <c r="G239" s="181"/>
      <c r="H239" s="181"/>
      <c r="I239" s="182"/>
      <c r="J239" s="182"/>
      <c r="K239" s="182"/>
    </row>
    <row r="240" spans="1:13" x14ac:dyDescent="0.2">
      <c r="A240" s="3"/>
      <c r="B240" s="181"/>
      <c r="C240" s="181"/>
      <c r="D240" s="181"/>
      <c r="E240" s="85"/>
      <c r="F240" s="181"/>
      <c r="G240" s="181"/>
      <c r="H240" s="181"/>
      <c r="I240" s="182"/>
      <c r="J240" s="182"/>
      <c r="K240" s="182"/>
    </row>
    <row r="241" spans="1:11" x14ac:dyDescent="0.2">
      <c r="A241" s="3"/>
      <c r="C241" s="181"/>
      <c r="D241" s="181"/>
      <c r="E241" s="181"/>
      <c r="F241" s="181"/>
      <c r="G241" s="181"/>
      <c r="H241" s="181"/>
      <c r="I241" s="182"/>
      <c r="J241" s="182"/>
      <c r="K241" s="182"/>
    </row>
    <row r="242" spans="1:11" x14ac:dyDescent="0.2">
      <c r="A242" s="3"/>
      <c r="B242" s="116" t="s">
        <v>70</v>
      </c>
      <c r="C242" s="11">
        <f>ROUND(+C188/$D$223,3)</f>
        <v>1.2270000000000001</v>
      </c>
      <c r="D242" s="11">
        <f>ROUND(+D188/$D$223,3)</f>
        <v>0.95599999999999996</v>
      </c>
      <c r="E242" s="183"/>
      <c r="F242" s="11">
        <f>ROUND(+F188/$D$223,3)</f>
        <v>0.89500000000000002</v>
      </c>
      <c r="G242" s="11">
        <f>ROUND(+G188/$D$223,3)</f>
        <v>0.61299999999999999</v>
      </c>
      <c r="H242" s="11">
        <f>ROUND(+H188/$D$223,3)</f>
        <v>0.60899999999999999</v>
      </c>
      <c r="I242" s="182"/>
      <c r="J242" s="182"/>
      <c r="K242" s="182"/>
    </row>
    <row r="243" spans="1:11" x14ac:dyDescent="0.2">
      <c r="A243" s="3"/>
      <c r="B243" s="148" t="s">
        <v>79</v>
      </c>
      <c r="C243" s="181"/>
      <c r="D243" s="181"/>
      <c r="E243" s="11">
        <f>ROUND(+E189/$D$223,3)</f>
        <v>1.32</v>
      </c>
      <c r="F243" s="181"/>
      <c r="G243" s="181"/>
      <c r="H243" s="181"/>
      <c r="I243" s="182"/>
      <c r="J243" s="182"/>
      <c r="K243" s="182"/>
    </row>
    <row r="244" spans="1:11" x14ac:dyDescent="0.2">
      <c r="A244" s="3"/>
      <c r="B244" s="148" t="s">
        <v>80</v>
      </c>
      <c r="C244" s="181"/>
      <c r="D244" s="181"/>
      <c r="E244" s="11">
        <f>ROUND(+E190/$D$223,3)</f>
        <v>0.73899999999999999</v>
      </c>
      <c r="F244" s="181"/>
      <c r="G244" s="181"/>
      <c r="H244" s="181"/>
      <c r="I244" s="182"/>
      <c r="J244" s="182"/>
      <c r="K244" s="182"/>
    </row>
    <row r="245" spans="1:11" x14ac:dyDescent="0.2">
      <c r="A245" s="3"/>
      <c r="C245" s="182"/>
      <c r="D245" s="182"/>
      <c r="E245" s="182"/>
      <c r="F245" s="182"/>
      <c r="G245" s="182"/>
      <c r="H245" s="182"/>
      <c r="I245" s="182"/>
      <c r="J245" s="182"/>
      <c r="K245" s="182"/>
    </row>
    <row r="246" spans="1:11" x14ac:dyDescent="0.2">
      <c r="A246" s="3"/>
      <c r="B246" s="111" t="s">
        <v>169</v>
      </c>
      <c r="C246" s="184">
        <f t="shared" ref="C246:H246" si="46">ROUND(+C192/$D$223,3)</f>
        <v>1.159</v>
      </c>
      <c r="D246" s="184">
        <f t="shared" si="46"/>
        <v>0.94099999999999995</v>
      </c>
      <c r="E246" s="184">
        <f t="shared" si="46"/>
        <v>0.94199999999999995</v>
      </c>
      <c r="F246" s="184">
        <f t="shared" si="46"/>
        <v>0.88700000000000001</v>
      </c>
      <c r="G246" s="184">
        <f t="shared" si="46"/>
        <v>0.58799999999999997</v>
      </c>
      <c r="H246" s="184">
        <f t="shared" si="46"/>
        <v>0.58399999999999996</v>
      </c>
      <c r="I246" s="182"/>
      <c r="J246" s="182"/>
      <c r="K246" s="182"/>
    </row>
    <row r="247" spans="1:11" x14ac:dyDescent="0.2">
      <c r="A247" s="3"/>
    </row>
    <row r="248" spans="1:11" x14ac:dyDescent="0.2">
      <c r="A248" s="61" t="s">
        <v>162</v>
      </c>
      <c r="B248" s="67" t="s">
        <v>142</v>
      </c>
    </row>
    <row r="249" spans="1:11" x14ac:dyDescent="0.2">
      <c r="A249" s="61"/>
      <c r="B249" s="67"/>
    </row>
    <row r="250" spans="1:11" x14ac:dyDescent="0.2">
      <c r="A250" s="3"/>
      <c r="B250" s="10" t="s">
        <v>170</v>
      </c>
    </row>
    <row r="251" spans="1:11" x14ac:dyDescent="0.2">
      <c r="A251" s="3"/>
      <c r="B251" s="4" t="s">
        <v>171</v>
      </c>
    </row>
    <row r="252" spans="1:11" x14ac:dyDescent="0.2">
      <c r="A252" s="3"/>
    </row>
    <row r="253" spans="1:11" x14ac:dyDescent="0.2">
      <c r="A253" s="3"/>
      <c r="C253" s="12" t="str">
        <f>+I6</f>
        <v>SC2 Dem</v>
      </c>
      <c r="D253" s="12" t="str">
        <f>+C253</f>
        <v>SC2 Dem</v>
      </c>
      <c r="E253" s="23"/>
      <c r="F253" s="23"/>
      <c r="G253" s="86" t="s">
        <v>134</v>
      </c>
    </row>
    <row r="254" spans="1:11" x14ac:dyDescent="0.2">
      <c r="A254" s="3"/>
      <c r="C254" s="19" t="s">
        <v>172</v>
      </c>
      <c r="D254" s="19" t="s">
        <v>173</v>
      </c>
      <c r="E254" s="23"/>
      <c r="F254" s="23"/>
      <c r="G254" s="137"/>
    </row>
    <row r="255" spans="1:11" x14ac:dyDescent="0.2">
      <c r="A255" s="3"/>
      <c r="B255" s="116" t="s">
        <v>64</v>
      </c>
      <c r="C255" s="11">
        <f>ROUND(+C210/$D$223,3)</f>
        <v>0.94099999999999995</v>
      </c>
      <c r="D255" s="87">
        <f>+C198-C210</f>
        <v>-30.210156168753805</v>
      </c>
      <c r="F255" s="172"/>
      <c r="G255" s="71" t="s">
        <v>135</v>
      </c>
    </row>
    <row r="256" spans="1:11" x14ac:dyDescent="0.2">
      <c r="A256" s="3"/>
      <c r="B256" s="185"/>
      <c r="C256" s="181"/>
      <c r="D256" s="10"/>
      <c r="E256" s="85"/>
      <c r="F256" s="88"/>
      <c r="G256" s="137"/>
    </row>
    <row r="257" spans="1:10" x14ac:dyDescent="0.2">
      <c r="A257" s="3"/>
      <c r="B257" s="148"/>
      <c r="C257" s="181"/>
      <c r="D257" s="10"/>
      <c r="E257" s="85"/>
      <c r="F257" s="88"/>
      <c r="G257" s="137"/>
      <c r="H257" s="19"/>
      <c r="I257" s="12" t="s">
        <v>136</v>
      </c>
      <c r="J257" s="12" t="s">
        <v>137</v>
      </c>
    </row>
    <row r="258" spans="1:10" x14ac:dyDescent="0.2">
      <c r="A258" s="3"/>
      <c r="C258" s="181"/>
      <c r="D258" s="10"/>
      <c r="E258" s="181"/>
      <c r="F258" s="88"/>
      <c r="G258" s="137"/>
    </row>
    <row r="259" spans="1:10" x14ac:dyDescent="0.2">
      <c r="A259" s="3"/>
      <c r="B259" s="116" t="s">
        <v>70</v>
      </c>
      <c r="C259" s="11">
        <f>ROUND(+C214/$D$223,3)</f>
        <v>1.0069999999999999</v>
      </c>
      <c r="D259" s="87">
        <f>+C202-C214</f>
        <v>-31.002281788900326</v>
      </c>
      <c r="E259" s="85"/>
      <c r="F259" s="88"/>
      <c r="G259" s="186" t="s">
        <v>98</v>
      </c>
      <c r="H259" s="169"/>
      <c r="I259" s="151">
        <f>N213</f>
        <v>1.546</v>
      </c>
      <c r="J259" s="151">
        <f>O213</f>
        <v>5.36</v>
      </c>
    </row>
    <row r="260" spans="1:10" x14ac:dyDescent="0.2">
      <c r="A260" s="3"/>
      <c r="B260" s="185"/>
      <c r="C260" s="181"/>
      <c r="E260" s="85"/>
      <c r="F260" s="88"/>
      <c r="G260" s="186" t="s">
        <v>104</v>
      </c>
      <c r="H260" s="169"/>
      <c r="I260" s="151">
        <f>N214</f>
        <v>1.502</v>
      </c>
      <c r="J260" s="151">
        <f>O214</f>
        <v>5.3179999999999996</v>
      </c>
    </row>
    <row r="261" spans="1:10" x14ac:dyDescent="0.2">
      <c r="A261" s="3"/>
      <c r="B261" s="148"/>
      <c r="C261" s="181"/>
      <c r="E261" s="85"/>
      <c r="F261" s="88"/>
      <c r="G261" s="186"/>
      <c r="H261" s="151"/>
      <c r="I261" s="159"/>
    </row>
    <row r="262" spans="1:10" x14ac:dyDescent="0.2">
      <c r="A262" s="3"/>
      <c r="C262" s="182"/>
      <c r="E262" s="182"/>
      <c r="G262" s="89" t="s">
        <v>138</v>
      </c>
    </row>
    <row r="263" spans="1:10" x14ac:dyDescent="0.2">
      <c r="A263" s="3"/>
      <c r="B263" s="111" t="s">
        <v>153</v>
      </c>
      <c r="C263" s="184">
        <f>ROUND(+C218/$D$223,3)</f>
        <v>0.94499999999999995</v>
      </c>
      <c r="E263" s="182"/>
      <c r="G263" s="186" t="s">
        <v>140</v>
      </c>
      <c r="H263" s="169">
        <f>+H206</f>
        <v>3.545666666666667</v>
      </c>
      <c r="I263" s="159" t="s">
        <v>141</v>
      </c>
    </row>
    <row r="264" spans="1:10" x14ac:dyDescent="0.2">
      <c r="A264" s="3"/>
      <c r="C264" s="182"/>
      <c r="E264" s="182"/>
    </row>
    <row r="265" spans="1:10" x14ac:dyDescent="0.2">
      <c r="A265" s="3"/>
      <c r="C265" s="182"/>
      <c r="E265" s="182"/>
    </row>
    <row r="266" spans="1:10" x14ac:dyDescent="0.2">
      <c r="A266" s="61" t="s">
        <v>174</v>
      </c>
      <c r="B266" s="15" t="s">
        <v>175</v>
      </c>
    </row>
    <row r="267" spans="1:10" x14ac:dyDescent="0.2">
      <c r="A267" s="3"/>
      <c r="B267" s="10"/>
    </row>
    <row r="268" spans="1:10" x14ac:dyDescent="0.2">
      <c r="A268" s="3"/>
      <c r="B268" s="10" t="s">
        <v>164</v>
      </c>
    </row>
    <row r="269" spans="1:10" x14ac:dyDescent="0.2">
      <c r="A269" s="3"/>
      <c r="B269" s="1" t="s">
        <v>176</v>
      </c>
    </row>
    <row r="270" spans="1:10" x14ac:dyDescent="0.2">
      <c r="A270" s="3"/>
      <c r="B270" s="4" t="s">
        <v>61</v>
      </c>
    </row>
    <row r="271" spans="1:10" x14ac:dyDescent="0.2">
      <c r="A271" s="3"/>
      <c r="C271" s="19" t="str">
        <f t="shared" ref="C271:H271" si="47">+C6</f>
        <v>SC1</v>
      </c>
      <c r="D271" s="19" t="str">
        <f t="shared" si="47"/>
        <v>SC5</v>
      </c>
      <c r="E271" s="19" t="str">
        <f t="shared" si="47"/>
        <v>SC3</v>
      </c>
      <c r="F271" s="19" t="str">
        <f t="shared" si="47"/>
        <v>SC2 ND</v>
      </c>
      <c r="G271" s="19" t="str">
        <f t="shared" si="47"/>
        <v>SC4</v>
      </c>
      <c r="H271" s="19" t="str">
        <f t="shared" si="47"/>
        <v>SC6</v>
      </c>
    </row>
    <row r="272" spans="1:10" x14ac:dyDescent="0.2">
      <c r="A272" s="3"/>
      <c r="C272" s="23"/>
      <c r="D272" s="23"/>
      <c r="E272" s="7"/>
      <c r="F272" s="23"/>
    </row>
    <row r="273" spans="1:9" x14ac:dyDescent="0.2">
      <c r="A273" s="3"/>
      <c r="B273" s="116" t="s">
        <v>64</v>
      </c>
      <c r="C273" s="9">
        <f t="shared" ref="C273:H273" si="48">C181-C$167</f>
        <v>73.187160874571774</v>
      </c>
      <c r="D273" s="9">
        <f t="shared" si="48"/>
        <v>66.914195623524307</v>
      </c>
      <c r="E273" s="9">
        <f t="shared" si="48"/>
        <v>67.844765947027014</v>
      </c>
      <c r="F273" s="9">
        <f t="shared" si="48"/>
        <v>64.285701609979284</v>
      </c>
      <c r="G273" s="9">
        <f t="shared" si="48"/>
        <v>44.403132590938078</v>
      </c>
      <c r="H273" s="9">
        <f t="shared" si="48"/>
        <v>44.363319002682282</v>
      </c>
      <c r="I273" s="7"/>
    </row>
    <row r="274" spans="1:9" x14ac:dyDescent="0.2">
      <c r="A274" s="3"/>
      <c r="B274" s="148" t="s">
        <v>79</v>
      </c>
      <c r="C274" s="7"/>
      <c r="D274" s="7"/>
      <c r="E274" s="9">
        <f>E182-E$167</f>
        <v>107.43440163598861</v>
      </c>
      <c r="F274" s="7"/>
      <c r="G274" s="7"/>
      <c r="H274" s="7"/>
    </row>
    <row r="275" spans="1:9" x14ac:dyDescent="0.2">
      <c r="A275" s="3"/>
      <c r="B275" s="148" t="s">
        <v>80</v>
      </c>
      <c r="C275" s="7"/>
      <c r="D275" s="7"/>
      <c r="E275" s="9">
        <f>E183-E$167</f>
        <v>43.348570239535704</v>
      </c>
      <c r="F275" s="7"/>
      <c r="G275" s="7"/>
      <c r="H275" s="7"/>
    </row>
    <row r="276" spans="1:9" x14ac:dyDescent="0.2">
      <c r="A276" s="3"/>
      <c r="B276" s="126" t="s">
        <v>130</v>
      </c>
      <c r="C276" s="7">
        <f>(C273*SUM(C49:C52)-C158*10*E157*SUM(C49:C52))/SUM(C49:C52)</f>
        <v>56.558280874571778</v>
      </c>
      <c r="D276" s="7">
        <f>(D273*SUM(D49:D52)-I157*10*J157*SUM(D49:D52))/SUM(D49:D52)</f>
        <v>59.136815623524306</v>
      </c>
      <c r="E276" s="9"/>
      <c r="F276" s="7"/>
      <c r="G276" s="7"/>
      <c r="H276" s="7"/>
    </row>
    <row r="277" spans="1:9" x14ac:dyDescent="0.2">
      <c r="A277" s="3"/>
      <c r="B277" s="126" t="s">
        <v>131</v>
      </c>
      <c r="C277" s="7">
        <f>C276+C158*10</f>
        <v>85.278280874571777</v>
      </c>
      <c r="D277" s="7">
        <f>D276+I157*10</f>
        <v>79.4168156235243</v>
      </c>
      <c r="E277" s="9"/>
      <c r="F277" s="7"/>
      <c r="G277" s="7"/>
      <c r="H277" s="7"/>
    </row>
    <row r="278" spans="1:9" x14ac:dyDescent="0.2">
      <c r="A278" s="3"/>
      <c r="B278" s="7"/>
      <c r="C278" s="7"/>
      <c r="D278" s="7"/>
      <c r="E278" s="9"/>
      <c r="F278" s="7"/>
      <c r="G278" s="7"/>
      <c r="H278" s="7"/>
    </row>
    <row r="279" spans="1:9" x14ac:dyDescent="0.2">
      <c r="A279" s="3"/>
      <c r="C279" s="7"/>
      <c r="D279" s="7"/>
      <c r="E279" s="7"/>
      <c r="F279" s="7"/>
      <c r="G279" s="7"/>
      <c r="H279" s="7"/>
    </row>
    <row r="280" spans="1:9" x14ac:dyDescent="0.2">
      <c r="A280" s="3"/>
      <c r="B280" s="116" t="s">
        <v>70</v>
      </c>
      <c r="C280" s="9">
        <f t="shared" ref="C280:H280" si="49">C188-C$167</f>
        <v>86.617688008750747</v>
      </c>
      <c r="D280" s="9">
        <f t="shared" si="49"/>
        <v>70.537924655383279</v>
      </c>
      <c r="E280" s="9">
        <f t="shared" si="49"/>
        <v>69.76948532962048</v>
      </c>
      <c r="F280" s="9">
        <f t="shared" si="49"/>
        <v>66.424247456803812</v>
      </c>
      <c r="G280" s="9">
        <f t="shared" si="49"/>
        <v>51.866464895089031</v>
      </c>
      <c r="H280" s="9">
        <f t="shared" si="49"/>
        <v>51.486392917976588</v>
      </c>
      <c r="I280" s="7"/>
    </row>
    <row r="281" spans="1:9" x14ac:dyDescent="0.2">
      <c r="A281" s="3"/>
      <c r="B281" s="148" t="s">
        <v>79</v>
      </c>
      <c r="C281" s="7"/>
      <c r="D281" s="7"/>
      <c r="E281" s="9">
        <f>E189-E$167</f>
        <v>101.16322286684975</v>
      </c>
      <c r="F281" s="7"/>
      <c r="G281" s="7"/>
      <c r="H281" s="7"/>
    </row>
    <row r="282" spans="1:9" x14ac:dyDescent="0.2">
      <c r="A282" s="3"/>
      <c r="B282" s="148" t="s">
        <v>80</v>
      </c>
      <c r="C282" s="7"/>
      <c r="D282" s="7"/>
      <c r="E282" s="9">
        <f>E190-E$167</f>
        <v>52.043549606392276</v>
      </c>
      <c r="F282" s="7"/>
      <c r="G282" s="7"/>
      <c r="H282" s="7"/>
    </row>
    <row r="283" spans="1:9" x14ac:dyDescent="0.2">
      <c r="A283" s="3"/>
      <c r="C283" s="7"/>
      <c r="D283" s="7"/>
      <c r="E283" s="7"/>
      <c r="F283" s="7"/>
      <c r="G283" s="7"/>
      <c r="H283" s="7"/>
    </row>
    <row r="284" spans="1:9" x14ac:dyDescent="0.2">
      <c r="A284" s="3"/>
      <c r="B284" s="111" t="s">
        <v>132</v>
      </c>
      <c r="C284" s="9">
        <f t="shared" ref="C284:H284" si="50">C192-C$167</f>
        <v>80.801844142602945</v>
      </c>
      <c r="D284" s="9">
        <f t="shared" si="50"/>
        <v>69.339643903672652</v>
      </c>
      <c r="E284" s="9">
        <f t="shared" si="50"/>
        <v>69.194742736207161</v>
      </c>
      <c r="F284" s="9">
        <f t="shared" si="50"/>
        <v>65.760524864829321</v>
      </c>
      <c r="G284" s="9">
        <f t="shared" si="50"/>
        <v>49.75381604516533</v>
      </c>
      <c r="H284" s="9">
        <f t="shared" si="50"/>
        <v>49.448265974145897</v>
      </c>
      <c r="I284" s="7"/>
    </row>
    <row r="285" spans="1:9" x14ac:dyDescent="0.2">
      <c r="A285" s="3"/>
      <c r="C285" s="7"/>
      <c r="D285" s="7"/>
      <c r="E285" s="7"/>
      <c r="F285" s="7"/>
      <c r="G285" s="7"/>
      <c r="H285" s="7"/>
      <c r="I285" s="7"/>
    </row>
    <row r="286" spans="1:9" x14ac:dyDescent="0.2">
      <c r="A286" s="61" t="s">
        <v>174</v>
      </c>
      <c r="B286" s="67" t="s">
        <v>142</v>
      </c>
      <c r="C286" s="7"/>
      <c r="D286" s="7"/>
      <c r="E286" s="7"/>
      <c r="F286" s="7"/>
      <c r="G286" s="7"/>
      <c r="H286" s="7"/>
      <c r="I286" s="7"/>
    </row>
    <row r="287" spans="1:9" x14ac:dyDescent="0.2">
      <c r="A287" s="3"/>
      <c r="C287" s="7"/>
      <c r="D287" s="7"/>
      <c r="E287" s="7"/>
      <c r="F287" s="7"/>
      <c r="G287" s="7"/>
      <c r="H287" s="7"/>
      <c r="I287" s="7"/>
    </row>
    <row r="288" spans="1:9" x14ac:dyDescent="0.2">
      <c r="A288" s="3"/>
      <c r="B288" s="10" t="s">
        <v>170</v>
      </c>
    </row>
    <row r="289" spans="1:12" x14ac:dyDescent="0.2">
      <c r="A289" s="3"/>
      <c r="B289" s="1" t="s">
        <v>177</v>
      </c>
    </row>
    <row r="290" spans="1:12" x14ac:dyDescent="0.2">
      <c r="A290" s="3"/>
      <c r="B290" s="3" t="s">
        <v>178</v>
      </c>
    </row>
    <row r="291" spans="1:12" x14ac:dyDescent="0.2">
      <c r="A291" s="3"/>
      <c r="B291" s="3"/>
    </row>
    <row r="292" spans="1:12" x14ac:dyDescent="0.2">
      <c r="A292" s="3"/>
      <c r="C292" s="19" t="str">
        <f>+I6</f>
        <v>SC2 Dem</v>
      </c>
      <c r="D292" s="23"/>
      <c r="E292" s="23"/>
      <c r="G292" s="10" t="s">
        <v>134</v>
      </c>
    </row>
    <row r="293" spans="1:12" x14ac:dyDescent="0.2">
      <c r="A293" s="3"/>
      <c r="C293" s="23"/>
      <c r="D293" s="23"/>
      <c r="F293" s="10"/>
    </row>
    <row r="294" spans="1:12" x14ac:dyDescent="0.2">
      <c r="A294" s="3"/>
      <c r="B294" s="116" t="s">
        <v>64</v>
      </c>
      <c r="C294" s="7">
        <f>C198</f>
        <v>49.403984539207549</v>
      </c>
      <c r="D294" s="7"/>
      <c r="G294" s="22" t="s">
        <v>135</v>
      </c>
    </row>
    <row r="295" spans="1:12" x14ac:dyDescent="0.2">
      <c r="A295" s="3"/>
      <c r="B295" s="148"/>
      <c r="C295" s="7"/>
      <c r="D295" s="7"/>
    </row>
    <row r="296" spans="1:12" x14ac:dyDescent="0.2">
      <c r="A296" s="3"/>
      <c r="B296" s="148"/>
      <c r="C296" s="7"/>
      <c r="D296" s="7"/>
      <c r="H296" s="19"/>
      <c r="I296" s="19" t="str">
        <f t="shared" ref="I296:J296" si="51">I257</f>
        <v>&lt; 5 kW</v>
      </c>
      <c r="J296" s="19" t="str">
        <f t="shared" si="51"/>
        <v>&gt; 5 kW</v>
      </c>
    </row>
    <row r="297" spans="1:12" x14ac:dyDescent="0.2">
      <c r="A297" s="3"/>
      <c r="C297" s="7"/>
      <c r="D297" s="7"/>
    </row>
    <row r="298" spans="1:12" x14ac:dyDescent="0.2">
      <c r="A298" s="3"/>
      <c r="B298" s="116" t="s">
        <v>70</v>
      </c>
      <c r="C298" s="7">
        <f>C202</f>
        <v>54.176754447621057</v>
      </c>
      <c r="D298" s="7"/>
      <c r="G298" s="126" t="s">
        <v>98</v>
      </c>
      <c r="H298" s="169"/>
      <c r="I298" s="169">
        <f t="shared" ref="I298:J299" si="52">I259</f>
        <v>1.546</v>
      </c>
      <c r="J298" s="169">
        <f t="shared" si="52"/>
        <v>5.36</v>
      </c>
    </row>
    <row r="299" spans="1:12" x14ac:dyDescent="0.2">
      <c r="A299" s="3"/>
      <c r="B299" s="148"/>
      <c r="C299" s="7"/>
      <c r="D299" s="7"/>
      <c r="G299" s="126" t="s">
        <v>104</v>
      </c>
      <c r="H299" s="169"/>
      <c r="I299" s="169">
        <f t="shared" si="52"/>
        <v>1.502</v>
      </c>
      <c r="J299" s="169">
        <f t="shared" si="52"/>
        <v>5.3179999999999996</v>
      </c>
    </row>
    <row r="300" spans="1:12" x14ac:dyDescent="0.2">
      <c r="A300" s="3"/>
      <c r="B300" s="148"/>
      <c r="C300" s="7"/>
      <c r="D300" s="7"/>
    </row>
    <row r="301" spans="1:12" x14ac:dyDescent="0.2">
      <c r="A301" s="3"/>
      <c r="B301" s="148"/>
      <c r="C301" s="7"/>
      <c r="D301" s="7"/>
      <c r="G301" s="66"/>
      <c r="I301" s="159"/>
    </row>
    <row r="302" spans="1:12" ht="13.5" thickBot="1" x14ac:dyDescent="0.25">
      <c r="A302" s="3"/>
      <c r="B302" s="111" t="s">
        <v>139</v>
      </c>
      <c r="C302" s="7">
        <f>C206</f>
        <v>52.469320228050755</v>
      </c>
      <c r="D302" s="7"/>
      <c r="G302" s="126"/>
      <c r="H302" s="171"/>
      <c r="I302" s="159"/>
    </row>
    <row r="303" spans="1:12" x14ac:dyDescent="0.2">
      <c r="A303" s="3"/>
      <c r="C303" s="7"/>
      <c r="D303" s="7"/>
      <c r="K303" s="173" t="s">
        <v>156</v>
      </c>
      <c r="L303" s="174"/>
    </row>
    <row r="304" spans="1:12" x14ac:dyDescent="0.2">
      <c r="A304" s="3"/>
      <c r="B304" s="90" t="s">
        <v>179</v>
      </c>
      <c r="C304" s="7"/>
      <c r="D304" s="7"/>
      <c r="E304" s="172"/>
      <c r="K304" s="175"/>
      <c r="L304" s="176" t="s">
        <v>159</v>
      </c>
    </row>
    <row r="305" spans="1:14" x14ac:dyDescent="0.2">
      <c r="A305" s="3"/>
      <c r="B305" s="116" t="s">
        <v>64</v>
      </c>
      <c r="C305" s="9">
        <f>(C294*S48+($I298*($L$305/4*H144))+($J298*($L$305/4*H144)))/S48</f>
        <v>68.767082942590875</v>
      </c>
      <c r="D305" s="9"/>
      <c r="E305" s="167"/>
      <c r="K305" s="175" t="s">
        <v>69</v>
      </c>
      <c r="L305" s="177">
        <v>337167.05299470644</v>
      </c>
    </row>
    <row r="306" spans="1:14" ht="13.5" thickBot="1" x14ac:dyDescent="0.25">
      <c r="A306" s="3"/>
      <c r="B306" s="148"/>
      <c r="C306" s="7"/>
      <c r="D306" s="9"/>
      <c r="K306" s="178" t="s">
        <v>62</v>
      </c>
      <c r="L306" s="179">
        <v>598866.51965902583</v>
      </c>
      <c r="N306" s="9"/>
    </row>
    <row r="307" spans="1:14" x14ac:dyDescent="0.2">
      <c r="A307" s="3"/>
      <c r="B307" s="148"/>
      <c r="C307" s="7"/>
      <c r="D307" s="9"/>
      <c r="N307" s="7"/>
    </row>
    <row r="308" spans="1:14" x14ac:dyDescent="0.2">
      <c r="A308" s="3"/>
      <c r="C308" s="7"/>
      <c r="D308" s="7"/>
      <c r="N308" s="7"/>
    </row>
    <row r="309" spans="1:14" x14ac:dyDescent="0.2">
      <c r="A309" s="3"/>
      <c r="B309" s="116" t="s">
        <v>70</v>
      </c>
      <c r="C309" s="9">
        <f>(C298*S44+($I299*($L$306/8*H145))+($J299*($L$306/8*H145)))/S44</f>
        <v>73.095114937031624</v>
      </c>
      <c r="D309" s="9"/>
      <c r="N309" s="7"/>
    </row>
    <row r="310" spans="1:14" x14ac:dyDescent="0.2">
      <c r="A310" s="3"/>
      <c r="B310" s="148"/>
      <c r="C310" s="7"/>
      <c r="D310" s="9"/>
      <c r="N310" s="9"/>
    </row>
    <row r="311" spans="1:14" x14ac:dyDescent="0.2">
      <c r="A311" s="3"/>
      <c r="B311" s="148"/>
      <c r="C311" s="7"/>
      <c r="D311" s="9"/>
      <c r="N311" s="7"/>
    </row>
    <row r="312" spans="1:14" x14ac:dyDescent="0.2">
      <c r="A312" s="3"/>
      <c r="B312" s="148"/>
      <c r="C312" s="7"/>
      <c r="D312" s="7"/>
      <c r="N312" s="7"/>
    </row>
    <row r="313" spans="1:14" x14ac:dyDescent="0.2">
      <c r="A313" s="3"/>
      <c r="B313" s="111" t="s">
        <v>153</v>
      </c>
      <c r="C313" s="9">
        <f>(C302*I56+($I298*($L$305/4*H144)+($J298*($L$305/4*H144))+($I299*($L$306/8*H145))+($J299*($L$306/8*H145))))/I56</f>
        <v>71.546783449759147</v>
      </c>
      <c r="D313" s="9"/>
      <c r="N313" s="7"/>
    </row>
    <row r="314" spans="1:14" x14ac:dyDescent="0.2">
      <c r="A314" s="3"/>
      <c r="C314" s="108"/>
      <c r="D314" s="108"/>
      <c r="N314" s="9"/>
    </row>
    <row r="315" spans="1:14" x14ac:dyDescent="0.2">
      <c r="A315" s="3"/>
      <c r="B315" s="10" t="s">
        <v>154</v>
      </c>
      <c r="C315" s="7"/>
      <c r="D315" s="7"/>
    </row>
    <row r="316" spans="1:14" x14ac:dyDescent="0.2">
      <c r="A316" s="3"/>
      <c r="B316" s="126" t="s">
        <v>155</v>
      </c>
      <c r="C316" s="8">
        <f>(+SUMPRODUCT(C284:H284,C56:H56)+SUMPRODUCT(C313,I56))/1000</f>
        <v>79361.683662499985</v>
      </c>
    </row>
    <row r="317" spans="1:14" x14ac:dyDescent="0.2">
      <c r="A317" s="3"/>
      <c r="C317" s="126" t="s">
        <v>157</v>
      </c>
      <c r="D317" s="9">
        <f>+C316/SUM(C56:I56)*1000</f>
        <v>76.996246890001785</v>
      </c>
      <c r="E317" s="111" t="s">
        <v>158</v>
      </c>
    </row>
    <row r="318" spans="1:14" x14ac:dyDescent="0.2">
      <c r="A318" s="3"/>
      <c r="C318" s="126" t="s">
        <v>180</v>
      </c>
      <c r="D318" s="9">
        <f>+C316/SUMPRODUCT(C56:I56,C81:I81)*1000</f>
        <v>71.656124366450598</v>
      </c>
      <c r="E318" s="111" t="s">
        <v>181</v>
      </c>
    </row>
    <row r="319" spans="1:14" x14ac:dyDescent="0.2">
      <c r="A319" s="3"/>
    </row>
    <row r="320" spans="1:14" x14ac:dyDescent="0.2">
      <c r="A320" s="61" t="s">
        <v>182</v>
      </c>
      <c r="B320" s="15" t="s">
        <v>183</v>
      </c>
    </row>
    <row r="321" spans="1:11" x14ac:dyDescent="0.2">
      <c r="A321" s="3"/>
      <c r="B321" s="10"/>
    </row>
    <row r="322" spans="1:11" x14ac:dyDescent="0.2">
      <c r="A322" s="3"/>
      <c r="B322" s="10" t="s">
        <v>164</v>
      </c>
    </row>
    <row r="323" spans="1:11" x14ac:dyDescent="0.2">
      <c r="A323" s="3"/>
      <c r="B323" s="4" t="s">
        <v>166</v>
      </c>
    </row>
    <row r="324" spans="1:11" x14ac:dyDescent="0.2">
      <c r="A324" s="3"/>
      <c r="B324" s="10"/>
    </row>
    <row r="325" spans="1:11" x14ac:dyDescent="0.2">
      <c r="A325" s="3"/>
      <c r="C325" s="19" t="str">
        <f t="shared" ref="C325:H325" si="53">+C6</f>
        <v>SC1</v>
      </c>
      <c r="D325" s="19" t="str">
        <f t="shared" si="53"/>
        <v>SC5</v>
      </c>
      <c r="E325" s="19" t="str">
        <f t="shared" si="53"/>
        <v>SC3</v>
      </c>
      <c r="F325" s="19" t="str">
        <f t="shared" si="53"/>
        <v>SC2 ND</v>
      </c>
      <c r="G325" s="19" t="str">
        <f t="shared" si="53"/>
        <v>SC4</v>
      </c>
      <c r="H325" s="19" t="str">
        <f t="shared" si="53"/>
        <v>SC6</v>
      </c>
    </row>
    <row r="326" spans="1:11" x14ac:dyDescent="0.2">
      <c r="A326" s="3"/>
      <c r="C326" s="23"/>
      <c r="D326" s="23"/>
      <c r="E326" s="23"/>
      <c r="F326" s="23"/>
    </row>
    <row r="327" spans="1:11" x14ac:dyDescent="0.2">
      <c r="A327" s="3"/>
      <c r="B327" s="116" t="s">
        <v>64</v>
      </c>
      <c r="C327" s="11">
        <f>ROUND(+C273/$D$318,3)</f>
        <v>1.0209999999999999</v>
      </c>
      <c r="D327" s="11">
        <f>ROUND(+D273/$D$318,3)</f>
        <v>0.93400000000000005</v>
      </c>
      <c r="E327" s="181"/>
      <c r="F327" s="11">
        <f>ROUND(+F273/$D$318,3)</f>
        <v>0.89700000000000002</v>
      </c>
      <c r="G327" s="11">
        <f>ROUND(+G273/$D$318,3)</f>
        <v>0.62</v>
      </c>
      <c r="H327" s="11">
        <f>ROUND(+H273/$D$318,3)</f>
        <v>0.61899999999999999</v>
      </c>
      <c r="I327" s="182"/>
      <c r="J327" s="182"/>
      <c r="K327" s="182"/>
    </row>
    <row r="328" spans="1:11" x14ac:dyDescent="0.2">
      <c r="A328" s="3"/>
      <c r="B328" s="148" t="s">
        <v>79</v>
      </c>
      <c r="C328" s="181"/>
      <c r="D328" s="181"/>
      <c r="E328" s="11">
        <f>ROUND(+E274/$D$318,3)</f>
        <v>1.4990000000000001</v>
      </c>
      <c r="F328" s="181"/>
      <c r="G328" s="181"/>
      <c r="H328" s="181"/>
      <c r="I328" s="182"/>
      <c r="J328" s="182"/>
      <c r="K328" s="182"/>
    </row>
    <row r="329" spans="1:11" x14ac:dyDescent="0.2">
      <c r="A329" s="3"/>
      <c r="B329" s="148" t="s">
        <v>80</v>
      </c>
      <c r="C329" s="181"/>
      <c r="D329" s="181"/>
      <c r="E329" s="11">
        <f>ROUND(+E275/$D$318,3)</f>
        <v>0.60499999999999998</v>
      </c>
      <c r="F329" s="181"/>
      <c r="G329" s="181"/>
      <c r="H329" s="181"/>
      <c r="I329" s="182"/>
      <c r="J329" s="182"/>
      <c r="K329" s="182"/>
    </row>
    <row r="330" spans="1:11" x14ac:dyDescent="0.2">
      <c r="A330" s="3"/>
      <c r="C330" s="181"/>
      <c r="D330" s="181"/>
      <c r="E330" s="181"/>
      <c r="F330" s="181"/>
      <c r="G330" s="181"/>
      <c r="H330" s="181"/>
      <c r="I330" s="182"/>
      <c r="J330" s="182"/>
      <c r="K330" s="182"/>
    </row>
    <row r="331" spans="1:11" x14ac:dyDescent="0.2">
      <c r="A331" s="3"/>
      <c r="B331" s="12"/>
      <c r="E331" s="181"/>
      <c r="F331" s="181"/>
      <c r="G331" s="181"/>
      <c r="H331" s="181"/>
      <c r="I331" s="182"/>
      <c r="J331" s="182"/>
      <c r="K331" s="182"/>
    </row>
    <row r="332" spans="1:11" x14ac:dyDescent="0.2">
      <c r="A332" s="3"/>
      <c r="B332" s="13" t="s">
        <v>167</v>
      </c>
      <c r="C332" s="14">
        <f>C276-C273</f>
        <v>-16.628879999999995</v>
      </c>
      <c r="D332" s="14">
        <f>D276-D273</f>
        <v>-7.7773800000000008</v>
      </c>
      <c r="E332" s="181"/>
      <c r="F332" s="181"/>
      <c r="G332" s="181"/>
      <c r="H332" s="181"/>
      <c r="I332" s="182"/>
      <c r="J332" s="182"/>
      <c r="K332" s="182"/>
    </row>
    <row r="333" spans="1:11" x14ac:dyDescent="0.2">
      <c r="A333" s="3"/>
      <c r="B333" s="13" t="s">
        <v>168</v>
      </c>
      <c r="C333" s="14">
        <f>C277-C273</f>
        <v>12.091120000000004</v>
      </c>
      <c r="D333" s="14">
        <f>D277-D273</f>
        <v>12.502619999999993</v>
      </c>
      <c r="E333" s="181"/>
      <c r="F333" s="181"/>
      <c r="G333" s="181"/>
      <c r="H333" s="181"/>
      <c r="I333" s="182"/>
      <c r="J333" s="182"/>
      <c r="K333" s="182"/>
    </row>
    <row r="334" spans="1:11" x14ac:dyDescent="0.2">
      <c r="A334" s="3"/>
      <c r="B334" s="181"/>
      <c r="C334" s="181"/>
      <c r="D334" s="181"/>
      <c r="E334" s="181"/>
      <c r="F334" s="181"/>
      <c r="G334" s="181"/>
      <c r="H334" s="181"/>
      <c r="I334" s="182"/>
      <c r="J334" s="182"/>
      <c r="K334" s="182"/>
    </row>
    <row r="335" spans="1:11" x14ac:dyDescent="0.2">
      <c r="A335" s="3"/>
      <c r="C335" s="181"/>
      <c r="D335" s="181"/>
      <c r="E335" s="181"/>
      <c r="F335" s="181"/>
      <c r="G335" s="181"/>
      <c r="H335" s="181"/>
      <c r="I335" s="182"/>
      <c r="J335" s="182"/>
      <c r="K335" s="182"/>
    </row>
    <row r="336" spans="1:11" x14ac:dyDescent="0.2">
      <c r="A336" s="3"/>
      <c r="B336" s="116" t="s">
        <v>70</v>
      </c>
      <c r="C336" s="11">
        <f>ROUND(+C280/$D$318,3)</f>
        <v>1.2090000000000001</v>
      </c>
      <c r="D336" s="11">
        <f>ROUND(+D280/$D$318,3)</f>
        <v>0.98399999999999999</v>
      </c>
      <c r="E336" s="183"/>
      <c r="F336" s="11">
        <f>ROUND(+F280/$D$318,3)</f>
        <v>0.92700000000000005</v>
      </c>
      <c r="G336" s="11">
        <f>ROUND(+G280/$D$318,3)</f>
        <v>0.72399999999999998</v>
      </c>
      <c r="H336" s="11">
        <f>ROUND(+H280/$D$318,3)</f>
        <v>0.71899999999999997</v>
      </c>
      <c r="I336" s="182"/>
      <c r="J336" s="182"/>
      <c r="K336" s="182"/>
    </row>
    <row r="337" spans="1:11" x14ac:dyDescent="0.2">
      <c r="A337" s="3"/>
      <c r="B337" s="148" t="s">
        <v>79</v>
      </c>
      <c r="C337" s="181"/>
      <c r="D337" s="181"/>
      <c r="E337" s="11">
        <f>ROUND(+E281/$D$318,3)</f>
        <v>1.4119999999999999</v>
      </c>
      <c r="F337" s="181"/>
      <c r="G337" s="181"/>
      <c r="H337" s="181"/>
      <c r="I337" s="182"/>
      <c r="J337" s="182"/>
      <c r="K337" s="182"/>
    </row>
    <row r="338" spans="1:11" x14ac:dyDescent="0.2">
      <c r="A338" s="3"/>
      <c r="B338" s="148" t="s">
        <v>80</v>
      </c>
      <c r="C338" s="181"/>
      <c r="D338" s="181"/>
      <c r="E338" s="11">
        <f>ROUND(+E282/$D$318,3)</f>
        <v>0.72599999999999998</v>
      </c>
      <c r="F338" s="181"/>
      <c r="G338" s="181"/>
      <c r="H338" s="181"/>
      <c r="I338" s="182"/>
      <c r="J338" s="182"/>
      <c r="K338" s="182"/>
    </row>
    <row r="339" spans="1:11" x14ac:dyDescent="0.2">
      <c r="A339" s="3"/>
      <c r="C339" s="182"/>
      <c r="D339" s="182"/>
      <c r="E339" s="182"/>
      <c r="F339" s="182"/>
      <c r="G339" s="182"/>
      <c r="H339" s="182"/>
      <c r="I339" s="182"/>
      <c r="J339" s="182"/>
      <c r="K339" s="182"/>
    </row>
    <row r="340" spans="1:11" x14ac:dyDescent="0.2">
      <c r="A340" s="3"/>
      <c r="B340" s="111" t="s">
        <v>169</v>
      </c>
      <c r="C340" s="183">
        <f>ROUND(+C284/$D$318,3)</f>
        <v>1.1279999999999999</v>
      </c>
      <c r="D340" s="183">
        <f>ROUND(+D284/$D$318,3)</f>
        <v>0.96799999999999997</v>
      </c>
      <c r="E340" s="183">
        <f>ROUND(+E284/$D$318,3)</f>
        <v>0.96599999999999997</v>
      </c>
      <c r="F340" s="183">
        <f>ROUND(,3)+F284/$D$318</f>
        <v>0.91772371791319496</v>
      </c>
      <c r="G340" s="183">
        <f>ROUND(+G284/$D$318,3)</f>
        <v>0.69399999999999995</v>
      </c>
      <c r="H340" s="183">
        <f>ROUND(+H284/$D$318,3)</f>
        <v>0.69</v>
      </c>
      <c r="I340" s="182"/>
      <c r="J340" s="182"/>
      <c r="K340" s="182"/>
    </row>
    <row r="341" spans="1:11" x14ac:dyDescent="0.2">
      <c r="A341" s="3"/>
    </row>
    <row r="342" spans="1:11" x14ac:dyDescent="0.2">
      <c r="A342" s="3"/>
    </row>
    <row r="343" spans="1:11" x14ac:dyDescent="0.2">
      <c r="A343" s="3"/>
      <c r="B343" s="10" t="s">
        <v>170</v>
      </c>
    </row>
    <row r="344" spans="1:11" x14ac:dyDescent="0.2">
      <c r="A344" s="3"/>
      <c r="B344" s="4" t="s">
        <v>184</v>
      </c>
    </row>
    <row r="345" spans="1:11" x14ac:dyDescent="0.2">
      <c r="A345" s="3"/>
    </row>
    <row r="346" spans="1:11" x14ac:dyDescent="0.2">
      <c r="A346" s="3"/>
      <c r="C346" s="12" t="str">
        <f>+I6</f>
        <v>SC2 Dem</v>
      </c>
      <c r="D346" s="12" t="str">
        <f>+C346</f>
        <v>SC2 Dem</v>
      </c>
      <c r="E346" s="23"/>
      <c r="F346" s="23"/>
      <c r="G346" s="86" t="s">
        <v>134</v>
      </c>
    </row>
    <row r="347" spans="1:11" x14ac:dyDescent="0.2">
      <c r="A347" s="3"/>
      <c r="C347" s="19" t="s">
        <v>172</v>
      </c>
      <c r="D347" s="91" t="s">
        <v>173</v>
      </c>
      <c r="E347" s="23"/>
      <c r="F347" s="23"/>
      <c r="G347" s="137"/>
    </row>
    <row r="348" spans="1:11" x14ac:dyDescent="0.2">
      <c r="A348" s="3"/>
      <c r="B348" s="116" t="s">
        <v>64</v>
      </c>
      <c r="C348" s="11">
        <f>ROUND(+C305/$D$318,3)</f>
        <v>0.96</v>
      </c>
      <c r="D348" s="92">
        <f>C294-C305</f>
        <v>-19.363098403383326</v>
      </c>
      <c r="F348" s="172"/>
      <c r="G348" s="71" t="s">
        <v>135</v>
      </c>
    </row>
    <row r="349" spans="1:11" x14ac:dyDescent="0.2">
      <c r="A349" s="3"/>
      <c r="B349" s="148"/>
      <c r="C349" s="183"/>
      <c r="D349" s="92"/>
      <c r="E349" s="85"/>
      <c r="F349" s="88"/>
      <c r="G349" s="137"/>
    </row>
    <row r="350" spans="1:11" x14ac:dyDescent="0.2">
      <c r="A350" s="3"/>
      <c r="B350" s="148"/>
      <c r="C350" s="183"/>
      <c r="D350" s="92"/>
      <c r="E350" s="85"/>
      <c r="F350" s="88"/>
      <c r="G350" s="137"/>
      <c r="H350" s="19"/>
      <c r="I350" s="19" t="str">
        <f t="shared" ref="I350:J350" si="54">I296</f>
        <v>&lt; 5 kW</v>
      </c>
      <c r="J350" s="19" t="str">
        <f t="shared" si="54"/>
        <v>&gt; 5 kW</v>
      </c>
    </row>
    <row r="351" spans="1:11" x14ac:dyDescent="0.2">
      <c r="A351" s="3"/>
      <c r="C351" s="183"/>
      <c r="D351" s="92"/>
      <c r="E351" s="181"/>
      <c r="F351" s="88"/>
      <c r="G351" s="137"/>
    </row>
    <row r="352" spans="1:11" x14ac:dyDescent="0.2">
      <c r="A352" s="3"/>
      <c r="B352" s="116" t="s">
        <v>70</v>
      </c>
      <c r="C352" s="11">
        <f>ROUND(+C309/$D$318,3)</f>
        <v>1.02</v>
      </c>
      <c r="D352" s="92">
        <f>C298-C309</f>
        <v>-18.918360489410567</v>
      </c>
      <c r="E352" s="85"/>
      <c r="F352" s="88"/>
      <c r="G352" s="186" t="s">
        <v>98</v>
      </c>
      <c r="H352" s="169"/>
      <c r="I352" s="169">
        <f t="shared" ref="I352:J353" si="55">I298</f>
        <v>1.546</v>
      </c>
      <c r="J352" s="169">
        <f t="shared" si="55"/>
        <v>5.36</v>
      </c>
    </row>
    <row r="353" spans="1:14" x14ac:dyDescent="0.2">
      <c r="A353" s="3"/>
      <c r="B353" s="148"/>
      <c r="C353" s="183"/>
      <c r="D353" s="187"/>
      <c r="E353" s="85"/>
      <c r="F353" s="88"/>
      <c r="G353" s="186" t="s">
        <v>104</v>
      </c>
      <c r="H353" s="169"/>
      <c r="I353" s="169">
        <f t="shared" si="55"/>
        <v>1.502</v>
      </c>
      <c r="J353" s="169">
        <f t="shared" si="55"/>
        <v>5.3179999999999996</v>
      </c>
    </row>
    <row r="354" spans="1:14" x14ac:dyDescent="0.2">
      <c r="A354" s="3"/>
      <c r="B354" s="148"/>
      <c r="C354" s="183"/>
      <c r="D354" s="187"/>
      <c r="E354" s="85"/>
      <c r="F354" s="88"/>
      <c r="G354" s="186"/>
      <c r="H354" s="151"/>
      <c r="I354" s="159"/>
    </row>
    <row r="355" spans="1:14" x14ac:dyDescent="0.2">
      <c r="A355" s="3"/>
      <c r="C355" s="184"/>
      <c r="D355" s="187"/>
      <c r="E355" s="182"/>
      <c r="G355" s="89"/>
    </row>
    <row r="356" spans="1:14" x14ac:dyDescent="0.2">
      <c r="A356" s="3"/>
      <c r="B356" s="111" t="s">
        <v>153</v>
      </c>
      <c r="C356" s="11">
        <f>ROUND(+C313/$D$318,3)</f>
        <v>0.998</v>
      </c>
      <c r="D356" s="187"/>
      <c r="E356" s="182"/>
      <c r="G356" s="186"/>
      <c r="H356" s="151"/>
      <c r="I356" s="159"/>
    </row>
    <row r="357" spans="1:14" x14ac:dyDescent="0.2">
      <c r="A357" s="3"/>
    </row>
    <row r="358" spans="1:14" x14ac:dyDescent="0.2">
      <c r="A358" s="3"/>
      <c r="C358" s="182"/>
      <c r="E358" s="182"/>
    </row>
    <row r="359" spans="1:14" x14ac:dyDescent="0.2">
      <c r="A359" s="61" t="s">
        <v>185</v>
      </c>
      <c r="B359" s="10" t="s">
        <v>186</v>
      </c>
    </row>
    <row r="360" spans="1:14" x14ac:dyDescent="0.2">
      <c r="A360" s="3"/>
      <c r="B360" s="10"/>
    </row>
    <row r="361" spans="1:14" x14ac:dyDescent="0.2">
      <c r="A361" s="3"/>
      <c r="C361" s="19" t="str">
        <f>C6</f>
        <v>SC1</v>
      </c>
      <c r="D361" s="19" t="str">
        <f t="shared" ref="D361:I361" si="56">D6</f>
        <v>SC5</v>
      </c>
      <c r="E361" s="19" t="str">
        <f t="shared" si="56"/>
        <v>SC3</v>
      </c>
      <c r="F361" s="19" t="str">
        <f t="shared" si="56"/>
        <v>SC2 ND</v>
      </c>
      <c r="G361" s="19" t="str">
        <f t="shared" si="56"/>
        <v>SC4</v>
      </c>
      <c r="H361" s="19" t="str">
        <f t="shared" si="56"/>
        <v>SC6</v>
      </c>
      <c r="I361" s="19" t="str">
        <f t="shared" si="56"/>
        <v>SC2 Dem</v>
      </c>
      <c r="J361" s="23"/>
      <c r="K361" s="23"/>
    </row>
    <row r="362" spans="1:14" x14ac:dyDescent="0.2">
      <c r="A362" s="3"/>
      <c r="B362" s="111" t="s">
        <v>187</v>
      </c>
      <c r="M362" s="172"/>
      <c r="N362" s="172"/>
    </row>
    <row r="363" spans="1:14" x14ac:dyDescent="0.2">
      <c r="A363" s="3"/>
      <c r="B363" s="145" t="s">
        <v>69</v>
      </c>
      <c r="C363" s="8">
        <f>(C184*SUM(C49:C52)*E156+C185*SUM(C49:C52)*E157)/1000</f>
        <v>25365.563165201165</v>
      </c>
      <c r="D363" s="8">
        <f>(D184*SUM(D49:D52)*J156+D185*SUM(D49:D52)*J157)/1000</f>
        <v>355.63739208316349</v>
      </c>
      <c r="E363" s="16">
        <f>+E181*SUM(E49:E52)/1000</f>
        <v>6.7367265658887669</v>
      </c>
      <c r="F363" s="16">
        <f>+F181*SUM(F49:F52)/1000</f>
        <v>515.03062921673416</v>
      </c>
      <c r="G363" s="16">
        <f>+G181*SUM(G49:G52)/1000</f>
        <v>59.766616467402649</v>
      </c>
      <c r="H363" s="16">
        <f>+H181*SUM(H49:H52)/1000</f>
        <v>65.391532209953681</v>
      </c>
      <c r="I363" s="8">
        <v>9164.8900751431484</v>
      </c>
      <c r="J363" s="8"/>
      <c r="K363" s="16"/>
      <c r="M363" s="172"/>
      <c r="N363" s="172"/>
    </row>
    <row r="364" spans="1:14" x14ac:dyDescent="0.2">
      <c r="A364" s="3"/>
      <c r="B364" s="145" t="s">
        <v>62</v>
      </c>
      <c r="C364" s="8">
        <f t="shared" ref="C364:H364" si="57">+C188*SUM(C44:C48,C53:C55)/1000</f>
        <v>38144.649859414727</v>
      </c>
      <c r="D364" s="16">
        <f t="shared" si="57"/>
        <v>753.5565069001691</v>
      </c>
      <c r="E364" s="16">
        <f t="shared" si="57"/>
        <v>16.21226734213889</v>
      </c>
      <c r="F364" s="16">
        <f t="shared" si="57"/>
        <v>1177.7005338332749</v>
      </c>
      <c r="G364" s="16">
        <f t="shared" si="57"/>
        <v>176.8127788273585</v>
      </c>
      <c r="H364" s="16">
        <f t="shared" si="57"/>
        <v>189.34120995585891</v>
      </c>
      <c r="I364" s="8">
        <v>17715.406027270306</v>
      </c>
      <c r="J364" s="8"/>
      <c r="K364" s="16"/>
    </row>
    <row r="365" spans="1:14" x14ac:dyDescent="0.2">
      <c r="A365" s="3"/>
      <c r="B365" s="145" t="s">
        <v>36</v>
      </c>
      <c r="C365" s="188">
        <f>+C364+C363</f>
        <v>63510.213024615892</v>
      </c>
      <c r="D365" s="152">
        <f t="shared" ref="D365:I365" si="58">+D364+D363</f>
        <v>1109.1938989833325</v>
      </c>
      <c r="E365" s="152">
        <f t="shared" si="58"/>
        <v>22.948993908027656</v>
      </c>
      <c r="F365" s="152">
        <f t="shared" si="58"/>
        <v>1692.7311630500089</v>
      </c>
      <c r="G365" s="152">
        <f t="shared" si="58"/>
        <v>236.57939529476116</v>
      </c>
      <c r="H365" s="16">
        <f t="shared" si="58"/>
        <v>254.7327421658126</v>
      </c>
      <c r="I365" s="16">
        <f t="shared" si="58"/>
        <v>26880.296102413457</v>
      </c>
      <c r="J365" s="16"/>
      <c r="K365" s="16"/>
    </row>
    <row r="366" spans="1:14" x14ac:dyDescent="0.2">
      <c r="A366" s="3"/>
      <c r="B366" s="145"/>
    </row>
    <row r="367" spans="1:14" x14ac:dyDescent="0.2">
      <c r="A367" s="3"/>
      <c r="B367" s="111" t="s">
        <v>188</v>
      </c>
    </row>
    <row r="368" spans="1:14" x14ac:dyDescent="0.2">
      <c r="A368" s="3"/>
      <c r="B368" s="145" t="s">
        <v>69</v>
      </c>
      <c r="C368" s="17">
        <f t="shared" ref="C368:I368" si="59">+C363/C365</f>
        <v>0.39939345118193414</v>
      </c>
      <c r="D368" s="17">
        <f t="shared" si="59"/>
        <v>0.32062689166351749</v>
      </c>
      <c r="E368" s="17">
        <f t="shared" si="59"/>
        <v>0.29355215278227215</v>
      </c>
      <c r="F368" s="17">
        <f t="shared" si="59"/>
        <v>0.30426014505973764</v>
      </c>
      <c r="G368" s="17">
        <f t="shared" si="59"/>
        <v>0.25262815636559421</v>
      </c>
      <c r="H368" s="17">
        <f t="shared" si="59"/>
        <v>0.25670642750506145</v>
      </c>
      <c r="I368" s="17">
        <f t="shared" si="59"/>
        <v>0.34095197613244577</v>
      </c>
      <c r="J368" s="17"/>
      <c r="K368" s="17"/>
    </row>
    <row r="369" spans="1:14" x14ac:dyDescent="0.2">
      <c r="A369" s="3"/>
      <c r="B369" s="145" t="s">
        <v>62</v>
      </c>
      <c r="C369" s="17">
        <f t="shared" ref="C369:I369" si="60">+C364/C365</f>
        <v>0.60060654881806586</v>
      </c>
      <c r="D369" s="17">
        <f t="shared" si="60"/>
        <v>0.67937310833648268</v>
      </c>
      <c r="E369" s="17">
        <f t="shared" si="60"/>
        <v>0.70644784721772791</v>
      </c>
      <c r="F369" s="17">
        <f t="shared" si="60"/>
        <v>0.69573985494026236</v>
      </c>
      <c r="G369" s="17">
        <f t="shared" si="60"/>
        <v>0.74737184363440579</v>
      </c>
      <c r="H369" s="17">
        <f t="shared" si="60"/>
        <v>0.74329357249493855</v>
      </c>
      <c r="I369" s="17">
        <f t="shared" si="60"/>
        <v>0.65904802386755412</v>
      </c>
      <c r="J369" s="17"/>
      <c r="K369" s="17"/>
    </row>
    <row r="370" spans="1:14" x14ac:dyDescent="0.2">
      <c r="A370" s="3"/>
    </row>
    <row r="371" spans="1:14" x14ac:dyDescent="0.2">
      <c r="A371" s="3"/>
      <c r="B371" s="111" t="s">
        <v>189</v>
      </c>
    </row>
    <row r="372" spans="1:14" x14ac:dyDescent="0.2">
      <c r="A372" s="3"/>
      <c r="B372" s="145" t="s">
        <v>69</v>
      </c>
      <c r="C372" s="18">
        <f>+SUM(C363:I363)</f>
        <v>35533.016136887454</v>
      </c>
    </row>
    <row r="373" spans="1:14" x14ac:dyDescent="0.2">
      <c r="A373" s="3"/>
      <c r="B373" s="145" t="s">
        <v>62</v>
      </c>
      <c r="C373" s="18">
        <f>+SUM(C364:I364)</f>
        <v>58173.679183543827</v>
      </c>
    </row>
    <row r="374" spans="1:14" x14ac:dyDescent="0.2">
      <c r="A374" s="3"/>
      <c r="B374" s="145" t="s">
        <v>36</v>
      </c>
      <c r="C374" s="152">
        <f>+C373+C372</f>
        <v>93706.695320431289</v>
      </c>
    </row>
    <row r="375" spans="1:14" x14ac:dyDescent="0.2">
      <c r="A375" s="3"/>
    </row>
    <row r="376" spans="1:14" x14ac:dyDescent="0.2">
      <c r="A376" s="3"/>
      <c r="B376" s="111" t="s">
        <v>190</v>
      </c>
      <c r="D376" s="111" t="s">
        <v>191</v>
      </c>
      <c r="I376" s="288" t="s">
        <v>192</v>
      </c>
      <c r="J376" s="288"/>
    </row>
    <row r="377" spans="1:14" x14ac:dyDescent="0.2">
      <c r="A377" s="3"/>
      <c r="B377" s="145" t="s">
        <v>69</v>
      </c>
      <c r="C377" s="17">
        <f>+C372/C374</f>
        <v>0.37919399478747845</v>
      </c>
      <c r="E377" s="9">
        <f>+C372/SUMPRODUCT(M48:S48,C81:I81)*1000</f>
        <v>79.620000494787078</v>
      </c>
      <c r="F377" s="111" t="s">
        <v>193</v>
      </c>
      <c r="I377" s="145" t="s">
        <v>69</v>
      </c>
      <c r="J377" s="93">
        <f>ROUND(E377/$D$223,4)</f>
        <v>0.94099999999999995</v>
      </c>
      <c r="K377" s="93"/>
    </row>
    <row r="378" spans="1:14" x14ac:dyDescent="0.2">
      <c r="A378" s="3"/>
      <c r="B378" s="145" t="s">
        <v>62</v>
      </c>
      <c r="C378" s="17">
        <f>+C373/C374</f>
        <v>0.62080600521252149</v>
      </c>
      <c r="E378" s="9">
        <f>+C373/SUMPRODUCT(M44:S44,C81:I81)*1000</f>
        <v>87.974957734508791</v>
      </c>
      <c r="F378" s="111" t="s">
        <v>193</v>
      </c>
      <c r="I378" s="145" t="s">
        <v>62</v>
      </c>
      <c r="J378" s="93">
        <f>ROUND(E378/$D$223,4)</f>
        <v>1.0398000000000001</v>
      </c>
      <c r="K378" s="93"/>
    </row>
    <row r="379" spans="1:14" x14ac:dyDescent="0.2">
      <c r="A379" s="3"/>
    </row>
    <row r="380" spans="1:14" x14ac:dyDescent="0.2">
      <c r="A380" s="3"/>
      <c r="C380" s="182"/>
      <c r="E380" s="182"/>
    </row>
    <row r="381" spans="1:14" ht="13.5" thickBot="1" x14ac:dyDescent="0.25">
      <c r="A381" s="61" t="s">
        <v>194</v>
      </c>
      <c r="B381" s="15" t="s">
        <v>195</v>
      </c>
    </row>
    <row r="382" spans="1:14" x14ac:dyDescent="0.2">
      <c r="A382" s="3"/>
      <c r="B382" s="10"/>
      <c r="K382" s="173" t="s">
        <v>156</v>
      </c>
      <c r="L382" s="174"/>
    </row>
    <row r="383" spans="1:14" x14ac:dyDescent="0.2">
      <c r="A383" s="3"/>
      <c r="C383" s="19" t="str">
        <f>C6</f>
        <v>SC1</v>
      </c>
      <c r="D383" s="19" t="str">
        <f t="shared" ref="D383:I383" si="61">D6</f>
        <v>SC5</v>
      </c>
      <c r="E383" s="19" t="str">
        <f t="shared" si="61"/>
        <v>SC3</v>
      </c>
      <c r="F383" s="19" t="str">
        <f t="shared" si="61"/>
        <v>SC2 ND</v>
      </c>
      <c r="G383" s="19" t="str">
        <f t="shared" si="61"/>
        <v>SC4</v>
      </c>
      <c r="H383" s="19" t="str">
        <f t="shared" si="61"/>
        <v>SC6</v>
      </c>
      <c r="I383" s="19" t="str">
        <f t="shared" si="61"/>
        <v>SC2 Dem</v>
      </c>
      <c r="J383" s="23"/>
      <c r="K383" s="175"/>
      <c r="L383" s="176" t="s">
        <v>165</v>
      </c>
    </row>
    <row r="384" spans="1:14" x14ac:dyDescent="0.2">
      <c r="A384" s="3"/>
      <c r="B384" s="111" t="s">
        <v>187</v>
      </c>
      <c r="K384" s="175" t="s">
        <v>69</v>
      </c>
      <c r="L384" s="177">
        <v>72632.947005293594</v>
      </c>
      <c r="N384" s="8">
        <v>8429.1397260492577</v>
      </c>
    </row>
    <row r="385" spans="1:14" ht="13.5" thickBot="1" x14ac:dyDescent="0.25">
      <c r="A385" s="3"/>
      <c r="B385" s="145" t="s">
        <v>69</v>
      </c>
      <c r="C385" s="8">
        <f>(C276*SUM(C49:C52)*E156+C277*SUM(C49:C52)*E157)/1000</f>
        <v>20533.35326138942</v>
      </c>
      <c r="D385" s="8">
        <f>(D276*SUM(D49:D52)*J156+D277*SUM(D49:D52)*J157)/1000</f>
        <v>308.1336432952715</v>
      </c>
      <c r="E385" s="8">
        <f>+E273*SUM(E49:E52)/1000</f>
        <v>5.8346498714443236</v>
      </c>
      <c r="F385" s="8">
        <f>+F273*SUM(F49:F52)/1000</f>
        <v>450.19276837468493</v>
      </c>
      <c r="G385" s="8">
        <f>+G273*SUM(G49:G52)/1000</f>
        <v>59.766616467402649</v>
      </c>
      <c r="H385" s="8">
        <f>+H273*SUM(H49:H52)/1000</f>
        <v>65.391532209953681</v>
      </c>
      <c r="I385" s="8">
        <f>(C294*SUM(I49:I52)/1000)+($I298*($L$384/4*H144)/1000)+($J298*($L$389/4*H144)/1000)</f>
        <v>7860.4960391431487</v>
      </c>
      <c r="J385" s="8"/>
      <c r="K385" s="178" t="s">
        <v>62</v>
      </c>
      <c r="L385" s="179">
        <v>150246.18034097413</v>
      </c>
      <c r="N385" s="8">
        <v>15486.148409442889</v>
      </c>
    </row>
    <row r="386" spans="1:14" ht="13.5" thickBot="1" x14ac:dyDescent="0.25">
      <c r="A386" s="3"/>
      <c r="B386" s="145" t="s">
        <v>62</v>
      </c>
      <c r="C386" s="8">
        <f t="shared" ref="C386:H386" si="62">+C280*SUM(C44:C48,C53:C55)/1000</f>
        <v>31817.838351226466</v>
      </c>
      <c r="D386" s="8">
        <f t="shared" si="62"/>
        <v>657.4134577881722</v>
      </c>
      <c r="E386" s="8">
        <f t="shared" si="62"/>
        <v>14.093436036583336</v>
      </c>
      <c r="F386" s="8">
        <f t="shared" si="62"/>
        <v>1033.6277146753241</v>
      </c>
      <c r="G386" s="8">
        <f t="shared" si="62"/>
        <v>176.8127788273585</v>
      </c>
      <c r="H386" s="8">
        <f t="shared" si="62"/>
        <v>189.34120995585891</v>
      </c>
      <c r="I386" s="8">
        <f>(C298*SUM(I44:I48,I53:I55)/1000)+($I299*($L$385/8*H145)/1000)+($J299*($L$390/8*H145)/1000)</f>
        <v>15106.617955270307</v>
      </c>
      <c r="J386" s="8"/>
      <c r="N386" s="8">
        <v>23915.288135492148</v>
      </c>
    </row>
    <row r="387" spans="1:14" x14ac:dyDescent="0.2">
      <c r="A387" s="3"/>
      <c r="B387" s="145" t="s">
        <v>36</v>
      </c>
      <c r="C387" s="152">
        <f t="shared" ref="C387:I387" si="63">+C386+C385</f>
        <v>52351.19161261589</v>
      </c>
      <c r="D387" s="152">
        <f t="shared" si="63"/>
        <v>965.54710108344375</v>
      </c>
      <c r="E387" s="152">
        <f t="shared" si="63"/>
        <v>19.928085908027661</v>
      </c>
      <c r="F387" s="152">
        <f t="shared" si="63"/>
        <v>1483.820483050009</v>
      </c>
      <c r="G387" s="152">
        <f t="shared" si="63"/>
        <v>236.57939529476116</v>
      </c>
      <c r="H387" s="16">
        <f t="shared" si="63"/>
        <v>254.7327421658126</v>
      </c>
      <c r="I387" s="16">
        <f t="shared" si="63"/>
        <v>22967.113994413456</v>
      </c>
      <c r="J387" s="16"/>
      <c r="K387" s="173" t="s">
        <v>156</v>
      </c>
      <c r="L387" s="174"/>
    </row>
    <row r="388" spans="1:14" x14ac:dyDescent="0.2">
      <c r="A388" s="3"/>
      <c r="B388" s="145"/>
      <c r="K388" s="175"/>
      <c r="L388" s="176" t="s">
        <v>159</v>
      </c>
    </row>
    <row r="389" spans="1:14" x14ac:dyDescent="0.2">
      <c r="A389" s="3"/>
      <c r="B389" s="111" t="s">
        <v>188</v>
      </c>
      <c r="K389" s="175" t="s">
        <v>69</v>
      </c>
      <c r="L389" s="177">
        <v>337167.05299470644</v>
      </c>
    </row>
    <row r="390" spans="1:14" ht="13.5" thickBot="1" x14ac:dyDescent="0.25">
      <c r="A390" s="3"/>
      <c r="B390" s="145" t="s">
        <v>69</v>
      </c>
      <c r="C390" s="17">
        <f t="shared" ref="C390:I390" si="64">+C385/C387</f>
        <v>0.3922232260409747</v>
      </c>
      <c r="D390" s="17">
        <f t="shared" si="64"/>
        <v>0.31912854686168463</v>
      </c>
      <c r="E390" s="17">
        <f t="shared" si="64"/>
        <v>0.29278526288839124</v>
      </c>
      <c r="F390" s="17">
        <f t="shared" si="64"/>
        <v>0.30340110108825891</v>
      </c>
      <c r="G390" s="17">
        <f t="shared" si="64"/>
        <v>0.25262815636559421</v>
      </c>
      <c r="H390" s="17">
        <f t="shared" si="64"/>
        <v>0.25670642750506145</v>
      </c>
      <c r="I390" s="17">
        <f t="shared" si="64"/>
        <v>0.34225005549478893</v>
      </c>
      <c r="J390" s="17"/>
      <c r="K390" s="178" t="s">
        <v>62</v>
      </c>
      <c r="L390" s="179">
        <v>598866.51965902583</v>
      </c>
    </row>
    <row r="391" spans="1:14" x14ac:dyDescent="0.2">
      <c r="A391" s="3"/>
      <c r="B391" s="145" t="s">
        <v>62</v>
      </c>
      <c r="C391" s="17">
        <f t="shared" ref="C391:I391" si="65">+C386/C387</f>
        <v>0.6077767739590253</v>
      </c>
      <c r="D391" s="17">
        <f t="shared" si="65"/>
        <v>0.68087145313831532</v>
      </c>
      <c r="E391" s="17">
        <f t="shared" si="65"/>
        <v>0.70721473711160865</v>
      </c>
      <c r="F391" s="17">
        <f t="shared" si="65"/>
        <v>0.69659889891174109</v>
      </c>
      <c r="G391" s="17">
        <f t="shared" si="65"/>
        <v>0.74737184363440579</v>
      </c>
      <c r="H391" s="17">
        <f t="shared" si="65"/>
        <v>0.74329357249493855</v>
      </c>
      <c r="I391" s="17">
        <f t="shared" si="65"/>
        <v>0.65774994450521107</v>
      </c>
      <c r="J391" s="17"/>
    </row>
    <row r="392" spans="1:14" x14ac:dyDescent="0.2">
      <c r="A392" s="3"/>
    </row>
    <row r="393" spans="1:14" x14ac:dyDescent="0.2">
      <c r="A393" s="3"/>
      <c r="B393" s="111" t="s">
        <v>189</v>
      </c>
    </row>
    <row r="394" spans="1:14" x14ac:dyDescent="0.2">
      <c r="A394" s="3"/>
      <c r="B394" s="145" t="s">
        <v>69</v>
      </c>
      <c r="C394" s="18">
        <f>+SUM(C385:I385)</f>
        <v>29283.168510751322</v>
      </c>
    </row>
    <row r="395" spans="1:14" x14ac:dyDescent="0.2">
      <c r="A395" s="3"/>
      <c r="B395" s="145" t="s">
        <v>62</v>
      </c>
      <c r="C395" s="18">
        <f>+SUM(C386:I386)</f>
        <v>48995.744903780069</v>
      </c>
    </row>
    <row r="396" spans="1:14" x14ac:dyDescent="0.2">
      <c r="A396" s="3"/>
      <c r="B396" s="145" t="s">
        <v>36</v>
      </c>
      <c r="C396" s="152">
        <f>+C395+C394</f>
        <v>78278.913414531387</v>
      </c>
      <c r="D396" s="152"/>
    </row>
    <row r="397" spans="1:14" x14ac:dyDescent="0.2">
      <c r="A397" s="3"/>
    </row>
    <row r="398" spans="1:14" x14ac:dyDescent="0.2">
      <c r="A398" s="3"/>
      <c r="B398" s="111" t="s">
        <v>190</v>
      </c>
      <c r="D398" s="111" t="s">
        <v>191</v>
      </c>
      <c r="I398" s="288" t="s">
        <v>192</v>
      </c>
      <c r="J398" s="288"/>
    </row>
    <row r="399" spans="1:14" x14ac:dyDescent="0.2">
      <c r="A399" s="3"/>
      <c r="B399" s="145" t="s">
        <v>69</v>
      </c>
      <c r="C399" s="17">
        <f>+C394/C396</f>
        <v>0.37408757011840832</v>
      </c>
      <c r="E399" s="9">
        <f>+C394/SUMPRODUCT(M48:S48,C81:I81)*1000</f>
        <v>65.615760911851083</v>
      </c>
      <c r="F399" s="111" t="s">
        <v>193</v>
      </c>
      <c r="I399" s="145" t="s">
        <v>69</v>
      </c>
      <c r="J399" s="93">
        <f>ROUND(E399/$D$318,4)</f>
        <v>0.91569999999999996</v>
      </c>
      <c r="K399" s="94"/>
    </row>
    <row r="400" spans="1:14" x14ac:dyDescent="0.2">
      <c r="A400" s="3"/>
      <c r="B400" s="145" t="s">
        <v>62</v>
      </c>
      <c r="C400" s="17">
        <f>+C395/C396</f>
        <v>0.62591242988159179</v>
      </c>
      <c r="E400" s="9">
        <f>+C395/SUMPRODUCT(M44:S44,C81:I81)*1000</f>
        <v>74.095340841019947</v>
      </c>
      <c r="F400" s="111" t="s">
        <v>193</v>
      </c>
      <c r="I400" s="145" t="s">
        <v>62</v>
      </c>
      <c r="J400" s="93">
        <f>ROUND(E400/$D$318,4)</f>
        <v>1.034</v>
      </c>
      <c r="K400" s="94"/>
    </row>
    <row r="401" spans="1:11" x14ac:dyDescent="0.2">
      <c r="A401" s="3"/>
    </row>
    <row r="402" spans="1:11" x14ac:dyDescent="0.2">
      <c r="C402" s="152"/>
      <c r="D402" s="152"/>
      <c r="E402" s="152"/>
      <c r="F402" s="152"/>
      <c r="G402" s="152"/>
      <c r="H402" s="152"/>
      <c r="I402" s="152"/>
      <c r="J402" s="152"/>
    </row>
    <row r="403" spans="1:11" x14ac:dyDescent="0.2">
      <c r="A403" s="61" t="s">
        <v>196</v>
      </c>
      <c r="B403" s="10" t="s">
        <v>197</v>
      </c>
    </row>
    <row r="404" spans="1:11" x14ac:dyDescent="0.2">
      <c r="A404" s="61"/>
    </row>
    <row r="405" spans="1:11" x14ac:dyDescent="0.2">
      <c r="A405" s="61"/>
      <c r="E405" s="135"/>
      <c r="F405" s="10" t="s">
        <v>198</v>
      </c>
      <c r="I405" s="15" t="s">
        <v>199</v>
      </c>
    </row>
    <row r="406" spans="1:11" x14ac:dyDescent="0.2">
      <c r="B406" s="15" t="s">
        <v>200</v>
      </c>
      <c r="E406" s="135"/>
      <c r="F406" s="10" t="s">
        <v>201</v>
      </c>
      <c r="I406" s="15" t="s">
        <v>202</v>
      </c>
    </row>
    <row r="407" spans="1:11" x14ac:dyDescent="0.2">
      <c r="A407" s="3"/>
      <c r="B407" s="4" t="s">
        <v>61</v>
      </c>
      <c r="C407" s="126"/>
      <c r="D407" s="12" t="s">
        <v>203</v>
      </c>
      <c r="E407" s="189"/>
      <c r="F407" s="95" t="s">
        <v>61</v>
      </c>
      <c r="G407" s="136"/>
      <c r="I407" s="96" t="s">
        <v>204</v>
      </c>
      <c r="J407" s="136"/>
      <c r="K407" s="136"/>
    </row>
    <row r="408" spans="1:11" x14ac:dyDescent="0.2">
      <c r="A408" s="3"/>
      <c r="C408" s="19" t="s">
        <v>49</v>
      </c>
      <c r="D408" s="19" t="s">
        <v>205</v>
      </c>
      <c r="E408" s="97" t="s">
        <v>50</v>
      </c>
      <c r="F408" s="19" t="s">
        <v>49</v>
      </c>
      <c r="G408" s="19" t="s">
        <v>50</v>
      </c>
      <c r="I408" s="19" t="s">
        <v>49</v>
      </c>
      <c r="J408" s="19" t="s">
        <v>50</v>
      </c>
    </row>
    <row r="409" spans="1:11" x14ac:dyDescent="0.2">
      <c r="A409" s="3"/>
      <c r="B409" s="116" t="s">
        <v>14</v>
      </c>
      <c r="C409" s="139">
        <v>53.62</v>
      </c>
      <c r="D409" s="190">
        <v>0.77923598230200686</v>
      </c>
      <c r="E409" s="191">
        <f>ROUND(C409*D409,2)</f>
        <v>41.78</v>
      </c>
      <c r="F409" s="122">
        <v>0.92502564321568559</v>
      </c>
      <c r="G409" s="17">
        <v>0.92624588971017785</v>
      </c>
      <c r="I409" s="139">
        <f>ROUND(C409*F409,2)</f>
        <v>49.6</v>
      </c>
      <c r="J409" s="139">
        <f>ROUND(E409*G409,2)</f>
        <v>38.700000000000003</v>
      </c>
    </row>
    <row r="410" spans="1:11" x14ac:dyDescent="0.2">
      <c r="A410" s="3"/>
      <c r="B410" s="116" t="s">
        <v>15</v>
      </c>
      <c r="C410" s="139">
        <v>50.88</v>
      </c>
      <c r="D410" s="190">
        <f>D409</f>
        <v>0.77923598230200686</v>
      </c>
      <c r="E410" s="191">
        <f>ROUND(C410*D410,2)</f>
        <v>39.65</v>
      </c>
      <c r="F410" s="192">
        <f>F409</f>
        <v>0.92502564321568559</v>
      </c>
      <c r="G410" s="192">
        <f>G409</f>
        <v>0.92624588971017785</v>
      </c>
      <c r="I410" s="139">
        <f t="shared" ref="I410:I420" si="66">ROUND(C410*F410,2)</f>
        <v>47.07</v>
      </c>
      <c r="J410" s="139">
        <f t="shared" ref="J410:J420" si="67">ROUND(E410*G410,2)</f>
        <v>36.729999999999997</v>
      </c>
    </row>
    <row r="411" spans="1:11" x14ac:dyDescent="0.2">
      <c r="A411" s="3"/>
      <c r="B411" s="116" t="s">
        <v>16</v>
      </c>
      <c r="C411" s="139">
        <v>40.380000000000003</v>
      </c>
      <c r="D411" s="190">
        <f>D409</f>
        <v>0.77923598230200686</v>
      </c>
      <c r="E411" s="191">
        <f t="shared" ref="E411:E420" si="68">ROUND(C411*D411,2)</f>
        <v>31.47</v>
      </c>
      <c r="F411" s="192">
        <f>F409</f>
        <v>0.92502564321568559</v>
      </c>
      <c r="G411" s="192">
        <f>G409</f>
        <v>0.92624588971017785</v>
      </c>
      <c r="I411" s="139">
        <f t="shared" si="66"/>
        <v>37.35</v>
      </c>
      <c r="J411" s="139">
        <f t="shared" si="67"/>
        <v>29.15</v>
      </c>
    </row>
    <row r="412" spans="1:11" x14ac:dyDescent="0.2">
      <c r="A412" s="3"/>
      <c r="B412" s="116" t="s">
        <v>17</v>
      </c>
      <c r="C412" s="139">
        <v>35.29</v>
      </c>
      <c r="D412" s="190">
        <f>D409</f>
        <v>0.77923598230200686</v>
      </c>
      <c r="E412" s="191">
        <f t="shared" si="68"/>
        <v>27.5</v>
      </c>
      <c r="F412" s="192">
        <f>F409</f>
        <v>0.92502564321568559</v>
      </c>
      <c r="G412" s="192">
        <f>G409</f>
        <v>0.92624588971017785</v>
      </c>
      <c r="I412" s="139">
        <f t="shared" si="66"/>
        <v>32.64</v>
      </c>
      <c r="J412" s="139">
        <f t="shared" si="67"/>
        <v>25.47</v>
      </c>
    </row>
    <row r="413" spans="1:11" x14ac:dyDescent="0.2">
      <c r="A413" s="3"/>
      <c r="B413" s="116" t="s">
        <v>18</v>
      </c>
      <c r="C413" s="139">
        <v>35.19</v>
      </c>
      <c r="D413" s="190">
        <f>D409</f>
        <v>0.77923598230200686</v>
      </c>
      <c r="E413" s="191">
        <f t="shared" si="68"/>
        <v>27.42</v>
      </c>
      <c r="F413" s="192">
        <f>F409</f>
        <v>0.92502564321568559</v>
      </c>
      <c r="G413" s="192">
        <f>G409</f>
        <v>0.92624588971017785</v>
      </c>
      <c r="I413" s="139">
        <f t="shared" si="66"/>
        <v>32.549999999999997</v>
      </c>
      <c r="J413" s="139">
        <f t="shared" si="67"/>
        <v>25.4</v>
      </c>
    </row>
    <row r="414" spans="1:11" x14ac:dyDescent="0.2">
      <c r="A414" s="3"/>
      <c r="B414" s="116" t="s">
        <v>19</v>
      </c>
      <c r="C414" s="139">
        <v>35.76</v>
      </c>
      <c r="D414" s="190">
        <v>0.65081849678525516</v>
      </c>
      <c r="E414" s="191">
        <f t="shared" si="68"/>
        <v>23.27</v>
      </c>
      <c r="F414" s="17">
        <v>0.95035732026467834</v>
      </c>
      <c r="G414" s="17">
        <v>0.89905970984762762</v>
      </c>
      <c r="I414" s="139">
        <f t="shared" si="66"/>
        <v>33.979999999999997</v>
      </c>
      <c r="J414" s="139">
        <f t="shared" si="67"/>
        <v>20.92</v>
      </c>
    </row>
    <row r="415" spans="1:11" x14ac:dyDescent="0.2">
      <c r="A415" s="3"/>
      <c r="B415" s="116" t="s">
        <v>20</v>
      </c>
      <c r="C415" s="139">
        <v>40.450000000000003</v>
      </c>
      <c r="D415" s="190">
        <f>D414</f>
        <v>0.65081849678525516</v>
      </c>
      <c r="E415" s="191">
        <f t="shared" si="68"/>
        <v>26.33</v>
      </c>
      <c r="F415" s="192">
        <f>F414</f>
        <v>0.95035732026467834</v>
      </c>
      <c r="G415" s="192">
        <f>G414</f>
        <v>0.89905970984762762</v>
      </c>
      <c r="I415" s="139">
        <f t="shared" si="66"/>
        <v>38.44</v>
      </c>
      <c r="J415" s="139">
        <f t="shared" si="67"/>
        <v>23.67</v>
      </c>
    </row>
    <row r="416" spans="1:11" x14ac:dyDescent="0.2">
      <c r="A416" s="3"/>
      <c r="B416" s="116" t="s">
        <v>21</v>
      </c>
      <c r="C416" s="139">
        <v>37.700000000000003</v>
      </c>
      <c r="D416" s="190">
        <f>D414</f>
        <v>0.65081849678525516</v>
      </c>
      <c r="E416" s="191">
        <f t="shared" si="68"/>
        <v>24.54</v>
      </c>
      <c r="F416" s="192">
        <f>F414</f>
        <v>0.95035732026467834</v>
      </c>
      <c r="G416" s="192">
        <f>G414</f>
        <v>0.89905970984762762</v>
      </c>
      <c r="I416" s="139">
        <f t="shared" si="66"/>
        <v>35.83</v>
      </c>
      <c r="J416" s="139">
        <f t="shared" si="67"/>
        <v>22.06</v>
      </c>
    </row>
    <row r="417" spans="1:19" x14ac:dyDescent="0.2">
      <c r="A417" s="3"/>
      <c r="B417" s="116" t="s">
        <v>22</v>
      </c>
      <c r="C417" s="139">
        <v>36.58</v>
      </c>
      <c r="D417" s="190">
        <f>D414</f>
        <v>0.65081849678525516</v>
      </c>
      <c r="E417" s="191">
        <f t="shared" si="68"/>
        <v>23.81</v>
      </c>
      <c r="F417" s="192">
        <f>F414</f>
        <v>0.95035732026467834</v>
      </c>
      <c r="G417" s="192">
        <f>G414</f>
        <v>0.89905970984762762</v>
      </c>
      <c r="I417" s="139">
        <f t="shared" si="66"/>
        <v>34.76</v>
      </c>
      <c r="J417" s="139">
        <f t="shared" si="67"/>
        <v>21.41</v>
      </c>
    </row>
    <row r="418" spans="1:19" x14ac:dyDescent="0.2">
      <c r="A418" s="3"/>
      <c r="B418" s="116" t="s">
        <v>23</v>
      </c>
      <c r="C418" s="139">
        <v>34.380000000000003</v>
      </c>
      <c r="D418" s="190">
        <f>D409</f>
        <v>0.77923598230200686</v>
      </c>
      <c r="E418" s="191">
        <f t="shared" si="68"/>
        <v>26.79</v>
      </c>
      <c r="F418" s="192">
        <f>F409</f>
        <v>0.92502564321568559</v>
      </c>
      <c r="G418" s="192">
        <f>G409</f>
        <v>0.92624588971017785</v>
      </c>
      <c r="I418" s="139">
        <f t="shared" si="66"/>
        <v>31.8</v>
      </c>
      <c r="J418" s="139">
        <f t="shared" si="67"/>
        <v>24.81</v>
      </c>
    </row>
    <row r="419" spans="1:19" x14ac:dyDescent="0.2">
      <c r="A419" s="3"/>
      <c r="B419" s="116" t="s">
        <v>24</v>
      </c>
      <c r="C419" s="139">
        <v>34.450000000000003</v>
      </c>
      <c r="D419" s="190">
        <f>D409</f>
        <v>0.77923598230200686</v>
      </c>
      <c r="E419" s="191">
        <f t="shared" si="68"/>
        <v>26.84</v>
      </c>
      <c r="F419" s="192">
        <f>F409</f>
        <v>0.92502564321568559</v>
      </c>
      <c r="G419" s="192">
        <f>G409</f>
        <v>0.92624588971017785</v>
      </c>
      <c r="I419" s="139">
        <f t="shared" si="66"/>
        <v>31.87</v>
      </c>
      <c r="J419" s="139">
        <f t="shared" si="67"/>
        <v>24.86</v>
      </c>
    </row>
    <row r="420" spans="1:19" x14ac:dyDescent="0.2">
      <c r="A420" s="3"/>
      <c r="B420" s="116" t="s">
        <v>25</v>
      </c>
      <c r="C420" s="139">
        <v>38</v>
      </c>
      <c r="D420" s="190">
        <f>D409</f>
        <v>0.77923598230200686</v>
      </c>
      <c r="E420" s="191">
        <f t="shared" si="68"/>
        <v>29.61</v>
      </c>
      <c r="F420" s="192">
        <f>F409</f>
        <v>0.92502564321568559</v>
      </c>
      <c r="G420" s="192">
        <f>G409</f>
        <v>0.92624588971017785</v>
      </c>
      <c r="I420" s="139">
        <f t="shared" si="66"/>
        <v>35.15</v>
      </c>
      <c r="J420" s="139">
        <f t="shared" si="67"/>
        <v>27.43</v>
      </c>
    </row>
    <row r="421" spans="1:19" x14ac:dyDescent="0.2">
      <c r="A421" s="3"/>
      <c r="B421" s="116"/>
      <c r="C421" s="139"/>
      <c r="D421" s="139"/>
      <c r="E421" s="135"/>
      <c r="K421" s="17"/>
    </row>
    <row r="422" spans="1:19" x14ac:dyDescent="0.2">
      <c r="A422" s="3"/>
      <c r="B422" s="116"/>
      <c r="C422" s="139"/>
      <c r="D422" s="139"/>
      <c r="K422" s="17"/>
    </row>
    <row r="423" spans="1:19" x14ac:dyDescent="0.2">
      <c r="A423" s="3"/>
      <c r="B423" s="116"/>
      <c r="C423" s="139"/>
      <c r="D423" s="139"/>
      <c r="K423" s="17"/>
    </row>
    <row r="424" spans="1:19" x14ac:dyDescent="0.2">
      <c r="B424" s="10" t="s">
        <v>206</v>
      </c>
      <c r="F424" s="96" t="s">
        <v>207</v>
      </c>
    </row>
    <row r="425" spans="1:19" x14ac:dyDescent="0.2">
      <c r="B425" s="4" t="s">
        <v>61</v>
      </c>
      <c r="C425" s="136"/>
      <c r="D425" s="136"/>
      <c r="F425" s="15" t="str">
        <f>"system ("&amp;TEXT(D447*100,"0.0")&amp;"% PJM - "&amp;TEXT(E447*100,"0.0")&amp;"% NYISO)"</f>
        <v>system (89.1% PJM - 10.9% NYISO)</v>
      </c>
      <c r="G425" s="136"/>
      <c r="H425" s="136"/>
    </row>
    <row r="426" spans="1:19" x14ac:dyDescent="0.2">
      <c r="B426" s="4"/>
      <c r="C426" s="136"/>
      <c r="D426" s="136"/>
      <c r="F426" s="4" t="s">
        <v>61</v>
      </c>
      <c r="G426" s="136"/>
      <c r="H426" s="136"/>
    </row>
    <row r="427" spans="1:19" x14ac:dyDescent="0.2">
      <c r="C427" s="19" t="s">
        <v>49</v>
      </c>
      <c r="D427" s="19" t="s">
        <v>50</v>
      </c>
      <c r="G427" s="19" t="s">
        <v>49</v>
      </c>
      <c r="H427" s="19" t="s">
        <v>50</v>
      </c>
    </row>
    <row r="428" spans="1:19" x14ac:dyDescent="0.2">
      <c r="B428" s="116" t="s">
        <v>14</v>
      </c>
      <c r="C428" s="139">
        <v>65.75</v>
      </c>
      <c r="D428" s="139">
        <v>52.75</v>
      </c>
      <c r="F428" s="116" t="s">
        <v>14</v>
      </c>
      <c r="G428" s="139">
        <f>ROUND($J$428*I409+$J$429*C428,2)</f>
        <v>51.36</v>
      </c>
      <c r="H428" s="139">
        <f>ROUND($J$428*J409+$J$429*D428,2)</f>
        <v>40.229999999999997</v>
      </c>
      <c r="J428" s="193">
        <f>D447</f>
        <v>0.89086859688195985</v>
      </c>
      <c r="K428" s="111" t="s">
        <v>208</v>
      </c>
      <c r="Q428" s="139">
        <f>AVERAGE(G433:G436)</f>
        <v>35.902499999999996</v>
      </c>
      <c r="R428" s="139">
        <f>AVERAGE(H433:H436)</f>
        <v>22.335000000000001</v>
      </c>
    </row>
    <row r="429" spans="1:19" x14ac:dyDescent="0.2">
      <c r="B429" s="116" t="s">
        <v>15</v>
      </c>
      <c r="C429" s="139">
        <v>62.75</v>
      </c>
      <c r="D429" s="139">
        <v>49.75</v>
      </c>
      <c r="F429" s="116" t="s">
        <v>15</v>
      </c>
      <c r="G429" s="139">
        <f t="shared" ref="G429:H439" si="69">ROUND($J$428*I410+$J$429*C429,2)</f>
        <v>48.78</v>
      </c>
      <c r="H429" s="139">
        <f t="shared" si="69"/>
        <v>38.15</v>
      </c>
      <c r="J429" s="193">
        <f>E447</f>
        <v>0.10913140311804008</v>
      </c>
      <c r="K429" s="111" t="s">
        <v>209</v>
      </c>
      <c r="Q429" s="139">
        <f>AVERAGE(G428:G432,G437:G439)</f>
        <v>37.918750000000003</v>
      </c>
      <c r="R429" s="139">
        <f>AVERAGE(H428:H432,H437:H439)</f>
        <v>29.443749999999998</v>
      </c>
    </row>
    <row r="430" spans="1:19" x14ac:dyDescent="0.2">
      <c r="B430" s="116" t="s">
        <v>16</v>
      </c>
      <c r="C430" s="139">
        <v>41.25</v>
      </c>
      <c r="D430" s="139">
        <v>31.25</v>
      </c>
      <c r="F430" s="116" t="s">
        <v>16</v>
      </c>
      <c r="G430" s="139">
        <f t="shared" si="69"/>
        <v>37.78</v>
      </c>
      <c r="H430" s="139">
        <f t="shared" si="69"/>
        <v>29.38</v>
      </c>
      <c r="Q430" s="111">
        <f>Q428/Q429</f>
        <v>0.94682709741222992</v>
      </c>
      <c r="R430" s="111">
        <f>R428/R429</f>
        <v>0.75856506049670991</v>
      </c>
    </row>
    <row r="431" spans="1:19" x14ac:dyDescent="0.2">
      <c r="B431" s="116" t="s">
        <v>17</v>
      </c>
      <c r="C431" s="139">
        <v>33.75</v>
      </c>
      <c r="D431" s="139">
        <v>21.75</v>
      </c>
      <c r="F431" s="116" t="s">
        <v>17</v>
      </c>
      <c r="G431" s="139">
        <f t="shared" si="69"/>
        <v>32.76</v>
      </c>
      <c r="H431" s="139">
        <f t="shared" si="69"/>
        <v>25.06</v>
      </c>
    </row>
    <row r="432" spans="1:19" x14ac:dyDescent="0.2">
      <c r="B432" s="116" t="s">
        <v>18</v>
      </c>
      <c r="C432" s="139">
        <v>31.25</v>
      </c>
      <c r="D432" s="139">
        <v>20.25</v>
      </c>
      <c r="F432" s="116" t="s">
        <v>18</v>
      </c>
      <c r="G432" s="139">
        <f t="shared" si="69"/>
        <v>32.409999999999997</v>
      </c>
      <c r="H432" s="139">
        <f t="shared" si="69"/>
        <v>24.84</v>
      </c>
      <c r="Q432" s="139">
        <f>AVERAGE(G428:G439)</f>
        <v>37.246666666666663</v>
      </c>
      <c r="R432" s="139">
        <f>AVERAGE(H428:H439)</f>
        <v>27.074166666666667</v>
      </c>
      <c r="S432" s="111">
        <f>Q432/R432</f>
        <v>1.3757271691957276</v>
      </c>
    </row>
    <row r="433" spans="1:19" x14ac:dyDescent="0.2">
      <c r="B433" s="116" t="s">
        <v>19</v>
      </c>
      <c r="C433" s="139">
        <v>34.5</v>
      </c>
      <c r="D433" s="139">
        <v>23.5</v>
      </c>
      <c r="F433" s="116" t="s">
        <v>19</v>
      </c>
      <c r="G433" s="139">
        <f t="shared" si="69"/>
        <v>34.04</v>
      </c>
      <c r="H433" s="139">
        <f t="shared" si="69"/>
        <v>21.2</v>
      </c>
    </row>
    <row r="434" spans="1:19" x14ac:dyDescent="0.2">
      <c r="B434" s="116" t="s">
        <v>20</v>
      </c>
      <c r="C434" s="139">
        <v>40.5</v>
      </c>
      <c r="D434" s="139">
        <v>28.25</v>
      </c>
      <c r="F434" s="116" t="s">
        <v>20</v>
      </c>
      <c r="G434" s="139">
        <f t="shared" si="69"/>
        <v>38.659999999999997</v>
      </c>
      <c r="H434" s="139">
        <f t="shared" si="69"/>
        <v>24.17</v>
      </c>
    </row>
    <row r="435" spans="1:19" x14ac:dyDescent="0.2">
      <c r="B435" s="116" t="s">
        <v>21</v>
      </c>
      <c r="C435" s="139">
        <v>37.75</v>
      </c>
      <c r="D435" s="139">
        <v>26.25</v>
      </c>
      <c r="F435" s="116" t="s">
        <v>21</v>
      </c>
      <c r="G435" s="139">
        <f t="shared" si="69"/>
        <v>36.04</v>
      </c>
      <c r="H435" s="139">
        <f t="shared" si="69"/>
        <v>22.52</v>
      </c>
    </row>
    <row r="436" spans="1:19" x14ac:dyDescent="0.2">
      <c r="B436" s="116" t="s">
        <v>22</v>
      </c>
      <c r="C436" s="139">
        <v>35.75</v>
      </c>
      <c r="D436" s="139">
        <v>21.75</v>
      </c>
      <c r="F436" s="116" t="s">
        <v>22</v>
      </c>
      <c r="G436" s="139">
        <f t="shared" si="69"/>
        <v>34.869999999999997</v>
      </c>
      <c r="H436" s="139">
        <f t="shared" si="69"/>
        <v>21.45</v>
      </c>
    </row>
    <row r="437" spans="1:19" x14ac:dyDescent="0.2">
      <c r="B437" s="116" t="s">
        <v>23</v>
      </c>
      <c r="C437" s="139">
        <v>31</v>
      </c>
      <c r="D437" s="139">
        <v>21.75</v>
      </c>
      <c r="F437" s="116" t="s">
        <v>23</v>
      </c>
      <c r="G437" s="139">
        <f t="shared" si="69"/>
        <v>31.71</v>
      </c>
      <c r="H437" s="139">
        <f t="shared" si="69"/>
        <v>24.48</v>
      </c>
    </row>
    <row r="438" spans="1:19" x14ac:dyDescent="0.2">
      <c r="B438" s="116" t="s">
        <v>24</v>
      </c>
      <c r="C438" s="139">
        <v>33.25</v>
      </c>
      <c r="D438" s="139">
        <v>25</v>
      </c>
      <c r="F438" s="116" t="s">
        <v>24</v>
      </c>
      <c r="G438" s="139">
        <f t="shared" si="69"/>
        <v>32.020000000000003</v>
      </c>
      <c r="H438" s="139">
        <f t="shared" si="69"/>
        <v>24.88</v>
      </c>
    </row>
    <row r="439" spans="1:19" x14ac:dyDescent="0.2">
      <c r="B439" s="116" t="s">
        <v>25</v>
      </c>
      <c r="C439" s="139">
        <v>47.75</v>
      </c>
      <c r="D439" s="139">
        <v>37.5</v>
      </c>
      <c r="F439" s="116" t="s">
        <v>25</v>
      </c>
      <c r="G439" s="139">
        <f t="shared" si="69"/>
        <v>36.53</v>
      </c>
      <c r="H439" s="139">
        <f t="shared" si="69"/>
        <v>28.53</v>
      </c>
    </row>
    <row r="443" spans="1:19" x14ac:dyDescent="0.2">
      <c r="A443" s="61" t="s">
        <v>210</v>
      </c>
      <c r="B443" s="15" t="s">
        <v>211</v>
      </c>
    </row>
    <row r="446" spans="1:19" x14ac:dyDescent="0.2">
      <c r="C446" s="145" t="s">
        <v>212</v>
      </c>
      <c r="D446" s="126" t="s">
        <v>208</v>
      </c>
      <c r="E446" s="126" t="s">
        <v>209</v>
      </c>
      <c r="F446" s="126" t="s">
        <v>213</v>
      </c>
    </row>
    <row r="447" spans="1:19" x14ac:dyDescent="0.2">
      <c r="C447" s="98" t="s">
        <v>214</v>
      </c>
      <c r="D447" s="99">
        <f>4/(4+M466)</f>
        <v>0.89086859688195985</v>
      </c>
      <c r="E447" s="99">
        <f>M466/(4+M466)</f>
        <v>0.10913140311804008</v>
      </c>
      <c r="F447" s="100" t="s">
        <v>215</v>
      </c>
    </row>
    <row r="448" spans="1:19" x14ac:dyDescent="0.2">
      <c r="Q448" s="162" t="s">
        <v>216</v>
      </c>
      <c r="R448" s="111" t="s">
        <v>217</v>
      </c>
      <c r="S448" s="111" t="s">
        <v>218</v>
      </c>
    </row>
    <row r="449" spans="1:19" x14ac:dyDescent="0.2">
      <c r="B449" s="126" t="s">
        <v>69</v>
      </c>
      <c r="C449" s="194">
        <v>151.64261776490494</v>
      </c>
      <c r="D449" s="161">
        <f>C449</f>
        <v>151.64261776490494</v>
      </c>
      <c r="E449" s="161">
        <v>193.67119565217388</v>
      </c>
      <c r="F449" s="167">
        <f>ROUND(D449*D$447+E449*E$447,2)</f>
        <v>156.22999999999999</v>
      </c>
      <c r="H449" s="167"/>
      <c r="P449" s="111" t="s">
        <v>219</v>
      </c>
      <c r="Q449" s="111">
        <v>2.25</v>
      </c>
      <c r="R449" s="111">
        <f>Q449*1000</f>
        <v>2250</v>
      </c>
      <c r="S449" s="111">
        <v>31</v>
      </c>
    </row>
    <row r="450" spans="1:19" x14ac:dyDescent="0.2">
      <c r="B450" s="126"/>
      <c r="C450" s="126"/>
      <c r="D450" s="161"/>
      <c r="E450" s="161"/>
      <c r="F450" s="167"/>
      <c r="P450" s="111" t="s">
        <v>220</v>
      </c>
      <c r="Q450" s="111">
        <v>1.25</v>
      </c>
      <c r="R450" s="111">
        <f>Q450*1000</f>
        <v>1250</v>
      </c>
      <c r="S450" s="111">
        <v>30</v>
      </c>
    </row>
    <row r="451" spans="1:19" x14ac:dyDescent="0.2">
      <c r="B451" s="126" t="s">
        <v>62</v>
      </c>
      <c r="C451" s="161">
        <f>C449</f>
        <v>151.64261776490494</v>
      </c>
      <c r="D451" s="161">
        <f>C451</f>
        <v>151.64261776490494</v>
      </c>
      <c r="E451" s="195">
        <v>33.757458563535913</v>
      </c>
      <c r="F451" s="167">
        <f>ROUND(D451*D$447+E451*E$447,2)</f>
        <v>138.78</v>
      </c>
      <c r="I451" s="162"/>
      <c r="P451" s="111" t="s">
        <v>221</v>
      </c>
      <c r="Q451" s="111">
        <v>1.25</v>
      </c>
      <c r="R451" s="111">
        <f t="shared" ref="Q451:R456" si="70">Q451*1000</f>
        <v>1250</v>
      </c>
      <c r="S451" s="111">
        <v>31</v>
      </c>
    </row>
    <row r="452" spans="1:19" x14ac:dyDescent="0.2">
      <c r="O452" s="111" t="s">
        <v>222</v>
      </c>
      <c r="P452" s="111">
        <v>1.25</v>
      </c>
      <c r="Q452" s="111">
        <f t="shared" si="70"/>
        <v>1250</v>
      </c>
      <c r="R452" s="111">
        <v>30</v>
      </c>
    </row>
    <row r="453" spans="1:19" x14ac:dyDescent="0.2">
      <c r="O453" s="111" t="s">
        <v>223</v>
      </c>
      <c r="P453" s="111">
        <v>1.25</v>
      </c>
      <c r="Q453" s="111">
        <f t="shared" si="70"/>
        <v>1250</v>
      </c>
      <c r="R453" s="111">
        <v>28</v>
      </c>
    </row>
    <row r="454" spans="1:19" x14ac:dyDescent="0.2">
      <c r="O454" s="111" t="s">
        <v>224</v>
      </c>
      <c r="P454" s="111">
        <v>1.25</v>
      </c>
      <c r="Q454" s="111">
        <f t="shared" si="70"/>
        <v>1250</v>
      </c>
      <c r="R454" s="111">
        <v>31</v>
      </c>
    </row>
    <row r="455" spans="1:19" x14ac:dyDescent="0.2">
      <c r="A455" s="61" t="s">
        <v>225</v>
      </c>
      <c r="B455" s="15" t="s">
        <v>117</v>
      </c>
      <c r="O455" s="111" t="s">
        <v>226</v>
      </c>
      <c r="P455" s="111">
        <v>1.25</v>
      </c>
      <c r="Q455" s="111">
        <f t="shared" si="70"/>
        <v>1250</v>
      </c>
      <c r="R455" s="111">
        <v>30</v>
      </c>
    </row>
    <row r="456" spans="1:19" x14ac:dyDescent="0.2">
      <c r="O456" s="111" t="s">
        <v>18</v>
      </c>
      <c r="P456" s="111">
        <v>2</v>
      </c>
      <c r="Q456" s="111">
        <f t="shared" si="70"/>
        <v>2000</v>
      </c>
      <c r="R456" s="111">
        <v>31</v>
      </c>
    </row>
    <row r="457" spans="1:19" x14ac:dyDescent="0.2">
      <c r="P457" s="111">
        <f>SUM(P449:P456)</f>
        <v>7</v>
      </c>
      <c r="Q457" s="111">
        <f>SUM(Q449:Q456)</f>
        <v>7004.75</v>
      </c>
      <c r="R457" s="111">
        <f>SUM(R449:R456)</f>
        <v>4900</v>
      </c>
      <c r="S457" s="111">
        <f>Q457/R457</f>
        <v>1.4295408163265306</v>
      </c>
    </row>
    <row r="458" spans="1:19" x14ac:dyDescent="0.2">
      <c r="C458" s="126" t="s">
        <v>227</v>
      </c>
      <c r="D458" s="126" t="s">
        <v>228</v>
      </c>
      <c r="E458" s="126" t="s">
        <v>229</v>
      </c>
      <c r="F458" s="126" t="s">
        <v>208</v>
      </c>
      <c r="G458" s="126" t="s">
        <v>209</v>
      </c>
      <c r="H458" s="126" t="s">
        <v>213</v>
      </c>
    </row>
    <row r="459" spans="1:19" x14ac:dyDescent="0.2">
      <c r="C459" s="100" t="s">
        <v>230</v>
      </c>
      <c r="D459" s="100" t="s">
        <v>230</v>
      </c>
      <c r="E459" s="100" t="s">
        <v>231</v>
      </c>
      <c r="F459" s="99">
        <f>D447</f>
        <v>0.89086859688195985</v>
      </c>
      <c r="G459" s="99">
        <f>E447</f>
        <v>0.10913140311804008</v>
      </c>
      <c r="H459" s="100" t="s">
        <v>215</v>
      </c>
    </row>
    <row r="461" spans="1:19" x14ac:dyDescent="0.2">
      <c r="B461" s="126"/>
      <c r="C461" s="20">
        <v>2</v>
      </c>
      <c r="D461" s="20">
        <v>1.89</v>
      </c>
      <c r="E461" s="20">
        <v>15.043000000000001</v>
      </c>
      <c r="F461" s="20">
        <f>C461+E461</f>
        <v>17.042999999999999</v>
      </c>
      <c r="G461" s="20">
        <f>E461+D461</f>
        <v>16.933</v>
      </c>
      <c r="H461" s="20">
        <f>ROUND(F461*F$459+G461*G$459,2)</f>
        <v>17.03</v>
      </c>
    </row>
    <row r="462" spans="1:19" x14ac:dyDescent="0.2">
      <c r="B462" s="126"/>
      <c r="C462" s="20"/>
      <c r="D462" s="20"/>
      <c r="E462" s="20"/>
    </row>
    <row r="463" spans="1:19" ht="13.5" thickBot="1" x14ac:dyDescent="0.25">
      <c r="A463" s="10" t="s">
        <v>232</v>
      </c>
      <c r="E463" s="63"/>
    </row>
    <row r="464" spans="1:19" x14ac:dyDescent="0.2">
      <c r="A464" s="3"/>
      <c r="B464" s="126" t="s">
        <v>233</v>
      </c>
      <c r="C464" s="167">
        <f>F449</f>
        <v>156.22999999999999</v>
      </c>
      <c r="D464" s="159" t="s">
        <v>234</v>
      </c>
      <c r="L464" s="101" t="s">
        <v>235</v>
      </c>
      <c r="M464" s="196">
        <v>49</v>
      </c>
      <c r="N464" s="174"/>
    </row>
    <row r="465" spans="1:19" x14ac:dyDescent="0.2">
      <c r="A465" s="3"/>
      <c r="B465" s="126"/>
      <c r="C465" s="167">
        <f>+F451</f>
        <v>138.78</v>
      </c>
      <c r="D465" s="159" t="s">
        <v>236</v>
      </c>
      <c r="L465" s="102" t="s">
        <v>237</v>
      </c>
      <c r="M465" s="197">
        <f>400/4</f>
        <v>100</v>
      </c>
      <c r="N465" s="176"/>
      <c r="S465" s="197">
        <v>103.7</v>
      </c>
    </row>
    <row r="466" spans="1:19" x14ac:dyDescent="0.2">
      <c r="A466" s="3"/>
      <c r="B466" s="126" t="s">
        <v>238</v>
      </c>
      <c r="C466" s="152">
        <f>+C147</f>
        <v>42548</v>
      </c>
      <c r="D466" s="159" t="s">
        <v>96</v>
      </c>
      <c r="E466" s="16"/>
      <c r="L466" s="102" t="s">
        <v>239</v>
      </c>
      <c r="M466" s="131">
        <f>ROUND(M464/M465,3)</f>
        <v>0.49</v>
      </c>
      <c r="N466" s="176"/>
    </row>
    <row r="467" spans="1:19" x14ac:dyDescent="0.2">
      <c r="A467" s="3"/>
      <c r="B467" s="126" t="s">
        <v>240</v>
      </c>
      <c r="C467" s="103">
        <f>+H144</f>
        <v>4</v>
      </c>
      <c r="D467" s="111" t="s">
        <v>241</v>
      </c>
      <c r="E467" s="16"/>
      <c r="L467" s="175"/>
      <c r="M467" s="131"/>
      <c r="N467" s="176"/>
    </row>
    <row r="468" spans="1:19" x14ac:dyDescent="0.2">
      <c r="A468" s="3"/>
      <c r="B468" s="126"/>
      <c r="C468" s="103">
        <f>+H145</f>
        <v>8</v>
      </c>
      <c r="D468" s="111" t="s">
        <v>242</v>
      </c>
      <c r="E468" s="16"/>
      <c r="L468" s="102" t="s">
        <v>243</v>
      </c>
      <c r="M468" s="149">
        <f>D223-D318</f>
        <v>12.952165332669338</v>
      </c>
      <c r="N468" s="176" t="s">
        <v>244</v>
      </c>
    </row>
    <row r="469" spans="1:19" x14ac:dyDescent="0.2">
      <c r="A469" s="3"/>
      <c r="B469" s="126" t="s">
        <v>245</v>
      </c>
      <c r="C469" s="172">
        <f>+D161</f>
        <v>17.03</v>
      </c>
      <c r="D469" s="162" t="s">
        <v>119</v>
      </c>
      <c r="L469" s="102" t="s">
        <v>246</v>
      </c>
      <c r="M469" s="198">
        <f>ROUND(M466/(4+M466)*M468,2)</f>
        <v>1.41</v>
      </c>
      <c r="N469" s="176" t="s">
        <v>244</v>
      </c>
    </row>
    <row r="470" spans="1:19" ht="13.5" thickBot="1" x14ac:dyDescent="0.25">
      <c r="A470" s="3"/>
      <c r="B470" s="126" t="s">
        <v>247</v>
      </c>
      <c r="C470" s="162" t="s">
        <v>401</v>
      </c>
      <c r="L470" s="104" t="s">
        <v>248</v>
      </c>
      <c r="M470" s="199">
        <f>M468-M469</f>
        <v>11.542165332669338</v>
      </c>
      <c r="N470" s="200" t="s">
        <v>244</v>
      </c>
    </row>
    <row r="471" spans="1:19" x14ac:dyDescent="0.2">
      <c r="A471" s="3"/>
      <c r="B471" s="126"/>
      <c r="C471" s="162" t="s">
        <v>402</v>
      </c>
      <c r="L471" s="37"/>
      <c r="M471" s="197"/>
      <c r="N471" s="131"/>
    </row>
    <row r="472" spans="1:19" x14ac:dyDescent="0.2">
      <c r="A472" s="3"/>
      <c r="B472" s="126" t="s">
        <v>249</v>
      </c>
      <c r="C472" s="162" t="str">
        <f>"Forecasted " &amp;M1-1 &amp;" energy use by class, PJM on/off % from " &amp;M1-2 &amp;" class load profiles,"</f>
        <v>Forecasted 2018 energy use by class, PJM on/off % from 2017 class load profiles,</v>
      </c>
    </row>
    <row r="473" spans="1:19" x14ac:dyDescent="0.2">
      <c r="A473" s="3"/>
      <c r="B473" s="126"/>
      <c r="C473" s="162" t="str">
        <f>"RECO billing on/off % from " &amp;TEXT(DATE(M1-2,6,1),"m/yy") &amp;" to 5/" &amp;TEXT(DATE(M1-1,5,1),"yy") &amp;" actual data"</f>
        <v>RECO billing on/off % from 6/17 to 5/18 actual data</v>
      </c>
    </row>
    <row r="474" spans="1:19" x14ac:dyDescent="0.2">
      <c r="A474" s="3"/>
      <c r="B474" s="126" t="s">
        <v>250</v>
      </c>
      <c r="C474" s="162" t="str">
        <f>" Class totals for " &amp;M1-1</f>
        <v xml:space="preserve"> Class totals for 2018</v>
      </c>
    </row>
    <row r="475" spans="1:19" x14ac:dyDescent="0.2">
      <c r="A475" s="3"/>
      <c r="B475" s="126" t="s">
        <v>251</v>
      </c>
      <c r="C475" s="111" t="s">
        <v>252</v>
      </c>
    </row>
    <row r="476" spans="1:19" x14ac:dyDescent="0.2">
      <c r="A476" s="3"/>
      <c r="B476" s="126" t="s">
        <v>253</v>
      </c>
      <c r="C476" s="111" t="s">
        <v>254</v>
      </c>
    </row>
    <row r="477" spans="1:19" x14ac:dyDescent="0.2">
      <c r="C477" s="111" t="s">
        <v>255</v>
      </c>
    </row>
    <row r="478" spans="1:19" x14ac:dyDescent="0.2">
      <c r="B478" s="128" t="s">
        <v>256</v>
      </c>
      <c r="C478" s="111" t="s">
        <v>257</v>
      </c>
    </row>
    <row r="479" spans="1:19" x14ac:dyDescent="0.2">
      <c r="A479" s="3"/>
      <c r="C479" s="182"/>
      <c r="E479" s="182"/>
    </row>
    <row r="481" spans="1:10" x14ac:dyDescent="0.2">
      <c r="A481" s="105" t="s">
        <v>258</v>
      </c>
      <c r="B481" s="201"/>
      <c r="C481" s="201"/>
      <c r="D481" s="201"/>
    </row>
    <row r="482" spans="1:10" x14ac:dyDescent="0.2">
      <c r="A482" s="61" t="s">
        <v>259</v>
      </c>
      <c r="B482" s="15" t="s">
        <v>260</v>
      </c>
    </row>
    <row r="483" spans="1:10" x14ac:dyDescent="0.2">
      <c r="D483" s="21"/>
    </row>
    <row r="484" spans="1:10" x14ac:dyDescent="0.2">
      <c r="B484" s="110" t="s">
        <v>261</v>
      </c>
      <c r="D484" s="21">
        <f>D223</f>
        <v>84.608289699119936</v>
      </c>
      <c r="E484" s="162" t="s">
        <v>119</v>
      </c>
      <c r="F484" s="162" t="s">
        <v>262</v>
      </c>
    </row>
    <row r="485" spans="1:10" x14ac:dyDescent="0.2">
      <c r="B485" s="110" t="s">
        <v>263</v>
      </c>
      <c r="D485" s="106">
        <f>-M470</f>
        <v>-11.542165332669338</v>
      </c>
      <c r="E485" s="162" t="s">
        <v>119</v>
      </c>
      <c r="F485" s="111" t="s">
        <v>264</v>
      </c>
    </row>
    <row r="486" spans="1:10" x14ac:dyDescent="0.2">
      <c r="B486" s="110" t="s">
        <v>265</v>
      </c>
      <c r="D486" s="172">
        <f>D484+D485</f>
        <v>73.066124366450595</v>
      </c>
      <c r="E486" s="162" t="s">
        <v>119</v>
      </c>
      <c r="F486" s="111" t="str">
        <f>"** RECO average transmission rate of "&amp;TEXT(D223-D318,"0.00")&amp;" minus"</f>
        <v>** RECO average transmission rate of 12.95 minus</v>
      </c>
    </row>
    <row r="487" spans="1:10" x14ac:dyDescent="0.2">
      <c r="F487" s="111" t="s">
        <v>266</v>
      </c>
    </row>
    <row r="488" spans="1:10" x14ac:dyDescent="0.2">
      <c r="D488" s="107"/>
      <c r="F488" s="111" t="str">
        <f>"average rate "&amp;TEXT(M466,"0.000")&amp;"/"&amp;TEXT(4+M466,"0.000")&amp;" *$"&amp;TEXT(M468,"0.00")&amp;" per MWh)."</f>
        <v>average rate 0.490/4.490 *$12.95 per MWh).</v>
      </c>
      <c r="I488" s="202"/>
    </row>
    <row r="489" spans="1:10" x14ac:dyDescent="0.2">
      <c r="B489" s="22" t="s">
        <v>267</v>
      </c>
    </row>
    <row r="491" spans="1:10" x14ac:dyDescent="0.2">
      <c r="C491" s="23" t="str">
        <f t="shared" ref="C491:I491" si="71">C6</f>
        <v>SC1</v>
      </c>
      <c r="D491" s="23" t="str">
        <f t="shared" si="71"/>
        <v>SC5</v>
      </c>
      <c r="E491" s="23" t="str">
        <f t="shared" si="71"/>
        <v>SC3</v>
      </c>
      <c r="F491" s="23" t="str">
        <f t="shared" si="71"/>
        <v>SC2 ND</v>
      </c>
      <c r="G491" s="23" t="str">
        <f t="shared" si="71"/>
        <v>SC4</v>
      </c>
      <c r="H491" s="23" t="str">
        <f t="shared" si="71"/>
        <v>SC6</v>
      </c>
      <c r="I491" s="23" t="str">
        <f t="shared" si="71"/>
        <v>SC2 Dem</v>
      </c>
      <c r="J491" s="23"/>
    </row>
    <row r="492" spans="1:10" x14ac:dyDescent="0.2">
      <c r="B492" s="24" t="s">
        <v>69</v>
      </c>
    </row>
    <row r="493" spans="1:10" x14ac:dyDescent="0.2">
      <c r="B493" s="128" t="s">
        <v>268</v>
      </c>
      <c r="C493" s="128">
        <f>ROUND(($D$486*C327)/10,3)</f>
        <v>7.46</v>
      </c>
      <c r="D493" s="128">
        <f>ROUND(($D$486*D327)/10,3)</f>
        <v>6.8239999999999998</v>
      </c>
      <c r="F493" s="165">
        <f>ROUND(F327*$D$486/10,3)</f>
        <v>6.5540000000000003</v>
      </c>
      <c r="G493" s="165">
        <f>ROUND(G327*$D$486/10,3)</f>
        <v>4.53</v>
      </c>
      <c r="H493" s="165">
        <f>ROUND(H327*$D$486/10,3)</f>
        <v>4.5229999999999997</v>
      </c>
      <c r="I493" s="165">
        <f>ROUND((C348*$D$486+D348)/10,3)</f>
        <v>5.0780000000000003</v>
      </c>
      <c r="J493" s="165"/>
    </row>
    <row r="494" spans="1:10" x14ac:dyDescent="0.2">
      <c r="B494" s="128" t="s">
        <v>269</v>
      </c>
      <c r="E494" s="165">
        <f>ROUND(E328*$D$486/10,3)</f>
        <v>10.952999999999999</v>
      </c>
      <c r="J494" s="165"/>
    </row>
    <row r="495" spans="1:10" x14ac:dyDescent="0.2">
      <c r="B495" s="128" t="s">
        <v>270</v>
      </c>
      <c r="E495" s="165">
        <f>ROUND(E329*$D$486/10,3)</f>
        <v>4.4210000000000003</v>
      </c>
      <c r="J495" s="165"/>
    </row>
    <row r="496" spans="1:10" x14ac:dyDescent="0.2">
      <c r="B496" s="126" t="s">
        <v>41</v>
      </c>
      <c r="C496" s="128">
        <f>ROUND(($D$486*C327+C332)/10,3)</f>
        <v>5.7969999999999997</v>
      </c>
      <c r="D496" s="111">
        <f>ROUND(($D$486*D327+D332)/10,3)</f>
        <v>6.0469999999999997</v>
      </c>
      <c r="E496" s="165"/>
      <c r="J496" s="165"/>
    </row>
    <row r="497" spans="2:10" x14ac:dyDescent="0.2">
      <c r="B497" s="128" t="s">
        <v>42</v>
      </c>
      <c r="C497" s="111">
        <f>ROUND(($D$486*C327+C333)/10,3)</f>
        <v>8.6690000000000005</v>
      </c>
      <c r="D497" s="111">
        <f>ROUND(($D$486*D327+D333)/10,3)</f>
        <v>8.0749999999999993</v>
      </c>
      <c r="E497" s="165"/>
      <c r="J497" s="165"/>
    </row>
    <row r="498" spans="2:10" x14ac:dyDescent="0.2">
      <c r="E498" s="165"/>
      <c r="J498" s="165"/>
    </row>
    <row r="500" spans="2:10" x14ac:dyDescent="0.2">
      <c r="B500" s="126" t="s">
        <v>271</v>
      </c>
      <c r="I500" s="153">
        <f>I352</f>
        <v>1.546</v>
      </c>
      <c r="J500" s="153"/>
    </row>
    <row r="501" spans="2:10" x14ac:dyDescent="0.2">
      <c r="B501" s="126" t="s">
        <v>272</v>
      </c>
      <c r="I501" s="153">
        <f>J352</f>
        <v>5.36</v>
      </c>
      <c r="J501" s="153"/>
    </row>
    <row r="503" spans="2:10" x14ac:dyDescent="0.2">
      <c r="B503" s="24" t="s">
        <v>62</v>
      </c>
    </row>
    <row r="504" spans="2:10" x14ac:dyDescent="0.2">
      <c r="B504" s="128" t="s">
        <v>268</v>
      </c>
      <c r="C504" s="165">
        <f>ROUND(C336*$D$486/10,3)</f>
        <v>8.8339999999999996</v>
      </c>
      <c r="D504" s="165">
        <f>ROUND(D336*$D$486/10,3)</f>
        <v>7.19</v>
      </c>
      <c r="F504" s="165">
        <f>ROUND(F336*$D$486/10,3)</f>
        <v>6.7729999999999997</v>
      </c>
      <c r="G504" s="165">
        <f>ROUND(G336*$D$486/10,3)</f>
        <v>5.29</v>
      </c>
      <c r="H504" s="165">
        <f>ROUND(H336*$D$486/10,3)</f>
        <v>5.2530000000000001</v>
      </c>
      <c r="I504" s="165">
        <f>ROUND((C352*$D$486+D352)/10,3)</f>
        <v>5.5609999999999999</v>
      </c>
    </row>
    <row r="505" spans="2:10" x14ac:dyDescent="0.2">
      <c r="B505" s="128" t="s">
        <v>269</v>
      </c>
      <c r="E505" s="165">
        <f>ROUND(E337*$D$486/10,3)</f>
        <v>10.317</v>
      </c>
      <c r="J505" s="165"/>
    </row>
    <row r="506" spans="2:10" x14ac:dyDescent="0.2">
      <c r="B506" s="128" t="s">
        <v>270</v>
      </c>
      <c r="E506" s="165">
        <f>ROUND(E338*$D$486/10,3)</f>
        <v>5.3049999999999997</v>
      </c>
      <c r="J506" s="165"/>
    </row>
    <row r="508" spans="2:10" x14ac:dyDescent="0.2">
      <c r="B508" s="126" t="s">
        <v>271</v>
      </c>
      <c r="I508" s="153">
        <f>I353</f>
        <v>1.502</v>
      </c>
      <c r="J508" s="153"/>
    </row>
    <row r="509" spans="2:10" x14ac:dyDescent="0.2">
      <c r="B509" s="126" t="s">
        <v>272</v>
      </c>
      <c r="I509" s="153">
        <f>J353</f>
        <v>5.3179999999999996</v>
      </c>
      <c r="J509" s="153"/>
    </row>
    <row r="510" spans="2:10" x14ac:dyDescent="0.2">
      <c r="B510" s="126"/>
      <c r="I510" s="153"/>
      <c r="J510" s="153"/>
    </row>
    <row r="511" spans="2:10" x14ac:dyDescent="0.2">
      <c r="B511" s="22" t="s">
        <v>273</v>
      </c>
      <c r="D511" s="111" t="s">
        <v>274</v>
      </c>
      <c r="E511" s="203">
        <v>6.6250000000000003E-2</v>
      </c>
      <c r="J511" s="153"/>
    </row>
    <row r="512" spans="2:10" x14ac:dyDescent="0.2">
      <c r="J512" s="153"/>
    </row>
    <row r="513" spans="2:10" x14ac:dyDescent="0.2">
      <c r="C513" s="23" t="s">
        <v>7</v>
      </c>
      <c r="D513" s="23" t="s">
        <v>8</v>
      </c>
      <c r="E513" s="23" t="s">
        <v>9</v>
      </c>
      <c r="F513" s="23" t="s">
        <v>10</v>
      </c>
      <c r="G513" s="23" t="s">
        <v>11</v>
      </c>
      <c r="H513" s="23" t="s">
        <v>12</v>
      </c>
      <c r="I513" s="23" t="s">
        <v>13</v>
      </c>
      <c r="J513" s="153"/>
    </row>
    <row r="514" spans="2:10" x14ac:dyDescent="0.2">
      <c r="B514" s="24" t="s">
        <v>69</v>
      </c>
      <c r="J514" s="153"/>
    </row>
    <row r="515" spans="2:10" x14ac:dyDescent="0.2">
      <c r="B515" s="128" t="s">
        <v>268</v>
      </c>
      <c r="C515" s="128"/>
      <c r="D515" s="128"/>
      <c r="F515" s="128">
        <f>ROUND(F493*(1+$E$511),3)</f>
        <v>6.9880000000000004</v>
      </c>
      <c r="G515" s="128">
        <f>ROUND(G493*(1+$E$511),3)</f>
        <v>4.83</v>
      </c>
      <c r="H515" s="128">
        <f>ROUND(H493*(1+$E$511),3)</f>
        <v>4.8230000000000004</v>
      </c>
      <c r="I515" s="128">
        <f>ROUND(I493*(1+$E$511),3)</f>
        <v>5.4139999999999997</v>
      </c>
      <c r="J515" s="153"/>
    </row>
    <row r="516" spans="2:10" x14ac:dyDescent="0.2">
      <c r="B516" s="128" t="s">
        <v>269</v>
      </c>
      <c r="E516" s="128">
        <f>ROUND(E494*(1+$E$511),3)</f>
        <v>11.679</v>
      </c>
      <c r="J516" s="153"/>
    </row>
    <row r="517" spans="2:10" x14ac:dyDescent="0.2">
      <c r="B517" s="128" t="s">
        <v>270</v>
      </c>
      <c r="E517" s="128">
        <f>ROUND(E495*(1+$E$511),3)</f>
        <v>4.7140000000000004</v>
      </c>
      <c r="J517" s="153"/>
    </row>
    <row r="518" spans="2:10" x14ac:dyDescent="0.2">
      <c r="B518" s="126" t="s">
        <v>41</v>
      </c>
      <c r="C518" s="204">
        <f>ROUND(C496*(1+$E$511),3)</f>
        <v>6.181</v>
      </c>
      <c r="D518" s="128">
        <f>ROUND(D496*(1+$E$511),3)</f>
        <v>6.4480000000000004</v>
      </c>
      <c r="E518" s="165"/>
      <c r="J518" s="153"/>
    </row>
    <row r="519" spans="2:10" x14ac:dyDescent="0.2">
      <c r="B519" s="128" t="s">
        <v>42</v>
      </c>
      <c r="C519" s="204">
        <f>ROUND(C497*(1+$E$511),3)</f>
        <v>9.2430000000000003</v>
      </c>
      <c r="D519" s="128">
        <f>ROUND(D497*(1+$E$511),3)</f>
        <v>8.61</v>
      </c>
      <c r="E519" s="165"/>
      <c r="J519" s="153"/>
    </row>
    <row r="520" spans="2:10" x14ac:dyDescent="0.2">
      <c r="E520" s="165"/>
      <c r="J520" s="153"/>
    </row>
    <row r="521" spans="2:10" x14ac:dyDescent="0.2">
      <c r="J521" s="153"/>
    </row>
    <row r="522" spans="2:10" x14ac:dyDescent="0.2">
      <c r="B522" s="126" t="s">
        <v>271</v>
      </c>
      <c r="I522" s="205">
        <f>ROUND(I500*(1+$E$511),3)</f>
        <v>1.6479999999999999</v>
      </c>
      <c r="J522" s="153"/>
    </row>
    <row r="523" spans="2:10" x14ac:dyDescent="0.2">
      <c r="B523" s="126" t="s">
        <v>272</v>
      </c>
      <c r="I523" s="205">
        <f>ROUND(I501*(1+$E$511),3)</f>
        <v>5.7149999999999999</v>
      </c>
      <c r="J523" s="153"/>
    </row>
    <row r="524" spans="2:10" x14ac:dyDescent="0.2">
      <c r="B524" s="126"/>
      <c r="I524" s="205"/>
      <c r="J524" s="153"/>
    </row>
    <row r="525" spans="2:10" x14ac:dyDescent="0.2">
      <c r="B525" s="24" t="s">
        <v>62</v>
      </c>
      <c r="J525" s="153"/>
    </row>
    <row r="526" spans="2:10" x14ac:dyDescent="0.2">
      <c r="B526" s="128" t="s">
        <v>268</v>
      </c>
      <c r="C526" s="128">
        <f>ROUND(C504*(1+$E$511),3)</f>
        <v>9.4190000000000005</v>
      </c>
      <c r="D526" s="128">
        <f>ROUND(D504*(1+$E$511),3)</f>
        <v>7.6660000000000004</v>
      </c>
      <c r="F526" s="128">
        <f>ROUND(F504*(1+$E$511),3)</f>
        <v>7.2220000000000004</v>
      </c>
      <c r="G526" s="128">
        <f>ROUND(G504*(1+$E$511),3)</f>
        <v>5.64</v>
      </c>
      <c r="H526" s="128">
        <f>ROUND(H504*(1+$E$511),3)</f>
        <v>5.601</v>
      </c>
      <c r="I526" s="128">
        <f>ROUND(I504*(1+$E$511),3)</f>
        <v>5.9290000000000003</v>
      </c>
      <c r="J526" s="153"/>
    </row>
    <row r="527" spans="2:10" x14ac:dyDescent="0.2">
      <c r="B527" s="128" t="s">
        <v>269</v>
      </c>
      <c r="E527" s="128">
        <f>ROUND(E505*(1+$E$511),3)</f>
        <v>11.000999999999999</v>
      </c>
      <c r="J527" s="153"/>
    </row>
    <row r="528" spans="2:10" x14ac:dyDescent="0.2">
      <c r="B528" s="128" t="s">
        <v>270</v>
      </c>
      <c r="E528" s="128">
        <f>ROUND(E506*(1+$E$511),3)</f>
        <v>5.6559999999999997</v>
      </c>
      <c r="J528" s="153"/>
    </row>
    <row r="529" spans="1:10" x14ac:dyDescent="0.2">
      <c r="J529" s="153"/>
    </row>
    <row r="530" spans="1:10" x14ac:dyDescent="0.2">
      <c r="B530" s="126" t="s">
        <v>271</v>
      </c>
      <c r="I530" s="205">
        <f>ROUND(I508*(1+$E$511),3)</f>
        <v>1.6020000000000001</v>
      </c>
      <c r="J530" s="153"/>
    </row>
    <row r="531" spans="1:10" x14ac:dyDescent="0.2">
      <c r="B531" s="126" t="s">
        <v>272</v>
      </c>
      <c r="I531" s="205">
        <f>ROUND(I509*(1+$E$511),3)</f>
        <v>5.67</v>
      </c>
      <c r="J531" s="153"/>
    </row>
    <row r="532" spans="1:10" x14ac:dyDescent="0.2">
      <c r="B532" s="126"/>
      <c r="I532" s="153"/>
      <c r="J532" s="153"/>
    </row>
    <row r="533" spans="1:10" x14ac:dyDescent="0.2">
      <c r="B533" s="126"/>
      <c r="I533" s="153"/>
      <c r="J533" s="153"/>
    </row>
    <row r="534" spans="1:10" x14ac:dyDescent="0.2">
      <c r="A534" s="61" t="s">
        <v>275</v>
      </c>
      <c r="B534" s="15" t="s">
        <v>276</v>
      </c>
      <c r="J534" s="153"/>
    </row>
    <row r="535" spans="1:10" x14ac:dyDescent="0.2">
      <c r="A535" s="61"/>
      <c r="B535" s="15"/>
      <c r="J535" s="153"/>
    </row>
    <row r="536" spans="1:10" x14ac:dyDescent="0.2">
      <c r="A536" s="61"/>
      <c r="B536" s="22" t="s">
        <v>277</v>
      </c>
      <c r="J536" s="153"/>
    </row>
    <row r="537" spans="1:10" x14ac:dyDescent="0.2">
      <c r="A537" s="61"/>
      <c r="B537" s="110"/>
      <c r="C537" s="23" t="str">
        <f t="shared" ref="C537:I537" si="72">C491</f>
        <v>SC1</v>
      </c>
      <c r="D537" s="23" t="str">
        <f t="shared" si="72"/>
        <v>SC5</v>
      </c>
      <c r="E537" s="23" t="str">
        <f t="shared" si="72"/>
        <v>SC3</v>
      </c>
      <c r="F537" s="23" t="str">
        <f t="shared" si="72"/>
        <v>SC2 ND</v>
      </c>
      <c r="G537" s="23" t="str">
        <f t="shared" si="72"/>
        <v>SC4</v>
      </c>
      <c r="H537" s="23" t="str">
        <f t="shared" si="72"/>
        <v>SC6</v>
      </c>
      <c r="I537" s="23" t="str">
        <f t="shared" si="72"/>
        <v>SC2 Dem</v>
      </c>
      <c r="J537" s="153"/>
    </row>
    <row r="538" spans="1:10" x14ac:dyDescent="0.2">
      <c r="A538" s="61"/>
      <c r="B538" s="110" t="s">
        <v>278</v>
      </c>
      <c r="C538" s="155">
        <v>1.421</v>
      </c>
      <c r="D538" s="155">
        <v>1.421</v>
      </c>
      <c r="E538" s="155">
        <v>1.421</v>
      </c>
      <c r="F538" s="155">
        <v>0.52300000000000002</v>
      </c>
      <c r="G538" s="155">
        <v>1.147</v>
      </c>
      <c r="H538" s="155">
        <v>1.147</v>
      </c>
      <c r="I538" s="155">
        <v>0.52300000000000002</v>
      </c>
      <c r="J538" s="153"/>
    </row>
    <row r="539" spans="1:10" x14ac:dyDescent="0.2">
      <c r="A539" s="61"/>
      <c r="B539" s="110" t="s">
        <v>279</v>
      </c>
      <c r="I539" s="206">
        <v>1.32</v>
      </c>
      <c r="J539" s="153"/>
    </row>
    <row r="540" spans="1:10" x14ac:dyDescent="0.2">
      <c r="B540" s="110" t="s">
        <v>280</v>
      </c>
      <c r="I540" s="206">
        <v>1.1100000000000001</v>
      </c>
      <c r="J540" s="153"/>
    </row>
    <row r="541" spans="1:10" x14ac:dyDescent="0.2">
      <c r="J541" s="153"/>
    </row>
    <row r="542" spans="1:10" x14ac:dyDescent="0.2">
      <c r="J542" s="153"/>
    </row>
    <row r="543" spans="1:10" x14ac:dyDescent="0.2">
      <c r="B543" s="22" t="s">
        <v>281</v>
      </c>
      <c r="J543" s="153"/>
    </row>
    <row r="544" spans="1:10" x14ac:dyDescent="0.2">
      <c r="J544" s="153"/>
    </row>
    <row r="545" spans="2:10" x14ac:dyDescent="0.2">
      <c r="J545" s="153"/>
    </row>
    <row r="546" spans="2:10" x14ac:dyDescent="0.2">
      <c r="B546" s="24" t="s">
        <v>69</v>
      </c>
      <c r="J546" s="153"/>
    </row>
    <row r="547" spans="2:10" x14ac:dyDescent="0.2">
      <c r="B547" s="128" t="s">
        <v>268</v>
      </c>
      <c r="C547" s="165">
        <f t="shared" ref="C547:I554" si="73">IF(C493&gt;0,C493+C$538,"")</f>
        <v>8.8810000000000002</v>
      </c>
      <c r="D547" s="165">
        <f t="shared" si="73"/>
        <v>8.2449999999999992</v>
      </c>
      <c r="E547" s="165" t="str">
        <f t="shared" si="73"/>
        <v/>
      </c>
      <c r="F547" s="165">
        <f t="shared" si="73"/>
        <v>7.077</v>
      </c>
      <c r="G547" s="165">
        <f t="shared" si="73"/>
        <v>5.6770000000000005</v>
      </c>
      <c r="H547" s="165">
        <f t="shared" si="73"/>
        <v>5.67</v>
      </c>
      <c r="I547" s="165">
        <f t="shared" si="73"/>
        <v>5.601</v>
      </c>
      <c r="J547" s="153"/>
    </row>
    <row r="548" spans="2:10" x14ac:dyDescent="0.2">
      <c r="B548" s="128" t="s">
        <v>269</v>
      </c>
      <c r="C548" s="165" t="str">
        <f t="shared" si="73"/>
        <v/>
      </c>
      <c r="D548" s="165" t="str">
        <f t="shared" si="73"/>
        <v/>
      </c>
      <c r="E548" s="165">
        <f t="shared" si="73"/>
        <v>12.373999999999999</v>
      </c>
      <c r="F548" s="165" t="str">
        <f t="shared" si="73"/>
        <v/>
      </c>
      <c r="G548" s="165" t="str">
        <f t="shared" si="73"/>
        <v/>
      </c>
      <c r="H548" s="165" t="str">
        <f t="shared" si="73"/>
        <v/>
      </c>
      <c r="I548" s="165" t="str">
        <f t="shared" si="73"/>
        <v/>
      </c>
      <c r="J548" s="153"/>
    </row>
    <row r="549" spans="2:10" x14ac:dyDescent="0.2">
      <c r="B549" s="128" t="s">
        <v>270</v>
      </c>
      <c r="C549" s="165" t="str">
        <f t="shared" si="73"/>
        <v/>
      </c>
      <c r="D549" s="165" t="str">
        <f t="shared" si="73"/>
        <v/>
      </c>
      <c r="E549" s="165">
        <f t="shared" si="73"/>
        <v>5.8420000000000005</v>
      </c>
      <c r="F549" s="165" t="str">
        <f t="shared" si="73"/>
        <v/>
      </c>
      <c r="G549" s="165" t="str">
        <f t="shared" si="73"/>
        <v/>
      </c>
      <c r="H549" s="165" t="str">
        <f t="shared" si="73"/>
        <v/>
      </c>
      <c r="I549" s="165" t="str">
        <f t="shared" si="73"/>
        <v/>
      </c>
      <c r="J549" s="153"/>
    </row>
    <row r="550" spans="2:10" x14ac:dyDescent="0.2">
      <c r="B550" s="126" t="s">
        <v>41</v>
      </c>
      <c r="C550" s="165">
        <f t="shared" si="73"/>
        <v>7.218</v>
      </c>
      <c r="D550" s="165">
        <f t="shared" si="73"/>
        <v>7.468</v>
      </c>
      <c r="E550" s="165" t="str">
        <f t="shared" si="73"/>
        <v/>
      </c>
      <c r="F550" s="165" t="str">
        <f t="shared" si="73"/>
        <v/>
      </c>
      <c r="G550" s="165" t="str">
        <f t="shared" si="73"/>
        <v/>
      </c>
      <c r="H550" s="165" t="str">
        <f t="shared" si="73"/>
        <v/>
      </c>
      <c r="I550" s="165" t="str">
        <f t="shared" si="73"/>
        <v/>
      </c>
      <c r="J550" s="153"/>
    </row>
    <row r="551" spans="2:10" x14ac:dyDescent="0.2">
      <c r="B551" s="128" t="s">
        <v>42</v>
      </c>
      <c r="C551" s="165">
        <f t="shared" si="73"/>
        <v>10.09</v>
      </c>
      <c r="D551" s="165">
        <f t="shared" si="73"/>
        <v>9.4959999999999987</v>
      </c>
      <c r="E551" s="165" t="str">
        <f t="shared" si="73"/>
        <v/>
      </c>
      <c r="F551" s="165" t="str">
        <f t="shared" si="73"/>
        <v/>
      </c>
      <c r="G551" s="165" t="str">
        <f t="shared" si="73"/>
        <v/>
      </c>
      <c r="H551" s="165" t="str">
        <f t="shared" si="73"/>
        <v/>
      </c>
      <c r="I551" s="165" t="str">
        <f t="shared" si="73"/>
        <v/>
      </c>
      <c r="J551" s="153"/>
    </row>
    <row r="552" spans="2:10" x14ac:dyDescent="0.2">
      <c r="B552" s="165"/>
      <c r="C552" s="165"/>
      <c r="D552" s="165"/>
      <c r="E552" s="165" t="str">
        <f t="shared" si="73"/>
        <v/>
      </c>
      <c r="F552" s="165" t="str">
        <f t="shared" si="73"/>
        <v/>
      </c>
      <c r="G552" s="165" t="str">
        <f t="shared" si="73"/>
        <v/>
      </c>
      <c r="H552" s="165" t="str">
        <f t="shared" si="73"/>
        <v/>
      </c>
      <c r="I552" s="165" t="str">
        <f t="shared" si="73"/>
        <v/>
      </c>
      <c r="J552" s="153"/>
    </row>
    <row r="553" spans="2:10" x14ac:dyDescent="0.2">
      <c r="C553" s="165" t="str">
        <f t="shared" si="73"/>
        <v/>
      </c>
      <c r="D553" s="165" t="str">
        <f t="shared" si="73"/>
        <v/>
      </c>
      <c r="E553" s="165" t="str">
        <f t="shared" si="73"/>
        <v/>
      </c>
      <c r="F553" s="165" t="str">
        <f t="shared" si="73"/>
        <v/>
      </c>
      <c r="G553" s="165" t="str">
        <f t="shared" si="73"/>
        <v/>
      </c>
      <c r="H553" s="165" t="str">
        <f t="shared" si="73"/>
        <v/>
      </c>
      <c r="I553" s="165" t="str">
        <f t="shared" si="73"/>
        <v/>
      </c>
      <c r="J553" s="153"/>
    </row>
    <row r="554" spans="2:10" x14ac:dyDescent="0.2">
      <c r="B554" s="126" t="s">
        <v>282</v>
      </c>
      <c r="C554" s="165" t="str">
        <f t="shared" si="73"/>
        <v/>
      </c>
      <c r="D554" s="165" t="str">
        <f t="shared" si="73"/>
        <v/>
      </c>
      <c r="E554" s="165" t="str">
        <f t="shared" si="73"/>
        <v/>
      </c>
      <c r="F554" s="165" t="str">
        <f t="shared" si="73"/>
        <v/>
      </c>
      <c r="G554" s="165" t="str">
        <f t="shared" si="73"/>
        <v/>
      </c>
      <c r="H554" s="165" t="str">
        <f t="shared" si="73"/>
        <v/>
      </c>
      <c r="I554" s="165">
        <f>IF(I500&gt;0,I500+I$539,"")</f>
        <v>2.8660000000000001</v>
      </c>
      <c r="J554" s="153"/>
    </row>
    <row r="555" spans="2:10" x14ac:dyDescent="0.2">
      <c r="J555" s="153"/>
    </row>
    <row r="556" spans="2:10" x14ac:dyDescent="0.2">
      <c r="B556" s="24" t="s">
        <v>62</v>
      </c>
      <c r="J556" s="153"/>
    </row>
    <row r="557" spans="2:10" x14ac:dyDescent="0.2">
      <c r="B557" s="128" t="s">
        <v>268</v>
      </c>
      <c r="C557" s="165">
        <f t="shared" ref="C557:I561" si="74">IF(C504&gt;0,C504+C$538,"")</f>
        <v>10.254999999999999</v>
      </c>
      <c r="D557" s="165">
        <f t="shared" si="74"/>
        <v>8.6110000000000007</v>
      </c>
      <c r="E557" s="165" t="str">
        <f t="shared" si="74"/>
        <v/>
      </c>
      <c r="F557" s="165">
        <f t="shared" si="74"/>
        <v>7.2959999999999994</v>
      </c>
      <c r="G557" s="165">
        <f t="shared" si="74"/>
        <v>6.4370000000000003</v>
      </c>
      <c r="H557" s="165">
        <f t="shared" si="74"/>
        <v>6.4</v>
      </c>
      <c r="I557" s="165">
        <f t="shared" si="74"/>
        <v>6.0839999999999996</v>
      </c>
      <c r="J557" s="153"/>
    </row>
    <row r="558" spans="2:10" x14ac:dyDescent="0.2">
      <c r="B558" s="128" t="s">
        <v>269</v>
      </c>
      <c r="C558" s="165" t="str">
        <f t="shared" si="74"/>
        <v/>
      </c>
      <c r="D558" s="165" t="str">
        <f t="shared" si="74"/>
        <v/>
      </c>
      <c r="E558" s="165">
        <f t="shared" si="74"/>
        <v>11.738</v>
      </c>
      <c r="F558" s="165" t="str">
        <f t="shared" si="74"/>
        <v/>
      </c>
      <c r="G558" s="165" t="str">
        <f t="shared" si="74"/>
        <v/>
      </c>
      <c r="H558" s="165" t="str">
        <f t="shared" si="74"/>
        <v/>
      </c>
      <c r="I558" s="165" t="str">
        <f t="shared" si="74"/>
        <v/>
      </c>
      <c r="J558" s="153"/>
    </row>
    <row r="559" spans="2:10" x14ac:dyDescent="0.2">
      <c r="B559" s="128" t="s">
        <v>270</v>
      </c>
      <c r="C559" s="165" t="str">
        <f t="shared" si="74"/>
        <v/>
      </c>
      <c r="D559" s="165" t="str">
        <f t="shared" si="74"/>
        <v/>
      </c>
      <c r="E559" s="165">
        <f t="shared" si="74"/>
        <v>6.726</v>
      </c>
      <c r="F559" s="165" t="str">
        <f t="shared" si="74"/>
        <v/>
      </c>
      <c r="G559" s="165" t="str">
        <f t="shared" si="74"/>
        <v/>
      </c>
      <c r="H559" s="165" t="str">
        <f t="shared" si="74"/>
        <v/>
      </c>
      <c r="I559" s="165" t="str">
        <f t="shared" si="74"/>
        <v/>
      </c>
      <c r="J559" s="153"/>
    </row>
    <row r="560" spans="2:10" x14ac:dyDescent="0.2">
      <c r="C560" s="165" t="str">
        <f t="shared" si="74"/>
        <v/>
      </c>
      <c r="D560" s="165" t="str">
        <f t="shared" si="74"/>
        <v/>
      </c>
      <c r="E560" s="165" t="str">
        <f t="shared" si="74"/>
        <v/>
      </c>
      <c r="F560" s="165" t="str">
        <f t="shared" si="74"/>
        <v/>
      </c>
      <c r="G560" s="165" t="str">
        <f t="shared" si="74"/>
        <v/>
      </c>
      <c r="H560" s="165" t="str">
        <f t="shared" si="74"/>
        <v/>
      </c>
      <c r="I560" s="165" t="str">
        <f t="shared" si="74"/>
        <v/>
      </c>
      <c r="J560" s="153"/>
    </row>
    <row r="561" spans="1:10" x14ac:dyDescent="0.2">
      <c r="B561" s="126" t="s">
        <v>282</v>
      </c>
      <c r="C561" s="165" t="str">
        <f t="shared" si="74"/>
        <v/>
      </c>
      <c r="D561" s="165" t="str">
        <f t="shared" si="74"/>
        <v/>
      </c>
      <c r="E561" s="165" t="str">
        <f t="shared" si="74"/>
        <v/>
      </c>
      <c r="F561" s="165" t="str">
        <f t="shared" si="74"/>
        <v/>
      </c>
      <c r="G561" s="165" t="str">
        <f t="shared" si="74"/>
        <v/>
      </c>
      <c r="H561" s="165" t="str">
        <f t="shared" si="74"/>
        <v/>
      </c>
      <c r="I561" s="165">
        <f>IF(I508&gt;0,I508+I$540,"")</f>
        <v>2.6120000000000001</v>
      </c>
      <c r="J561" s="153"/>
    </row>
    <row r="562" spans="1:10" x14ac:dyDescent="0.2">
      <c r="B562" s="126"/>
      <c r="I562" s="153"/>
      <c r="J562" s="153"/>
    </row>
    <row r="563" spans="1:10" x14ac:dyDescent="0.2">
      <c r="B563" s="126"/>
      <c r="I563" s="153"/>
      <c r="J563" s="153"/>
    </row>
    <row r="565" spans="1:10" x14ac:dyDescent="0.2">
      <c r="A565" s="3"/>
      <c r="C565" s="182"/>
      <c r="E565" s="182"/>
    </row>
    <row r="566" spans="1:10" x14ac:dyDescent="0.2">
      <c r="A566" s="61" t="s">
        <v>283</v>
      </c>
      <c r="B566" s="10" t="s">
        <v>284</v>
      </c>
      <c r="C566" s="182"/>
      <c r="E566" s="182"/>
    </row>
    <row r="567" spans="1:10" x14ac:dyDescent="0.2">
      <c r="A567" s="3"/>
      <c r="C567" s="182"/>
      <c r="E567" s="182"/>
    </row>
    <row r="568" spans="1:10" x14ac:dyDescent="0.2">
      <c r="A568" s="3"/>
      <c r="B568" s="126" t="s">
        <v>285</v>
      </c>
      <c r="C568" s="7">
        <f>+D223</f>
        <v>84.608289699119936</v>
      </c>
      <c r="E568" s="182"/>
    </row>
    <row r="569" spans="1:10" x14ac:dyDescent="0.2">
      <c r="A569" s="3"/>
      <c r="B569" s="126" t="s">
        <v>286</v>
      </c>
      <c r="C569" s="207">
        <f>+J377</f>
        <v>0.94099999999999995</v>
      </c>
      <c r="E569" s="182"/>
    </row>
    <row r="570" spans="1:10" x14ac:dyDescent="0.2">
      <c r="A570" s="3"/>
      <c r="B570" s="126" t="s">
        <v>287</v>
      </c>
      <c r="C570" s="207">
        <f>+J378</f>
        <v>1.0398000000000001</v>
      </c>
      <c r="E570" s="182"/>
    </row>
    <row r="571" spans="1:10" x14ac:dyDescent="0.2">
      <c r="A571" s="3"/>
      <c r="B571" s="128" t="s">
        <v>288</v>
      </c>
      <c r="C571" s="208">
        <f>ROUND(C568*C569,4)</f>
        <v>79.616399999999999</v>
      </c>
      <c r="E571" s="182"/>
    </row>
    <row r="572" spans="1:10" x14ac:dyDescent="0.2">
      <c r="A572" s="3"/>
      <c r="B572" s="128" t="s">
        <v>289</v>
      </c>
      <c r="C572" s="208">
        <f>ROUND(C568*C570,4)</f>
        <v>87.975700000000003</v>
      </c>
      <c r="E572" s="182"/>
    </row>
    <row r="573" spans="1:10" x14ac:dyDescent="0.2">
      <c r="A573" s="3"/>
      <c r="B573" s="126"/>
      <c r="C573" s="182"/>
      <c r="E573" s="182"/>
    </row>
    <row r="574" spans="1:10" x14ac:dyDescent="0.2">
      <c r="A574" s="3"/>
      <c r="C574" s="182"/>
      <c r="E574" s="182"/>
    </row>
    <row r="575" spans="1:10" x14ac:dyDescent="0.2">
      <c r="A575" s="3"/>
      <c r="C575" s="23" t="str">
        <f t="shared" ref="C575:I575" si="75">C6</f>
        <v>SC1</v>
      </c>
      <c r="D575" s="23" t="str">
        <f t="shared" si="75"/>
        <v>SC5</v>
      </c>
      <c r="E575" s="23" t="str">
        <f t="shared" si="75"/>
        <v>SC3</v>
      </c>
      <c r="F575" s="23" t="str">
        <f t="shared" si="75"/>
        <v>SC2 ND</v>
      </c>
      <c r="G575" s="23" t="str">
        <f t="shared" si="75"/>
        <v>SC4</v>
      </c>
      <c r="H575" s="23" t="str">
        <f t="shared" si="75"/>
        <v>SC6</v>
      </c>
      <c r="I575" s="23" t="str">
        <f t="shared" si="75"/>
        <v>SC2 Dem</v>
      </c>
      <c r="J575" s="23"/>
    </row>
    <row r="576" spans="1:10" x14ac:dyDescent="0.2">
      <c r="A576" s="3"/>
      <c r="B576" s="162" t="s">
        <v>290</v>
      </c>
    </row>
    <row r="577" spans="1:12" x14ac:dyDescent="0.2">
      <c r="A577" s="3"/>
      <c r="B577" s="145" t="s">
        <v>69</v>
      </c>
      <c r="C577" s="16">
        <f>ROUND((C493*M48)/100,0)</f>
        <v>20930</v>
      </c>
      <c r="D577" s="16">
        <f>ROUND((D493*N48)/100,0)</f>
        <v>314</v>
      </c>
      <c r="E577" s="108">
        <f>ROUND((E494*O49+E495*O50)/100,0)</f>
        <v>6</v>
      </c>
      <c r="F577" s="16">
        <f>ROUND(F493*P48/100,0)</f>
        <v>459</v>
      </c>
      <c r="G577" s="16">
        <f>ROUND(G493*Q48/100,0)</f>
        <v>61</v>
      </c>
      <c r="H577" s="16">
        <f>ROUND(H493*R48/100,0)</f>
        <v>67</v>
      </c>
      <c r="I577" s="108">
        <v>6628</v>
      </c>
      <c r="J577" s="108"/>
    </row>
    <row r="578" spans="1:12" x14ac:dyDescent="0.2">
      <c r="A578" s="3"/>
      <c r="B578" s="145" t="s">
        <v>62</v>
      </c>
      <c r="C578" s="25">
        <f>ROUND(C504*M44/100,0)</f>
        <v>32451</v>
      </c>
      <c r="D578" s="25">
        <f>ROUND(D504*N44/100,0)</f>
        <v>670</v>
      </c>
      <c r="E578" s="109">
        <f>ROUND((E505*O45+E506*O46)/100,0)</f>
        <v>14</v>
      </c>
      <c r="F578" s="25">
        <f>ROUND(F504*P44/100,0)</f>
        <v>1054</v>
      </c>
      <c r="G578" s="25">
        <f>ROUND(G504*Q44/100,0)</f>
        <v>180</v>
      </c>
      <c r="H578" s="25">
        <f>ROUND(H504*R44/100,0)</f>
        <v>193</v>
      </c>
      <c r="I578" s="109">
        <v>12905</v>
      </c>
      <c r="J578" s="108"/>
    </row>
    <row r="579" spans="1:12" x14ac:dyDescent="0.2">
      <c r="A579" s="3"/>
      <c r="B579" s="145" t="s">
        <v>36</v>
      </c>
      <c r="C579" s="152">
        <f>+C578+C577</f>
        <v>53381</v>
      </c>
      <c r="D579" s="152">
        <f t="shared" ref="D579:I579" si="76">+D578+D577</f>
        <v>984</v>
      </c>
      <c r="E579" s="152">
        <f t="shared" si="76"/>
        <v>20</v>
      </c>
      <c r="F579" s="152">
        <f t="shared" si="76"/>
        <v>1513</v>
      </c>
      <c r="G579" s="152">
        <f t="shared" si="76"/>
        <v>241</v>
      </c>
      <c r="H579" s="152">
        <f t="shared" si="76"/>
        <v>260</v>
      </c>
      <c r="I579" s="152">
        <f t="shared" si="76"/>
        <v>19533</v>
      </c>
      <c r="J579" s="152"/>
    </row>
    <row r="580" spans="1:12" x14ac:dyDescent="0.2">
      <c r="A580" s="3"/>
      <c r="B580" s="145"/>
      <c r="C580" s="152"/>
      <c r="D580" s="152"/>
      <c r="E580" s="152"/>
      <c r="F580" s="152"/>
      <c r="G580" s="152"/>
      <c r="H580" s="152"/>
      <c r="I580" s="152"/>
      <c r="J580" s="152"/>
    </row>
    <row r="581" spans="1:12" x14ac:dyDescent="0.2">
      <c r="A581" s="3"/>
      <c r="B581" s="145" t="s">
        <v>36</v>
      </c>
      <c r="C581" s="152"/>
      <c r="D581" s="152"/>
      <c r="E581" s="152"/>
      <c r="F581" s="152"/>
      <c r="G581" s="152"/>
      <c r="H581" s="152"/>
      <c r="I581" s="152"/>
      <c r="J581" s="152"/>
    </row>
    <row r="582" spans="1:12" x14ac:dyDescent="0.2">
      <c r="A582" s="3"/>
      <c r="B582" s="145" t="s">
        <v>69</v>
      </c>
      <c r="C582" s="152">
        <f>SUM(C577:I577)</f>
        <v>28465</v>
      </c>
      <c r="D582" s="152"/>
      <c r="E582" s="152"/>
      <c r="F582" s="152"/>
      <c r="G582" s="152"/>
      <c r="H582" s="152"/>
      <c r="I582" s="152"/>
      <c r="J582" s="152"/>
      <c r="L582" s="160"/>
    </row>
    <row r="583" spans="1:12" x14ac:dyDescent="0.2">
      <c r="A583" s="3"/>
      <c r="B583" s="145" t="s">
        <v>62</v>
      </c>
      <c r="C583" s="26">
        <f>SUM(C578:I578)</f>
        <v>47467</v>
      </c>
      <c r="E583" s="182"/>
      <c r="F583" s="152"/>
      <c r="G583" s="152"/>
    </row>
    <row r="584" spans="1:12" x14ac:dyDescent="0.2">
      <c r="A584" s="3"/>
      <c r="B584" s="145" t="s">
        <v>36</v>
      </c>
      <c r="C584" s="27">
        <f>+C583+C582</f>
        <v>75932</v>
      </c>
      <c r="E584" s="182"/>
      <c r="F584" s="27"/>
      <c r="G584" s="27"/>
    </row>
    <row r="585" spans="1:12" x14ac:dyDescent="0.2">
      <c r="A585" s="3"/>
      <c r="B585" s="145"/>
      <c r="C585" s="152"/>
      <c r="E585" s="182"/>
    </row>
    <row r="586" spans="1:12" x14ac:dyDescent="0.2">
      <c r="A586" s="3"/>
      <c r="C586" s="23" t="str">
        <f t="shared" ref="C586:I586" si="77">C6</f>
        <v>SC1</v>
      </c>
      <c r="D586" s="23" t="str">
        <f t="shared" si="77"/>
        <v>SC5</v>
      </c>
      <c r="E586" s="23" t="str">
        <f t="shared" si="77"/>
        <v>SC3</v>
      </c>
      <c r="F586" s="23" t="str">
        <f t="shared" si="77"/>
        <v>SC2 ND</v>
      </c>
      <c r="G586" s="23" t="str">
        <f t="shared" si="77"/>
        <v>SC4</v>
      </c>
      <c r="H586" s="23" t="str">
        <f t="shared" si="77"/>
        <v>SC6</v>
      </c>
      <c r="I586" s="23" t="str">
        <f t="shared" si="77"/>
        <v>SC2 Dem</v>
      </c>
      <c r="J586" s="23"/>
    </row>
    <row r="587" spans="1:12" x14ac:dyDescent="0.2">
      <c r="A587" s="3"/>
      <c r="B587" s="111" t="s">
        <v>291</v>
      </c>
    </row>
    <row r="588" spans="1:12" x14ac:dyDescent="0.2">
      <c r="A588" s="3"/>
      <c r="B588" s="145" t="s">
        <v>69</v>
      </c>
      <c r="C588" s="16">
        <f t="shared" ref="C588:I588" si="78">+$C571*M48*C78/1000</f>
        <v>24234.270691899939</v>
      </c>
      <c r="D588" s="16">
        <f t="shared" si="78"/>
        <v>397.72917830568304</v>
      </c>
      <c r="E588" s="16">
        <f t="shared" si="78"/>
        <v>7.4285393276769991</v>
      </c>
      <c r="F588" s="16">
        <f t="shared" si="78"/>
        <v>604.90768502002345</v>
      </c>
      <c r="G588" s="16">
        <f t="shared" si="78"/>
        <v>115.86045417234915</v>
      </c>
      <c r="H588" s="16">
        <f t="shared" si="78"/>
        <v>126.87838740716393</v>
      </c>
      <c r="I588" s="16">
        <f t="shared" si="78"/>
        <v>10387.27972481731</v>
      </c>
      <c r="J588" s="16"/>
    </row>
    <row r="589" spans="1:12" x14ac:dyDescent="0.2">
      <c r="A589" s="3"/>
      <c r="B589" s="145" t="s">
        <v>62</v>
      </c>
      <c r="C589" s="25">
        <f t="shared" ref="C589:I589" si="79">+$C572*M44*C78/1000</f>
        <v>35061.400057732455</v>
      </c>
      <c r="D589" s="25">
        <f t="shared" si="79"/>
        <v>889.57195524557585</v>
      </c>
      <c r="E589" s="25">
        <f t="shared" si="79"/>
        <v>19.280422205966346</v>
      </c>
      <c r="F589" s="25">
        <f t="shared" si="79"/>
        <v>1485.2606433021897</v>
      </c>
      <c r="G589" s="25">
        <f t="shared" si="79"/>
        <v>324.2480423820399</v>
      </c>
      <c r="H589" s="25">
        <f t="shared" si="79"/>
        <v>349.78649922556519</v>
      </c>
      <c r="I589" s="25">
        <f t="shared" si="79"/>
        <v>20606.113254986409</v>
      </c>
      <c r="J589" s="16"/>
    </row>
    <row r="590" spans="1:12" x14ac:dyDescent="0.2">
      <c r="A590" s="3"/>
      <c r="B590" s="145" t="s">
        <v>36</v>
      </c>
      <c r="C590" s="152">
        <f t="shared" ref="C590:I590" si="80">+C589+C588</f>
        <v>59295.670749632394</v>
      </c>
      <c r="D590" s="152">
        <f t="shared" si="80"/>
        <v>1287.3011335512588</v>
      </c>
      <c r="E590" s="152">
        <f t="shared" si="80"/>
        <v>26.708961533643347</v>
      </c>
      <c r="F590" s="152">
        <f t="shared" si="80"/>
        <v>2090.1683283222133</v>
      </c>
      <c r="G590" s="152">
        <f t="shared" si="80"/>
        <v>440.10849655438903</v>
      </c>
      <c r="H590" s="16">
        <f t="shared" si="80"/>
        <v>476.66488663272912</v>
      </c>
      <c r="I590" s="16">
        <f t="shared" si="80"/>
        <v>30993.392979803721</v>
      </c>
      <c r="J590" s="16"/>
    </row>
    <row r="591" spans="1:12" x14ac:dyDescent="0.2">
      <c r="A591" s="3"/>
      <c r="C591" s="182"/>
      <c r="D591" s="182"/>
      <c r="E591" s="182"/>
      <c r="F591" s="182"/>
      <c r="G591" s="182"/>
      <c r="H591" s="182"/>
      <c r="I591" s="182"/>
      <c r="J591" s="182"/>
    </row>
    <row r="592" spans="1:12" x14ac:dyDescent="0.2">
      <c r="A592" s="3"/>
      <c r="B592" s="145" t="s">
        <v>36</v>
      </c>
      <c r="C592" s="65"/>
      <c r="D592" s="182"/>
      <c r="E592" s="182"/>
      <c r="F592" s="182"/>
      <c r="G592" s="182"/>
      <c r="H592" s="182"/>
      <c r="I592" s="182"/>
      <c r="J592" s="182"/>
    </row>
    <row r="593" spans="1:7" x14ac:dyDescent="0.2">
      <c r="A593" s="3"/>
      <c r="B593" s="145" t="s">
        <v>69</v>
      </c>
      <c r="C593" s="152">
        <f>SUM(C588:I588)</f>
        <v>35874.354660950143</v>
      </c>
      <c r="G593" s="152"/>
    </row>
    <row r="594" spans="1:7" x14ac:dyDescent="0.2">
      <c r="A594" s="3"/>
      <c r="B594" s="145" t="s">
        <v>62</v>
      </c>
      <c r="C594" s="26">
        <f>SUM(C589:I589)</f>
        <v>58735.660875080197</v>
      </c>
      <c r="G594" s="152"/>
    </row>
    <row r="595" spans="1:7" x14ac:dyDescent="0.2">
      <c r="A595" s="3"/>
      <c r="B595" s="145" t="s">
        <v>36</v>
      </c>
      <c r="C595" s="152">
        <f>+C594+C593</f>
        <v>94610.015536030347</v>
      </c>
      <c r="G595" s="152"/>
    </row>
    <row r="596" spans="1:7" x14ac:dyDescent="0.2">
      <c r="A596" s="3"/>
      <c r="C596" s="182"/>
      <c r="D596" s="28"/>
      <c r="E596" s="182"/>
      <c r="F596" s="107"/>
    </row>
    <row r="597" spans="1:7" x14ac:dyDescent="0.2">
      <c r="B597" s="145" t="s">
        <v>292</v>
      </c>
      <c r="C597" s="152"/>
    </row>
    <row r="598" spans="1:7" x14ac:dyDescent="0.2">
      <c r="B598" s="145" t="s">
        <v>69</v>
      </c>
      <c r="C598" s="188">
        <f>ROUND($C$147*SUM($C$141:$I$141)/12*H$144/1000*D447,0)</f>
        <v>4581</v>
      </c>
    </row>
    <row r="599" spans="1:7" x14ac:dyDescent="0.2">
      <c r="B599" s="145" t="s">
        <v>62</v>
      </c>
      <c r="C599" s="29">
        <f>ROUND($C$147*SUM($C$141:$I$141)/12*H$145/1000*D447,0)</f>
        <v>9163</v>
      </c>
    </row>
    <row r="600" spans="1:7" x14ac:dyDescent="0.2">
      <c r="B600" s="145" t="s">
        <v>36</v>
      </c>
      <c r="C600" s="152">
        <f>SUM(C598:C599)</f>
        <v>13744</v>
      </c>
    </row>
    <row r="602" spans="1:7" x14ac:dyDescent="0.2">
      <c r="B602" s="111" t="s">
        <v>293</v>
      </c>
    </row>
    <row r="603" spans="1:7" x14ac:dyDescent="0.2">
      <c r="B603" s="145" t="s">
        <v>69</v>
      </c>
      <c r="C603" s="152">
        <f>C593-C598</f>
        <v>31293.354660950143</v>
      </c>
    </row>
    <row r="604" spans="1:7" x14ac:dyDescent="0.2">
      <c r="B604" s="145" t="s">
        <v>62</v>
      </c>
      <c r="C604" s="26">
        <f>C594-C599</f>
        <v>49572.660875080197</v>
      </c>
    </row>
    <row r="605" spans="1:7" x14ac:dyDescent="0.2">
      <c r="B605" s="145" t="s">
        <v>36</v>
      </c>
      <c r="C605" s="27">
        <f>SUM(C603:C604)</f>
        <v>80866.015536030347</v>
      </c>
    </row>
    <row r="607" spans="1:7" x14ac:dyDescent="0.2">
      <c r="B607" s="111" t="s">
        <v>111</v>
      </c>
    </row>
    <row r="608" spans="1:7" x14ac:dyDescent="0.2">
      <c r="B608" s="145" t="s">
        <v>69</v>
      </c>
      <c r="C608" s="152">
        <f>C603-C582</f>
        <v>2828.3546609501427</v>
      </c>
    </row>
    <row r="609" spans="2:3" x14ac:dyDescent="0.2">
      <c r="B609" s="145" t="s">
        <v>62</v>
      </c>
      <c r="C609" s="26">
        <f>C604-C583</f>
        <v>2105.660875080197</v>
      </c>
    </row>
    <row r="610" spans="2:3" x14ac:dyDescent="0.2">
      <c r="B610" s="145" t="s">
        <v>36</v>
      </c>
      <c r="C610" s="152">
        <f>SUM(C608:C609)</f>
        <v>4934.0155360303397</v>
      </c>
    </row>
  </sheetData>
  <mergeCells count="3">
    <mergeCell ref="U210:V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N49"/>
  <sheetViews>
    <sheetView topLeftCell="A37" zoomScaleNormal="100" workbookViewId="0">
      <selection activeCell="R27" sqref="R27"/>
    </sheetView>
  </sheetViews>
  <sheetFormatPr defaultRowHeight="12.75" x14ac:dyDescent="0.2"/>
  <cols>
    <col min="1" max="1" width="9.140625" style="111"/>
    <col min="2" max="2" width="4.7109375" style="111" customWidth="1"/>
    <col min="3" max="3" width="26.140625" style="111" customWidth="1"/>
    <col min="4" max="6" width="9.5703125" style="111" customWidth="1"/>
    <col min="7" max="7" width="9.85546875" style="111" customWidth="1"/>
    <col min="8" max="8" width="2.42578125" style="111" customWidth="1"/>
    <col min="9" max="13" width="9.140625" style="111"/>
    <col min="14" max="14" width="12.85546875" style="111" customWidth="1"/>
    <col min="15" max="17" width="9.140625" style="111"/>
    <col min="18" max="18" width="13.140625" style="111" customWidth="1"/>
    <col min="19" max="16384" width="9.140625" style="111"/>
  </cols>
  <sheetData>
    <row r="1" spans="1:9" x14ac:dyDescent="0.2">
      <c r="A1" s="209" t="s">
        <v>294</v>
      </c>
    </row>
    <row r="2" spans="1:9" x14ac:dyDescent="0.2">
      <c r="A2" s="10" t="str">
        <f>'BGS Cost &amp; Bid Factors'!M1&amp;" BGS Auction"</f>
        <v>2019 BGS Auction</v>
      </c>
    </row>
    <row r="4" spans="1:9" s="31" customFormat="1" x14ac:dyDescent="0.2">
      <c r="A4" s="10" t="s">
        <v>295</v>
      </c>
      <c r="B4" s="10" t="s">
        <v>296</v>
      </c>
    </row>
    <row r="5" spans="1:9" s="31" customFormat="1" ht="11.25" x14ac:dyDescent="0.2"/>
    <row r="6" spans="1:9" s="31" customFormat="1" ht="11.25" x14ac:dyDescent="0.2">
      <c r="D6" s="33">
        <f>F6-2</f>
        <v>2017</v>
      </c>
      <c r="E6" s="33">
        <f>F6-1</f>
        <v>2018</v>
      </c>
      <c r="F6" s="33">
        <v>2019</v>
      </c>
    </row>
    <row r="7" spans="1:9" s="31" customFormat="1" ht="11.25" x14ac:dyDescent="0.2">
      <c r="D7" s="33" t="s">
        <v>297</v>
      </c>
      <c r="E7" s="33" t="s">
        <v>297</v>
      </c>
      <c r="F7" s="33" t="s">
        <v>297</v>
      </c>
    </row>
    <row r="8" spans="1:9" s="31" customFormat="1" ht="11.25" x14ac:dyDescent="0.2">
      <c r="B8" s="34" t="s">
        <v>298</v>
      </c>
      <c r="C8" s="34" t="s">
        <v>299</v>
      </c>
      <c r="D8" s="210" t="s">
        <v>300</v>
      </c>
      <c r="E8" s="210" t="s">
        <v>300</v>
      </c>
      <c r="F8" s="210" t="s">
        <v>300</v>
      </c>
      <c r="G8" s="211" t="s">
        <v>36</v>
      </c>
      <c r="I8" s="34" t="s">
        <v>301</v>
      </c>
    </row>
    <row r="9" spans="1:9" s="31" customFormat="1" ht="11.25" x14ac:dyDescent="0.2">
      <c r="B9" s="33">
        <v>1</v>
      </c>
      <c r="C9" s="31" t="s">
        <v>302</v>
      </c>
      <c r="D9" s="37">
        <v>1</v>
      </c>
      <c r="E9" s="37">
        <v>2</v>
      </c>
      <c r="F9" s="37">
        <v>1</v>
      </c>
      <c r="G9" s="31">
        <f>SUM(D9:F9)</f>
        <v>4</v>
      </c>
      <c r="I9" s="31" t="s">
        <v>303</v>
      </c>
    </row>
    <row r="10" spans="1:9" s="31" customFormat="1" ht="11.25" x14ac:dyDescent="0.2">
      <c r="B10" s="33">
        <v>2</v>
      </c>
      <c r="C10" s="212" t="s">
        <v>304</v>
      </c>
      <c r="D10" s="30">
        <v>8.0500000000000007</v>
      </c>
      <c r="E10" s="30">
        <v>8.5939999999999994</v>
      </c>
      <c r="F10" s="30">
        <v>8.5939999999999994</v>
      </c>
      <c r="I10" s="31" t="str">
        <f>"(Note: "&amp;F6&amp;" Auction Price Shown for Illustrative Purposes Only)"</f>
        <v>(Note: 2019 Auction Price Shown for Illustrative Purposes Only)</v>
      </c>
    </row>
    <row r="11" spans="1:9" s="31" customFormat="1" ht="11.25" x14ac:dyDescent="0.2">
      <c r="B11" s="33">
        <v>3</v>
      </c>
      <c r="C11" s="212" t="s">
        <v>305</v>
      </c>
      <c r="D11" s="30">
        <f>F11</f>
        <v>1.2952165332669339</v>
      </c>
      <c r="E11" s="30">
        <f>F11</f>
        <v>1.2952165332669339</v>
      </c>
      <c r="F11" s="30">
        <f>'BGS Cost &amp; Bid Factors'!M468/10</f>
        <v>1.2952165332669339</v>
      </c>
      <c r="I11" s="31" t="s">
        <v>306</v>
      </c>
    </row>
    <row r="12" spans="1:9" s="31" customFormat="1" ht="11.25" x14ac:dyDescent="0.2">
      <c r="B12" s="33">
        <v>4</v>
      </c>
      <c r="C12" s="212" t="s">
        <v>307</v>
      </c>
      <c r="D12" s="30">
        <f>D10-D11</f>
        <v>6.7547834667330671</v>
      </c>
      <c r="E12" s="30">
        <f>E10-E11</f>
        <v>7.2987834667330658</v>
      </c>
      <c r="F12" s="30">
        <f>F10-F11</f>
        <v>7.2987834667330658</v>
      </c>
      <c r="G12" s="213"/>
      <c r="I12" s="212" t="s">
        <v>308</v>
      </c>
    </row>
    <row r="13" spans="1:9" s="31" customFormat="1" ht="11.25" x14ac:dyDescent="0.2">
      <c r="B13" s="33">
        <v>5</v>
      </c>
      <c r="C13" s="212" t="s">
        <v>309</v>
      </c>
      <c r="D13" s="30">
        <f>D9/$G$9*D12</f>
        <v>1.6886958666832668</v>
      </c>
      <c r="E13" s="30">
        <f>E9/$G$9*E12</f>
        <v>3.6493917333665329</v>
      </c>
      <c r="F13" s="30">
        <f>F9/$G$9*F12</f>
        <v>1.8246958666832664</v>
      </c>
      <c r="G13" s="213">
        <f>SUM(D13:F13)</f>
        <v>7.1627834667330665</v>
      </c>
      <c r="I13" s="212" t="s">
        <v>310</v>
      </c>
    </row>
    <row r="14" spans="1:9" s="31" customFormat="1" ht="11.25" x14ac:dyDescent="0.2">
      <c r="B14" s="33">
        <v>6</v>
      </c>
      <c r="C14" s="212" t="s">
        <v>311</v>
      </c>
      <c r="D14" s="30">
        <f>D9/$G$9*D11</f>
        <v>0.32380413331673347</v>
      </c>
      <c r="E14" s="30">
        <f>E9/$G$9*E11</f>
        <v>0.64760826663346693</v>
      </c>
      <c r="F14" s="30">
        <f>F9/$G$9*F11</f>
        <v>0.32380413331673347</v>
      </c>
      <c r="G14" s="213">
        <f>SUM(D14:F14)</f>
        <v>1.2952165332669339</v>
      </c>
      <c r="I14" s="212" t="s">
        <v>312</v>
      </c>
    </row>
    <row r="15" spans="1:9" s="31" customFormat="1" ht="11.25" x14ac:dyDescent="0.2">
      <c r="B15" s="33">
        <v>7</v>
      </c>
      <c r="C15" s="212" t="s">
        <v>313</v>
      </c>
      <c r="G15" s="214">
        <f>G13+G14</f>
        <v>8.4580000000000002</v>
      </c>
    </row>
    <row r="16" spans="1:9" s="31" customFormat="1" ht="11.25" x14ac:dyDescent="0.2">
      <c r="B16" s="33"/>
    </row>
    <row r="17" spans="2:14" s="31" customFormat="1" ht="11.25" x14ac:dyDescent="0.2">
      <c r="B17" s="33"/>
      <c r="C17" s="34" t="s">
        <v>314</v>
      </c>
    </row>
    <row r="18" spans="2:14" s="31" customFormat="1" ht="11.25" x14ac:dyDescent="0.2">
      <c r="B18" s="33">
        <v>8</v>
      </c>
      <c r="C18" s="215" t="s">
        <v>315</v>
      </c>
      <c r="D18" s="32">
        <v>1</v>
      </c>
      <c r="E18" s="32">
        <v>1</v>
      </c>
      <c r="F18" s="32">
        <f>IF('BGS Cost &amp; Bid Factors'!J377&lt;1,1,'BGS Cost &amp; Bid Factors'!J377)</f>
        <v>1</v>
      </c>
      <c r="G18" s="31" t="s">
        <v>316</v>
      </c>
      <c r="I18" s="212" t="s">
        <v>317</v>
      </c>
    </row>
    <row r="19" spans="2:14" s="31" customFormat="1" ht="11.25" x14ac:dyDescent="0.2">
      <c r="B19" s="33">
        <v>9</v>
      </c>
      <c r="C19" s="215" t="s">
        <v>318</v>
      </c>
      <c r="D19" s="32">
        <v>1</v>
      </c>
      <c r="E19" s="32">
        <v>1</v>
      </c>
      <c r="F19" s="32">
        <f>IF('BGS Cost &amp; Bid Factors'!J378&gt;1,1,'BGS Cost &amp; Bid Factors'!J378)</f>
        <v>1</v>
      </c>
      <c r="G19" s="31" t="s">
        <v>316</v>
      </c>
      <c r="I19" s="212" t="s">
        <v>317</v>
      </c>
    </row>
    <row r="20" spans="2:14" s="31" customFormat="1" ht="11.25" x14ac:dyDescent="0.2">
      <c r="B20" s="33"/>
      <c r="D20" s="32"/>
      <c r="E20" s="32"/>
      <c r="F20" s="32"/>
    </row>
    <row r="21" spans="2:14" s="31" customFormat="1" ht="11.25" x14ac:dyDescent="0.2">
      <c r="B21" s="33"/>
      <c r="C21" s="34" t="s">
        <v>319</v>
      </c>
      <c r="F21" s="33" t="s">
        <v>320</v>
      </c>
    </row>
    <row r="22" spans="2:14" s="31" customFormat="1" ht="11.25" x14ac:dyDescent="0.2">
      <c r="B22" s="33">
        <v>10</v>
      </c>
      <c r="C22" s="216" t="s">
        <v>321</v>
      </c>
      <c r="D22" s="35">
        <f>'Rate Calculations'!$D$251</f>
        <v>397580.04691256757</v>
      </c>
      <c r="I22" s="212" t="s">
        <v>317</v>
      </c>
      <c r="N22" s="35"/>
    </row>
    <row r="23" spans="2:14" s="31" customFormat="1" ht="11.25" x14ac:dyDescent="0.2">
      <c r="B23" s="33">
        <v>11</v>
      </c>
      <c r="C23" s="216" t="s">
        <v>322</v>
      </c>
      <c r="D23" s="36">
        <f>'Rate Calculations'!$D$252</f>
        <v>589090.07349666988</v>
      </c>
      <c r="I23" s="212" t="s">
        <v>317</v>
      </c>
      <c r="N23" s="35"/>
    </row>
    <row r="24" spans="2:14" s="31" customFormat="1" ht="11.25" x14ac:dyDescent="0.2">
      <c r="B24" s="33">
        <v>12</v>
      </c>
      <c r="D24" s="35">
        <f>SUM(D22:D23)</f>
        <v>986670.12040923745</v>
      </c>
      <c r="N24" s="35"/>
    </row>
    <row r="25" spans="2:14" s="31" customFormat="1" ht="11.25" x14ac:dyDescent="0.2">
      <c r="B25" s="33"/>
    </row>
    <row r="26" spans="2:14" s="31" customFormat="1" ht="11.25" x14ac:dyDescent="0.2">
      <c r="B26" s="33"/>
      <c r="C26" s="34" t="s">
        <v>323</v>
      </c>
    </row>
    <row r="27" spans="2:14" s="31" customFormat="1" ht="11.25" x14ac:dyDescent="0.2">
      <c r="B27" s="33">
        <v>13</v>
      </c>
      <c r="C27" s="216" t="s">
        <v>69</v>
      </c>
      <c r="D27" s="35">
        <f>ROUND(D$9/$G$9*D$10/100*D$18*$D$22*1000,0)</f>
        <v>8001298</v>
      </c>
      <c r="E27" s="35">
        <f>ROUND(E$9/$G$9*E$10/100*E$18*$D$22*1000,0)</f>
        <v>17084015</v>
      </c>
      <c r="F27" s="35">
        <f>ROUND(F$9/$G$9*F$10/100*F$18*$D$22*1000,0)</f>
        <v>8542007</v>
      </c>
      <c r="G27" s="35">
        <f>SUM(D27:F27)</f>
        <v>33627320</v>
      </c>
      <c r="I27" s="212" t="s">
        <v>324</v>
      </c>
    </row>
    <row r="28" spans="2:14" s="31" customFormat="1" ht="11.25" x14ac:dyDescent="0.2">
      <c r="B28" s="33">
        <v>14</v>
      </c>
      <c r="C28" s="216" t="s">
        <v>62</v>
      </c>
      <c r="D28" s="36">
        <f>ROUND(D$9/$G$9*D$10/100*D$19*$D$23*1000,0)</f>
        <v>11855438</v>
      </c>
      <c r="E28" s="36">
        <f>ROUND(E$9/$G$9*E$10/100*E$19*$D$23*1000,0)</f>
        <v>25313200</v>
      </c>
      <c r="F28" s="36">
        <f>ROUND(F$9/$G$9*F$10/100*F$19*$D$23*1000,0)</f>
        <v>12656600</v>
      </c>
      <c r="G28" s="36">
        <f>SUM(D28:F28)</f>
        <v>49825238</v>
      </c>
      <c r="I28" s="212" t="s">
        <v>325</v>
      </c>
    </row>
    <row r="29" spans="2:14" s="31" customFormat="1" ht="11.25" x14ac:dyDescent="0.2">
      <c r="B29" s="33">
        <v>15</v>
      </c>
      <c r="C29" s="216" t="s">
        <v>36</v>
      </c>
      <c r="D29" s="35">
        <f>SUM(D27:D28)</f>
        <v>19856736</v>
      </c>
      <c r="E29" s="35">
        <f>SUM(E27:E28)</f>
        <v>42397215</v>
      </c>
      <c r="F29" s="35">
        <f>SUM(F27:F28)</f>
        <v>21198607</v>
      </c>
      <c r="G29" s="35">
        <f>SUM(G27:G28)</f>
        <v>83452558</v>
      </c>
      <c r="I29" s="212" t="s">
        <v>326</v>
      </c>
    </row>
    <row r="30" spans="2:14" s="31" customFormat="1" ht="11.25" x14ac:dyDescent="0.2">
      <c r="B30" s="33"/>
    </row>
    <row r="31" spans="2:14" s="31" customFormat="1" ht="11.25" x14ac:dyDescent="0.2">
      <c r="B31" s="33"/>
      <c r="C31" s="217" t="s">
        <v>327</v>
      </c>
    </row>
    <row r="32" spans="2:14" s="31" customFormat="1" ht="11.25" x14ac:dyDescent="0.2">
      <c r="B32" s="33">
        <v>16</v>
      </c>
      <c r="C32" s="216" t="s">
        <v>69</v>
      </c>
      <c r="D32" s="213">
        <f>ROUND(G27/D22/1000*100,3)</f>
        <v>8.4580000000000002</v>
      </c>
      <c r="E32" s="31" t="s">
        <v>113</v>
      </c>
      <c r="I32" s="212" t="s">
        <v>328</v>
      </c>
    </row>
    <row r="33" spans="2:11" s="31" customFormat="1" ht="11.25" x14ac:dyDescent="0.2">
      <c r="B33" s="33">
        <v>17</v>
      </c>
      <c r="C33" s="216" t="s">
        <v>62</v>
      </c>
      <c r="D33" s="213">
        <f>ROUND(G28/D23/1000*100,3)</f>
        <v>8.4580000000000002</v>
      </c>
      <c r="E33" s="31" t="s">
        <v>113</v>
      </c>
      <c r="I33" s="212" t="s">
        <v>329</v>
      </c>
    </row>
    <row r="34" spans="2:11" s="31" customFormat="1" ht="11.25" x14ac:dyDescent="0.2">
      <c r="B34" s="33">
        <v>18</v>
      </c>
      <c r="C34" s="216" t="s">
        <v>36</v>
      </c>
      <c r="D34" s="214">
        <f>ROUND(G29/D24/1000*100,3)</f>
        <v>8.4580000000000002</v>
      </c>
      <c r="E34" s="31" t="s">
        <v>113</v>
      </c>
      <c r="I34" s="212" t="s">
        <v>330</v>
      </c>
    </row>
    <row r="35" spans="2:11" s="31" customFormat="1" ht="11.25" x14ac:dyDescent="0.2">
      <c r="B35" s="33"/>
      <c r="C35" s="35"/>
    </row>
    <row r="36" spans="2:11" s="31" customFormat="1" ht="11.25" x14ac:dyDescent="0.2">
      <c r="B36" s="33"/>
      <c r="C36" s="34" t="s">
        <v>331</v>
      </c>
    </row>
    <row r="37" spans="2:11" s="31" customFormat="1" ht="11.25" x14ac:dyDescent="0.2">
      <c r="B37" s="33"/>
      <c r="D37" s="216" t="s">
        <v>332</v>
      </c>
      <c r="E37" s="216" t="s">
        <v>333</v>
      </c>
    </row>
    <row r="38" spans="2:11" s="31" customFormat="1" ht="11.25" x14ac:dyDescent="0.2">
      <c r="B38" s="33"/>
      <c r="D38" s="211" t="s">
        <v>297</v>
      </c>
      <c r="E38" s="211" t="s">
        <v>334</v>
      </c>
      <c r="F38" s="218"/>
      <c r="G38" s="211" t="s">
        <v>36</v>
      </c>
    </row>
    <row r="39" spans="2:11" s="31" customFormat="1" ht="11.25" x14ac:dyDescent="0.2">
      <c r="B39" s="33">
        <v>19</v>
      </c>
      <c r="C39" s="31" t="s">
        <v>302</v>
      </c>
      <c r="D39" s="37">
        <f>SUM(D9:F9)</f>
        <v>4</v>
      </c>
      <c r="E39" s="37">
        <f>'BGS Cost &amp; Bid Factors'!M466</f>
        <v>0.49</v>
      </c>
      <c r="F39" s="37"/>
      <c r="G39" s="31">
        <f>SUM(D39:E39)</f>
        <v>4.49</v>
      </c>
      <c r="I39" s="31" t="s">
        <v>335</v>
      </c>
    </row>
    <row r="40" spans="2:11" s="31" customFormat="1" ht="11.25" x14ac:dyDescent="0.2">
      <c r="B40" s="33">
        <v>20</v>
      </c>
      <c r="C40" s="31" t="s">
        <v>336</v>
      </c>
      <c r="D40" s="30">
        <f>D34</f>
        <v>8.4580000000000002</v>
      </c>
      <c r="E40" s="30">
        <f>'Rate Calculations'!$D$286*(100/1000)</f>
        <v>5.6810000000000009</v>
      </c>
      <c r="F40" s="30"/>
      <c r="I40" s="31" t="str">
        <f>"BGS Auction from (18)"</f>
        <v>BGS Auction from (18)</v>
      </c>
      <c r="K40" s="31" t="str">
        <f>"Note "&amp;$E$40&amp;"¢ for RFP is illustrative"</f>
        <v>Note 5.681¢ for RFP is illustrative</v>
      </c>
    </row>
    <row r="41" spans="2:11" s="31" customFormat="1" ht="11.25" x14ac:dyDescent="0.2">
      <c r="B41" s="33"/>
      <c r="D41" s="30"/>
      <c r="E41" s="221"/>
      <c r="F41" s="30"/>
      <c r="I41" s="31" t="s">
        <v>337</v>
      </c>
    </row>
    <row r="42" spans="2:11" s="31" customFormat="1" ht="11.25" x14ac:dyDescent="0.2">
      <c r="B42" s="33">
        <v>21</v>
      </c>
      <c r="C42" s="31" t="s">
        <v>338</v>
      </c>
      <c r="D42" s="30">
        <f>F11</f>
        <v>1.2952165332669339</v>
      </c>
      <c r="E42" s="30">
        <v>0</v>
      </c>
      <c r="F42" s="37"/>
    </row>
    <row r="43" spans="2:11" s="31" customFormat="1" ht="11.25" x14ac:dyDescent="0.2">
      <c r="B43" s="33">
        <v>22</v>
      </c>
      <c r="C43" s="31" t="s">
        <v>332</v>
      </c>
      <c r="D43" s="30">
        <f>D40-D42</f>
        <v>7.1627834667330665</v>
      </c>
      <c r="E43" s="37">
        <f>E40-E42</f>
        <v>5.6810000000000009</v>
      </c>
      <c r="F43" s="37"/>
      <c r="I43" s="212" t="s">
        <v>339</v>
      </c>
    </row>
    <row r="44" spans="2:11" s="31" customFormat="1" ht="11.25" x14ac:dyDescent="0.2">
      <c r="B44" s="33">
        <v>23</v>
      </c>
      <c r="C44" s="212" t="s">
        <v>309</v>
      </c>
      <c r="D44" s="30">
        <f>D39/$G$39*D43</f>
        <v>6.3810988567777871</v>
      </c>
      <c r="E44" s="30">
        <f>E39/$G$39*E43</f>
        <v>0.61997550111358579</v>
      </c>
      <c r="F44" s="30"/>
      <c r="G44" s="213">
        <f>SUM(D44:E44)</f>
        <v>7.0010743578913726</v>
      </c>
      <c r="I44" s="212" t="s">
        <v>340</v>
      </c>
    </row>
    <row r="45" spans="2:11" s="31" customFormat="1" ht="12" thickBot="1" x14ac:dyDescent="0.25">
      <c r="B45" s="33">
        <v>24</v>
      </c>
      <c r="C45" s="212" t="s">
        <v>311</v>
      </c>
      <c r="D45" s="30">
        <f>D39/$G$39*D42</f>
        <v>1.1538677356498297</v>
      </c>
      <c r="E45" s="30">
        <f>E39/$G$39*E42</f>
        <v>0</v>
      </c>
      <c r="F45" s="30"/>
      <c r="G45" s="213">
        <f>SUM(D45:E45)</f>
        <v>1.1538677356498297</v>
      </c>
      <c r="I45" s="212" t="s">
        <v>341</v>
      </c>
    </row>
    <row r="46" spans="2:11" s="31" customFormat="1" ht="12" thickBot="1" x14ac:dyDescent="0.25">
      <c r="B46" s="33">
        <v>25</v>
      </c>
      <c r="C46" s="219" t="s">
        <v>342</v>
      </c>
      <c r="G46" s="38">
        <f>ROUND(G44+G45,3)</f>
        <v>8.1549999999999994</v>
      </c>
      <c r="I46" s="212" t="s">
        <v>343</v>
      </c>
    </row>
    <row r="48" spans="2:11" x14ac:dyDescent="0.2">
      <c r="C48" s="220" t="s">
        <v>344</v>
      </c>
    </row>
    <row r="49" spans="3:3" x14ac:dyDescent="0.2">
      <c r="C49" s="220" t="s">
        <v>345</v>
      </c>
    </row>
  </sheetData>
  <printOptions horizontalCentered="1"/>
  <pageMargins left="0.5" right="0.5" top="0.5" bottom="0.5" header="0.5" footer="0.5"/>
  <pageSetup scale="93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J286"/>
  <sheetViews>
    <sheetView zoomScaleNormal="100" workbookViewId="0">
      <pane ySplit="3" topLeftCell="A4" activePane="bottomLeft" state="frozen"/>
      <selection activeCell="B541" sqref="B541"/>
      <selection pane="bottomLeft" activeCell="J163" sqref="J163"/>
    </sheetView>
  </sheetViews>
  <sheetFormatPr defaultRowHeight="12.75" x14ac:dyDescent="0.2"/>
  <cols>
    <col min="1" max="1" width="9.5703125" style="110" customWidth="1"/>
    <col min="2" max="2" width="27.85546875" style="111" customWidth="1"/>
    <col min="3" max="3" width="14.140625" style="111" customWidth="1"/>
    <col min="4" max="5" width="12.7109375" style="111" customWidth="1"/>
    <col min="6" max="7" width="13.42578125" style="111" customWidth="1"/>
    <col min="8" max="8" width="12.7109375" style="111" customWidth="1"/>
    <col min="9" max="9" width="11.85546875" style="111" customWidth="1"/>
    <col min="10" max="10" width="12.5703125" style="111" customWidth="1"/>
    <col min="11" max="11" width="10.7109375" style="111" customWidth="1"/>
    <col min="12" max="12" width="11.7109375" style="111" customWidth="1"/>
    <col min="13" max="17" width="9.42578125" style="111" customWidth="1"/>
    <col min="18" max="18" width="11.5703125" style="111" customWidth="1"/>
    <col min="19" max="19" width="8.7109375" style="111" customWidth="1"/>
    <col min="20" max="20" width="12.7109375" style="111" customWidth="1"/>
    <col min="21" max="21" width="10.140625" style="111" customWidth="1"/>
    <col min="22" max="27" width="8.7109375" style="111" customWidth="1"/>
    <col min="28" max="28" width="2.85546875" style="111" customWidth="1"/>
    <col min="29" max="29" width="21" style="111" customWidth="1"/>
    <col min="30" max="37" width="9.42578125" style="111" customWidth="1"/>
    <col min="38" max="16384" width="9.140625" style="111"/>
  </cols>
  <sheetData>
    <row r="1" spans="1:11" x14ac:dyDescent="0.2">
      <c r="A1" s="209" t="s">
        <v>294</v>
      </c>
    </row>
    <row r="2" spans="1:11" x14ac:dyDescent="0.2">
      <c r="A2" s="10" t="str">
        <f>'BGS Cost &amp; Bid Factors'!M1 &amp;" BGS Auction"</f>
        <v>2019 BGS Auction</v>
      </c>
    </row>
    <row r="3" spans="1:11" x14ac:dyDescent="0.2">
      <c r="A3" s="10"/>
    </row>
    <row r="4" spans="1:11" x14ac:dyDescent="0.2">
      <c r="A4" s="10"/>
    </row>
    <row r="6" spans="1:11" x14ac:dyDescent="0.2">
      <c r="A6" s="96" t="s">
        <v>346</v>
      </c>
      <c r="B6" s="15" t="s">
        <v>183</v>
      </c>
    </row>
    <row r="7" spans="1:11" x14ac:dyDescent="0.2">
      <c r="A7" s="61"/>
      <c r="B7" s="162" t="s">
        <v>347</v>
      </c>
    </row>
    <row r="8" spans="1:11" x14ac:dyDescent="0.2">
      <c r="A8" s="3"/>
    </row>
    <row r="9" spans="1:11" x14ac:dyDescent="0.2">
      <c r="A9" s="3"/>
      <c r="B9" s="10" t="s">
        <v>164</v>
      </c>
    </row>
    <row r="10" spans="1:11" x14ac:dyDescent="0.2">
      <c r="A10" s="3"/>
      <c r="B10" s="4" t="s">
        <v>348</v>
      </c>
    </row>
    <row r="11" spans="1:11" x14ac:dyDescent="0.2">
      <c r="A11" s="3"/>
      <c r="B11" s="10"/>
    </row>
    <row r="12" spans="1:11" x14ac:dyDescent="0.2">
      <c r="A12" s="3"/>
      <c r="C12" s="19" t="str">
        <f>'BGS Cost &amp; Bid Factors'!C$6</f>
        <v>SC1</v>
      </c>
      <c r="D12" s="19" t="str">
        <f>'BGS Cost &amp; Bid Factors'!D$6</f>
        <v>SC5</v>
      </c>
      <c r="E12" s="19" t="str">
        <f>'BGS Cost &amp; Bid Factors'!E$6</f>
        <v>SC3</v>
      </c>
      <c r="F12" s="19" t="str">
        <f>'BGS Cost &amp; Bid Factors'!F$6</f>
        <v>SC2 ND</v>
      </c>
      <c r="G12" s="19" t="str">
        <f>'BGS Cost &amp; Bid Factors'!G$6</f>
        <v>SC4</v>
      </c>
      <c r="H12" s="19" t="str">
        <f>'BGS Cost &amp; Bid Factors'!H$6</f>
        <v>SC6</v>
      </c>
    </row>
    <row r="13" spans="1:11" x14ac:dyDescent="0.2">
      <c r="A13" s="3"/>
      <c r="C13" s="23"/>
      <c r="D13" s="23"/>
      <c r="E13" s="23"/>
      <c r="F13" s="23"/>
    </row>
    <row r="14" spans="1:11" x14ac:dyDescent="0.2">
      <c r="A14" s="3"/>
      <c r="B14" s="116" t="s">
        <v>64</v>
      </c>
      <c r="C14" s="11">
        <f>'BGS Cost &amp; Bid Factors'!C327</f>
        <v>1.0209999999999999</v>
      </c>
      <c r="D14" s="11">
        <f>'BGS Cost &amp; Bid Factors'!D327</f>
        <v>0.93400000000000005</v>
      </c>
      <c r="E14" s="181"/>
      <c r="F14" s="11">
        <f>'BGS Cost &amp; Bid Factors'!F327</f>
        <v>0.89700000000000002</v>
      </c>
      <c r="G14" s="11">
        <f>'BGS Cost &amp; Bid Factors'!G327</f>
        <v>0.62</v>
      </c>
      <c r="H14" s="11">
        <f>'BGS Cost &amp; Bid Factors'!H327</f>
        <v>0.61899999999999999</v>
      </c>
      <c r="I14" s="182"/>
      <c r="J14" s="182"/>
      <c r="K14" s="182"/>
    </row>
    <row r="15" spans="1:11" x14ac:dyDescent="0.2">
      <c r="A15" s="3"/>
      <c r="B15" s="148" t="s">
        <v>79</v>
      </c>
      <c r="C15" s="181"/>
      <c r="D15" s="181"/>
      <c r="E15" s="11">
        <f>'BGS Cost &amp; Bid Factors'!E328</f>
        <v>1.4990000000000001</v>
      </c>
      <c r="F15" s="181"/>
      <c r="G15" s="181"/>
      <c r="H15" s="181"/>
      <c r="I15" s="182"/>
      <c r="J15" s="182"/>
      <c r="K15" s="182"/>
    </row>
    <row r="16" spans="1:11" x14ac:dyDescent="0.2">
      <c r="A16" s="3"/>
      <c r="B16" s="148" t="s">
        <v>80</v>
      </c>
      <c r="C16" s="181"/>
      <c r="D16" s="181"/>
      <c r="E16" s="11">
        <f>'BGS Cost &amp; Bid Factors'!E329</f>
        <v>0.60499999999999998</v>
      </c>
      <c r="F16" s="181"/>
      <c r="G16" s="181"/>
      <c r="H16" s="181"/>
      <c r="I16" s="182"/>
      <c r="J16" s="182"/>
      <c r="K16" s="182"/>
    </row>
    <row r="17" spans="1:11" x14ac:dyDescent="0.2">
      <c r="A17" s="3"/>
      <c r="C17" s="181"/>
      <c r="D17" s="181"/>
      <c r="E17" s="181"/>
      <c r="F17" s="181"/>
      <c r="G17" s="181"/>
      <c r="H17" s="181"/>
      <c r="I17" s="182"/>
      <c r="J17" s="182"/>
      <c r="K17" s="182"/>
    </row>
    <row r="18" spans="1:11" x14ac:dyDescent="0.2">
      <c r="A18" s="3"/>
      <c r="B18" s="12"/>
      <c r="E18" s="181"/>
      <c r="F18" s="181"/>
      <c r="G18" s="181"/>
      <c r="H18" s="181"/>
      <c r="I18" s="182"/>
      <c r="J18" s="182"/>
      <c r="K18" s="182"/>
    </row>
    <row r="19" spans="1:11" x14ac:dyDescent="0.2">
      <c r="A19" s="3"/>
      <c r="B19" s="13" t="s">
        <v>167</v>
      </c>
      <c r="C19" s="39">
        <f>'BGS Cost &amp; Bid Factors'!C332</f>
        <v>-16.628879999999995</v>
      </c>
      <c r="D19" s="14">
        <f>'BGS Cost &amp; Bid Factors'!D332</f>
        <v>-7.7773800000000008</v>
      </c>
      <c r="E19" s="181"/>
      <c r="F19" s="181"/>
      <c r="G19" s="181"/>
      <c r="H19" s="181"/>
      <c r="I19" s="182"/>
      <c r="J19" s="182"/>
      <c r="K19" s="182"/>
    </row>
    <row r="20" spans="1:11" x14ac:dyDescent="0.2">
      <c r="A20" s="3"/>
      <c r="B20" s="13" t="s">
        <v>168</v>
      </c>
      <c r="C20" s="14">
        <f>'BGS Cost &amp; Bid Factors'!C333</f>
        <v>12.091120000000004</v>
      </c>
      <c r="D20" s="14">
        <f>'BGS Cost &amp; Bid Factors'!D333</f>
        <v>12.502619999999993</v>
      </c>
      <c r="E20" s="181"/>
      <c r="F20" s="181"/>
      <c r="G20" s="181"/>
      <c r="H20" s="181"/>
      <c r="I20" s="182"/>
      <c r="J20" s="182"/>
      <c r="K20" s="182"/>
    </row>
    <row r="21" spans="1:11" x14ac:dyDescent="0.2">
      <c r="A21" s="3"/>
      <c r="B21" s="181"/>
      <c r="C21" s="181"/>
      <c r="D21" s="181"/>
      <c r="E21" s="181"/>
      <c r="F21" s="181"/>
      <c r="G21" s="181"/>
      <c r="H21" s="181"/>
      <c r="I21" s="182"/>
      <c r="J21" s="182"/>
      <c r="K21" s="182"/>
    </row>
    <row r="22" spans="1:11" x14ac:dyDescent="0.2">
      <c r="A22" s="3"/>
      <c r="C22" s="181"/>
      <c r="D22" s="181"/>
      <c r="E22" s="181"/>
      <c r="F22" s="181"/>
      <c r="G22" s="181"/>
      <c r="H22" s="181"/>
      <c r="I22" s="182"/>
      <c r="J22" s="182"/>
      <c r="K22" s="182"/>
    </row>
    <row r="23" spans="1:11" x14ac:dyDescent="0.2">
      <c r="A23" s="3"/>
      <c r="B23" s="116" t="s">
        <v>70</v>
      </c>
      <c r="C23" s="11">
        <f>'BGS Cost &amp; Bid Factors'!C336</f>
        <v>1.2090000000000001</v>
      </c>
      <c r="D23" s="11">
        <f>'BGS Cost &amp; Bid Factors'!D336</f>
        <v>0.98399999999999999</v>
      </c>
      <c r="E23" s="181"/>
      <c r="F23" s="11">
        <f>'BGS Cost &amp; Bid Factors'!F336</f>
        <v>0.92700000000000005</v>
      </c>
      <c r="G23" s="11">
        <f>'BGS Cost &amp; Bid Factors'!G336</f>
        <v>0.72399999999999998</v>
      </c>
      <c r="H23" s="11">
        <f>'BGS Cost &amp; Bid Factors'!H336</f>
        <v>0.71899999999999997</v>
      </c>
      <c r="I23" s="182"/>
      <c r="J23" s="182"/>
      <c r="K23" s="182"/>
    </row>
    <row r="24" spans="1:11" x14ac:dyDescent="0.2">
      <c r="A24" s="3"/>
      <c r="B24" s="148" t="s">
        <v>79</v>
      </c>
      <c r="C24" s="181"/>
      <c r="D24" s="181"/>
      <c r="E24" s="11">
        <f>'BGS Cost &amp; Bid Factors'!E337</f>
        <v>1.4119999999999999</v>
      </c>
      <c r="F24" s="181"/>
      <c r="G24" s="181"/>
      <c r="H24" s="181"/>
      <c r="I24" s="182"/>
      <c r="J24" s="182"/>
      <c r="K24" s="182"/>
    </row>
    <row r="25" spans="1:11" x14ac:dyDescent="0.2">
      <c r="A25" s="3"/>
      <c r="B25" s="148" t="s">
        <v>80</v>
      </c>
      <c r="C25" s="181"/>
      <c r="D25" s="181"/>
      <c r="E25" s="11">
        <f>'BGS Cost &amp; Bid Factors'!E338</f>
        <v>0.72599999999999998</v>
      </c>
      <c r="F25" s="181"/>
      <c r="G25" s="181"/>
      <c r="H25" s="181"/>
      <c r="I25" s="182"/>
      <c r="J25" s="182"/>
      <c r="K25" s="182"/>
    </row>
    <row r="26" spans="1:11" x14ac:dyDescent="0.2">
      <c r="A26" s="3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x14ac:dyDescent="0.2">
      <c r="A27" s="3"/>
      <c r="B27" s="111" t="s">
        <v>169</v>
      </c>
      <c r="C27" s="183">
        <f>'BGS Cost &amp; Bid Factors'!C340</f>
        <v>1.1279999999999999</v>
      </c>
      <c r="D27" s="183">
        <f>'BGS Cost &amp; Bid Factors'!D340</f>
        <v>0.96799999999999997</v>
      </c>
      <c r="E27" s="183">
        <f>'BGS Cost &amp; Bid Factors'!E340</f>
        <v>0.96599999999999997</v>
      </c>
      <c r="F27" s="183">
        <f>'BGS Cost &amp; Bid Factors'!F340</f>
        <v>0.91772371791319496</v>
      </c>
      <c r="G27" s="183">
        <f>'BGS Cost &amp; Bid Factors'!G340</f>
        <v>0.69399999999999995</v>
      </c>
      <c r="H27" s="183">
        <f>'BGS Cost &amp; Bid Factors'!H340</f>
        <v>0.69</v>
      </c>
      <c r="I27" s="182"/>
      <c r="J27" s="182"/>
      <c r="K27" s="182"/>
    </row>
    <row r="28" spans="1:11" x14ac:dyDescent="0.2">
      <c r="A28" s="3"/>
    </row>
    <row r="29" spans="1:11" x14ac:dyDescent="0.2">
      <c r="A29" s="3"/>
    </row>
    <row r="30" spans="1:11" x14ac:dyDescent="0.2">
      <c r="A30" s="3"/>
      <c r="B30" s="10" t="s">
        <v>170</v>
      </c>
    </row>
    <row r="31" spans="1:11" x14ac:dyDescent="0.2">
      <c r="A31" s="3"/>
      <c r="B31" s="4" t="s">
        <v>184</v>
      </c>
    </row>
    <row r="32" spans="1:11" x14ac:dyDescent="0.2">
      <c r="A32" s="3"/>
    </row>
    <row r="33" spans="1:12" x14ac:dyDescent="0.2">
      <c r="A33" s="3"/>
      <c r="C33" s="12" t="str">
        <f>'BGS Cost &amp; Bid Factors'!I6</f>
        <v>SC2 Dem</v>
      </c>
      <c r="D33" s="12" t="str">
        <f>+C33</f>
        <v>SC2 Dem</v>
      </c>
      <c r="E33" s="23"/>
      <c r="F33" s="23"/>
      <c r="G33" s="86" t="s">
        <v>134</v>
      </c>
    </row>
    <row r="34" spans="1:12" x14ac:dyDescent="0.2">
      <c r="A34" s="3"/>
      <c r="C34" s="19" t="s">
        <v>172</v>
      </c>
      <c r="D34" s="91" t="s">
        <v>173</v>
      </c>
      <c r="E34" s="23"/>
      <c r="F34" s="23"/>
      <c r="G34" s="137"/>
    </row>
    <row r="35" spans="1:12" x14ac:dyDescent="0.2">
      <c r="A35" s="3"/>
      <c r="B35" s="116" t="s">
        <v>64</v>
      </c>
      <c r="C35" s="11">
        <f>'BGS Cost &amp; Bid Factors'!C348</f>
        <v>0.96</v>
      </c>
      <c r="D35" s="11">
        <f>'BGS Cost &amp; Bid Factors'!D348</f>
        <v>-19.363098403383326</v>
      </c>
      <c r="F35" s="172"/>
      <c r="G35" s="71" t="s">
        <v>135</v>
      </c>
    </row>
    <row r="36" spans="1:12" x14ac:dyDescent="0.2">
      <c r="A36" s="3"/>
      <c r="B36" s="148"/>
      <c r="C36" s="183"/>
      <c r="D36" s="92"/>
      <c r="E36" s="85"/>
      <c r="F36" s="88"/>
      <c r="G36" s="137"/>
    </row>
    <row r="37" spans="1:12" x14ac:dyDescent="0.2">
      <c r="A37" s="3"/>
      <c r="B37" s="148"/>
      <c r="C37" s="183"/>
      <c r="D37" s="92"/>
      <c r="E37" s="85"/>
      <c r="F37" s="88"/>
      <c r="G37" s="137"/>
      <c r="H37" s="19">
        <f>'BGS Cost &amp; Bid Factors'!G212</f>
        <v>0</v>
      </c>
      <c r="I37" s="19" t="str">
        <f>'BGS Cost &amp; Bid Factors'!H212</f>
        <v>&lt; 5 kW</v>
      </c>
      <c r="J37" s="19" t="str">
        <f>'BGS Cost &amp; Bid Factors'!I212</f>
        <v>&gt; 5 kW</v>
      </c>
      <c r="K37" s="19"/>
    </row>
    <row r="38" spans="1:12" x14ac:dyDescent="0.2">
      <c r="A38" s="3"/>
      <c r="C38" s="183"/>
      <c r="D38" s="92"/>
      <c r="E38" s="181"/>
      <c r="F38" s="88"/>
      <c r="G38" s="137"/>
    </row>
    <row r="39" spans="1:12" x14ac:dyDescent="0.2">
      <c r="A39" s="3"/>
      <c r="B39" s="116" t="s">
        <v>70</v>
      </c>
      <c r="C39" s="11">
        <f>'BGS Cost &amp; Bid Factors'!C352</f>
        <v>1.02</v>
      </c>
      <c r="D39" s="11">
        <f>'BGS Cost &amp; Bid Factors'!D352</f>
        <v>-18.918360489410567</v>
      </c>
      <c r="E39" s="85"/>
      <c r="F39" s="88"/>
      <c r="G39" s="186" t="s">
        <v>98</v>
      </c>
      <c r="H39" s="169">
        <f>'BGS Cost &amp; Bid Factors'!H352</f>
        <v>0</v>
      </c>
      <c r="I39" s="169">
        <f>'BGS Cost &amp; Bid Factors'!I352</f>
        <v>1.546</v>
      </c>
      <c r="J39" s="169">
        <f>'BGS Cost &amp; Bid Factors'!J352</f>
        <v>5.36</v>
      </c>
    </row>
    <row r="40" spans="1:12" x14ac:dyDescent="0.2">
      <c r="A40" s="3"/>
      <c r="B40" s="148"/>
      <c r="C40" s="183"/>
      <c r="D40" s="187"/>
      <c r="E40" s="85"/>
      <c r="F40" s="88"/>
      <c r="G40" s="186" t="s">
        <v>104</v>
      </c>
      <c r="H40" s="169">
        <f>'BGS Cost &amp; Bid Factors'!H353</f>
        <v>0</v>
      </c>
      <c r="I40" s="169">
        <f>'BGS Cost &amp; Bid Factors'!I353</f>
        <v>1.502</v>
      </c>
      <c r="J40" s="169">
        <f>'BGS Cost &amp; Bid Factors'!J353</f>
        <v>5.3179999999999996</v>
      </c>
    </row>
    <row r="41" spans="1:12" x14ac:dyDescent="0.2">
      <c r="A41" s="3"/>
      <c r="B41" s="148"/>
      <c r="C41" s="183"/>
      <c r="D41" s="187"/>
      <c r="E41" s="85"/>
      <c r="F41" s="88"/>
      <c r="G41" s="186"/>
      <c r="H41" s="151"/>
      <c r="I41" s="159"/>
    </row>
    <row r="42" spans="1:12" x14ac:dyDescent="0.2">
      <c r="A42" s="3"/>
      <c r="C42" s="184"/>
      <c r="D42" s="187"/>
      <c r="E42" s="182"/>
      <c r="G42" s="89"/>
    </row>
    <row r="43" spans="1:12" x14ac:dyDescent="0.2">
      <c r="A43" s="3"/>
      <c r="B43" s="111" t="s">
        <v>153</v>
      </c>
      <c r="C43" s="11">
        <f>'BGS Cost &amp; Bid Factors'!C356</f>
        <v>0.998</v>
      </c>
      <c r="D43" s="187"/>
      <c r="E43" s="182"/>
      <c r="G43" s="186"/>
      <c r="H43" s="151"/>
      <c r="I43" s="159"/>
    </row>
    <row r="44" spans="1:12" x14ac:dyDescent="0.2">
      <c r="A44" s="3"/>
    </row>
    <row r="46" spans="1:12" x14ac:dyDescent="0.2">
      <c r="A46" s="96" t="s">
        <v>349</v>
      </c>
      <c r="B46" s="15" t="s">
        <v>350</v>
      </c>
    </row>
    <row r="48" spans="1:12" x14ac:dyDescent="0.2">
      <c r="B48" s="110" t="s">
        <v>351</v>
      </c>
      <c r="D48" s="245">
        <f>'Weighted Avg Price Calc'!G46*10</f>
        <v>81.55</v>
      </c>
      <c r="E48" s="162" t="s">
        <v>352</v>
      </c>
      <c r="F48" s="162" t="s">
        <v>262</v>
      </c>
      <c r="K48" s="31" t="s">
        <v>235</v>
      </c>
      <c r="L48" s="190">
        <f>'BGS Cost &amp; Bid Factors'!M464</f>
        <v>49</v>
      </c>
    </row>
    <row r="49" spans="2:13" x14ac:dyDescent="0.2">
      <c r="B49" s="110" t="s">
        <v>263</v>
      </c>
      <c r="D49" s="106">
        <f>-L54</f>
        <v>-11.542165332669338</v>
      </c>
      <c r="E49" s="162" t="s">
        <v>353</v>
      </c>
      <c r="F49" s="111" t="s">
        <v>264</v>
      </c>
      <c r="K49" s="31" t="s">
        <v>237</v>
      </c>
      <c r="L49" s="190">
        <f>'BGS Cost &amp; Bid Factors'!M465</f>
        <v>100</v>
      </c>
    </row>
    <row r="50" spans="2:13" x14ac:dyDescent="0.2">
      <c r="B50" s="110" t="s">
        <v>265</v>
      </c>
      <c r="D50" s="172">
        <f>D48+D49</f>
        <v>70.007834667330656</v>
      </c>
      <c r="E50" s="162" t="s">
        <v>119</v>
      </c>
      <c r="F50" s="111" t="str">
        <f>"** RECO average transmission rate of "&amp;TEXT(L52,"0.00")&amp;" minus"</f>
        <v>** RECO average transmission rate of 12.95 minus</v>
      </c>
      <c r="K50" s="31" t="s">
        <v>239</v>
      </c>
      <c r="L50" s="111">
        <f>ROUND(L48/L49,3)</f>
        <v>0.49</v>
      </c>
    </row>
    <row r="51" spans="2:13" x14ac:dyDescent="0.2">
      <c r="F51" s="111" t="s">
        <v>266</v>
      </c>
      <c r="L51" s="206"/>
    </row>
    <row r="52" spans="2:13" x14ac:dyDescent="0.2">
      <c r="D52" s="107"/>
      <c r="F52" s="111" t="str">
        <f>"average rate "&amp;TEXT(L50,"0.000")&amp;"/"&amp;TEXT(4+L50,"0.000")&amp;" *$"&amp;TEXT(L52,"0.00")&amp;" per MWh)."</f>
        <v>average rate 0.490/4.490 *$12.95 per MWh).</v>
      </c>
      <c r="I52" s="246">
        <f>ROUND(L50/(4+L50)*L52,2)</f>
        <v>1.41</v>
      </c>
      <c r="K52" s="31" t="s">
        <v>243</v>
      </c>
      <c r="L52" s="206">
        <f>'BGS Cost &amp; Bid Factors'!D223-'BGS Cost &amp; Bid Factors'!D318</f>
        <v>12.952165332669338</v>
      </c>
      <c r="M52" s="111" t="s">
        <v>244</v>
      </c>
    </row>
    <row r="53" spans="2:13" x14ac:dyDescent="0.2">
      <c r="B53" s="22" t="s">
        <v>267</v>
      </c>
      <c r="K53" s="31" t="s">
        <v>246</v>
      </c>
      <c r="L53" s="206">
        <f>I52</f>
        <v>1.41</v>
      </c>
      <c r="M53" s="111" t="s">
        <v>244</v>
      </c>
    </row>
    <row r="54" spans="2:13" x14ac:dyDescent="0.2">
      <c r="K54" s="31" t="s">
        <v>248</v>
      </c>
      <c r="L54" s="190">
        <f>L52-L53</f>
        <v>11.542165332669338</v>
      </c>
      <c r="M54" s="111" t="s">
        <v>244</v>
      </c>
    </row>
    <row r="55" spans="2:13" x14ac:dyDescent="0.2">
      <c r="C55" s="19" t="str">
        <f>'BGS Cost &amp; Bid Factors'!C$6</f>
        <v>SC1</v>
      </c>
      <c r="D55" s="19" t="str">
        <f>'BGS Cost &amp; Bid Factors'!D$6</f>
        <v>SC5</v>
      </c>
      <c r="E55" s="19" t="str">
        <f>'BGS Cost &amp; Bid Factors'!E$6</f>
        <v>SC3</v>
      </c>
      <c r="F55" s="19" t="str">
        <f>'BGS Cost &amp; Bid Factors'!F$6</f>
        <v>SC2 ND</v>
      </c>
      <c r="G55" s="19" t="str">
        <f>'BGS Cost &amp; Bid Factors'!G$6</f>
        <v>SC4</v>
      </c>
      <c r="H55" s="19" t="str">
        <f>'BGS Cost &amp; Bid Factors'!H$6</f>
        <v>SC6</v>
      </c>
      <c r="I55" s="19" t="str">
        <f>'BGS Cost &amp; Bid Factors'!I$6</f>
        <v>SC2 Dem</v>
      </c>
      <c r="J55" s="23"/>
    </row>
    <row r="56" spans="2:13" x14ac:dyDescent="0.2">
      <c r="B56" s="24" t="s">
        <v>69</v>
      </c>
    </row>
    <row r="57" spans="2:13" x14ac:dyDescent="0.2">
      <c r="B57" s="128" t="s">
        <v>268</v>
      </c>
      <c r="C57" s="204">
        <f>ROUND(($D$50*C14)/10,3)</f>
        <v>7.1479999999999997</v>
      </c>
      <c r="D57" s="204">
        <f>ROUND(($D$50*D14)/10,3)</f>
        <v>6.5389999999999997</v>
      </c>
      <c r="E57" s="165"/>
      <c r="F57" s="165">
        <f>ROUND(F14*$D$50/10,3)</f>
        <v>6.28</v>
      </c>
      <c r="G57" s="165">
        <f>ROUND(G14*$D$50/10,3)</f>
        <v>4.34</v>
      </c>
      <c r="H57" s="165">
        <f>ROUND(H14*$D$50/10,3)</f>
        <v>4.3330000000000002</v>
      </c>
      <c r="I57" s="165">
        <f>ROUND((C35*$D$50+D35)/10,3)</f>
        <v>4.7839999999999998</v>
      </c>
      <c r="J57" s="165"/>
    </row>
    <row r="58" spans="2:13" x14ac:dyDescent="0.2">
      <c r="B58" s="128" t="s">
        <v>269</v>
      </c>
      <c r="C58" s="165"/>
      <c r="D58" s="165"/>
      <c r="E58" s="165">
        <f>ROUND(E15*$D$50/10,3)</f>
        <v>10.494</v>
      </c>
      <c r="F58" s="165"/>
      <c r="G58" s="165"/>
      <c r="H58" s="165"/>
      <c r="I58" s="165"/>
      <c r="J58" s="165"/>
    </row>
    <row r="59" spans="2:13" x14ac:dyDescent="0.2">
      <c r="B59" s="128" t="s">
        <v>270</v>
      </c>
      <c r="C59" s="165"/>
      <c r="D59" s="165"/>
      <c r="E59" s="165">
        <f>ROUND(E16*$D$50/10,3)</f>
        <v>4.2350000000000003</v>
      </c>
      <c r="F59" s="165"/>
      <c r="G59" s="165"/>
      <c r="H59" s="165"/>
      <c r="I59" s="165"/>
      <c r="J59" s="165"/>
    </row>
    <row r="60" spans="2:13" x14ac:dyDescent="0.2">
      <c r="B60" s="126" t="s">
        <v>41</v>
      </c>
      <c r="C60" s="204">
        <f>ROUND(($D$50*C14+C19)/10,3)</f>
        <v>5.4850000000000003</v>
      </c>
      <c r="D60" s="165">
        <f>ROUND(($D$50*D14+D19)/10,3)</f>
        <v>5.7610000000000001</v>
      </c>
      <c r="E60" s="165"/>
      <c r="F60" s="165"/>
      <c r="G60" s="165"/>
      <c r="H60" s="165"/>
      <c r="I60" s="165"/>
      <c r="J60" s="165"/>
    </row>
    <row r="61" spans="2:13" x14ac:dyDescent="0.2">
      <c r="B61" s="128" t="s">
        <v>42</v>
      </c>
      <c r="C61" s="165">
        <f>ROUND(($D$50*C14+C20)/10,3)</f>
        <v>8.3569999999999993</v>
      </c>
      <c r="D61" s="165">
        <f>ROUND(($D$50*D14+D20)/10,3)</f>
        <v>7.7889999999999997</v>
      </c>
      <c r="E61" s="165"/>
      <c r="F61" s="165"/>
      <c r="G61" s="165"/>
      <c r="H61" s="165"/>
      <c r="I61" s="165"/>
      <c r="J61" s="165"/>
    </row>
    <row r="62" spans="2:13" x14ac:dyDescent="0.2">
      <c r="B62" s="165"/>
      <c r="C62" s="165"/>
      <c r="D62" s="165"/>
      <c r="E62" s="165"/>
      <c r="F62" s="165"/>
      <c r="G62" s="165"/>
      <c r="H62" s="165"/>
      <c r="I62" s="165"/>
      <c r="J62" s="165"/>
    </row>
    <row r="63" spans="2:13" x14ac:dyDescent="0.2">
      <c r="C63" s="165"/>
      <c r="D63" s="165"/>
      <c r="E63" s="165"/>
      <c r="F63" s="165"/>
      <c r="G63" s="165"/>
      <c r="H63" s="165"/>
      <c r="I63" s="165"/>
    </row>
    <row r="64" spans="2:13" x14ac:dyDescent="0.2">
      <c r="B64" s="126" t="s">
        <v>271</v>
      </c>
      <c r="C64" s="165"/>
      <c r="D64" s="165"/>
      <c r="E64" s="165"/>
      <c r="F64" s="165"/>
      <c r="G64" s="165"/>
      <c r="H64" s="165"/>
      <c r="I64" s="165">
        <f>'BGS Cost &amp; Bid Factors'!H213</f>
        <v>1.546</v>
      </c>
      <c r="J64" s="153"/>
    </row>
    <row r="65" spans="1:12" x14ac:dyDescent="0.2">
      <c r="B65" s="126" t="s">
        <v>354</v>
      </c>
      <c r="C65" s="165"/>
      <c r="D65" s="165"/>
      <c r="E65" s="165"/>
      <c r="F65" s="165"/>
      <c r="G65" s="165"/>
      <c r="H65" s="165"/>
      <c r="I65" s="165">
        <f>'BGS Cost &amp; Bid Factors'!I213</f>
        <v>5.36</v>
      </c>
      <c r="J65" s="153"/>
    </row>
    <row r="66" spans="1:12" x14ac:dyDescent="0.2">
      <c r="C66" s="165"/>
      <c r="D66" s="165"/>
      <c r="E66" s="165"/>
      <c r="F66" s="165"/>
      <c r="G66" s="165"/>
      <c r="H66" s="165"/>
      <c r="I66" s="165"/>
    </row>
    <row r="67" spans="1:12" x14ac:dyDescent="0.2">
      <c r="B67" s="24" t="s">
        <v>62</v>
      </c>
      <c r="C67" s="165"/>
      <c r="D67" s="165"/>
      <c r="E67" s="165"/>
      <c r="F67" s="165"/>
      <c r="G67" s="165"/>
      <c r="H67" s="165"/>
      <c r="I67" s="165"/>
    </row>
    <row r="68" spans="1:12" x14ac:dyDescent="0.2">
      <c r="B68" s="128" t="s">
        <v>268</v>
      </c>
      <c r="C68" s="165">
        <f>ROUND(C23*$D$50/10,3)</f>
        <v>8.4640000000000004</v>
      </c>
      <c r="D68" s="165">
        <f>ROUND(D23*$D$50/10,3)</f>
        <v>6.8890000000000002</v>
      </c>
      <c r="E68" s="165"/>
      <c r="F68" s="165">
        <f>ROUND(F23*$D$50/10,3)</f>
        <v>6.49</v>
      </c>
      <c r="G68" s="165">
        <f>ROUND(G23*$D$50/10,3)</f>
        <v>5.069</v>
      </c>
      <c r="H68" s="165">
        <f>ROUND(H23*$D$50/10,3)</f>
        <v>5.0339999999999998</v>
      </c>
      <c r="I68" s="165">
        <f>ROUND((C39*$D$50+D39)/10,3)</f>
        <v>5.2489999999999997</v>
      </c>
    </row>
    <row r="69" spans="1:12" x14ac:dyDescent="0.2">
      <c r="B69" s="128" t="s">
        <v>269</v>
      </c>
      <c r="C69" s="165"/>
      <c r="D69" s="165"/>
      <c r="E69" s="165">
        <f>ROUND(E24*$D$50/10,3)</f>
        <v>9.8849999999999998</v>
      </c>
      <c r="F69" s="165"/>
      <c r="G69" s="165"/>
      <c r="H69" s="165"/>
      <c r="I69" s="165"/>
      <c r="J69" s="165"/>
    </row>
    <row r="70" spans="1:12" x14ac:dyDescent="0.2">
      <c r="B70" s="128" t="s">
        <v>270</v>
      </c>
      <c r="C70" s="165"/>
      <c r="D70" s="165"/>
      <c r="E70" s="165">
        <f>ROUND(E25*$D$50/10,3)</f>
        <v>5.0830000000000002</v>
      </c>
      <c r="F70" s="165"/>
      <c r="G70" s="165"/>
      <c r="H70" s="165"/>
      <c r="I70" s="165"/>
      <c r="J70" s="165"/>
    </row>
    <row r="71" spans="1:12" x14ac:dyDescent="0.2">
      <c r="C71" s="165"/>
      <c r="D71" s="165"/>
      <c r="E71" s="165"/>
      <c r="F71" s="165"/>
      <c r="G71" s="165"/>
      <c r="H71" s="165"/>
      <c r="I71" s="165"/>
    </row>
    <row r="72" spans="1:12" x14ac:dyDescent="0.2">
      <c r="B72" s="126" t="s">
        <v>271</v>
      </c>
      <c r="C72" s="165"/>
      <c r="D72" s="165"/>
      <c r="E72" s="165"/>
      <c r="F72" s="165"/>
      <c r="G72" s="165"/>
      <c r="H72" s="165"/>
      <c r="I72" s="165">
        <f>'BGS Cost &amp; Bid Factors'!H214</f>
        <v>1.502</v>
      </c>
      <c r="J72" s="153"/>
    </row>
    <row r="73" spans="1:12" x14ac:dyDescent="0.2">
      <c r="B73" s="126" t="s">
        <v>272</v>
      </c>
      <c r="C73" s="165"/>
      <c r="D73" s="165"/>
      <c r="E73" s="165"/>
      <c r="F73" s="165"/>
      <c r="G73" s="165"/>
      <c r="H73" s="165"/>
      <c r="I73" s="165">
        <f>'BGS Cost &amp; Bid Factors'!I214</f>
        <v>5.3179999999999996</v>
      </c>
      <c r="J73" s="153"/>
    </row>
    <row r="74" spans="1:12" x14ac:dyDescent="0.2">
      <c r="B74" s="126"/>
      <c r="C74" s="165"/>
      <c r="D74" s="165"/>
      <c r="E74" s="165"/>
      <c r="F74" s="165"/>
      <c r="G74" s="165"/>
      <c r="H74" s="165"/>
      <c r="I74" s="165"/>
      <c r="J74" s="153"/>
    </row>
    <row r="75" spans="1:12" x14ac:dyDescent="0.2">
      <c r="B75" s="126"/>
      <c r="I75" s="153"/>
      <c r="J75" s="153"/>
    </row>
    <row r="76" spans="1:12" x14ac:dyDescent="0.2">
      <c r="A76" s="96" t="s">
        <v>355</v>
      </c>
      <c r="B76" s="15" t="s">
        <v>356</v>
      </c>
      <c r="I76" s="153"/>
      <c r="J76" s="153"/>
    </row>
    <row r="77" spans="1:12" ht="13.5" thickBot="1" x14ac:dyDescent="0.25">
      <c r="B77" s="126"/>
      <c r="I77" s="153"/>
      <c r="J77" s="153"/>
    </row>
    <row r="78" spans="1:12" x14ac:dyDescent="0.2">
      <c r="C78" s="19" t="str">
        <f>'BGS Cost &amp; Bid Factors'!C$6</f>
        <v>SC1</v>
      </c>
      <c r="D78" s="19" t="str">
        <f>'BGS Cost &amp; Bid Factors'!D$6</f>
        <v>SC5</v>
      </c>
      <c r="E78" s="19" t="str">
        <f>'BGS Cost &amp; Bid Factors'!E$6</f>
        <v>SC3</v>
      </c>
      <c r="F78" s="19" t="str">
        <f>'BGS Cost &amp; Bid Factors'!F$6</f>
        <v>SC2 ND</v>
      </c>
      <c r="G78" s="19" t="str">
        <f>'BGS Cost &amp; Bid Factors'!G$6</f>
        <v>SC4</v>
      </c>
      <c r="H78" s="19" t="str">
        <f>'BGS Cost &amp; Bid Factors'!H$6</f>
        <v>SC6</v>
      </c>
      <c r="I78" s="19" t="str">
        <f>'BGS Cost &amp; Bid Factors'!I$6</f>
        <v>SC2 Dem</v>
      </c>
      <c r="J78" s="153"/>
      <c r="K78" s="173" t="s">
        <v>156</v>
      </c>
      <c r="L78" s="174"/>
    </row>
    <row r="79" spans="1:12" x14ac:dyDescent="0.2">
      <c r="B79" s="162" t="s">
        <v>290</v>
      </c>
      <c r="J79" s="153"/>
      <c r="K79" s="175"/>
      <c r="L79" s="176" t="s">
        <v>159</v>
      </c>
    </row>
    <row r="80" spans="1:12" x14ac:dyDescent="0.2">
      <c r="B80" s="145" t="s">
        <v>69</v>
      </c>
      <c r="C80" s="16">
        <f>ROUND((C57*'BGS Cost &amp; Bid Factors'!M$48)/100,0)</f>
        <v>20054</v>
      </c>
      <c r="D80" s="16">
        <f>ROUND((D57*'BGS Cost &amp; Bid Factors'!N$48)/100,0)</f>
        <v>301</v>
      </c>
      <c r="E80" s="108">
        <f>ROUND((E58*'BGS Cost &amp; Bid Factors'!O$49+E59*'BGS Cost &amp; Bid Factors'!O$50)/100,0)</f>
        <v>6</v>
      </c>
      <c r="F80" s="16">
        <f>ROUND((F57*'BGS Cost &amp; Bid Factors'!P$48)/100,0)</f>
        <v>440</v>
      </c>
      <c r="G80" s="16">
        <f>ROUND((G57*'BGS Cost &amp; Bid Factors'!Q$48)/100,0)</f>
        <v>58</v>
      </c>
      <c r="H80" s="16">
        <f>ROUND((H57*'BGS Cost &amp; Bid Factors'!R$48)/100,0)</f>
        <v>64</v>
      </c>
      <c r="I80" s="108">
        <f>ROUND(I57*'BGS Cost &amp; Bid Factors'!S$48/100+(I64*($L$80/4*'BGS Cost &amp; Bid Factors'!H$144)+I65*($L$80/4*'BGS Cost &amp; Bid Factors'!H$144))/1000,0)</f>
        <v>8081</v>
      </c>
      <c r="J80" s="153"/>
      <c r="K80" s="175" t="s">
        <v>69</v>
      </c>
      <c r="L80" s="177">
        <v>337167.05299470644</v>
      </c>
    </row>
    <row r="81" spans="2:12" ht="13.5" thickBot="1" x14ac:dyDescent="0.25">
      <c r="B81" s="145" t="s">
        <v>62</v>
      </c>
      <c r="C81" s="25">
        <f>ROUND(C68*'BGS Cost &amp; Bid Factors'!M$44/100,0)</f>
        <v>31091</v>
      </c>
      <c r="D81" s="25">
        <f>ROUND(D68*'BGS Cost &amp; Bid Factors'!N$44/100,0)</f>
        <v>642</v>
      </c>
      <c r="E81" s="109">
        <f>ROUND((E69*'BGS Cost &amp; Bid Factors'!O$45+E70*'BGS Cost &amp; Bid Factors'!O$46)/100,0)</f>
        <v>14</v>
      </c>
      <c r="F81" s="25">
        <f>ROUND(F68*'BGS Cost &amp; Bid Factors'!P$44/100,0)</f>
        <v>1010</v>
      </c>
      <c r="G81" s="25">
        <f>ROUND(G68*'BGS Cost &amp; Bid Factors'!Q$44/100,0)</f>
        <v>173</v>
      </c>
      <c r="H81" s="25">
        <f>ROUND(H68*'BGS Cost &amp; Bid Factors'!R$44/100,0)</f>
        <v>185</v>
      </c>
      <c r="I81" s="109">
        <f>ROUND(I68*'BGS Cost &amp; Bid Factors'!S$44/100+(I72*($L$81/8*'BGS Cost &amp; Bid Factors'!H$145)++I73*($L$81/8*'BGS Cost &amp; Bid Factors'!H$145))/1000,0)</f>
        <v>15416</v>
      </c>
      <c r="J81" s="153"/>
      <c r="K81" s="178" t="s">
        <v>62</v>
      </c>
      <c r="L81" s="179">
        <v>598866.51965902583</v>
      </c>
    </row>
    <row r="82" spans="2:12" x14ac:dyDescent="0.2">
      <c r="B82" s="145" t="s">
        <v>36</v>
      </c>
      <c r="C82" s="152">
        <f t="shared" ref="C82:I82" si="0">+C81+C80</f>
        <v>51145</v>
      </c>
      <c r="D82" s="152">
        <f t="shared" si="0"/>
        <v>943</v>
      </c>
      <c r="E82" s="152">
        <f t="shared" si="0"/>
        <v>20</v>
      </c>
      <c r="F82" s="152">
        <f t="shared" si="0"/>
        <v>1450</v>
      </c>
      <c r="G82" s="152">
        <f t="shared" si="0"/>
        <v>231</v>
      </c>
      <c r="H82" s="152">
        <f t="shared" si="0"/>
        <v>249</v>
      </c>
      <c r="I82" s="152">
        <f t="shared" si="0"/>
        <v>23497</v>
      </c>
      <c r="J82" s="153"/>
    </row>
    <row r="83" spans="2:12" x14ac:dyDescent="0.2">
      <c r="B83" s="145"/>
      <c r="C83" s="152"/>
      <c r="D83" s="152"/>
      <c r="E83" s="152"/>
      <c r="F83" s="152"/>
      <c r="G83" s="152"/>
      <c r="H83" s="152"/>
      <c r="I83" s="152"/>
      <c r="J83" s="153"/>
    </row>
    <row r="84" spans="2:12" x14ac:dyDescent="0.2">
      <c r="B84" s="145" t="s">
        <v>36</v>
      </c>
      <c r="C84" s="152"/>
      <c r="D84" s="152"/>
      <c r="E84" s="152"/>
      <c r="F84" s="152"/>
      <c r="G84" s="152"/>
      <c r="H84" s="152"/>
      <c r="I84" s="152"/>
      <c r="J84" s="153"/>
    </row>
    <row r="85" spans="2:12" x14ac:dyDescent="0.2">
      <c r="B85" s="145" t="s">
        <v>69</v>
      </c>
      <c r="C85" s="152">
        <f>SUM(C80:I80)</f>
        <v>29004</v>
      </c>
      <c r="D85" s="152"/>
      <c r="E85" s="152"/>
      <c r="F85" s="152"/>
      <c r="H85" s="152"/>
      <c r="I85" s="152"/>
      <c r="J85" s="153"/>
    </row>
    <row r="86" spans="2:12" x14ac:dyDescent="0.2">
      <c r="B86" s="145" t="s">
        <v>62</v>
      </c>
      <c r="C86" s="26">
        <f>SUM(C81:I81)</f>
        <v>48531</v>
      </c>
      <c r="E86" s="182"/>
      <c r="J86" s="153"/>
    </row>
    <row r="87" spans="2:12" x14ac:dyDescent="0.2">
      <c r="B87" s="145" t="s">
        <v>36</v>
      </c>
      <c r="C87" s="152">
        <f>+C86+C85</f>
        <v>77535</v>
      </c>
      <c r="E87" s="182"/>
      <c r="J87" s="153"/>
    </row>
    <row r="88" spans="2:12" x14ac:dyDescent="0.2">
      <c r="B88" s="145"/>
      <c r="C88" s="152"/>
      <c r="E88" s="182"/>
      <c r="J88" s="153"/>
    </row>
    <row r="89" spans="2:12" x14ac:dyDescent="0.2">
      <c r="C89" s="182"/>
      <c r="D89" s="182"/>
      <c r="E89" s="182"/>
      <c r="F89" s="182"/>
      <c r="G89" s="182"/>
      <c r="H89" s="182"/>
      <c r="I89" s="182"/>
      <c r="J89" s="153"/>
    </row>
    <row r="90" spans="2:12" x14ac:dyDescent="0.2">
      <c r="B90" s="24" t="s">
        <v>357</v>
      </c>
      <c r="C90" s="182"/>
      <c r="D90" s="182"/>
      <c r="E90" s="182"/>
      <c r="F90" s="182"/>
      <c r="G90" s="182"/>
      <c r="H90" s="182"/>
      <c r="I90" s="182"/>
      <c r="J90" s="153"/>
    </row>
    <row r="91" spans="2:12" x14ac:dyDescent="0.2">
      <c r="C91" s="182"/>
      <c r="D91" s="182"/>
      <c r="E91" s="182"/>
      <c r="F91" s="182"/>
      <c r="G91" s="182"/>
      <c r="H91" s="182"/>
      <c r="I91" s="182"/>
      <c r="J91" s="153"/>
    </row>
    <row r="92" spans="2:12" ht="15" x14ac:dyDescent="0.35">
      <c r="B92" s="111" t="s">
        <v>358</v>
      </c>
      <c r="C92" s="40" t="s">
        <v>36</v>
      </c>
      <c r="D92" s="40" t="s">
        <v>338</v>
      </c>
      <c r="E92" s="40" t="s">
        <v>359</v>
      </c>
      <c r="F92" s="182"/>
      <c r="G92" s="182"/>
      <c r="H92" s="182"/>
      <c r="I92" s="182"/>
      <c r="J92" s="153"/>
    </row>
    <row r="93" spans="2:12" x14ac:dyDescent="0.2">
      <c r="B93" s="145" t="s">
        <v>69</v>
      </c>
      <c r="C93" s="152">
        <f>'Weighted Avg Price Calc'!G$27/1000</f>
        <v>33627.32</v>
      </c>
      <c r="D93" s="188">
        <f>ROUND('BGS Cost &amp; Bid Factors'!$C$147*SUM('BGS Cost &amp; Bid Factors'!$C$141:$I$141)/12*'BGS Cost &amp; Bid Factors'!H$144/1000*'BGS Cost &amp; Bid Factors'!D447,0)</f>
        <v>4581</v>
      </c>
      <c r="E93" s="152">
        <f>C93-D93</f>
        <v>29046.32</v>
      </c>
      <c r="F93" s="182"/>
      <c r="G93" s="182"/>
      <c r="H93" s="182"/>
      <c r="I93" s="182"/>
      <c r="J93" s="153"/>
    </row>
    <row r="94" spans="2:12" ht="15" x14ac:dyDescent="0.35">
      <c r="B94" s="145" t="s">
        <v>62</v>
      </c>
      <c r="C94" s="41">
        <f>'Weighted Avg Price Calc'!G$28/1000</f>
        <v>49825.237999999998</v>
      </c>
      <c r="D94" s="41">
        <f>ROUND('BGS Cost &amp; Bid Factors'!$C$147*SUM('BGS Cost &amp; Bid Factors'!$C$141:$I$141)/12*'BGS Cost &amp; Bid Factors'!H$145/1000*'BGS Cost &amp; Bid Factors'!F459,0)</f>
        <v>9163</v>
      </c>
      <c r="E94" s="41">
        <f>C94-D94</f>
        <v>40662.237999999998</v>
      </c>
      <c r="F94" s="182"/>
      <c r="G94" s="182"/>
      <c r="H94" s="182"/>
      <c r="I94" s="182"/>
      <c r="J94" s="153"/>
    </row>
    <row r="95" spans="2:12" x14ac:dyDescent="0.2">
      <c r="B95" s="145" t="s">
        <v>36</v>
      </c>
      <c r="C95" s="152">
        <f>+C94+C93</f>
        <v>83452.55799999999</v>
      </c>
      <c r="D95" s="152">
        <f>D93+D94</f>
        <v>13744</v>
      </c>
      <c r="E95" s="152">
        <f>E93+E94</f>
        <v>69708.55799999999</v>
      </c>
      <c r="F95" s="182"/>
      <c r="G95" s="182"/>
      <c r="H95" s="182"/>
      <c r="I95" s="182"/>
      <c r="J95" s="153"/>
    </row>
    <row r="96" spans="2:12" x14ac:dyDescent="0.2">
      <c r="C96" s="182"/>
      <c r="D96" s="182"/>
      <c r="E96" s="182"/>
      <c r="F96" s="182"/>
      <c r="G96" s="182"/>
      <c r="H96" s="182"/>
      <c r="I96" s="182"/>
      <c r="J96" s="153"/>
    </row>
    <row r="97" spans="2:10" ht="15" x14ac:dyDescent="0.35">
      <c r="B97" s="111" t="s">
        <v>360</v>
      </c>
      <c r="C97" s="40" t="s">
        <v>36</v>
      </c>
      <c r="D97" s="40" t="s">
        <v>338</v>
      </c>
      <c r="E97" s="40" t="s">
        <v>359</v>
      </c>
      <c r="F97" s="182"/>
      <c r="G97" s="182"/>
      <c r="H97" s="182"/>
      <c r="I97" s="182"/>
      <c r="J97" s="153"/>
    </row>
    <row r="98" spans="2:10" x14ac:dyDescent="0.2">
      <c r="B98" s="145" t="s">
        <v>69</v>
      </c>
      <c r="C98" s="152">
        <f>ROUND($E$251*1000*'Weighted Avg Price Calc'!E40/100/1000,0)</f>
        <v>2793</v>
      </c>
      <c r="D98" s="152">
        <v>0</v>
      </c>
      <c r="E98" s="152">
        <f>C98-D98</f>
        <v>2793</v>
      </c>
      <c r="F98" s="182"/>
      <c r="G98" s="182"/>
      <c r="H98" s="182"/>
      <c r="I98" s="182"/>
      <c r="J98" s="153"/>
    </row>
    <row r="99" spans="2:10" ht="15" x14ac:dyDescent="0.35">
      <c r="B99" s="145" t="s">
        <v>62</v>
      </c>
      <c r="C99" s="41">
        <f>ROUND($E$252*1000*'Weighted Avg Price Calc'!E40/100/1000,0)</f>
        <v>4100</v>
      </c>
      <c r="D99" s="41">
        <v>0</v>
      </c>
      <c r="E99" s="41">
        <f>C99-D99</f>
        <v>4100</v>
      </c>
      <c r="F99" s="182"/>
      <c r="G99" s="182"/>
      <c r="H99" s="182"/>
      <c r="I99" s="182"/>
      <c r="J99" s="153"/>
    </row>
    <row r="100" spans="2:10" x14ac:dyDescent="0.2">
      <c r="B100" s="145" t="s">
        <v>36</v>
      </c>
      <c r="C100" s="152">
        <f>+C99+C98</f>
        <v>6893</v>
      </c>
      <c r="D100" s="152">
        <f>D98+D99</f>
        <v>0</v>
      </c>
      <c r="E100" s="152">
        <f>E98+E99</f>
        <v>6893</v>
      </c>
      <c r="F100" s="182"/>
      <c r="G100" s="182"/>
      <c r="H100" s="182"/>
      <c r="I100" s="182"/>
      <c r="J100" s="153"/>
    </row>
    <row r="101" spans="2:10" x14ac:dyDescent="0.2">
      <c r="C101" s="182"/>
      <c r="D101" s="182"/>
      <c r="E101" s="182"/>
      <c r="F101" s="182"/>
      <c r="G101" s="182"/>
      <c r="H101" s="182"/>
      <c r="I101" s="182"/>
      <c r="J101" s="153"/>
    </row>
    <row r="102" spans="2:10" ht="15" x14ac:dyDescent="0.35">
      <c r="B102" s="111" t="s">
        <v>361</v>
      </c>
      <c r="C102" s="40" t="s">
        <v>36</v>
      </c>
      <c r="D102" s="40" t="s">
        <v>338</v>
      </c>
      <c r="E102" s="40" t="s">
        <v>359</v>
      </c>
      <c r="F102" s="182"/>
      <c r="G102" s="182"/>
      <c r="H102" s="182"/>
      <c r="I102" s="182"/>
      <c r="J102" s="153"/>
    </row>
    <row r="103" spans="2:10" x14ac:dyDescent="0.2">
      <c r="B103" s="145" t="s">
        <v>69</v>
      </c>
      <c r="C103" s="152">
        <f>C93+C98</f>
        <v>36420.32</v>
      </c>
      <c r="D103" s="152">
        <f>D93+D98</f>
        <v>4581</v>
      </c>
      <c r="E103" s="152">
        <f>C103-D103</f>
        <v>31839.32</v>
      </c>
      <c r="J103" s="153"/>
    </row>
    <row r="104" spans="2:10" ht="15" x14ac:dyDescent="0.35">
      <c r="B104" s="145" t="s">
        <v>62</v>
      </c>
      <c r="C104" s="41">
        <f>C94+C99</f>
        <v>53925.237999999998</v>
      </c>
      <c r="D104" s="41">
        <f>D94+D99</f>
        <v>9163</v>
      </c>
      <c r="E104" s="41">
        <f>C104-D104</f>
        <v>44762.237999999998</v>
      </c>
      <c r="J104" s="153"/>
    </row>
    <row r="105" spans="2:10" x14ac:dyDescent="0.2">
      <c r="B105" s="145" t="s">
        <v>36</v>
      </c>
      <c r="C105" s="152">
        <f>+C104+C103</f>
        <v>90345.55799999999</v>
      </c>
      <c r="D105" s="152">
        <f>+D104+D103</f>
        <v>13744</v>
      </c>
      <c r="E105" s="152">
        <f>E103+E104</f>
        <v>76601.55799999999</v>
      </c>
      <c r="J105" s="153"/>
    </row>
    <row r="106" spans="2:10" x14ac:dyDescent="0.2">
      <c r="C106" s="182"/>
      <c r="D106" s="28"/>
      <c r="E106" s="182"/>
      <c r="F106" s="107"/>
      <c r="G106" s="126" t="s">
        <v>362</v>
      </c>
      <c r="J106" s="153"/>
    </row>
    <row r="107" spans="2:10" x14ac:dyDescent="0.2">
      <c r="B107" s="111" t="s">
        <v>111</v>
      </c>
      <c r="C107" s="126" t="s">
        <v>332</v>
      </c>
      <c r="D107" s="126" t="s">
        <v>332</v>
      </c>
      <c r="E107" s="126"/>
      <c r="G107" s="126" t="s">
        <v>363</v>
      </c>
      <c r="J107" s="153"/>
    </row>
    <row r="108" spans="2:10" x14ac:dyDescent="0.2">
      <c r="B108" s="126"/>
      <c r="C108" s="100" t="s">
        <v>364</v>
      </c>
      <c r="D108" s="100" t="s">
        <v>365</v>
      </c>
      <c r="E108" s="100" t="s">
        <v>366</v>
      </c>
      <c r="G108" s="100" t="s">
        <v>367</v>
      </c>
      <c r="I108" s="153"/>
      <c r="J108" s="153"/>
    </row>
    <row r="109" spans="2:10" x14ac:dyDescent="0.2">
      <c r="B109" s="145" t="s">
        <v>69</v>
      </c>
      <c r="C109" s="152">
        <f>C85</f>
        <v>29004</v>
      </c>
      <c r="D109" s="152">
        <f>E103</f>
        <v>31839.32</v>
      </c>
      <c r="E109" s="152">
        <f>D109-C109</f>
        <v>2835.3199999999997</v>
      </c>
      <c r="G109" s="10">
        <f>ROUND(1+E109/C85,5)</f>
        <v>1.0977600000000001</v>
      </c>
      <c r="I109" s="153"/>
      <c r="J109" s="153"/>
    </row>
    <row r="110" spans="2:10" x14ac:dyDescent="0.2">
      <c r="B110" s="145" t="s">
        <v>62</v>
      </c>
      <c r="C110" s="26">
        <f>C86</f>
        <v>48531</v>
      </c>
      <c r="D110" s="26">
        <f>E104</f>
        <v>44762.237999999998</v>
      </c>
      <c r="E110" s="26">
        <f>D110-C110</f>
        <v>-3768.7620000000024</v>
      </c>
      <c r="G110" s="10">
        <f>ROUND(1+E110/C86,5)</f>
        <v>0.92234000000000005</v>
      </c>
      <c r="I110" s="153"/>
      <c r="J110" s="153"/>
    </row>
    <row r="111" spans="2:10" x14ac:dyDescent="0.2">
      <c r="B111" s="145" t="s">
        <v>36</v>
      </c>
      <c r="C111" s="152">
        <f>+C110+C109</f>
        <v>77535</v>
      </c>
      <c r="D111" s="152">
        <f>+D110+D109</f>
        <v>76601.55799999999</v>
      </c>
      <c r="E111" s="152">
        <f>+E110+E109</f>
        <v>-933.44200000000274</v>
      </c>
      <c r="I111" s="153"/>
      <c r="J111" s="153"/>
    </row>
    <row r="112" spans="2:10" x14ac:dyDescent="0.2">
      <c r="B112" s="126"/>
      <c r="I112" s="153"/>
      <c r="J112" s="153"/>
    </row>
    <row r="113" spans="1:36" x14ac:dyDescent="0.2">
      <c r="A113" s="96" t="s">
        <v>368</v>
      </c>
      <c r="B113" s="15" t="s">
        <v>369</v>
      </c>
    </row>
    <row r="114" spans="1:36" x14ac:dyDescent="0.2">
      <c r="A114" s="96"/>
      <c r="B114" s="15"/>
    </row>
    <row r="115" spans="1:36" x14ac:dyDescent="0.2">
      <c r="A115" s="96"/>
      <c r="B115" s="15"/>
    </row>
    <row r="116" spans="1:36" x14ac:dyDescent="0.2">
      <c r="B116" s="209" t="s">
        <v>370</v>
      </c>
      <c r="K116" s="209" t="s">
        <v>371</v>
      </c>
      <c r="T116" s="209" t="s">
        <v>366</v>
      </c>
      <c r="AC116" s="209" t="s">
        <v>366</v>
      </c>
    </row>
    <row r="117" spans="1:36" x14ac:dyDescent="0.2">
      <c r="B117" s="10"/>
      <c r="K117" s="10"/>
      <c r="T117" s="10"/>
      <c r="AC117" s="10"/>
    </row>
    <row r="118" spans="1:36" x14ac:dyDescent="0.2">
      <c r="C118" s="19" t="str">
        <f>'BGS Cost &amp; Bid Factors'!C$6</f>
        <v>SC1</v>
      </c>
      <c r="D118" s="19" t="str">
        <f>'BGS Cost &amp; Bid Factors'!D$6</f>
        <v>SC5</v>
      </c>
      <c r="E118" s="19" t="str">
        <f>'BGS Cost &amp; Bid Factors'!E$6</f>
        <v>SC3</v>
      </c>
      <c r="F118" s="19" t="str">
        <f>'BGS Cost &amp; Bid Factors'!F$6</f>
        <v>SC2 ND</v>
      </c>
      <c r="G118" s="19" t="str">
        <f>'BGS Cost &amp; Bid Factors'!G$6</f>
        <v>SC4</v>
      </c>
      <c r="H118" s="19" t="str">
        <f>'BGS Cost &amp; Bid Factors'!H$6</f>
        <v>SC6</v>
      </c>
      <c r="I118" s="19" t="str">
        <f>'BGS Cost &amp; Bid Factors'!I$6</f>
        <v>SC2 Dem</v>
      </c>
      <c r="J118" s="23"/>
      <c r="L118" s="19" t="s">
        <v>7</v>
      </c>
      <c r="M118" s="19" t="s">
        <v>8</v>
      </c>
      <c r="N118" s="19" t="s">
        <v>9</v>
      </c>
      <c r="O118" s="19" t="s">
        <v>10</v>
      </c>
      <c r="P118" s="19" t="s">
        <v>11</v>
      </c>
      <c r="Q118" s="19" t="s">
        <v>12</v>
      </c>
      <c r="R118" s="19" t="s">
        <v>13</v>
      </c>
      <c r="U118" s="19" t="s">
        <v>7</v>
      </c>
      <c r="V118" s="19" t="s">
        <v>8</v>
      </c>
      <c r="W118" s="19" t="s">
        <v>9</v>
      </c>
      <c r="X118" s="19" t="s">
        <v>10</v>
      </c>
      <c r="Y118" s="19" t="s">
        <v>11</v>
      </c>
      <c r="Z118" s="19" t="s">
        <v>12</v>
      </c>
      <c r="AA118" s="19" t="s">
        <v>13</v>
      </c>
      <c r="AD118" s="19" t="s">
        <v>7</v>
      </c>
      <c r="AE118" s="19" t="s">
        <v>8</v>
      </c>
      <c r="AF118" s="19" t="s">
        <v>9</v>
      </c>
      <c r="AG118" s="19" t="s">
        <v>10</v>
      </c>
      <c r="AH118" s="19" t="s">
        <v>11</v>
      </c>
      <c r="AI118" s="19" t="s">
        <v>12</v>
      </c>
      <c r="AJ118" s="19" t="s">
        <v>13</v>
      </c>
    </row>
    <row r="119" spans="1:36" x14ac:dyDescent="0.2">
      <c r="C119" s="23"/>
      <c r="D119" s="23"/>
      <c r="E119" s="23"/>
      <c r="F119" s="23"/>
      <c r="G119" s="23"/>
      <c r="H119" s="23"/>
      <c r="I119" s="23"/>
      <c r="J119" s="23"/>
      <c r="L119" s="23"/>
      <c r="M119" s="23"/>
      <c r="N119" s="23"/>
      <c r="O119" s="23"/>
      <c r="P119" s="23"/>
      <c r="Q119" s="23"/>
      <c r="R119" s="23"/>
      <c r="U119" s="23"/>
      <c r="V119" s="23"/>
      <c r="W119" s="23"/>
      <c r="X119" s="23"/>
      <c r="Y119" s="23"/>
      <c r="Z119" s="23"/>
      <c r="AA119" s="23"/>
      <c r="AD119" s="23"/>
      <c r="AE119" s="23"/>
      <c r="AF119" s="23"/>
      <c r="AG119" s="23"/>
      <c r="AH119" s="23"/>
      <c r="AI119" s="23"/>
      <c r="AJ119" s="23"/>
    </row>
    <row r="120" spans="1:36" x14ac:dyDescent="0.2">
      <c r="B120" s="24" t="s">
        <v>69</v>
      </c>
      <c r="K120" s="24" t="s">
        <v>69</v>
      </c>
      <c r="T120" s="24" t="s">
        <v>69</v>
      </c>
      <c r="AC120" s="24" t="s">
        <v>69</v>
      </c>
    </row>
    <row r="121" spans="1:36" x14ac:dyDescent="0.2">
      <c r="B121" s="128" t="s">
        <v>268</v>
      </c>
      <c r="C121" s="247">
        <f>ROUND(C57*$G$109,3)</f>
        <v>7.8470000000000004</v>
      </c>
      <c r="D121" s="247">
        <f>ROUND(D57*$G$109,3)</f>
        <v>7.1779999999999999</v>
      </c>
      <c r="E121" s="248"/>
      <c r="F121" s="247">
        <f>ROUND(F57*$G$109,3)</f>
        <v>6.8940000000000001</v>
      </c>
      <c r="G121" s="247">
        <f>ROUND(G57*$G$109,3)</f>
        <v>4.7640000000000002</v>
      </c>
      <c r="H121" s="247">
        <f>ROUND(H57*$G$109,3)</f>
        <v>4.7569999999999997</v>
      </c>
      <c r="I121" s="247">
        <f>ROUND(I57*$G$109,3)</f>
        <v>5.2519999999999998</v>
      </c>
      <c r="J121" s="165"/>
      <c r="K121" s="162" t="s">
        <v>268</v>
      </c>
      <c r="L121" s="247">
        <v>9.5500000000000007</v>
      </c>
      <c r="M121" s="247">
        <v>8.9689999999999994</v>
      </c>
      <c r="N121" s="248"/>
      <c r="O121" s="247">
        <v>9.7089999999999996</v>
      </c>
      <c r="P121" s="247">
        <v>5.8860000000000001</v>
      </c>
      <c r="Q121" s="247">
        <v>5.8860000000000001</v>
      </c>
      <c r="R121" s="247">
        <v>7.4980000000000002</v>
      </c>
      <c r="T121" s="162" t="s">
        <v>268</v>
      </c>
      <c r="U121" s="247">
        <f>C121-L121</f>
        <v>-1.7030000000000003</v>
      </c>
      <c r="V121" s="247">
        <f>D121-M121</f>
        <v>-1.7909999999999995</v>
      </c>
      <c r="W121" s="248"/>
      <c r="X121" s="247">
        <f t="shared" ref="X121:AA121" si="1">F121-O121</f>
        <v>-2.8149999999999995</v>
      </c>
      <c r="Y121" s="247">
        <f t="shared" si="1"/>
        <v>-1.1219999999999999</v>
      </c>
      <c r="Z121" s="247">
        <f t="shared" si="1"/>
        <v>-1.1290000000000004</v>
      </c>
      <c r="AA121" s="247">
        <f t="shared" si="1"/>
        <v>-2.2460000000000004</v>
      </c>
      <c r="AC121" s="162" t="s">
        <v>268</v>
      </c>
      <c r="AD121" s="124">
        <f>U121/L121</f>
        <v>-0.17832460732984295</v>
      </c>
      <c r="AE121" s="124">
        <f>V121/M121</f>
        <v>-0.19968781358010923</v>
      </c>
      <c r="AF121" s="248"/>
      <c r="AG121" s="124">
        <f t="shared" ref="AG121:AJ121" si="2">X121/O121</f>
        <v>-0.28993717169636418</v>
      </c>
      <c r="AH121" s="124">
        <f t="shared" si="2"/>
        <v>-0.19062181447502546</v>
      </c>
      <c r="AI121" s="124">
        <f t="shared" si="2"/>
        <v>-0.19181107713217813</v>
      </c>
      <c r="AJ121" s="124">
        <f t="shared" si="2"/>
        <v>-0.29954654574553219</v>
      </c>
    </row>
    <row r="122" spans="1:36" x14ac:dyDescent="0.2">
      <c r="B122" s="128" t="s">
        <v>269</v>
      </c>
      <c r="C122" s="248"/>
      <c r="D122" s="248"/>
      <c r="E122" s="247">
        <f>ROUND(E58*$G$109,3)</f>
        <v>11.52</v>
      </c>
      <c r="F122" s="248"/>
      <c r="G122" s="248"/>
      <c r="H122" s="248"/>
      <c r="I122" s="248"/>
      <c r="J122" s="165"/>
      <c r="K122" s="162" t="s">
        <v>269</v>
      </c>
      <c r="L122" s="248"/>
      <c r="M122" s="248"/>
      <c r="N122" s="247">
        <v>14.58</v>
      </c>
      <c r="O122" s="248"/>
      <c r="P122" s="248"/>
      <c r="Q122" s="248"/>
      <c r="R122" s="248"/>
      <c r="T122" s="162" t="s">
        <v>269</v>
      </c>
      <c r="U122" s="248"/>
      <c r="V122" s="248"/>
      <c r="W122" s="247">
        <f t="shared" ref="W122:W123" si="3">E122-N122</f>
        <v>-3.0600000000000005</v>
      </c>
      <c r="X122" s="248"/>
      <c r="Y122" s="248"/>
      <c r="Z122" s="248"/>
      <c r="AA122" s="248"/>
      <c r="AC122" s="162" t="s">
        <v>269</v>
      </c>
      <c r="AD122" s="248"/>
      <c r="AE122" s="248"/>
      <c r="AF122" s="124">
        <f>W122/N122</f>
        <v>-0.20987654320987659</v>
      </c>
      <c r="AG122" s="248"/>
      <c r="AH122" s="248"/>
      <c r="AI122" s="248"/>
      <c r="AJ122" s="248"/>
    </row>
    <row r="123" spans="1:36" x14ac:dyDescent="0.2">
      <c r="B123" s="128" t="s">
        <v>270</v>
      </c>
      <c r="C123" s="248"/>
      <c r="D123" s="248"/>
      <c r="E123" s="247">
        <f>ROUND(E59*$G$109,3)</f>
        <v>4.649</v>
      </c>
      <c r="F123" s="248"/>
      <c r="G123" s="248"/>
      <c r="H123" s="248"/>
      <c r="I123" s="248"/>
      <c r="J123" s="165"/>
      <c r="K123" s="162" t="s">
        <v>270</v>
      </c>
      <c r="L123" s="248"/>
      <c r="M123" s="248"/>
      <c r="N123" s="247">
        <v>5.7709999999999999</v>
      </c>
      <c r="O123" s="248"/>
      <c r="P123" s="248"/>
      <c r="Q123" s="248"/>
      <c r="R123" s="248"/>
      <c r="T123" s="162" t="s">
        <v>270</v>
      </c>
      <c r="U123" s="248"/>
      <c r="V123" s="248"/>
      <c r="W123" s="247">
        <f t="shared" si="3"/>
        <v>-1.1219999999999999</v>
      </c>
      <c r="X123" s="248"/>
      <c r="Y123" s="248"/>
      <c r="Z123" s="248"/>
      <c r="AA123" s="248"/>
      <c r="AC123" s="162" t="s">
        <v>270</v>
      </c>
      <c r="AD123" s="248"/>
      <c r="AE123" s="248"/>
      <c r="AF123" s="124">
        <f>W123/N123</f>
        <v>-0.19442037775082308</v>
      </c>
      <c r="AG123" s="248"/>
      <c r="AH123" s="248"/>
      <c r="AI123" s="248"/>
      <c r="AJ123" s="248"/>
    </row>
    <row r="124" spans="1:36" x14ac:dyDescent="0.2">
      <c r="B124" s="126" t="s">
        <v>41</v>
      </c>
      <c r="C124" s="247">
        <f>ROUND(C60*$G$109,3)</f>
        <v>6.0209999999999999</v>
      </c>
      <c r="D124" s="247">
        <f>ROUND(D60*$G$109,3)</f>
        <v>6.3239999999999998</v>
      </c>
      <c r="E124" s="248"/>
      <c r="F124" s="248"/>
      <c r="G124" s="248"/>
      <c r="H124" s="248"/>
      <c r="I124" s="248"/>
      <c r="J124" s="165"/>
      <c r="K124" s="110" t="s">
        <v>41</v>
      </c>
      <c r="L124" s="247">
        <v>8.4120000000000008</v>
      </c>
      <c r="M124" s="247">
        <v>7.6520000000000001</v>
      </c>
      <c r="N124" s="248"/>
      <c r="O124" s="248"/>
      <c r="P124" s="248"/>
      <c r="Q124" s="248"/>
      <c r="R124" s="248"/>
      <c r="T124" s="110" t="s">
        <v>41</v>
      </c>
      <c r="U124" s="247">
        <f t="shared" ref="U124:V125" si="4">C124-L124</f>
        <v>-2.3910000000000009</v>
      </c>
      <c r="V124" s="247">
        <f t="shared" si="4"/>
        <v>-1.3280000000000003</v>
      </c>
      <c r="W124" s="248"/>
      <c r="X124" s="248"/>
      <c r="Y124" s="248"/>
      <c r="Z124" s="248"/>
      <c r="AA124" s="248"/>
      <c r="AC124" s="110" t="s">
        <v>41</v>
      </c>
      <c r="AD124" s="124">
        <f t="shared" ref="AD124:AE126" si="5">U124/L124</f>
        <v>-0.28423680456490735</v>
      </c>
      <c r="AE124" s="124">
        <f t="shared" si="5"/>
        <v>-0.17354939884997389</v>
      </c>
      <c r="AF124" s="248"/>
      <c r="AG124" s="248"/>
      <c r="AH124" s="248"/>
      <c r="AI124" s="248"/>
      <c r="AJ124" s="248"/>
    </row>
    <row r="125" spans="1:36" x14ac:dyDescent="0.2">
      <c r="B125" s="128" t="s">
        <v>42</v>
      </c>
      <c r="C125" s="247">
        <f>ROUND(C61*$G$109,3)</f>
        <v>9.1739999999999995</v>
      </c>
      <c r="D125" s="247">
        <f>ROUND(D61*$G$109,3)</f>
        <v>8.5500000000000007</v>
      </c>
      <c r="E125" s="248"/>
      <c r="F125" s="248"/>
      <c r="G125" s="248"/>
      <c r="H125" s="248"/>
      <c r="I125" s="248"/>
      <c r="J125" s="165"/>
      <c r="K125" s="162" t="s">
        <v>42</v>
      </c>
      <c r="L125" s="247">
        <v>9.8390000000000004</v>
      </c>
      <c r="M125" s="247">
        <v>9.0920000000000005</v>
      </c>
      <c r="N125" s="248"/>
      <c r="O125" s="248"/>
      <c r="P125" s="248"/>
      <c r="Q125" s="248"/>
      <c r="R125" s="248"/>
      <c r="T125" s="162" t="s">
        <v>42</v>
      </c>
      <c r="U125" s="247">
        <f t="shared" si="4"/>
        <v>-0.66500000000000092</v>
      </c>
      <c r="V125" s="247">
        <f t="shared" si="4"/>
        <v>-0.54199999999999982</v>
      </c>
      <c r="W125" s="248"/>
      <c r="X125" s="248"/>
      <c r="Y125" s="248"/>
      <c r="Z125" s="248"/>
      <c r="AA125" s="248"/>
      <c r="AC125" s="162" t="s">
        <v>42</v>
      </c>
      <c r="AD125" s="124">
        <f t="shared" si="5"/>
        <v>-6.7588169529423814E-2</v>
      </c>
      <c r="AE125" s="124">
        <f t="shared" si="5"/>
        <v>-5.9612846458424962E-2</v>
      </c>
      <c r="AF125" s="248"/>
      <c r="AG125" s="248"/>
      <c r="AH125" s="248"/>
      <c r="AI125" s="248"/>
      <c r="AJ125" s="248"/>
    </row>
    <row r="126" spans="1:36" x14ac:dyDescent="0.2">
      <c r="B126" s="248"/>
      <c r="C126" s="248"/>
      <c r="D126" s="248"/>
      <c r="E126" s="248"/>
      <c r="F126" s="248"/>
      <c r="G126" s="248"/>
      <c r="H126" s="248"/>
      <c r="I126" s="248"/>
      <c r="J126" s="165"/>
      <c r="K126" s="162" t="s">
        <v>43</v>
      </c>
      <c r="L126" s="249" t="s">
        <v>372</v>
      </c>
      <c r="M126" s="247">
        <v>10.063000000000001</v>
      </c>
      <c r="N126" s="248"/>
      <c r="O126" s="248"/>
      <c r="P126" s="248"/>
      <c r="Q126" s="248"/>
      <c r="R126" s="248"/>
      <c r="T126" s="162" t="s">
        <v>43</v>
      </c>
      <c r="U126" s="249" t="s">
        <v>372</v>
      </c>
      <c r="V126" s="247">
        <f>D126-M126</f>
        <v>-10.063000000000001</v>
      </c>
      <c r="W126" s="248"/>
      <c r="X126" s="248"/>
      <c r="Y126" s="248"/>
      <c r="Z126" s="248"/>
      <c r="AA126" s="248"/>
      <c r="AC126" s="162" t="s">
        <v>43</v>
      </c>
      <c r="AD126" s="249" t="s">
        <v>372</v>
      </c>
      <c r="AE126" s="124">
        <f t="shared" si="5"/>
        <v>-1</v>
      </c>
      <c r="AF126" s="248"/>
      <c r="AG126" s="248"/>
      <c r="AH126" s="248"/>
      <c r="AI126" s="248"/>
      <c r="AJ126" s="248"/>
    </row>
    <row r="127" spans="1:36" x14ac:dyDescent="0.2">
      <c r="C127" s="248"/>
      <c r="D127" s="248"/>
      <c r="E127" s="248"/>
      <c r="F127" s="248"/>
      <c r="G127" s="248"/>
      <c r="H127" s="248"/>
      <c r="I127" s="248"/>
      <c r="L127" s="248"/>
      <c r="M127" s="248"/>
      <c r="N127" s="248"/>
      <c r="O127" s="248"/>
      <c r="P127" s="248"/>
      <c r="Q127" s="248"/>
      <c r="R127" s="248"/>
      <c r="U127" s="248"/>
      <c r="V127" s="248"/>
      <c r="W127" s="248"/>
      <c r="X127" s="248"/>
      <c r="Y127" s="248"/>
      <c r="Z127" s="248"/>
      <c r="AA127" s="248"/>
      <c r="AC127" s="110"/>
      <c r="AD127" s="248"/>
      <c r="AE127" s="248"/>
      <c r="AF127" s="248"/>
      <c r="AG127" s="248"/>
      <c r="AH127" s="248"/>
      <c r="AI127" s="248"/>
      <c r="AJ127" s="248"/>
    </row>
    <row r="128" spans="1:36" x14ac:dyDescent="0.2">
      <c r="B128" s="126" t="s">
        <v>271</v>
      </c>
      <c r="C128" s="248"/>
      <c r="D128" s="248"/>
      <c r="E128" s="248"/>
      <c r="F128" s="248"/>
      <c r="G128" s="248"/>
      <c r="H128" s="248"/>
      <c r="I128" s="247">
        <f>ROUND(I64*$G$109,3)</f>
        <v>1.6970000000000001</v>
      </c>
      <c r="J128" s="153"/>
      <c r="K128" s="110" t="s">
        <v>282</v>
      </c>
      <c r="L128" s="248"/>
      <c r="M128" s="248"/>
      <c r="N128" s="248"/>
      <c r="O128" s="248"/>
      <c r="P128" s="248"/>
      <c r="Q128" s="248"/>
      <c r="R128" s="247">
        <v>5.4420000000000002</v>
      </c>
      <c r="T128" s="110" t="s">
        <v>282</v>
      </c>
      <c r="U128" s="248"/>
      <c r="V128" s="248"/>
      <c r="W128" s="248"/>
      <c r="X128" s="248"/>
      <c r="Y128" s="248"/>
      <c r="Z128" s="248"/>
      <c r="AA128" s="247">
        <f>I128-R128</f>
        <v>-3.7450000000000001</v>
      </c>
      <c r="AC128" s="110" t="s">
        <v>282</v>
      </c>
      <c r="AD128" s="248"/>
      <c r="AE128" s="248"/>
      <c r="AF128" s="248"/>
      <c r="AG128" s="248"/>
      <c r="AH128" s="248"/>
      <c r="AI128" s="248"/>
      <c r="AJ128" s="124">
        <f>AA128/R128</f>
        <v>-0.6881661153987505</v>
      </c>
    </row>
    <row r="129" spans="2:36" x14ac:dyDescent="0.2">
      <c r="B129" s="126" t="s">
        <v>272</v>
      </c>
      <c r="C129" s="248"/>
      <c r="D129" s="248"/>
      <c r="E129" s="248"/>
      <c r="F129" s="248"/>
      <c r="G129" s="248"/>
      <c r="H129" s="248"/>
      <c r="I129" s="247">
        <f>ROUND(I65*$G$109,3)</f>
        <v>5.8840000000000003</v>
      </c>
      <c r="J129" s="153"/>
      <c r="L129" s="248"/>
      <c r="M129" s="248"/>
      <c r="N129" s="248"/>
      <c r="O129" s="248"/>
      <c r="P129" s="248"/>
      <c r="Q129" s="248"/>
      <c r="R129" s="248"/>
      <c r="U129" s="248"/>
      <c r="V129" s="248"/>
      <c r="W129" s="248"/>
      <c r="X129" s="248"/>
      <c r="Y129" s="248"/>
      <c r="Z129" s="248"/>
      <c r="AA129" s="248"/>
      <c r="AC129" s="110"/>
      <c r="AD129" s="248"/>
      <c r="AE129" s="248"/>
      <c r="AF129" s="248"/>
      <c r="AG129" s="248"/>
      <c r="AH129" s="248"/>
      <c r="AI129" s="248"/>
      <c r="AJ129" s="248"/>
    </row>
    <row r="130" spans="2:36" x14ac:dyDescent="0.2">
      <c r="C130" s="248"/>
      <c r="D130" s="248"/>
      <c r="E130" s="248"/>
      <c r="F130" s="248"/>
      <c r="G130" s="248"/>
      <c r="H130" s="248"/>
      <c r="I130" s="248"/>
      <c r="K130" s="24" t="s">
        <v>62</v>
      </c>
      <c r="L130" s="248"/>
      <c r="M130" s="248"/>
      <c r="N130" s="248"/>
      <c r="O130" s="248"/>
      <c r="P130" s="248"/>
      <c r="Q130" s="248"/>
      <c r="R130" s="248"/>
      <c r="T130" s="24" t="s">
        <v>62</v>
      </c>
      <c r="U130" s="248"/>
      <c r="V130" s="248"/>
      <c r="W130" s="248"/>
      <c r="X130" s="248"/>
      <c r="Y130" s="248"/>
      <c r="Z130" s="248"/>
      <c r="AA130" s="248"/>
      <c r="AC130" s="66" t="s">
        <v>62</v>
      </c>
      <c r="AD130" s="248"/>
      <c r="AE130" s="248"/>
      <c r="AF130" s="248"/>
      <c r="AG130" s="248"/>
      <c r="AH130" s="248"/>
      <c r="AI130" s="248"/>
      <c r="AJ130" s="248"/>
    </row>
    <row r="131" spans="2:36" x14ac:dyDescent="0.2">
      <c r="B131" s="24" t="s">
        <v>62</v>
      </c>
      <c r="C131" s="248"/>
      <c r="D131" s="248"/>
      <c r="E131" s="248"/>
      <c r="F131" s="248"/>
      <c r="G131" s="248"/>
      <c r="H131" s="248"/>
      <c r="I131" s="248"/>
      <c r="K131" s="162" t="s">
        <v>268</v>
      </c>
      <c r="L131" s="247">
        <v>9.7379999999999995</v>
      </c>
      <c r="M131" s="247">
        <v>8.0760000000000005</v>
      </c>
      <c r="N131" s="248"/>
      <c r="O131" s="247">
        <v>8.1769999999999996</v>
      </c>
      <c r="P131" s="247">
        <v>5.8460000000000001</v>
      </c>
      <c r="Q131" s="247">
        <v>5.8209999999999997</v>
      </c>
      <c r="R131" s="247">
        <v>6.7539999999999996</v>
      </c>
      <c r="T131" s="162" t="s">
        <v>268</v>
      </c>
      <c r="U131" s="247">
        <f>C132-L131</f>
        <v>-1.9309999999999992</v>
      </c>
      <c r="V131" s="247">
        <f>D132-M131</f>
        <v>-1.7220000000000004</v>
      </c>
      <c r="W131" s="248"/>
      <c r="X131" s="247">
        <f>F132-O131</f>
        <v>-2.1909999999999998</v>
      </c>
      <c r="Y131" s="247">
        <f>G132-P131</f>
        <v>-1.1710000000000003</v>
      </c>
      <c r="Z131" s="247">
        <f>H132-Q131</f>
        <v>-1.1779999999999999</v>
      </c>
      <c r="AA131" s="247">
        <f>I132-R131</f>
        <v>-1.9129999999999994</v>
      </c>
      <c r="AC131" s="162" t="s">
        <v>268</v>
      </c>
      <c r="AD131" s="124">
        <f t="shared" ref="AD131:AE131" si="6">U131/L131</f>
        <v>-0.19829533785171485</v>
      </c>
      <c r="AE131" s="124">
        <f t="shared" si="6"/>
        <v>-0.21322436849925711</v>
      </c>
      <c r="AF131" s="248"/>
      <c r="AG131" s="124">
        <f t="shared" ref="AG131:AJ131" si="7">X131/O131</f>
        <v>-0.26794667971138558</v>
      </c>
      <c r="AH131" s="124">
        <f t="shared" si="7"/>
        <v>-0.20030790283954844</v>
      </c>
      <c r="AI131" s="124">
        <f t="shared" si="7"/>
        <v>-0.20237072667926473</v>
      </c>
      <c r="AJ131" s="124">
        <f t="shared" si="7"/>
        <v>-0.2832395617411903</v>
      </c>
    </row>
    <row r="132" spans="2:36" x14ac:dyDescent="0.2">
      <c r="B132" s="128" t="s">
        <v>268</v>
      </c>
      <c r="C132" s="247">
        <f>ROUND(C68*$G$110,3)</f>
        <v>7.8070000000000004</v>
      </c>
      <c r="D132" s="247">
        <f>ROUND(D68*$G$110,3)</f>
        <v>6.3540000000000001</v>
      </c>
      <c r="E132" s="248"/>
      <c r="F132" s="247">
        <f>ROUND(F68*$G$110,3)</f>
        <v>5.9859999999999998</v>
      </c>
      <c r="G132" s="247">
        <f>ROUND(G68*$G$110,3)</f>
        <v>4.6749999999999998</v>
      </c>
      <c r="H132" s="247">
        <f>ROUND(H68*$G$110,3)</f>
        <v>4.6429999999999998</v>
      </c>
      <c r="I132" s="247">
        <f>ROUND(I68*$G$110,3)</f>
        <v>4.8410000000000002</v>
      </c>
      <c r="K132" s="162" t="s">
        <v>269</v>
      </c>
      <c r="L132" s="248"/>
      <c r="M132" s="248"/>
      <c r="N132" s="247">
        <v>12.37</v>
      </c>
      <c r="O132" s="248"/>
      <c r="P132" s="248"/>
      <c r="Q132" s="248"/>
      <c r="R132" s="248"/>
      <c r="T132" s="162" t="s">
        <v>269</v>
      </c>
      <c r="U132" s="248"/>
      <c r="V132" s="248"/>
      <c r="W132" s="247">
        <f>E133-N132</f>
        <v>-3.2529999999999983</v>
      </c>
      <c r="X132" s="248"/>
      <c r="Y132" s="248"/>
      <c r="Z132" s="248"/>
      <c r="AA132" s="248"/>
      <c r="AC132" s="162" t="s">
        <v>269</v>
      </c>
      <c r="AD132" s="248"/>
      <c r="AE132" s="248"/>
      <c r="AF132" s="124">
        <f t="shared" ref="AF132:AF133" si="8">W132/N132</f>
        <v>-0.26297493936944211</v>
      </c>
      <c r="AG132" s="248"/>
      <c r="AH132" s="248"/>
      <c r="AI132" s="248"/>
      <c r="AJ132" s="248"/>
    </row>
    <row r="133" spans="2:36" x14ac:dyDescent="0.2">
      <c r="B133" s="128" t="s">
        <v>269</v>
      </c>
      <c r="C133" s="248"/>
      <c r="D133" s="248"/>
      <c r="E133" s="247">
        <f>ROUND(E69*$G$110,3)</f>
        <v>9.1170000000000009</v>
      </c>
      <c r="F133" s="248"/>
      <c r="G133" s="248"/>
      <c r="H133" s="248"/>
      <c r="I133" s="248"/>
      <c r="J133" s="165"/>
      <c r="K133" s="162" t="s">
        <v>270</v>
      </c>
      <c r="L133" s="248"/>
      <c r="M133" s="248"/>
      <c r="N133" s="247">
        <v>5.6959999999999997</v>
      </c>
      <c r="O133" s="248"/>
      <c r="P133" s="248"/>
      <c r="Q133" s="248"/>
      <c r="R133" s="248"/>
      <c r="T133" s="162" t="s">
        <v>270</v>
      </c>
      <c r="U133" s="248"/>
      <c r="V133" s="248"/>
      <c r="W133" s="247">
        <f>E134-N133</f>
        <v>-1.008</v>
      </c>
      <c r="X133" s="248"/>
      <c r="Y133" s="248"/>
      <c r="Z133" s="248"/>
      <c r="AA133" s="248"/>
      <c r="AC133" s="162" t="s">
        <v>270</v>
      </c>
      <c r="AD133" s="248"/>
      <c r="AE133" s="248"/>
      <c r="AF133" s="124">
        <f t="shared" si="8"/>
        <v>-0.17696629213483148</v>
      </c>
      <c r="AG133" s="248"/>
      <c r="AH133" s="248"/>
      <c r="AI133" s="248"/>
      <c r="AJ133" s="248"/>
    </row>
    <row r="134" spans="2:36" x14ac:dyDescent="0.2">
      <c r="B134" s="128" t="s">
        <v>270</v>
      </c>
      <c r="C134" s="248"/>
      <c r="D134" s="248"/>
      <c r="E134" s="247">
        <f>ROUND(E70*$G$110,3)</f>
        <v>4.6879999999999997</v>
      </c>
      <c r="F134" s="248"/>
      <c r="G134" s="248"/>
      <c r="H134" s="248"/>
      <c r="I134" s="248"/>
      <c r="J134" s="165"/>
      <c r="K134" s="110"/>
      <c r="L134" s="248"/>
      <c r="M134" s="248"/>
      <c r="N134" s="248"/>
      <c r="O134" s="248"/>
      <c r="P134" s="248"/>
      <c r="Q134" s="248"/>
      <c r="R134" s="248"/>
      <c r="T134" s="110"/>
      <c r="U134" s="248"/>
      <c r="V134" s="248"/>
      <c r="W134" s="248"/>
      <c r="X134" s="248"/>
      <c r="Y134" s="248"/>
      <c r="Z134" s="248"/>
      <c r="AA134" s="248"/>
      <c r="AC134" s="110"/>
      <c r="AD134" s="248"/>
      <c r="AE134" s="248"/>
      <c r="AF134" s="248"/>
      <c r="AG134" s="248"/>
      <c r="AH134" s="248"/>
      <c r="AI134" s="248"/>
      <c r="AJ134" s="248"/>
    </row>
    <row r="135" spans="2:36" x14ac:dyDescent="0.2">
      <c r="C135" s="248"/>
      <c r="D135" s="248"/>
      <c r="E135" s="248"/>
      <c r="F135" s="248"/>
      <c r="G135" s="248"/>
      <c r="H135" s="248"/>
      <c r="I135" s="248"/>
      <c r="K135" s="110" t="s">
        <v>282</v>
      </c>
      <c r="L135" s="248"/>
      <c r="M135" s="248"/>
      <c r="N135" s="248"/>
      <c r="O135" s="248"/>
      <c r="P135" s="248"/>
      <c r="Q135" s="248"/>
      <c r="R135" s="247">
        <v>5.4</v>
      </c>
      <c r="T135" s="110" t="s">
        <v>282</v>
      </c>
      <c r="U135" s="248"/>
      <c r="V135" s="248"/>
      <c r="W135" s="248"/>
      <c r="X135" s="248"/>
      <c r="Y135" s="248"/>
      <c r="Z135" s="248"/>
      <c r="AA135" s="247">
        <f>I136-R135</f>
        <v>-4.0150000000000006</v>
      </c>
      <c r="AC135" s="110" t="s">
        <v>282</v>
      </c>
      <c r="AD135" s="248"/>
      <c r="AE135" s="248"/>
      <c r="AF135" s="248"/>
      <c r="AG135" s="248"/>
      <c r="AH135" s="248"/>
      <c r="AI135" s="248"/>
      <c r="AJ135" s="124">
        <f>AA135/R135</f>
        <v>-0.74351851851851858</v>
      </c>
    </row>
    <row r="136" spans="2:36" x14ac:dyDescent="0.2">
      <c r="B136" s="126" t="s">
        <v>271</v>
      </c>
      <c r="C136" s="248"/>
      <c r="D136" s="248"/>
      <c r="E136" s="248"/>
      <c r="F136" s="248"/>
      <c r="G136" s="248"/>
      <c r="H136" s="248"/>
      <c r="I136" s="247">
        <f>ROUND(I72*$G$110,3)</f>
        <v>1.385</v>
      </c>
      <c r="J136" s="153"/>
    </row>
    <row r="137" spans="2:36" x14ac:dyDescent="0.2">
      <c r="B137" s="126" t="s">
        <v>272</v>
      </c>
      <c r="C137" s="248"/>
      <c r="D137" s="248"/>
      <c r="E137" s="248"/>
      <c r="F137" s="248"/>
      <c r="G137" s="248"/>
      <c r="H137" s="248"/>
      <c r="I137" s="247">
        <f>ROUND(I73*$G$110,3)</f>
        <v>4.9050000000000002</v>
      </c>
      <c r="J137" s="153"/>
    </row>
    <row r="138" spans="2:36" x14ac:dyDescent="0.2">
      <c r="B138" s="126"/>
      <c r="I138" s="204"/>
      <c r="J138" s="153"/>
    </row>
    <row r="139" spans="2:36" x14ac:dyDescent="0.2">
      <c r="B139" s="209" t="s">
        <v>373</v>
      </c>
      <c r="D139" s="111" t="s">
        <v>274</v>
      </c>
      <c r="E139" s="203">
        <v>6.6250000000000003E-2</v>
      </c>
      <c r="J139" s="153"/>
    </row>
    <row r="140" spans="2:36" x14ac:dyDescent="0.2">
      <c r="J140" s="153"/>
    </row>
    <row r="141" spans="2:36" x14ac:dyDescent="0.2">
      <c r="C141" s="19" t="s">
        <v>7</v>
      </c>
      <c r="D141" s="19" t="s">
        <v>8</v>
      </c>
      <c r="E141" s="19" t="s">
        <v>9</v>
      </c>
      <c r="F141" s="19" t="s">
        <v>10</v>
      </c>
      <c r="G141" s="19" t="s">
        <v>11</v>
      </c>
      <c r="H141" s="19" t="s">
        <v>12</v>
      </c>
      <c r="I141" s="19" t="s">
        <v>13</v>
      </c>
      <c r="J141" s="153"/>
    </row>
    <row r="142" spans="2:36" x14ac:dyDescent="0.2">
      <c r="B142" s="24" t="s">
        <v>69</v>
      </c>
      <c r="J142" s="153"/>
    </row>
    <row r="143" spans="2:36" x14ac:dyDescent="0.2">
      <c r="B143" s="128" t="s">
        <v>268</v>
      </c>
      <c r="C143" s="128"/>
      <c r="D143" s="128"/>
      <c r="F143" s="204">
        <f>ROUND(F121*(1+$E$139),3)</f>
        <v>7.351</v>
      </c>
      <c r="G143" s="204">
        <f>ROUND(G121*(1+$E$139),3)</f>
        <v>5.08</v>
      </c>
      <c r="H143" s="204">
        <f>ROUND(H121*(1+$E$139),3)</f>
        <v>5.0720000000000001</v>
      </c>
      <c r="I143" s="204">
        <f>ROUND(I121*(1+$E$139),3)</f>
        <v>5.6</v>
      </c>
      <c r="J143" s="153"/>
    </row>
    <row r="144" spans="2:36" x14ac:dyDescent="0.2">
      <c r="B144" s="128" t="s">
        <v>269</v>
      </c>
      <c r="E144" s="204">
        <f>ROUND(E122*(1+$E$139),3)</f>
        <v>12.282999999999999</v>
      </c>
      <c r="J144" s="153"/>
    </row>
    <row r="145" spans="2:10" x14ac:dyDescent="0.2">
      <c r="B145" s="128" t="s">
        <v>270</v>
      </c>
      <c r="E145" s="204">
        <f>ROUND(E123*(1+$E$139),3)</f>
        <v>4.9569999999999999</v>
      </c>
      <c r="J145" s="153"/>
    </row>
    <row r="146" spans="2:10" x14ac:dyDescent="0.2">
      <c r="B146" s="126" t="s">
        <v>41</v>
      </c>
      <c r="C146" s="204">
        <f>ROUND(C124*(1+$E$139),3)</f>
        <v>6.42</v>
      </c>
      <c r="D146" s="204">
        <f>ROUND(D124*(1+$E$139),3)</f>
        <v>6.7430000000000003</v>
      </c>
      <c r="E146" s="165"/>
      <c r="J146" s="153"/>
    </row>
    <row r="147" spans="2:10" x14ac:dyDescent="0.2">
      <c r="B147" s="128" t="s">
        <v>42</v>
      </c>
      <c r="C147" s="204">
        <f>ROUND(C125*(1+$E$139),3)</f>
        <v>9.782</v>
      </c>
      <c r="D147" s="204">
        <f>ROUND(D125*(1+$E$139),3)</f>
        <v>9.1159999999999997</v>
      </c>
      <c r="E147" s="165"/>
      <c r="J147" s="153"/>
    </row>
    <row r="148" spans="2:10" x14ac:dyDescent="0.2">
      <c r="B148" s="165"/>
      <c r="C148" s="165"/>
      <c r="D148" s="165"/>
      <c r="E148" s="165"/>
      <c r="J148" s="153"/>
    </row>
    <row r="149" spans="2:10" x14ac:dyDescent="0.2">
      <c r="J149" s="153"/>
    </row>
    <row r="150" spans="2:10" x14ac:dyDescent="0.2">
      <c r="B150" s="126" t="s">
        <v>271</v>
      </c>
      <c r="I150" s="250">
        <f>ROUND(I128*(1+$E$139),2)</f>
        <v>1.81</v>
      </c>
      <c r="J150" s="153"/>
    </row>
    <row r="151" spans="2:10" x14ac:dyDescent="0.2">
      <c r="B151" s="126" t="s">
        <v>354</v>
      </c>
      <c r="I151" s="250">
        <f>ROUND(I129*(1+$E$139),2)</f>
        <v>6.27</v>
      </c>
      <c r="J151" s="153"/>
    </row>
    <row r="152" spans="2:10" x14ac:dyDescent="0.2">
      <c r="J152" s="153"/>
    </row>
    <row r="153" spans="2:10" x14ac:dyDescent="0.2">
      <c r="B153" s="24" t="s">
        <v>62</v>
      </c>
      <c r="J153" s="153"/>
    </row>
    <row r="154" spans="2:10" x14ac:dyDescent="0.2">
      <c r="B154" s="128" t="s">
        <v>268</v>
      </c>
      <c r="C154" s="204">
        <f>ROUND(C132*(1+$E$139),3)</f>
        <v>8.3239999999999998</v>
      </c>
      <c r="D154" s="204">
        <f>ROUND(D132*(1+$E$139),3)</f>
        <v>6.7750000000000004</v>
      </c>
      <c r="F154" s="204">
        <f>ROUND(F132*(1+$E$139),3)</f>
        <v>6.383</v>
      </c>
      <c r="G154" s="204">
        <f>ROUND(G132*(1+$E$139),3)</f>
        <v>4.9850000000000003</v>
      </c>
      <c r="H154" s="204">
        <f>ROUND(H132*(1+$E$139),3)</f>
        <v>4.9509999999999996</v>
      </c>
      <c r="I154" s="204">
        <f>ROUND(I132*(1+$E$139),3)</f>
        <v>5.1619999999999999</v>
      </c>
      <c r="J154" s="153"/>
    </row>
    <row r="155" spans="2:10" x14ac:dyDescent="0.2">
      <c r="B155" s="128" t="s">
        <v>269</v>
      </c>
      <c r="E155" s="204">
        <f>ROUND(E133*(1+$E$139),3)</f>
        <v>9.7210000000000001</v>
      </c>
      <c r="J155" s="153"/>
    </row>
    <row r="156" spans="2:10" x14ac:dyDescent="0.2">
      <c r="B156" s="128" t="s">
        <v>270</v>
      </c>
      <c r="E156" s="204">
        <f>ROUND(E134*(1+$E$139),3)</f>
        <v>4.9989999999999997</v>
      </c>
      <c r="J156" s="153"/>
    </row>
    <row r="157" spans="2:10" x14ac:dyDescent="0.2">
      <c r="J157" s="153"/>
    </row>
    <row r="158" spans="2:10" x14ac:dyDescent="0.2">
      <c r="B158" s="126" t="s">
        <v>271</v>
      </c>
      <c r="I158" s="250">
        <f>ROUND(I136*(1+$E$139),2)</f>
        <v>1.48</v>
      </c>
      <c r="J158" s="153"/>
    </row>
    <row r="159" spans="2:10" x14ac:dyDescent="0.2">
      <c r="B159" s="126" t="s">
        <v>272</v>
      </c>
      <c r="I159" s="250">
        <f>ROUND(I137*(1+$E$139),2)</f>
        <v>5.23</v>
      </c>
      <c r="J159" s="153"/>
    </row>
    <row r="160" spans="2:10" x14ac:dyDescent="0.2">
      <c r="B160" s="126"/>
      <c r="I160" s="204"/>
      <c r="J160" s="153"/>
    </row>
    <row r="161" spans="1:12" x14ac:dyDescent="0.2">
      <c r="B161" s="126"/>
      <c r="I161" s="153"/>
      <c r="J161" s="153"/>
    </row>
    <row r="162" spans="1:12" x14ac:dyDescent="0.2">
      <c r="A162" s="96" t="s">
        <v>374</v>
      </c>
      <c r="B162" s="96" t="s">
        <v>375</v>
      </c>
      <c r="I162" s="153"/>
      <c r="J162" s="153"/>
    </row>
    <row r="163" spans="1:12" x14ac:dyDescent="0.2">
      <c r="B163" s="96"/>
      <c r="I163" s="153"/>
      <c r="J163" s="153"/>
    </row>
    <row r="164" spans="1:12" x14ac:dyDescent="0.2">
      <c r="B164" s="96"/>
      <c r="I164" s="153"/>
      <c r="J164" s="153"/>
    </row>
    <row r="165" spans="1:12" x14ac:dyDescent="0.2">
      <c r="B165" s="22" t="s">
        <v>290</v>
      </c>
      <c r="I165" s="153"/>
      <c r="J165" s="153"/>
    </row>
    <row r="166" spans="1:12" ht="13.5" thickBot="1" x14ac:dyDescent="0.25">
      <c r="B166" s="22"/>
      <c r="I166" s="153"/>
      <c r="J166" s="153"/>
    </row>
    <row r="167" spans="1:12" x14ac:dyDescent="0.2">
      <c r="C167" s="19" t="str">
        <f>'BGS Cost &amp; Bid Factors'!C$6</f>
        <v>SC1</v>
      </c>
      <c r="D167" s="19" t="str">
        <f>'BGS Cost &amp; Bid Factors'!D$6</f>
        <v>SC5</v>
      </c>
      <c r="E167" s="19" t="str">
        <f>'BGS Cost &amp; Bid Factors'!E$6</f>
        <v>SC3</v>
      </c>
      <c r="F167" s="19" t="str">
        <f>'BGS Cost &amp; Bid Factors'!F$6</f>
        <v>SC2 ND</v>
      </c>
      <c r="G167" s="19" t="str">
        <f>'BGS Cost &amp; Bid Factors'!G$6</f>
        <v>SC4</v>
      </c>
      <c r="H167" s="19" t="str">
        <f>'BGS Cost &amp; Bid Factors'!H$6</f>
        <v>SC6</v>
      </c>
      <c r="I167" s="19" t="str">
        <f>'BGS Cost &amp; Bid Factors'!I$6</f>
        <v>SC2 Dem</v>
      </c>
      <c r="J167" s="153"/>
      <c r="K167" s="173" t="s">
        <v>156</v>
      </c>
      <c r="L167" s="174"/>
    </row>
    <row r="168" spans="1:12" x14ac:dyDescent="0.2">
      <c r="B168" s="22"/>
      <c r="J168" s="153"/>
      <c r="K168" s="175"/>
      <c r="L168" s="176" t="s">
        <v>159</v>
      </c>
    </row>
    <row r="169" spans="1:12" x14ac:dyDescent="0.2">
      <c r="B169" s="145" t="s">
        <v>69</v>
      </c>
      <c r="C169" s="16">
        <f>ROUND((C121*'BGS Cost &amp; Bid Factors'!M$48)/100,0)</f>
        <v>22016</v>
      </c>
      <c r="D169" s="16">
        <f>ROUND((D121*'BGS Cost &amp; Bid Factors'!N$48)/100,0)</f>
        <v>331</v>
      </c>
      <c r="E169" s="108">
        <f>ROUND((E122*'BGS Cost &amp; Bid Factors'!O$49+E123*'BGS Cost &amp; Bid Factors'!O$50)/100,0)</f>
        <v>6</v>
      </c>
      <c r="F169" s="16">
        <f>ROUND((F121*'BGS Cost &amp; Bid Factors'!P$48)/100,0)</f>
        <v>483</v>
      </c>
      <c r="G169" s="16">
        <f>ROUND((G121*'BGS Cost &amp; Bid Factors'!Q$48)/100,0)</f>
        <v>64</v>
      </c>
      <c r="H169" s="16">
        <f>ROUND((H121*'BGS Cost &amp; Bid Factors'!R$48)/100,0)</f>
        <v>70</v>
      </c>
      <c r="I169" s="108">
        <f>ROUND(I121*'BGS Cost &amp; Bid Factors'!S$48/100+(I128*($L$169/4*'BGS Cost &amp; Bid Factors'!H$144)+I129*($L$169/4*'BGS Cost &amp; Bid Factors'!H$144))/1000,0)</f>
        <v>8872</v>
      </c>
      <c r="J169" s="153"/>
      <c r="K169" s="175" t="s">
        <v>69</v>
      </c>
      <c r="L169" s="177">
        <v>337167.05299470644</v>
      </c>
    </row>
    <row r="170" spans="1:12" ht="13.5" thickBot="1" x14ac:dyDescent="0.25">
      <c r="B170" s="145" t="s">
        <v>62</v>
      </c>
      <c r="C170" s="25">
        <f>ROUND(C132*'BGS Cost &amp; Bid Factors'!M$44/100,0)</f>
        <v>28678</v>
      </c>
      <c r="D170" s="25">
        <f>ROUND(D132*'BGS Cost &amp; Bid Factors'!N$44/100,0)</f>
        <v>592</v>
      </c>
      <c r="E170" s="109">
        <f>ROUND((E133*'BGS Cost &amp; Bid Factors'!O$45+E134*'BGS Cost &amp; Bid Factors'!O$46)/100,0)</f>
        <v>13</v>
      </c>
      <c r="F170" s="25">
        <f>ROUND(F132*'BGS Cost &amp; Bid Factors'!P$44/100,0)</f>
        <v>931</v>
      </c>
      <c r="G170" s="25">
        <f>ROUND(G132*'BGS Cost &amp; Bid Factors'!Q$44/100,0)</f>
        <v>159</v>
      </c>
      <c r="H170" s="25">
        <f>ROUND(H132*'BGS Cost &amp; Bid Factors'!R$44/100,0)</f>
        <v>171</v>
      </c>
      <c r="I170" s="109">
        <f>ROUND(I132*'BGS Cost &amp; Bid Factors'!S$44/100+(I136*($L$170/8*'BGS Cost &amp; Bid Factors'!H$145)+I137*($L$170/8*'BGS Cost &amp; Bid Factors'!H$145))/1000,0)</f>
        <v>14218</v>
      </c>
      <c r="J170" s="153"/>
      <c r="K170" s="178" t="s">
        <v>62</v>
      </c>
      <c r="L170" s="179">
        <v>598866.51965902583</v>
      </c>
    </row>
    <row r="171" spans="1:12" x14ac:dyDescent="0.2">
      <c r="B171" s="145" t="s">
        <v>36</v>
      </c>
      <c r="C171" s="152">
        <f t="shared" ref="C171:I171" si="9">+C170+C169</f>
        <v>50694</v>
      </c>
      <c r="D171" s="152">
        <f t="shared" si="9"/>
        <v>923</v>
      </c>
      <c r="E171" s="152">
        <f t="shared" si="9"/>
        <v>19</v>
      </c>
      <c r="F171" s="152">
        <f t="shared" si="9"/>
        <v>1414</v>
      </c>
      <c r="G171" s="152">
        <f t="shared" si="9"/>
        <v>223</v>
      </c>
      <c r="H171" s="152">
        <f t="shared" si="9"/>
        <v>241</v>
      </c>
      <c r="I171" s="152">
        <f t="shared" si="9"/>
        <v>23090</v>
      </c>
      <c r="J171" s="153"/>
    </row>
    <row r="172" spans="1:12" x14ac:dyDescent="0.2">
      <c r="B172" s="145"/>
      <c r="C172" s="152"/>
      <c r="D172" s="152"/>
      <c r="E172" s="152"/>
      <c r="F172" s="152"/>
      <c r="G172" s="152"/>
      <c r="H172" s="152"/>
      <c r="I172" s="152"/>
      <c r="J172" s="153"/>
    </row>
    <row r="173" spans="1:12" x14ac:dyDescent="0.2">
      <c r="B173" s="145" t="s">
        <v>36</v>
      </c>
      <c r="C173" s="152"/>
      <c r="D173" s="152"/>
      <c r="E173" s="152"/>
      <c r="F173" s="152"/>
      <c r="G173" s="152"/>
      <c r="H173" s="152"/>
      <c r="I173" s="152"/>
      <c r="J173" s="153"/>
    </row>
    <row r="174" spans="1:12" x14ac:dyDescent="0.2">
      <c r="B174" s="145" t="s">
        <v>69</v>
      </c>
      <c r="C174" s="152">
        <f>SUM(C169:I169)</f>
        <v>31842</v>
      </c>
      <c r="D174" s="152"/>
      <c r="E174" s="152"/>
      <c r="F174" s="152"/>
      <c r="G174" s="152"/>
      <c r="H174" s="152"/>
      <c r="I174" s="152"/>
      <c r="J174" s="153"/>
    </row>
    <row r="175" spans="1:12" x14ac:dyDescent="0.2">
      <c r="B175" s="145" t="s">
        <v>62</v>
      </c>
      <c r="C175" s="26">
        <f>SUM(C170:I170)</f>
        <v>44762</v>
      </c>
      <c r="E175" s="182"/>
      <c r="J175" s="153"/>
    </row>
    <row r="176" spans="1:12" x14ac:dyDescent="0.2">
      <c r="B176" s="145" t="s">
        <v>36</v>
      </c>
      <c r="C176" s="152">
        <f>+C175+C174</f>
        <v>76604</v>
      </c>
      <c r="E176" s="182"/>
      <c r="I176" s="108"/>
      <c r="J176" s="153"/>
    </row>
    <row r="177" spans="2:10" x14ac:dyDescent="0.2">
      <c r="B177" s="145"/>
      <c r="C177" s="152"/>
      <c r="E177" s="182"/>
      <c r="I177" s="109"/>
      <c r="J177" s="153"/>
    </row>
    <row r="178" spans="2:10" x14ac:dyDescent="0.2">
      <c r="B178" s="24" t="s">
        <v>376</v>
      </c>
      <c r="C178" s="23"/>
      <c r="D178" s="23"/>
      <c r="E178" s="23"/>
      <c r="F178" s="23"/>
      <c r="G178" s="23"/>
      <c r="H178" s="23"/>
      <c r="I178" s="152"/>
      <c r="J178" s="153"/>
    </row>
    <row r="179" spans="2:10" x14ac:dyDescent="0.2">
      <c r="C179" s="23"/>
      <c r="D179" s="23"/>
      <c r="E179" s="23"/>
      <c r="F179" s="23"/>
    </row>
    <row r="180" spans="2:10" x14ac:dyDescent="0.2">
      <c r="B180" s="111" t="s">
        <v>358</v>
      </c>
      <c r="C180" s="182"/>
      <c r="D180" s="182"/>
      <c r="E180" s="182"/>
      <c r="F180" s="23"/>
    </row>
    <row r="181" spans="2:10" ht="15" x14ac:dyDescent="0.35">
      <c r="C181" s="40" t="s">
        <v>36</v>
      </c>
      <c r="D181" s="40" t="s">
        <v>338</v>
      </c>
      <c r="E181" s="40" t="s">
        <v>359</v>
      </c>
      <c r="F181" s="23"/>
    </row>
    <row r="182" spans="2:10" x14ac:dyDescent="0.2">
      <c r="B182" s="145" t="s">
        <v>69</v>
      </c>
      <c r="C182" s="152">
        <f>'Weighted Avg Price Calc'!G$27/1000</f>
        <v>33627.32</v>
      </c>
      <c r="D182" s="188">
        <f>ROUND('BGS Cost &amp; Bid Factors'!$C$147*SUM('BGS Cost &amp; Bid Factors'!$C$141:$I$141)/12*'BGS Cost &amp; Bid Factors'!H$144/1000*'BGS Cost &amp; Bid Factors'!D447,0)</f>
        <v>4581</v>
      </c>
      <c r="E182" s="152">
        <f>C182-D182</f>
        <v>29046.32</v>
      </c>
      <c r="F182" s="23"/>
    </row>
    <row r="183" spans="2:10" ht="15" x14ac:dyDescent="0.35">
      <c r="B183" s="145" t="s">
        <v>62</v>
      </c>
      <c r="C183" s="41">
        <f>'Weighted Avg Price Calc'!G$28/1000</f>
        <v>49825.237999999998</v>
      </c>
      <c r="D183" s="41">
        <f>ROUND('BGS Cost &amp; Bid Factors'!$C$147*SUM('BGS Cost &amp; Bid Factors'!$C$141:$I$141)/12*'BGS Cost &amp; Bid Factors'!H$145/1000*'BGS Cost &amp; Bid Factors'!D447,0)</f>
        <v>9163</v>
      </c>
      <c r="E183" s="41">
        <f>C183-D183</f>
        <v>40662.237999999998</v>
      </c>
      <c r="F183" s="23"/>
    </row>
    <row r="184" spans="2:10" x14ac:dyDescent="0.2">
      <c r="B184" s="145" t="s">
        <v>36</v>
      </c>
      <c r="C184" s="152">
        <f>+C183+C182</f>
        <v>83452.55799999999</v>
      </c>
      <c r="D184" s="152">
        <f>D182+D183</f>
        <v>13744</v>
      </c>
      <c r="E184" s="152">
        <f>E182+E183</f>
        <v>69708.55799999999</v>
      </c>
      <c r="F184" s="23"/>
    </row>
    <row r="185" spans="2:10" x14ac:dyDescent="0.2">
      <c r="C185" s="182"/>
      <c r="D185" s="182"/>
      <c r="E185" s="182"/>
      <c r="F185" s="23"/>
    </row>
    <row r="186" spans="2:10" x14ac:dyDescent="0.2">
      <c r="B186" s="111" t="s">
        <v>360</v>
      </c>
      <c r="C186" s="182"/>
      <c r="D186" s="182"/>
      <c r="E186" s="182"/>
      <c r="F186" s="23"/>
    </row>
    <row r="187" spans="2:10" ht="15" x14ac:dyDescent="0.35">
      <c r="C187" s="40" t="s">
        <v>36</v>
      </c>
      <c r="D187" s="40" t="s">
        <v>338</v>
      </c>
      <c r="E187" s="40" t="s">
        <v>359</v>
      </c>
      <c r="F187" s="23"/>
    </row>
    <row r="188" spans="2:10" x14ac:dyDescent="0.2">
      <c r="B188" s="145" t="s">
        <v>69</v>
      </c>
      <c r="C188" s="152">
        <f>ROUND($E$251*1000*'Weighted Avg Price Calc'!E40/100/1000,0)</f>
        <v>2793</v>
      </c>
      <c r="D188" s="152">
        <v>0</v>
      </c>
      <c r="E188" s="152">
        <f>C188-D188</f>
        <v>2793</v>
      </c>
      <c r="F188" s="23"/>
    </row>
    <row r="189" spans="2:10" ht="15" x14ac:dyDescent="0.35">
      <c r="B189" s="145" t="s">
        <v>62</v>
      </c>
      <c r="C189" s="41">
        <f>ROUND($E$252*1000*'Weighted Avg Price Calc'!E40/100/1000,0)</f>
        <v>4100</v>
      </c>
      <c r="D189" s="41">
        <v>0</v>
      </c>
      <c r="E189" s="41">
        <f>C189-D189</f>
        <v>4100</v>
      </c>
      <c r="F189" s="23"/>
    </row>
    <row r="190" spans="2:10" x14ac:dyDescent="0.2">
      <c r="B190" s="145" t="s">
        <v>36</v>
      </c>
      <c r="C190" s="152">
        <f>+C189+C188</f>
        <v>6893</v>
      </c>
      <c r="D190" s="152">
        <f>D188+D189</f>
        <v>0</v>
      </c>
      <c r="E190" s="152">
        <f>E188+E189</f>
        <v>6893</v>
      </c>
      <c r="F190" s="23"/>
    </row>
    <row r="191" spans="2:10" x14ac:dyDescent="0.2">
      <c r="C191" s="182"/>
      <c r="D191" s="182"/>
      <c r="E191" s="182"/>
      <c r="F191" s="23"/>
    </row>
    <row r="192" spans="2:10" x14ac:dyDescent="0.2">
      <c r="B192" s="111" t="s">
        <v>361</v>
      </c>
      <c r="C192" s="23"/>
      <c r="D192" s="23"/>
      <c r="E192" s="23"/>
      <c r="F192" s="23"/>
    </row>
    <row r="193" spans="1:10" ht="15" x14ac:dyDescent="0.35">
      <c r="C193" s="40" t="s">
        <v>36</v>
      </c>
      <c r="D193" s="40" t="s">
        <v>338</v>
      </c>
      <c r="E193" s="40" t="s">
        <v>359</v>
      </c>
      <c r="F193" s="182"/>
    </row>
    <row r="194" spans="1:10" x14ac:dyDescent="0.2">
      <c r="B194" s="145" t="s">
        <v>69</v>
      </c>
      <c r="C194" s="152">
        <f>C182+C188</f>
        <v>36420.32</v>
      </c>
      <c r="D194" s="152">
        <f>D182+D188</f>
        <v>4581</v>
      </c>
      <c r="E194" s="152">
        <f>C194-D194</f>
        <v>31839.32</v>
      </c>
    </row>
    <row r="195" spans="1:10" ht="15" x14ac:dyDescent="0.35">
      <c r="B195" s="145" t="s">
        <v>62</v>
      </c>
      <c r="C195" s="41">
        <f>C183+C189</f>
        <v>53925.237999999998</v>
      </c>
      <c r="D195" s="41">
        <f>D183+D189</f>
        <v>9163</v>
      </c>
      <c r="E195" s="41">
        <f>C195-D195</f>
        <v>44762.237999999998</v>
      </c>
      <c r="J195" s="153"/>
    </row>
    <row r="196" spans="1:10" x14ac:dyDescent="0.2">
      <c r="B196" s="145" t="s">
        <v>36</v>
      </c>
      <c r="C196" s="152">
        <f>+C195+C194</f>
        <v>90345.55799999999</v>
      </c>
      <c r="D196" s="152">
        <f>D194+D195</f>
        <v>13744</v>
      </c>
      <c r="E196" s="152">
        <f>E194+E195</f>
        <v>76601.55799999999</v>
      </c>
      <c r="J196" s="153"/>
    </row>
    <row r="197" spans="1:10" x14ac:dyDescent="0.2">
      <c r="C197" s="182"/>
      <c r="D197" s="28"/>
      <c r="E197" s="182"/>
      <c r="F197" s="107"/>
      <c r="J197" s="153"/>
    </row>
    <row r="198" spans="1:10" x14ac:dyDescent="0.2">
      <c r="B198" s="111" t="s">
        <v>111</v>
      </c>
      <c r="G198" s="126"/>
      <c r="J198" s="153"/>
    </row>
    <row r="199" spans="1:10" x14ac:dyDescent="0.2">
      <c r="C199" s="126" t="s">
        <v>332</v>
      </c>
      <c r="D199" s="126" t="s">
        <v>332</v>
      </c>
      <c r="E199" s="126"/>
      <c r="G199" s="126"/>
      <c r="J199" s="153"/>
    </row>
    <row r="200" spans="1:10" x14ac:dyDescent="0.2">
      <c r="B200" s="126"/>
      <c r="C200" s="100" t="s">
        <v>364</v>
      </c>
      <c r="D200" s="100" t="s">
        <v>365</v>
      </c>
      <c r="E200" s="100" t="s">
        <v>366</v>
      </c>
      <c r="G200" s="100"/>
      <c r="I200" s="153"/>
      <c r="J200" s="153"/>
    </row>
    <row r="201" spans="1:10" x14ac:dyDescent="0.2">
      <c r="B201" s="145" t="s">
        <v>69</v>
      </c>
      <c r="C201" s="152">
        <f>C174</f>
        <v>31842</v>
      </c>
      <c r="D201" s="152">
        <f>E194</f>
        <v>31839.32</v>
      </c>
      <c r="E201" s="152">
        <f>D201-C201</f>
        <v>-2.680000000000291</v>
      </c>
      <c r="I201" s="153"/>
      <c r="J201" s="153"/>
    </row>
    <row r="202" spans="1:10" x14ac:dyDescent="0.2">
      <c r="B202" s="145" t="s">
        <v>62</v>
      </c>
      <c r="C202" s="26">
        <f>C175</f>
        <v>44762</v>
      </c>
      <c r="D202" s="26">
        <f>E195</f>
        <v>44762.237999999998</v>
      </c>
      <c r="E202" s="26">
        <f>D202-C202</f>
        <v>0.23799999999755528</v>
      </c>
      <c r="I202" s="153"/>
      <c r="J202" s="153"/>
    </row>
    <row r="203" spans="1:10" x14ac:dyDescent="0.2">
      <c r="B203" s="145" t="s">
        <v>36</v>
      </c>
      <c r="C203" s="152">
        <f>+C202+C201</f>
        <v>76604</v>
      </c>
      <c r="D203" s="152">
        <f>+D202+D201</f>
        <v>76601.55799999999</v>
      </c>
      <c r="E203" s="152">
        <f>+E202+E201</f>
        <v>-2.4420000000027358</v>
      </c>
      <c r="I203" s="153"/>
      <c r="J203" s="153"/>
    </row>
    <row r="204" spans="1:10" x14ac:dyDescent="0.2">
      <c r="B204" s="126"/>
      <c r="I204" s="153"/>
      <c r="J204" s="153"/>
    </row>
    <row r="205" spans="1:10" x14ac:dyDescent="0.2">
      <c r="A205" s="61"/>
      <c r="B205" s="15" t="s">
        <v>276</v>
      </c>
      <c r="J205" s="153"/>
    </row>
    <row r="206" spans="1:10" x14ac:dyDescent="0.2">
      <c r="A206" s="61"/>
      <c r="B206" s="15"/>
      <c r="J206" s="153"/>
    </row>
    <row r="207" spans="1:10" x14ac:dyDescent="0.2">
      <c r="A207" s="61"/>
      <c r="B207" s="22" t="s">
        <v>277</v>
      </c>
      <c r="J207" s="153"/>
    </row>
    <row r="208" spans="1:10" x14ac:dyDescent="0.2">
      <c r="A208" s="61"/>
      <c r="B208" s="110"/>
      <c r="C208" s="23" t="str">
        <f t="shared" ref="C208:I208" si="10">C55</f>
        <v>SC1</v>
      </c>
      <c r="D208" s="23" t="str">
        <f t="shared" si="10"/>
        <v>SC5</v>
      </c>
      <c r="E208" s="23" t="str">
        <f t="shared" si="10"/>
        <v>SC3</v>
      </c>
      <c r="F208" s="23" t="str">
        <f t="shared" si="10"/>
        <v>SC2 ND</v>
      </c>
      <c r="G208" s="23" t="str">
        <f t="shared" si="10"/>
        <v>SC4</v>
      </c>
      <c r="H208" s="23" t="str">
        <f t="shared" si="10"/>
        <v>SC6</v>
      </c>
      <c r="I208" s="23" t="str">
        <f t="shared" si="10"/>
        <v>SC2 Dem</v>
      </c>
      <c r="J208" s="153"/>
    </row>
    <row r="209" spans="1:10" x14ac:dyDescent="0.2">
      <c r="A209" s="61"/>
      <c r="B209" s="110" t="s">
        <v>278</v>
      </c>
      <c r="C209" s="155">
        <f>'BGS Cost &amp; Bid Factors'!C538</f>
        <v>1.421</v>
      </c>
      <c r="D209" s="155">
        <f>'BGS Cost &amp; Bid Factors'!D538</f>
        <v>1.421</v>
      </c>
      <c r="E209" s="155">
        <f>'BGS Cost &amp; Bid Factors'!E538</f>
        <v>1.421</v>
      </c>
      <c r="F209" s="155">
        <f>'BGS Cost &amp; Bid Factors'!F538</f>
        <v>0.52300000000000002</v>
      </c>
      <c r="G209" s="155">
        <f>'BGS Cost &amp; Bid Factors'!G538</f>
        <v>1.147</v>
      </c>
      <c r="H209" s="155">
        <f>'BGS Cost &amp; Bid Factors'!H538</f>
        <v>1.147</v>
      </c>
      <c r="I209" s="155">
        <f>'BGS Cost &amp; Bid Factors'!I538</f>
        <v>0.52300000000000002</v>
      </c>
      <c r="J209" s="153"/>
    </row>
    <row r="210" spans="1:10" x14ac:dyDescent="0.2">
      <c r="A210" s="61"/>
      <c r="B210" s="110" t="s">
        <v>377</v>
      </c>
      <c r="I210" s="206">
        <f>'BGS Cost &amp; Bid Factors'!I539</f>
        <v>1.32</v>
      </c>
      <c r="J210" s="153"/>
    </row>
    <row r="211" spans="1:10" x14ac:dyDescent="0.2">
      <c r="I211" s="206">
        <f>'BGS Cost &amp; Bid Factors'!I540</f>
        <v>1.1100000000000001</v>
      </c>
      <c r="J211" s="153"/>
    </row>
    <row r="212" spans="1:10" x14ac:dyDescent="0.2">
      <c r="J212" s="153"/>
    </row>
    <row r="213" spans="1:10" x14ac:dyDescent="0.2">
      <c r="J213" s="153"/>
    </row>
    <row r="214" spans="1:10" x14ac:dyDescent="0.2">
      <c r="B214" s="22" t="s">
        <v>281</v>
      </c>
      <c r="J214" s="153"/>
    </row>
    <row r="215" spans="1:10" x14ac:dyDescent="0.2">
      <c r="J215" s="153"/>
    </row>
    <row r="216" spans="1:10" x14ac:dyDescent="0.2">
      <c r="J216" s="153"/>
    </row>
    <row r="217" spans="1:10" x14ac:dyDescent="0.2">
      <c r="B217" s="24" t="s">
        <v>69</v>
      </c>
      <c r="J217" s="153"/>
    </row>
    <row r="218" spans="1:10" x14ac:dyDescent="0.2">
      <c r="B218" s="128" t="s">
        <v>268</v>
      </c>
      <c r="C218" s="165">
        <f t="shared" ref="C218:I225" si="11">IF(C121&gt;0,C121+C$209,"")</f>
        <v>9.2680000000000007</v>
      </c>
      <c r="D218" s="165">
        <f t="shared" si="11"/>
        <v>8.5990000000000002</v>
      </c>
      <c r="E218" s="165" t="str">
        <f t="shared" si="11"/>
        <v/>
      </c>
      <c r="F218" s="165">
        <f t="shared" si="11"/>
        <v>7.4169999999999998</v>
      </c>
      <c r="G218" s="165">
        <f t="shared" si="11"/>
        <v>5.9110000000000005</v>
      </c>
      <c r="H218" s="165">
        <f t="shared" si="11"/>
        <v>5.9039999999999999</v>
      </c>
      <c r="I218" s="165">
        <f t="shared" si="11"/>
        <v>5.7749999999999995</v>
      </c>
      <c r="J218" s="153"/>
    </row>
    <row r="219" spans="1:10" x14ac:dyDescent="0.2">
      <c r="B219" s="128" t="s">
        <v>269</v>
      </c>
      <c r="C219" s="165" t="str">
        <f t="shared" si="11"/>
        <v/>
      </c>
      <c r="D219" s="165" t="str">
        <f t="shared" si="11"/>
        <v/>
      </c>
      <c r="E219" s="165">
        <f t="shared" si="11"/>
        <v>12.940999999999999</v>
      </c>
      <c r="F219" s="165" t="str">
        <f t="shared" si="11"/>
        <v/>
      </c>
      <c r="G219" s="165" t="str">
        <f t="shared" si="11"/>
        <v/>
      </c>
      <c r="H219" s="165" t="str">
        <f t="shared" si="11"/>
        <v/>
      </c>
      <c r="I219" s="165" t="str">
        <f t="shared" si="11"/>
        <v/>
      </c>
      <c r="J219" s="153"/>
    </row>
    <row r="220" spans="1:10" x14ac:dyDescent="0.2">
      <c r="B220" s="128" t="s">
        <v>270</v>
      </c>
      <c r="C220" s="165" t="str">
        <f t="shared" si="11"/>
        <v/>
      </c>
      <c r="D220" s="165" t="str">
        <f t="shared" si="11"/>
        <v/>
      </c>
      <c r="E220" s="165">
        <f t="shared" si="11"/>
        <v>6.07</v>
      </c>
      <c r="F220" s="165" t="str">
        <f t="shared" si="11"/>
        <v/>
      </c>
      <c r="G220" s="165" t="str">
        <f t="shared" si="11"/>
        <v/>
      </c>
      <c r="H220" s="165" t="str">
        <f t="shared" si="11"/>
        <v/>
      </c>
      <c r="I220" s="165" t="str">
        <f t="shared" si="11"/>
        <v/>
      </c>
      <c r="J220" s="153"/>
    </row>
    <row r="221" spans="1:10" x14ac:dyDescent="0.2">
      <c r="B221" s="126" t="s">
        <v>41</v>
      </c>
      <c r="C221" s="165">
        <f t="shared" si="11"/>
        <v>7.4420000000000002</v>
      </c>
      <c r="D221" s="165">
        <f t="shared" si="11"/>
        <v>7.7450000000000001</v>
      </c>
      <c r="E221" s="165" t="str">
        <f t="shared" si="11"/>
        <v/>
      </c>
      <c r="F221" s="165" t="str">
        <f t="shared" si="11"/>
        <v/>
      </c>
      <c r="G221" s="165" t="str">
        <f t="shared" si="11"/>
        <v/>
      </c>
      <c r="H221" s="165" t="str">
        <f t="shared" si="11"/>
        <v/>
      </c>
      <c r="I221" s="165" t="str">
        <f t="shared" si="11"/>
        <v/>
      </c>
      <c r="J221" s="153"/>
    </row>
    <row r="222" spans="1:10" x14ac:dyDescent="0.2">
      <c r="B222" s="128" t="s">
        <v>42</v>
      </c>
      <c r="C222" s="165">
        <f t="shared" si="11"/>
        <v>10.594999999999999</v>
      </c>
      <c r="D222" s="165">
        <f t="shared" si="11"/>
        <v>9.9710000000000001</v>
      </c>
      <c r="E222" s="165" t="str">
        <f t="shared" si="11"/>
        <v/>
      </c>
      <c r="F222" s="165" t="str">
        <f t="shared" si="11"/>
        <v/>
      </c>
      <c r="G222" s="165" t="str">
        <f t="shared" si="11"/>
        <v/>
      </c>
      <c r="H222" s="165" t="str">
        <f t="shared" si="11"/>
        <v/>
      </c>
      <c r="I222" s="165" t="str">
        <f t="shared" si="11"/>
        <v/>
      </c>
      <c r="J222" s="153"/>
    </row>
    <row r="223" spans="1:10" x14ac:dyDescent="0.2">
      <c r="B223" s="165"/>
      <c r="C223" s="165"/>
      <c r="D223" s="165"/>
      <c r="E223" s="165" t="str">
        <f t="shared" si="11"/>
        <v/>
      </c>
      <c r="F223" s="165" t="str">
        <f t="shared" si="11"/>
        <v/>
      </c>
      <c r="G223" s="165" t="str">
        <f t="shared" si="11"/>
        <v/>
      </c>
      <c r="H223" s="165" t="str">
        <f t="shared" si="11"/>
        <v/>
      </c>
      <c r="I223" s="165" t="str">
        <f t="shared" si="11"/>
        <v/>
      </c>
      <c r="J223" s="153"/>
    </row>
    <row r="224" spans="1:10" x14ac:dyDescent="0.2">
      <c r="C224" s="165" t="str">
        <f t="shared" si="11"/>
        <v/>
      </c>
      <c r="D224" s="165" t="str">
        <f t="shared" si="11"/>
        <v/>
      </c>
      <c r="E224" s="165" t="str">
        <f t="shared" si="11"/>
        <v/>
      </c>
      <c r="F224" s="165" t="str">
        <f t="shared" si="11"/>
        <v/>
      </c>
      <c r="G224" s="165" t="str">
        <f t="shared" si="11"/>
        <v/>
      </c>
      <c r="H224" s="165" t="str">
        <f t="shared" si="11"/>
        <v/>
      </c>
      <c r="I224" s="165" t="str">
        <f t="shared" si="11"/>
        <v/>
      </c>
      <c r="J224" s="153"/>
    </row>
    <row r="225" spans="1:22" x14ac:dyDescent="0.2">
      <c r="B225" s="126" t="s">
        <v>271</v>
      </c>
      <c r="C225" s="165" t="str">
        <f t="shared" si="11"/>
        <v/>
      </c>
      <c r="D225" s="165" t="str">
        <f t="shared" si="11"/>
        <v/>
      </c>
      <c r="E225" s="165" t="str">
        <f t="shared" si="11"/>
        <v/>
      </c>
      <c r="F225" s="165" t="str">
        <f t="shared" si="11"/>
        <v/>
      </c>
      <c r="G225" s="165" t="str">
        <f t="shared" si="11"/>
        <v/>
      </c>
      <c r="H225" s="165" t="str">
        <f t="shared" si="11"/>
        <v/>
      </c>
      <c r="I225" s="165">
        <f>IF(I128&gt;0,I128+I$210,"")</f>
        <v>3.0170000000000003</v>
      </c>
      <c r="J225" s="153"/>
    </row>
    <row r="226" spans="1:22" x14ac:dyDescent="0.2">
      <c r="B226" s="126" t="s">
        <v>272</v>
      </c>
      <c r="I226" s="165">
        <f>IF(I129&gt;0,I129+I$210,"")</f>
        <v>7.2040000000000006</v>
      </c>
      <c r="J226" s="153"/>
    </row>
    <row r="227" spans="1:22" x14ac:dyDescent="0.2">
      <c r="B227" s="126"/>
      <c r="J227" s="153"/>
    </row>
    <row r="228" spans="1:22" x14ac:dyDescent="0.2">
      <c r="B228" s="24" t="s">
        <v>62</v>
      </c>
      <c r="J228" s="153"/>
    </row>
    <row r="229" spans="1:22" x14ac:dyDescent="0.2">
      <c r="B229" s="128" t="s">
        <v>268</v>
      </c>
      <c r="C229" s="165">
        <f t="shared" ref="C229:I233" si="12">IF(C132&gt;0,C132+C$209,"")</f>
        <v>9.2279999999999998</v>
      </c>
      <c r="D229" s="165">
        <f t="shared" si="12"/>
        <v>7.7750000000000004</v>
      </c>
      <c r="E229" s="165" t="str">
        <f t="shared" si="12"/>
        <v/>
      </c>
      <c r="F229" s="165">
        <f t="shared" si="12"/>
        <v>6.5089999999999995</v>
      </c>
      <c r="G229" s="165">
        <f t="shared" si="12"/>
        <v>5.8220000000000001</v>
      </c>
      <c r="H229" s="165">
        <f t="shared" si="12"/>
        <v>5.79</v>
      </c>
      <c r="I229" s="165">
        <f t="shared" si="12"/>
        <v>5.3639999999999999</v>
      </c>
      <c r="J229" s="153"/>
    </row>
    <row r="230" spans="1:22" x14ac:dyDescent="0.2">
      <c r="B230" s="128" t="s">
        <v>269</v>
      </c>
      <c r="C230" s="165" t="str">
        <f t="shared" si="12"/>
        <v/>
      </c>
      <c r="D230" s="165" t="str">
        <f t="shared" si="12"/>
        <v/>
      </c>
      <c r="E230" s="165">
        <f t="shared" si="12"/>
        <v>10.538</v>
      </c>
      <c r="F230" s="165" t="str">
        <f t="shared" si="12"/>
        <v/>
      </c>
      <c r="G230" s="165" t="str">
        <f t="shared" si="12"/>
        <v/>
      </c>
      <c r="H230" s="165" t="str">
        <f t="shared" si="12"/>
        <v/>
      </c>
      <c r="I230" s="165" t="str">
        <f t="shared" si="12"/>
        <v/>
      </c>
      <c r="J230" s="153"/>
    </row>
    <row r="231" spans="1:22" x14ac:dyDescent="0.2">
      <c r="B231" s="128" t="s">
        <v>270</v>
      </c>
      <c r="C231" s="165" t="str">
        <f t="shared" si="12"/>
        <v/>
      </c>
      <c r="D231" s="165" t="str">
        <f t="shared" si="12"/>
        <v/>
      </c>
      <c r="E231" s="165">
        <f t="shared" si="12"/>
        <v>6.109</v>
      </c>
      <c r="F231" s="165" t="str">
        <f t="shared" si="12"/>
        <v/>
      </c>
      <c r="G231" s="165" t="str">
        <f t="shared" si="12"/>
        <v/>
      </c>
      <c r="H231" s="165" t="str">
        <f t="shared" si="12"/>
        <v/>
      </c>
      <c r="I231" s="165" t="str">
        <f t="shared" si="12"/>
        <v/>
      </c>
      <c r="J231" s="153"/>
    </row>
    <row r="232" spans="1:22" x14ac:dyDescent="0.2">
      <c r="C232" s="165" t="str">
        <f t="shared" si="12"/>
        <v/>
      </c>
      <c r="D232" s="165" t="str">
        <f t="shared" si="12"/>
        <v/>
      </c>
      <c r="E232" s="165" t="str">
        <f t="shared" si="12"/>
        <v/>
      </c>
      <c r="F232" s="165" t="str">
        <f t="shared" si="12"/>
        <v/>
      </c>
      <c r="G232" s="165" t="str">
        <f t="shared" si="12"/>
        <v/>
      </c>
      <c r="H232" s="165" t="str">
        <f t="shared" si="12"/>
        <v/>
      </c>
      <c r="I232" s="165" t="str">
        <f t="shared" si="12"/>
        <v/>
      </c>
      <c r="J232" s="153"/>
    </row>
    <row r="233" spans="1:22" x14ac:dyDescent="0.2">
      <c r="B233" s="126" t="s">
        <v>271</v>
      </c>
      <c r="C233" s="165" t="str">
        <f t="shared" si="12"/>
        <v/>
      </c>
      <c r="D233" s="165" t="str">
        <f t="shared" si="12"/>
        <v/>
      </c>
      <c r="E233" s="165" t="str">
        <f t="shared" si="12"/>
        <v/>
      </c>
      <c r="F233" s="165" t="str">
        <f t="shared" si="12"/>
        <v/>
      </c>
      <c r="G233" s="165" t="str">
        <f t="shared" si="12"/>
        <v/>
      </c>
      <c r="H233" s="165" t="str">
        <f t="shared" si="12"/>
        <v/>
      </c>
      <c r="I233" s="165">
        <f>IF(I136&gt;0,I136+I$211,"")</f>
        <v>2.4950000000000001</v>
      </c>
      <c r="J233" s="153"/>
    </row>
    <row r="234" spans="1:22" x14ac:dyDescent="0.2">
      <c r="B234" s="126" t="s">
        <v>272</v>
      </c>
      <c r="I234" s="165">
        <f>IF(I137&gt;0,I137+I$211,"")</f>
        <v>6.0150000000000006</v>
      </c>
      <c r="J234" s="153"/>
    </row>
    <row r="235" spans="1:22" x14ac:dyDescent="0.2">
      <c r="B235" s="126"/>
      <c r="I235" s="153"/>
      <c r="J235" s="153"/>
    </row>
    <row r="236" spans="1:22" ht="13.5" thickBot="1" x14ac:dyDescent="0.25"/>
    <row r="237" spans="1:22" ht="13.5" thickBot="1" x14ac:dyDescent="0.25">
      <c r="A237" s="222" t="s">
        <v>378</v>
      </c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4"/>
    </row>
    <row r="238" spans="1:22" ht="13.5" thickBot="1" x14ac:dyDescent="0.25"/>
    <row r="239" spans="1:22" x14ac:dyDescent="0.2">
      <c r="B239" s="225" t="s">
        <v>379</v>
      </c>
      <c r="C239" s="226"/>
      <c r="D239" s="226"/>
      <c r="E239" s="251"/>
      <c r="F239" s="174"/>
    </row>
    <row r="240" spans="1:22" x14ac:dyDescent="0.2">
      <c r="B240" s="227"/>
      <c r="C240" s="58"/>
      <c r="D240" s="58"/>
      <c r="E240" s="252"/>
      <c r="F240" s="176"/>
    </row>
    <row r="241" spans="2:6" x14ac:dyDescent="0.2">
      <c r="B241" s="228" t="s">
        <v>380</v>
      </c>
      <c r="C241" s="58"/>
      <c r="D241" s="58"/>
      <c r="E241" s="252"/>
      <c r="F241" s="176"/>
    </row>
    <row r="242" spans="2:6" x14ac:dyDescent="0.2">
      <c r="B242" s="227"/>
      <c r="C242" s="58"/>
      <c r="D242" s="59" t="s">
        <v>381</v>
      </c>
      <c r="E242" s="229" t="s">
        <v>382</v>
      </c>
      <c r="F242" s="230" t="s">
        <v>36</v>
      </c>
    </row>
    <row r="243" spans="2:6" x14ac:dyDescent="0.2">
      <c r="B243" s="227"/>
      <c r="C243" s="58"/>
      <c r="D243" s="58"/>
      <c r="E243" s="252"/>
      <c r="F243" s="176"/>
    </row>
    <row r="244" spans="2:6" x14ac:dyDescent="0.2">
      <c r="B244" s="227"/>
      <c r="C244" s="58" t="s">
        <v>69</v>
      </c>
      <c r="D244" s="253">
        <v>370002</v>
      </c>
      <c r="E244" s="253">
        <v>45324</v>
      </c>
      <c r="F244" s="254">
        <f>SUM(D244:E244)</f>
        <v>415326</v>
      </c>
    </row>
    <row r="245" spans="2:6" x14ac:dyDescent="0.2">
      <c r="B245" s="227"/>
      <c r="C245" s="58" t="s">
        <v>62</v>
      </c>
      <c r="D245" s="253">
        <v>548237</v>
      </c>
      <c r="E245" s="253">
        <v>67158</v>
      </c>
      <c r="F245" s="254">
        <f>SUM(D245:E245)</f>
        <v>615395</v>
      </c>
    </row>
    <row r="246" spans="2:6" x14ac:dyDescent="0.2">
      <c r="B246" s="227"/>
      <c r="C246" s="231" t="s">
        <v>36</v>
      </c>
      <c r="D246" s="232">
        <f>SUM(D244:D245)</f>
        <v>918239</v>
      </c>
      <c r="E246" s="232">
        <f t="shared" ref="E246:F246" si="13">SUM(E244:E245)</f>
        <v>112482</v>
      </c>
      <c r="F246" s="232">
        <f t="shared" si="13"/>
        <v>1030721</v>
      </c>
    </row>
    <row r="247" spans="2:6" x14ac:dyDescent="0.2">
      <c r="B247" s="227"/>
      <c r="C247" s="58"/>
      <c r="D247" s="58"/>
      <c r="E247" s="252"/>
      <c r="F247" s="176"/>
    </row>
    <row r="248" spans="2:6" x14ac:dyDescent="0.2">
      <c r="B248" s="228" t="s">
        <v>383</v>
      </c>
      <c r="C248" s="58"/>
      <c r="D248" s="58"/>
      <c r="E248" s="252"/>
      <c r="F248" s="176"/>
    </row>
    <row r="249" spans="2:6" x14ac:dyDescent="0.2">
      <c r="B249" s="227"/>
      <c r="C249" s="58"/>
      <c r="D249" s="59" t="s">
        <v>381</v>
      </c>
      <c r="E249" s="229" t="s">
        <v>382</v>
      </c>
      <c r="F249" s="230" t="s">
        <v>36</v>
      </c>
    </row>
    <row r="250" spans="2:6" x14ac:dyDescent="0.2">
      <c r="B250" s="227"/>
      <c r="C250" s="58"/>
      <c r="D250" s="58"/>
      <c r="E250" s="252"/>
      <c r="F250" s="176"/>
    </row>
    <row r="251" spans="2:6" x14ac:dyDescent="0.2">
      <c r="B251" s="227"/>
      <c r="C251" s="58" t="s">
        <v>69</v>
      </c>
      <c r="D251" s="253">
        <v>397580.04691256757</v>
      </c>
      <c r="E251" s="253">
        <v>49172.28545957624</v>
      </c>
      <c r="F251" s="254">
        <f>SUM(D251:E251)</f>
        <v>446752.33237214381</v>
      </c>
    </row>
    <row r="252" spans="2:6" x14ac:dyDescent="0.2">
      <c r="B252" s="227"/>
      <c r="C252" s="58" t="s">
        <v>62</v>
      </c>
      <c r="D252" s="253">
        <v>589090.07349666988</v>
      </c>
      <c r="E252" s="253">
        <v>72162.425801340709</v>
      </c>
      <c r="F252" s="254">
        <f>SUM(D252:E252)</f>
        <v>661252.4992980106</v>
      </c>
    </row>
    <row r="253" spans="2:6" x14ac:dyDescent="0.2">
      <c r="B253" s="255"/>
      <c r="C253" s="231" t="s">
        <v>36</v>
      </c>
      <c r="D253" s="232">
        <f>SUM(D251:D252)</f>
        <v>986670.12040923745</v>
      </c>
      <c r="E253" s="232">
        <f t="shared" ref="E253:F253" si="14">SUM(E251:E252)</f>
        <v>121334.71126091696</v>
      </c>
      <c r="F253" s="232">
        <f t="shared" si="14"/>
        <v>1108004.8316701544</v>
      </c>
    </row>
    <row r="254" spans="2:6" ht="13.5" thickBot="1" x14ac:dyDescent="0.25">
      <c r="B254" s="178"/>
      <c r="C254" s="256"/>
      <c r="D254" s="256"/>
      <c r="E254" s="257"/>
      <c r="F254" s="200"/>
    </row>
    <row r="256" spans="2:6" ht="13.5" thickBot="1" x14ac:dyDescent="0.25"/>
    <row r="257" spans="2:21" ht="16.5" thickBot="1" x14ac:dyDescent="0.3">
      <c r="B257" s="233"/>
      <c r="C257" s="234"/>
      <c r="D257" s="235" t="s">
        <v>384</v>
      </c>
      <c r="E257" s="290" t="s">
        <v>385</v>
      </c>
      <c r="F257" s="290"/>
      <c r="G257" s="291"/>
      <c r="H257" s="290" t="s">
        <v>386</v>
      </c>
      <c r="I257" s="290"/>
      <c r="J257" s="290"/>
      <c r="K257" s="289" t="s">
        <v>387</v>
      </c>
      <c r="L257" s="290"/>
      <c r="M257" s="291"/>
      <c r="N257" s="290" t="s">
        <v>117</v>
      </c>
      <c r="O257" s="290"/>
      <c r="P257" s="289" t="s">
        <v>388</v>
      </c>
      <c r="Q257" s="290"/>
      <c r="R257" s="291"/>
      <c r="S257" s="289" t="s">
        <v>389</v>
      </c>
      <c r="T257" s="290"/>
      <c r="U257" s="291"/>
    </row>
    <row r="258" spans="2:21" ht="25.5" customHeight="1" thickBot="1" x14ac:dyDescent="0.25">
      <c r="B258" s="258"/>
      <c r="C258" s="236"/>
      <c r="D258" s="259" t="s">
        <v>390</v>
      </c>
      <c r="E258" s="260" t="s">
        <v>391</v>
      </c>
      <c r="F258" s="260" t="s">
        <v>392</v>
      </c>
      <c r="G258" s="261" t="s">
        <v>393</v>
      </c>
      <c r="H258" s="260" t="s">
        <v>390</v>
      </c>
      <c r="I258" s="260" t="s">
        <v>392</v>
      </c>
      <c r="J258" s="260" t="s">
        <v>393</v>
      </c>
      <c r="K258" s="262" t="s">
        <v>390</v>
      </c>
      <c r="L258" s="260" t="s">
        <v>394</v>
      </c>
      <c r="M258" s="261" t="s">
        <v>393</v>
      </c>
      <c r="N258" s="260" t="s">
        <v>395</v>
      </c>
      <c r="O258" s="260" t="s">
        <v>393</v>
      </c>
      <c r="P258" s="262" t="s">
        <v>396</v>
      </c>
      <c r="Q258" s="260" t="s">
        <v>397</v>
      </c>
      <c r="R258" s="261" t="s">
        <v>393</v>
      </c>
      <c r="S258" s="262" t="s">
        <v>396</v>
      </c>
      <c r="T258" s="260" t="s">
        <v>397</v>
      </c>
      <c r="U258" s="261" t="s">
        <v>393</v>
      </c>
    </row>
    <row r="259" spans="2:21" x14ac:dyDescent="0.2">
      <c r="B259" s="237"/>
      <c r="C259" s="238"/>
      <c r="D259" s="263"/>
      <c r="E259" s="264"/>
      <c r="F259" s="264"/>
      <c r="G259" s="264"/>
      <c r="H259" s="263"/>
      <c r="I259" s="263"/>
      <c r="J259" s="145"/>
      <c r="K259" s="265"/>
      <c r="L259" s="266"/>
      <c r="M259" s="267"/>
      <c r="N259" s="263"/>
      <c r="O259" s="145"/>
      <c r="P259" s="265"/>
      <c r="Q259" s="266"/>
      <c r="R259" s="176"/>
      <c r="S259" s="265"/>
      <c r="T259" s="266"/>
      <c r="U259" s="176"/>
    </row>
    <row r="260" spans="2:21" x14ac:dyDescent="0.2">
      <c r="B260" s="239">
        <v>43252</v>
      </c>
      <c r="C260" s="238"/>
      <c r="D260" s="268">
        <v>8274</v>
      </c>
      <c r="E260" s="269"/>
      <c r="F260" s="269"/>
      <c r="G260" s="269"/>
      <c r="H260" s="268">
        <v>7200</v>
      </c>
      <c r="I260" s="268">
        <v>34.81</v>
      </c>
      <c r="J260" s="270">
        <f t="shared" ref="J260:J271" si="15">H260*I260</f>
        <v>250632.00000000003</v>
      </c>
      <c r="K260" s="271">
        <f>D260-E260-H260</f>
        <v>1074</v>
      </c>
      <c r="L260" s="268">
        <v>28.388888888888889</v>
      </c>
      <c r="M260" s="272">
        <f t="shared" ref="M260:M271" si="16">K260*L260</f>
        <v>30489.666666666668</v>
      </c>
      <c r="N260" s="268">
        <v>2.0757532476900833</v>
      </c>
      <c r="O260" s="270">
        <f t="shared" ref="O260:O271" si="17">N260*(K260+H260)</f>
        <v>17174.782371387748</v>
      </c>
      <c r="P260" s="268">
        <v>0</v>
      </c>
      <c r="Q260" s="268">
        <v>0</v>
      </c>
      <c r="R260" s="272">
        <f>P260*Q260*1000</f>
        <v>0</v>
      </c>
      <c r="S260" s="268">
        <v>45.844844187745743</v>
      </c>
      <c r="T260" s="268">
        <v>6.4086994097300174</v>
      </c>
      <c r="U260" s="272">
        <f>S260*T260*1000</f>
        <v>293805.82588517072</v>
      </c>
    </row>
    <row r="261" spans="2:21" x14ac:dyDescent="0.2">
      <c r="B261" s="239">
        <f>B260+31-DAY(B260+31)+1</f>
        <v>43282</v>
      </c>
      <c r="C261" s="238"/>
      <c r="D261" s="268">
        <v>11337</v>
      </c>
      <c r="E261" s="269"/>
      <c r="F261" s="269"/>
      <c r="G261" s="269"/>
      <c r="H261" s="268">
        <v>7440</v>
      </c>
      <c r="I261" s="268">
        <v>34.81</v>
      </c>
      <c r="J261" s="270">
        <f t="shared" si="15"/>
        <v>258986.40000000002</v>
      </c>
      <c r="K261" s="271">
        <f t="shared" ref="K261:K271" si="18">D261-E261-H261</f>
        <v>3897</v>
      </c>
      <c r="L261" s="268">
        <v>34.045698924731184</v>
      </c>
      <c r="M261" s="272">
        <f t="shared" si="16"/>
        <v>132676.08870967742</v>
      </c>
      <c r="N261" s="268">
        <v>1.8136527441473682</v>
      </c>
      <c r="O261" s="270">
        <f t="shared" si="17"/>
        <v>20561.381160398712</v>
      </c>
      <c r="P261" s="268">
        <v>0</v>
      </c>
      <c r="Q261" s="268">
        <v>0</v>
      </c>
      <c r="R261" s="272">
        <f t="shared" ref="R261:R271" si="19">P261*Q261*1000</f>
        <v>0</v>
      </c>
      <c r="S261" s="268">
        <v>45.844844187745743</v>
      </c>
      <c r="T261" s="268">
        <v>6.4017287180549873</v>
      </c>
      <c r="U261" s="272">
        <f t="shared" ref="U261:U271" si="20">S261*T261*1000</f>
        <v>293486.2556114482</v>
      </c>
    </row>
    <row r="262" spans="2:21" x14ac:dyDescent="0.2">
      <c r="B262" s="239">
        <f t="shared" ref="B262:B271" si="21">B261+31-DAY(B261+31)+1</f>
        <v>43313</v>
      </c>
      <c r="C262" s="238"/>
      <c r="D262" s="268">
        <v>10862</v>
      </c>
      <c r="E262" s="269"/>
      <c r="F262" s="269"/>
      <c r="G262" s="269"/>
      <c r="H262" s="268">
        <v>7440</v>
      </c>
      <c r="I262" s="268">
        <v>34.81</v>
      </c>
      <c r="J262" s="270">
        <f t="shared" si="15"/>
        <v>258986.40000000002</v>
      </c>
      <c r="K262" s="271">
        <f t="shared" si="18"/>
        <v>3422</v>
      </c>
      <c r="L262" s="268">
        <v>31.690860215053764</v>
      </c>
      <c r="M262" s="272">
        <f t="shared" si="16"/>
        <v>108446.12365591398</v>
      </c>
      <c r="N262" s="268">
        <v>1.8271971624531469</v>
      </c>
      <c r="O262" s="270">
        <f t="shared" si="17"/>
        <v>19847.015578566083</v>
      </c>
      <c r="P262" s="268">
        <v>0</v>
      </c>
      <c r="Q262" s="268">
        <v>0</v>
      </c>
      <c r="R262" s="272">
        <f t="shared" si="19"/>
        <v>0</v>
      </c>
      <c r="S262" s="268">
        <v>45.844844187745743</v>
      </c>
      <c r="T262" s="268">
        <v>6.3088413020021434</v>
      </c>
      <c r="U262" s="272">
        <f t="shared" si="20"/>
        <v>289227.84649550321</v>
      </c>
    </row>
    <row r="263" spans="2:21" x14ac:dyDescent="0.2">
      <c r="B263" s="239">
        <f t="shared" si="21"/>
        <v>43344</v>
      </c>
      <c r="C263" s="238"/>
      <c r="D263" s="268">
        <v>8070</v>
      </c>
      <c r="E263" s="269"/>
      <c r="F263" s="269"/>
      <c r="G263" s="269"/>
      <c r="H263" s="268">
        <v>7200</v>
      </c>
      <c r="I263" s="268">
        <v>34.81</v>
      </c>
      <c r="J263" s="270">
        <f t="shared" si="15"/>
        <v>250632.00000000003</v>
      </c>
      <c r="K263" s="271">
        <f t="shared" si="18"/>
        <v>870</v>
      </c>
      <c r="L263" s="268">
        <v>27.972222222222221</v>
      </c>
      <c r="M263" s="272">
        <f t="shared" si="16"/>
        <v>24335.833333333332</v>
      </c>
      <c r="N263" s="268">
        <v>1.7353571802298005</v>
      </c>
      <c r="O263" s="270">
        <f t="shared" si="17"/>
        <v>14004.332444454491</v>
      </c>
      <c r="P263" s="268">
        <v>0</v>
      </c>
      <c r="Q263" s="268">
        <v>0</v>
      </c>
      <c r="R263" s="272">
        <f t="shared" si="19"/>
        <v>0</v>
      </c>
      <c r="S263" s="268">
        <v>45.844844187745743</v>
      </c>
      <c r="T263" s="268">
        <v>6.3684117585137034</v>
      </c>
      <c r="U263" s="272">
        <f t="shared" si="20"/>
        <v>291958.84479246859</v>
      </c>
    </row>
    <row r="264" spans="2:21" x14ac:dyDescent="0.2">
      <c r="B264" s="239">
        <f t="shared" si="21"/>
        <v>43374</v>
      </c>
      <c r="C264" s="238"/>
      <c r="D264" s="268">
        <v>7223</v>
      </c>
      <c r="E264" s="269"/>
      <c r="F264" s="269"/>
      <c r="G264" s="269"/>
      <c r="H264" s="268">
        <v>7440</v>
      </c>
      <c r="I264" s="268">
        <v>34.81</v>
      </c>
      <c r="J264" s="270">
        <f t="shared" si="15"/>
        <v>258986.40000000002</v>
      </c>
      <c r="K264" s="271">
        <f t="shared" si="18"/>
        <v>-217</v>
      </c>
      <c r="L264" s="268">
        <v>26.3252688172043</v>
      </c>
      <c r="M264" s="272">
        <f t="shared" si="16"/>
        <v>-5712.583333333333</v>
      </c>
      <c r="N264" s="268">
        <v>1.9738152485904501</v>
      </c>
      <c r="O264" s="270">
        <f t="shared" si="17"/>
        <v>14256.867540568821</v>
      </c>
      <c r="P264" s="268">
        <v>0</v>
      </c>
      <c r="Q264" s="268">
        <v>0</v>
      </c>
      <c r="R264" s="272">
        <f t="shared" si="19"/>
        <v>0</v>
      </c>
      <c r="S264" s="268">
        <v>45.844844187745743</v>
      </c>
      <c r="T264" s="268">
        <v>6.4952762676107314</v>
      </c>
      <c r="U264" s="272">
        <f t="shared" si="20"/>
        <v>297774.92844497669</v>
      </c>
    </row>
    <row r="265" spans="2:21" x14ac:dyDescent="0.2">
      <c r="B265" s="239">
        <f t="shared" si="21"/>
        <v>43405</v>
      </c>
      <c r="C265" s="238"/>
      <c r="D265" s="268">
        <v>7425</v>
      </c>
      <c r="E265" s="269"/>
      <c r="F265" s="269"/>
      <c r="G265" s="269"/>
      <c r="H265" s="268">
        <v>7210</v>
      </c>
      <c r="I265" s="268">
        <v>34.81</v>
      </c>
      <c r="J265" s="270">
        <f t="shared" si="15"/>
        <v>250980.1</v>
      </c>
      <c r="K265" s="271">
        <f t="shared" si="18"/>
        <v>215</v>
      </c>
      <c r="L265" s="268">
        <v>28.661581137309291</v>
      </c>
      <c r="M265" s="272">
        <f t="shared" si="16"/>
        <v>6162.2399445214978</v>
      </c>
      <c r="N265" s="268">
        <v>1.9366681798122971</v>
      </c>
      <c r="O265" s="270">
        <f t="shared" si="17"/>
        <v>14379.761235106305</v>
      </c>
      <c r="P265" s="268">
        <v>0</v>
      </c>
      <c r="Q265" s="268">
        <v>0</v>
      </c>
      <c r="R265" s="272">
        <f t="shared" si="19"/>
        <v>0</v>
      </c>
      <c r="S265" s="268">
        <v>45.844844187745743</v>
      </c>
      <c r="T265" s="268">
        <v>1.0761916547485719</v>
      </c>
      <c r="U265" s="272">
        <f t="shared" si="20"/>
        <v>49337.838728100542</v>
      </c>
    </row>
    <row r="266" spans="2:21" x14ac:dyDescent="0.2">
      <c r="B266" s="239">
        <f t="shared" si="21"/>
        <v>43435</v>
      </c>
      <c r="C266" s="238"/>
      <c r="D266" s="268">
        <v>9308</v>
      </c>
      <c r="E266" s="269"/>
      <c r="F266" s="269"/>
      <c r="G266" s="269"/>
      <c r="H266" s="268">
        <v>7440</v>
      </c>
      <c r="I266" s="268">
        <v>34.81</v>
      </c>
      <c r="J266" s="270">
        <f t="shared" si="15"/>
        <v>258986.40000000002</v>
      </c>
      <c r="K266" s="271">
        <f t="shared" si="18"/>
        <v>1868</v>
      </c>
      <c r="L266" s="268">
        <v>42.12903225806452</v>
      </c>
      <c r="M266" s="272">
        <f t="shared" si="16"/>
        <v>78697.03225806453</v>
      </c>
      <c r="N266" s="268">
        <v>1.8463282024020877</v>
      </c>
      <c r="O266" s="270">
        <f t="shared" si="17"/>
        <v>17185.622907958634</v>
      </c>
      <c r="P266" s="268">
        <v>0</v>
      </c>
      <c r="Q266" s="268">
        <v>0</v>
      </c>
      <c r="R266" s="272">
        <f t="shared" si="19"/>
        <v>0</v>
      </c>
      <c r="S266" s="268">
        <v>45.844844187745743</v>
      </c>
      <c r="T266" s="268">
        <v>1.0895626347352791</v>
      </c>
      <c r="U266" s="272">
        <f t="shared" si="20"/>
        <v>49950.829222228596</v>
      </c>
    </row>
    <row r="267" spans="2:21" x14ac:dyDescent="0.2">
      <c r="B267" s="239">
        <f t="shared" si="21"/>
        <v>43466</v>
      </c>
      <c r="C267" s="238"/>
      <c r="D267" s="268">
        <v>9641</v>
      </c>
      <c r="E267" s="269"/>
      <c r="F267" s="269"/>
      <c r="G267" s="269"/>
      <c r="H267" s="268">
        <v>7440</v>
      </c>
      <c r="I267" s="268">
        <v>34.81</v>
      </c>
      <c r="J267" s="270">
        <f t="shared" si="15"/>
        <v>258986.40000000002</v>
      </c>
      <c r="K267" s="271">
        <f t="shared" si="18"/>
        <v>2201</v>
      </c>
      <c r="L267" s="268">
        <v>58.9005376344086</v>
      </c>
      <c r="M267" s="272">
        <f t="shared" si="16"/>
        <v>129640.08333333333</v>
      </c>
      <c r="N267" s="268">
        <v>1.761239693025717</v>
      </c>
      <c r="O267" s="270">
        <f t="shared" si="17"/>
        <v>16980.11188046094</v>
      </c>
      <c r="P267" s="268">
        <v>0</v>
      </c>
      <c r="Q267" s="268">
        <v>0</v>
      </c>
      <c r="R267" s="272">
        <f t="shared" si="19"/>
        <v>0</v>
      </c>
      <c r="S267" s="268">
        <v>45.844844187745743</v>
      </c>
      <c r="T267" s="268">
        <v>1.0981478934847919</v>
      </c>
      <c r="U267" s="272">
        <f t="shared" si="20"/>
        <v>50344.419071911492</v>
      </c>
    </row>
    <row r="268" spans="2:21" x14ac:dyDescent="0.2">
      <c r="B268" s="239">
        <f t="shared" si="21"/>
        <v>43497</v>
      </c>
      <c r="C268" s="238"/>
      <c r="D268" s="268">
        <v>8029</v>
      </c>
      <c r="E268" s="269"/>
      <c r="F268" s="269"/>
      <c r="G268" s="269"/>
      <c r="H268" s="268">
        <v>6960</v>
      </c>
      <c r="I268" s="268">
        <v>34.81</v>
      </c>
      <c r="J268" s="270">
        <f t="shared" si="15"/>
        <v>242277.6</v>
      </c>
      <c r="K268" s="271">
        <f t="shared" si="18"/>
        <v>1069</v>
      </c>
      <c r="L268" s="268">
        <v>55.727011494252871</v>
      </c>
      <c r="M268" s="272">
        <f t="shared" si="16"/>
        <v>59572.175287356316</v>
      </c>
      <c r="N268" s="268">
        <v>1.8000210015709797</v>
      </c>
      <c r="O268" s="270">
        <f t="shared" si="17"/>
        <v>14452.368621613396</v>
      </c>
      <c r="P268" s="268">
        <v>0</v>
      </c>
      <c r="Q268" s="268">
        <v>0</v>
      </c>
      <c r="R268" s="272">
        <f t="shared" si="19"/>
        <v>0</v>
      </c>
      <c r="S268" s="268">
        <v>45.844844187745743</v>
      </c>
      <c r="T268" s="268">
        <v>1.1055339550749759</v>
      </c>
      <c r="U268" s="272">
        <f t="shared" si="20"/>
        <v>50683.031914674575</v>
      </c>
    </row>
    <row r="269" spans="2:21" x14ac:dyDescent="0.2">
      <c r="B269" s="239">
        <f t="shared" si="21"/>
        <v>43525</v>
      </c>
      <c r="C269" s="238"/>
      <c r="D269" s="268">
        <v>8540</v>
      </c>
      <c r="E269" s="269"/>
      <c r="F269" s="269"/>
      <c r="G269" s="269"/>
      <c r="H269" s="268">
        <v>7440</v>
      </c>
      <c r="I269" s="268">
        <v>34.81</v>
      </c>
      <c r="J269" s="270">
        <f t="shared" si="15"/>
        <v>258986.40000000002</v>
      </c>
      <c r="K269" s="271">
        <f t="shared" si="18"/>
        <v>1100</v>
      </c>
      <c r="L269" s="268">
        <v>35.981182795698928</v>
      </c>
      <c r="M269" s="272">
        <f t="shared" si="16"/>
        <v>39579.301075268821</v>
      </c>
      <c r="N269" s="268">
        <v>1.8726548759302526</v>
      </c>
      <c r="O269" s="270">
        <f t="shared" si="17"/>
        <v>15992.472640444357</v>
      </c>
      <c r="P269" s="268">
        <v>0</v>
      </c>
      <c r="Q269" s="268">
        <v>0</v>
      </c>
      <c r="R269" s="272">
        <f t="shared" si="19"/>
        <v>0</v>
      </c>
      <c r="S269" s="268">
        <v>45.844844187745743</v>
      </c>
      <c r="T269" s="268">
        <v>1.0957743219481617</v>
      </c>
      <c r="U269" s="272">
        <f t="shared" si="20"/>
        <v>50235.603054646213</v>
      </c>
    </row>
    <row r="270" spans="2:21" x14ac:dyDescent="0.2">
      <c r="B270" s="239">
        <f t="shared" si="21"/>
        <v>43556</v>
      </c>
      <c r="C270" s="238"/>
      <c r="D270" s="268">
        <v>7281</v>
      </c>
      <c r="E270" s="269"/>
      <c r="F270" s="269"/>
      <c r="G270" s="269"/>
      <c r="H270" s="268">
        <v>7200</v>
      </c>
      <c r="I270" s="268">
        <v>34.81</v>
      </c>
      <c r="J270" s="270">
        <f t="shared" si="15"/>
        <v>250632.00000000003</v>
      </c>
      <c r="K270" s="271">
        <f t="shared" si="18"/>
        <v>81</v>
      </c>
      <c r="L270" s="268">
        <v>27.616666666666667</v>
      </c>
      <c r="M270" s="272">
        <f t="shared" si="16"/>
        <v>2236.9499999999998</v>
      </c>
      <c r="N270" s="268">
        <v>1.951675401094052</v>
      </c>
      <c r="O270" s="270">
        <f t="shared" si="17"/>
        <v>14210.148595365792</v>
      </c>
      <c r="P270" s="268">
        <v>0</v>
      </c>
      <c r="Q270" s="268">
        <v>0</v>
      </c>
      <c r="R270" s="272">
        <f t="shared" si="19"/>
        <v>0</v>
      </c>
      <c r="S270" s="268">
        <v>45.844844187745743</v>
      </c>
      <c r="T270" s="268">
        <v>1.159891567925206</v>
      </c>
      <c r="U270" s="272">
        <f t="shared" si="20"/>
        <v>53175.04820621117</v>
      </c>
    </row>
    <row r="271" spans="2:21" x14ac:dyDescent="0.2">
      <c r="B271" s="239">
        <f t="shared" si="21"/>
        <v>43586</v>
      </c>
      <c r="C271" s="238"/>
      <c r="D271" s="268">
        <v>8282</v>
      </c>
      <c r="E271" s="269"/>
      <c r="F271" s="269"/>
      <c r="G271" s="269"/>
      <c r="H271" s="268">
        <v>7440</v>
      </c>
      <c r="I271" s="268">
        <v>34.81</v>
      </c>
      <c r="J271" s="270">
        <f t="shared" si="15"/>
        <v>258986.40000000002</v>
      </c>
      <c r="K271" s="271">
        <f t="shared" si="18"/>
        <v>842</v>
      </c>
      <c r="L271" s="268">
        <v>24.981182795698924</v>
      </c>
      <c r="M271" s="272">
        <f t="shared" si="16"/>
        <v>21034.155913978495</v>
      </c>
      <c r="N271" s="268">
        <v>2.1968225128657535</v>
      </c>
      <c r="O271" s="270">
        <f t="shared" si="17"/>
        <v>18194.084051554171</v>
      </c>
      <c r="P271" s="268">
        <v>0</v>
      </c>
      <c r="Q271" s="268">
        <v>0</v>
      </c>
      <c r="R271" s="272">
        <f t="shared" si="19"/>
        <v>0</v>
      </c>
      <c r="S271" s="268">
        <v>45.844844187745743</v>
      </c>
      <c r="T271" s="268">
        <v>5.9158491017056294</v>
      </c>
      <c r="U271" s="272">
        <f t="shared" si="20"/>
        <v>271211.18030591018</v>
      </c>
    </row>
    <row r="272" spans="2:21" ht="13.5" thickBot="1" x14ac:dyDescent="0.25">
      <c r="B272" s="240"/>
      <c r="C272" s="200"/>
      <c r="D272" s="263"/>
      <c r="E272" s="273"/>
      <c r="F272" s="273"/>
      <c r="G272" s="274"/>
      <c r="H272" s="263"/>
      <c r="I272" s="263"/>
      <c r="J272" s="273"/>
      <c r="K272" s="275"/>
      <c r="L272" s="273"/>
      <c r="M272" s="274"/>
      <c r="N272" s="263"/>
      <c r="O272" s="273"/>
      <c r="P272" s="275"/>
      <c r="Q272" s="273"/>
      <c r="R272" s="200"/>
      <c r="S272" s="275"/>
      <c r="T272" s="273"/>
      <c r="U272" s="200"/>
    </row>
    <row r="273" spans="2:21" ht="13.5" thickBot="1" x14ac:dyDescent="0.25">
      <c r="B273" s="241" t="s">
        <v>36</v>
      </c>
      <c r="C273" s="276"/>
      <c r="D273" s="277">
        <f>SUM(D260:D272)</f>
        <v>104272</v>
      </c>
      <c r="E273" s="278">
        <v>0</v>
      </c>
      <c r="F273" s="279">
        <v>0</v>
      </c>
      <c r="G273" s="280">
        <v>0</v>
      </c>
      <c r="H273" s="278">
        <f>SUM(H260:H272)</f>
        <v>87850</v>
      </c>
      <c r="I273" s="279"/>
      <c r="J273" s="278">
        <f>SUM(J260:J272)</f>
        <v>3058058.5</v>
      </c>
      <c r="K273" s="281">
        <f>SUM(K260:K272)</f>
        <v>16422</v>
      </c>
      <c r="L273" s="279"/>
      <c r="M273" s="280">
        <f>SUM(M260:M272)</f>
        <v>627157.06684478093</v>
      </c>
      <c r="N273" s="282">
        <f>O273/D273</f>
        <v>1.8915811438150167</v>
      </c>
      <c r="O273" s="278">
        <f>SUM(O260:O271)</f>
        <v>197238.94902787943</v>
      </c>
      <c r="P273" s="283"/>
      <c r="Q273" s="279"/>
      <c r="R273" s="280">
        <f>SUM(R260:R272)</f>
        <v>0</v>
      </c>
      <c r="S273" s="283"/>
      <c r="T273" s="279"/>
      <c r="U273" s="280">
        <f>SUM(U260:U272)</f>
        <v>2041191.6517332504</v>
      </c>
    </row>
    <row r="277" spans="2:21" x14ac:dyDescent="0.2">
      <c r="B277" s="242" t="s">
        <v>398</v>
      </c>
      <c r="C277" s="145"/>
      <c r="D277" s="145"/>
      <c r="E277" s="145"/>
    </row>
    <row r="278" spans="2:21" x14ac:dyDescent="0.2">
      <c r="B278" s="145"/>
      <c r="C278" s="145"/>
      <c r="D278" s="145"/>
      <c r="E278" s="145"/>
    </row>
    <row r="279" spans="2:21" x14ac:dyDescent="0.2">
      <c r="B279" s="110" t="s">
        <v>399</v>
      </c>
      <c r="C279" s="145"/>
      <c r="D279" s="284">
        <f>$G$273</f>
        <v>0</v>
      </c>
      <c r="E279" s="285">
        <f>ROUND(D279/$D$273,2)</f>
        <v>0</v>
      </c>
    </row>
    <row r="280" spans="2:21" x14ac:dyDescent="0.2">
      <c r="B280" s="110" t="s">
        <v>386</v>
      </c>
      <c r="C280" s="145"/>
      <c r="D280" s="284">
        <f>$J$273</f>
        <v>3058058.5</v>
      </c>
      <c r="E280" s="285">
        <f>ROUND(D280/$D$273,2)</f>
        <v>29.33</v>
      </c>
    </row>
    <row r="281" spans="2:21" x14ac:dyDescent="0.2">
      <c r="B281" s="110" t="s">
        <v>387</v>
      </c>
      <c r="C281" s="145"/>
      <c r="D281" s="284">
        <f>$M$273</f>
        <v>627157.06684478093</v>
      </c>
      <c r="E281" s="285">
        <f>ROUND(D281/$K$273,2)</f>
        <v>38.19</v>
      </c>
    </row>
    <row r="282" spans="2:21" x14ac:dyDescent="0.2">
      <c r="B282" s="110" t="s">
        <v>117</v>
      </c>
      <c r="C282" s="145"/>
      <c r="D282" s="284">
        <f>O273</f>
        <v>197238.94902787943</v>
      </c>
      <c r="E282" s="285">
        <f>ROUND(D282/$D$273,2)</f>
        <v>1.89</v>
      </c>
    </row>
    <row r="283" spans="2:21" x14ac:dyDescent="0.2">
      <c r="B283" s="110" t="s">
        <v>388</v>
      </c>
      <c r="C283" s="145"/>
      <c r="D283" s="243">
        <f>U273</f>
        <v>2041191.6517332504</v>
      </c>
      <c r="E283" s="244">
        <f>ROUND(D283/$D$273,2)</f>
        <v>19.579999999999998</v>
      </c>
    </row>
    <row r="284" spans="2:21" x14ac:dyDescent="0.2">
      <c r="B284" s="145"/>
      <c r="C284" s="145"/>
      <c r="D284" s="284">
        <f>SUM(D279:D283)</f>
        <v>5923646.1676059105</v>
      </c>
      <c r="E284" s="285">
        <f>SUM(E279:E283)</f>
        <v>88.99</v>
      </c>
    </row>
    <row r="285" spans="2:21" x14ac:dyDescent="0.2">
      <c r="B285" s="145" t="s">
        <v>400</v>
      </c>
      <c r="C285" s="145"/>
      <c r="D285" s="284">
        <f>$D$273</f>
        <v>104272</v>
      </c>
      <c r="E285" s="136"/>
    </row>
    <row r="286" spans="2:21" x14ac:dyDescent="0.2">
      <c r="B286" s="145" t="s">
        <v>244</v>
      </c>
      <c r="C286" s="145"/>
      <c r="D286" s="286">
        <f>ROUND(D284/D285,2)</f>
        <v>56.81</v>
      </c>
      <c r="E286" s="136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Author</cp:lastModifiedBy>
  <dcterms:created xsi:type="dcterms:W3CDTF">2019-01-15T20:38:53Z</dcterms:created>
  <dcterms:modified xsi:type="dcterms:W3CDTF">2019-01-23T22:28:04Z</dcterms:modified>
</cp:coreProperties>
</file>