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Input" sheetId="1" r:id="rId1"/>
    <sheet name="bid_factors" sheetId="2" r:id="rId2"/>
    <sheet name="auction_results_and_rates" sheetId="3" r:id="rId3"/>
  </sheets>
  <definedNames>
    <definedName name="\a">#REF!</definedName>
    <definedName name="Co_letter">#REF!</definedName>
    <definedName name="Co_List">#REF!</definedName>
    <definedName name="Co_Name">#REF!</definedName>
    <definedName name="Co_Picked">#REF!</definedName>
    <definedName name="Get_Co">#REF!</definedName>
    <definedName name="Get_Mo">#REF!</definedName>
    <definedName name="Mo_List">#REF!</definedName>
    <definedName name="Mo_Picked">#REF!</definedName>
    <definedName name="_xlnm.Print_Area" localSheetId="2">auction_results_and_rates!$A$1:$L$212</definedName>
    <definedName name="_xlnm.Print_Area" localSheetId="1">bid_factors!$A$1:$L$354</definedName>
    <definedName name="_xlnm.Print_Area" localSheetId="0">Input!$A$1:$L$143</definedName>
    <definedName name="Print_Area_MI">#REF!</definedName>
    <definedName name="_xlnm.Print_Titles" localSheetId="2">auction_results_and_rates!$1:$4</definedName>
    <definedName name="Rpt_Mo">#REF!</definedName>
    <definedName name="Year1">#REF!</definedName>
    <definedName name="Z_782F5CFE_DE26_4D5A_B82E_30A424B0A39B_.wvu.PrintArea" localSheetId="2" hidden="1">auction_results_and_rates!$A$1:$L$212</definedName>
    <definedName name="Z_782F5CFE_DE26_4D5A_B82E_30A424B0A39B_.wvu.PrintArea" localSheetId="1" hidden="1">bid_factors!$A$1:$L$354</definedName>
    <definedName name="Z_782F5CFE_DE26_4D5A_B82E_30A424B0A39B_.wvu.PrintTitles" localSheetId="2" hidden="1">auction_results_and_rates!$1:$4</definedName>
    <definedName name="Z_782F5CFE_DE26_4D5A_B82E_30A424B0A39B_.wvu.Rows" localSheetId="2" hidden="1">auction_results_and_rates!$213:$274</definedName>
    <definedName name="Z_782F5CFE_DE26_4D5A_B82E_30A424B0A39B_.wvu.Rows" localSheetId="0" hidden="1">Input!$309:$385</definedName>
    <definedName name="Z_88B031DE_0423_45A5_B384_E560A52FDD07_.wvu.PrintArea" localSheetId="2" hidden="1">auction_results_and_rates!$A$1:$L$212</definedName>
    <definedName name="Z_88B031DE_0423_45A5_B384_E560A52FDD07_.wvu.PrintArea" localSheetId="1" hidden="1">bid_factors!$A$1:$L$354</definedName>
    <definedName name="Z_88B031DE_0423_45A5_B384_E560A52FDD07_.wvu.PrintTitles" localSheetId="2" hidden="1">auction_results_and_rates!$1:$4</definedName>
    <definedName name="Z_88B031DE_0423_45A5_B384_E560A52FDD07_.wvu.Rows" localSheetId="2" hidden="1">auction_results_and_rates!$213:$274</definedName>
    <definedName name="Z_88B031DE_0423_45A5_B384_E560A52FDD07_.wvu.Rows" localSheetId="0" hidden="1">Input!$309:$385</definedName>
    <definedName name="Z_9BF7FAF1_D686_4A6B_A2BE_0DAD43841920_.wvu.PrintArea" localSheetId="2" hidden="1">auction_results_and_rates!$A$1:$L$212</definedName>
    <definedName name="Z_9BF7FAF1_D686_4A6B_A2BE_0DAD43841920_.wvu.PrintArea" localSheetId="1" hidden="1">bid_factors!$A$1:$L$354</definedName>
    <definedName name="Z_9BF7FAF1_D686_4A6B_A2BE_0DAD43841920_.wvu.PrintTitles" localSheetId="2" hidden="1">auction_results_and_rates!$1:$4</definedName>
    <definedName name="Z_9BF7FAF1_D686_4A6B_A2BE_0DAD43841920_.wvu.Rows" localSheetId="2" hidden="1">auction_results_and_rates!$213:$274</definedName>
    <definedName name="Z_9BF7FAF1_D686_4A6B_A2BE_0DAD43841920_.wvu.Rows" localSheetId="0" hidden="1">Input!$309:$385</definedName>
    <definedName name="Z_D5524E47_947F_4D9F_AE8B_3F0380261994_.wvu.PrintArea" localSheetId="2" hidden="1">auction_results_and_rates!$A$1:$L$212</definedName>
    <definedName name="Z_D5524E47_947F_4D9F_AE8B_3F0380261994_.wvu.PrintArea" localSheetId="1" hidden="1">bid_factors!$A$1:$L$354</definedName>
    <definedName name="Z_D5524E47_947F_4D9F_AE8B_3F0380261994_.wvu.PrintTitles" localSheetId="2" hidden="1">auction_results_and_rates!$1:$4</definedName>
    <definedName name="Z_D5524E47_947F_4D9F_AE8B_3F0380261994_.wvu.Rows" localSheetId="2" hidden="1">auction_results_and_rates!$213:$274</definedName>
    <definedName name="Z_D5524E47_947F_4D9F_AE8B_3F0380261994_.wvu.Rows" localSheetId="0" hidden="1">Input!$309:$385</definedName>
  </definedNames>
  <calcPr calcId="145621"/>
</workbook>
</file>

<file path=xl/calcChain.xml><?xml version="1.0" encoding="utf-8"?>
<calcChain xmlns="http://schemas.openxmlformats.org/spreadsheetml/2006/main">
  <c r="C177" i="3" l="1"/>
  <c r="I177" i="3" s="1"/>
  <c r="J159" i="3"/>
  <c r="I159" i="3"/>
  <c r="H159" i="3"/>
  <c r="G159" i="3"/>
  <c r="F159" i="3"/>
  <c r="E159" i="3"/>
  <c r="D159" i="3"/>
  <c r="C159" i="3"/>
  <c r="C105" i="3"/>
  <c r="I105" i="3" s="1"/>
  <c r="C87" i="3"/>
  <c r="J68" i="3"/>
  <c r="D68" i="3"/>
  <c r="E46" i="3"/>
  <c r="E87" i="3" s="1"/>
  <c r="D17" i="3"/>
  <c r="C17" i="3"/>
  <c r="D16" i="3"/>
  <c r="C16" i="3"/>
  <c r="E13" i="3"/>
  <c r="D13" i="3"/>
  <c r="C13" i="3"/>
  <c r="C10" i="3"/>
  <c r="E10" i="3"/>
  <c r="D8" i="3"/>
  <c r="C8" i="3"/>
  <c r="C285" i="2"/>
  <c r="C284" i="2"/>
  <c r="C280" i="2"/>
  <c r="F265" i="2"/>
  <c r="F68" i="3" s="1"/>
  <c r="E265" i="2"/>
  <c r="E68" i="3" s="1"/>
  <c r="E105" i="3" s="1"/>
  <c r="D265" i="2"/>
  <c r="C265" i="2"/>
  <c r="C68" i="3" s="1"/>
  <c r="I68" i="3" s="1"/>
  <c r="J243" i="2"/>
  <c r="J46" i="3" s="1"/>
  <c r="J87" i="3" s="1"/>
  <c r="I243" i="2"/>
  <c r="I46" i="3" s="1"/>
  <c r="I87" i="3" s="1"/>
  <c r="H243" i="2"/>
  <c r="H46" i="3" s="1"/>
  <c r="H87" i="3" s="1"/>
  <c r="G243" i="2"/>
  <c r="G46" i="3" s="1"/>
  <c r="G87" i="3" s="1"/>
  <c r="F243" i="2"/>
  <c r="F46" i="3" s="1"/>
  <c r="F87" i="3" s="1"/>
  <c r="E243" i="2"/>
  <c r="D243" i="2"/>
  <c r="D46" i="3" s="1"/>
  <c r="D87" i="3" s="1"/>
  <c r="C243" i="2"/>
  <c r="C46" i="3" s="1"/>
  <c r="I209" i="2"/>
  <c r="D209" i="2"/>
  <c r="J209" i="2" s="1"/>
  <c r="C209" i="2"/>
  <c r="J192" i="2"/>
  <c r="I192" i="2"/>
  <c r="H192" i="2"/>
  <c r="G192" i="2"/>
  <c r="F192" i="2"/>
  <c r="E192" i="2"/>
  <c r="D192" i="2"/>
  <c r="C192" i="2"/>
  <c r="J176" i="2"/>
  <c r="I176" i="2"/>
  <c r="H176" i="2"/>
  <c r="G176" i="2"/>
  <c r="F176" i="2"/>
  <c r="E176" i="2"/>
  <c r="D176" i="2"/>
  <c r="C176" i="2"/>
  <c r="D170" i="2"/>
  <c r="D171" i="2" s="1"/>
  <c r="C286" i="2" s="1"/>
  <c r="D169" i="2"/>
  <c r="R167" i="2"/>
  <c r="D163" i="2" s="1"/>
  <c r="D164" i="2" s="1"/>
  <c r="Q167" i="2"/>
  <c r="C163" i="2" s="1"/>
  <c r="C164" i="2" s="1"/>
  <c r="D166" i="2"/>
  <c r="C166" i="2"/>
  <c r="D161" i="2"/>
  <c r="C161" i="2"/>
  <c r="Q160" i="2"/>
  <c r="D159" i="2"/>
  <c r="E159" i="2" s="1"/>
  <c r="D158" i="2"/>
  <c r="E158" i="2" s="1"/>
  <c r="H154" i="2"/>
  <c r="AD149" i="2"/>
  <c r="X149" i="2"/>
  <c r="U149" i="2"/>
  <c r="V149" i="2" s="1"/>
  <c r="T149" i="2"/>
  <c r="R149" i="2"/>
  <c r="K149" i="2"/>
  <c r="I149" i="2"/>
  <c r="H149" i="2"/>
  <c r="G149" i="2"/>
  <c r="D149" i="2"/>
  <c r="C149" i="2"/>
  <c r="AD148" i="2"/>
  <c r="U148" i="2"/>
  <c r="T148" i="2"/>
  <c r="R148" i="2"/>
  <c r="U147" i="2"/>
  <c r="T147" i="2"/>
  <c r="T150" i="2" s="1"/>
  <c r="R147" i="2"/>
  <c r="K147" i="2"/>
  <c r="J147" i="2"/>
  <c r="F147" i="2"/>
  <c r="AM146" i="2"/>
  <c r="AL146" i="2"/>
  <c r="AK146" i="2"/>
  <c r="J149" i="2" s="1"/>
  <c r="AJ146" i="2"/>
  <c r="AI146" i="2"/>
  <c r="AH146" i="2"/>
  <c r="AG146" i="2"/>
  <c r="F149" i="2" s="1"/>
  <c r="AF146" i="2"/>
  <c r="E149" i="2" s="1"/>
  <c r="AE146" i="2"/>
  <c r="AD146" i="2"/>
  <c r="AM145" i="2"/>
  <c r="L147" i="2" s="1"/>
  <c r="AL145" i="2"/>
  <c r="AK145" i="2"/>
  <c r="AJ145" i="2"/>
  <c r="I147" i="2" s="1"/>
  <c r="AI145" i="2"/>
  <c r="H147" i="2" s="1"/>
  <c r="AH145" i="2"/>
  <c r="G147" i="2" s="1"/>
  <c r="G182" i="2" s="1"/>
  <c r="AG145" i="2"/>
  <c r="AF145" i="2"/>
  <c r="E147" i="2" s="1"/>
  <c r="AE145" i="2"/>
  <c r="D147" i="2" s="1"/>
  <c r="AD145" i="2"/>
  <c r="C147" i="2" s="1"/>
  <c r="L144" i="2"/>
  <c r="K144" i="2"/>
  <c r="J144" i="2"/>
  <c r="I144" i="2"/>
  <c r="H144" i="2"/>
  <c r="G144" i="2"/>
  <c r="F144" i="2"/>
  <c r="E144" i="2"/>
  <c r="D144" i="2"/>
  <c r="C144" i="2"/>
  <c r="B143" i="2"/>
  <c r="Q132" i="2"/>
  <c r="X128" i="2"/>
  <c r="U128" i="2"/>
  <c r="L128" i="2"/>
  <c r="AA128" i="2" s="1"/>
  <c r="K128" i="2"/>
  <c r="J128" i="2"/>
  <c r="I128" i="2"/>
  <c r="H128" i="2"/>
  <c r="G128" i="2"/>
  <c r="F128" i="2"/>
  <c r="E128" i="2"/>
  <c r="D128" i="2"/>
  <c r="C128" i="2"/>
  <c r="L110" i="2"/>
  <c r="K110" i="2"/>
  <c r="J110" i="2"/>
  <c r="I110" i="2"/>
  <c r="H110" i="2"/>
  <c r="G110" i="2"/>
  <c r="F110" i="2"/>
  <c r="E110" i="2"/>
  <c r="D110" i="2"/>
  <c r="C110" i="2"/>
  <c r="L92" i="2"/>
  <c r="K92" i="2"/>
  <c r="J92" i="2"/>
  <c r="I92" i="2"/>
  <c r="H92" i="2"/>
  <c r="G92" i="2"/>
  <c r="F92" i="2"/>
  <c r="E92" i="2"/>
  <c r="D92" i="2"/>
  <c r="C92" i="2"/>
  <c r="K84" i="2"/>
  <c r="C84" i="2"/>
  <c r="Q80" i="2"/>
  <c r="Q81" i="2" s="1"/>
  <c r="Q79" i="2"/>
  <c r="Q78" i="2"/>
  <c r="C79" i="2" s="1"/>
  <c r="L79" i="2" s="1"/>
  <c r="L80" i="2" s="1"/>
  <c r="L81" i="2" s="1"/>
  <c r="L77" i="2"/>
  <c r="K77" i="2"/>
  <c r="J77" i="2"/>
  <c r="I77" i="2"/>
  <c r="H77" i="2"/>
  <c r="G77" i="2"/>
  <c r="F77" i="2"/>
  <c r="E77" i="2"/>
  <c r="D77" i="2"/>
  <c r="C77" i="2"/>
  <c r="H74" i="2"/>
  <c r="D74" i="2"/>
  <c r="C74" i="2"/>
  <c r="E73" i="2"/>
  <c r="D73" i="2"/>
  <c r="C73" i="2"/>
  <c r="H72" i="2"/>
  <c r="D72" i="2"/>
  <c r="E72" i="2" s="1"/>
  <c r="C72" i="2"/>
  <c r="I71" i="2"/>
  <c r="C71" i="2"/>
  <c r="I70" i="2"/>
  <c r="D70" i="2"/>
  <c r="C70" i="2"/>
  <c r="E70" i="2" s="1"/>
  <c r="I69" i="2"/>
  <c r="C69" i="2"/>
  <c r="I68" i="2"/>
  <c r="H68" i="2"/>
  <c r="D68" i="2"/>
  <c r="D71" i="2" s="1"/>
  <c r="C68" i="2"/>
  <c r="I67" i="2"/>
  <c r="C67" i="2"/>
  <c r="H66" i="2"/>
  <c r="D66" i="2"/>
  <c r="C66" i="2"/>
  <c r="E65" i="2"/>
  <c r="D65" i="2"/>
  <c r="C65" i="2"/>
  <c r="H64" i="2"/>
  <c r="D64" i="2"/>
  <c r="E64" i="2" s="1"/>
  <c r="C64" i="2"/>
  <c r="I63" i="2"/>
  <c r="H63" i="2"/>
  <c r="H73" i="2" s="1"/>
  <c r="D63" i="2"/>
  <c r="D67" i="2" s="1"/>
  <c r="C63" i="2"/>
  <c r="E63" i="2" s="1"/>
  <c r="O61" i="2"/>
  <c r="AB56" i="2"/>
  <c r="K56" i="2"/>
  <c r="J56" i="2"/>
  <c r="I56" i="2"/>
  <c r="H56" i="2"/>
  <c r="G56" i="2"/>
  <c r="F56" i="2"/>
  <c r="E56" i="2"/>
  <c r="D56" i="2"/>
  <c r="C56" i="2"/>
  <c r="AB55" i="2"/>
  <c r="K55" i="2"/>
  <c r="J55" i="2"/>
  <c r="I55" i="2"/>
  <c r="H55" i="2"/>
  <c r="T45" i="2" s="1"/>
  <c r="G55" i="2"/>
  <c r="F55" i="2"/>
  <c r="E55" i="2"/>
  <c r="D55" i="2"/>
  <c r="P45" i="2" s="1"/>
  <c r="C55" i="2"/>
  <c r="AB54" i="2"/>
  <c r="L54" i="2" s="1"/>
  <c r="K54" i="2"/>
  <c r="J54" i="2"/>
  <c r="I54" i="2"/>
  <c r="H54" i="2"/>
  <c r="G54" i="2"/>
  <c r="F54" i="2"/>
  <c r="E54" i="2"/>
  <c r="D54" i="2"/>
  <c r="C54" i="2"/>
  <c r="AB53" i="2"/>
  <c r="K53" i="2"/>
  <c r="J53" i="2"/>
  <c r="I53" i="2"/>
  <c r="H53" i="2"/>
  <c r="G53" i="2"/>
  <c r="F53" i="2"/>
  <c r="E53" i="2"/>
  <c r="D53" i="2"/>
  <c r="C53" i="2"/>
  <c r="AB52" i="2"/>
  <c r="K52" i="2"/>
  <c r="J52" i="2"/>
  <c r="I52" i="2"/>
  <c r="H52" i="2"/>
  <c r="G52" i="2"/>
  <c r="F52" i="2"/>
  <c r="E52" i="2"/>
  <c r="D52" i="2"/>
  <c r="C52" i="2"/>
  <c r="AB51" i="2"/>
  <c r="K51" i="2"/>
  <c r="J51" i="2"/>
  <c r="I51" i="2"/>
  <c r="H51" i="2"/>
  <c r="G51" i="2"/>
  <c r="F51" i="2"/>
  <c r="E51" i="2"/>
  <c r="D51" i="2"/>
  <c r="C51" i="2"/>
  <c r="AB50" i="2"/>
  <c r="K50" i="2"/>
  <c r="J50" i="2"/>
  <c r="I50" i="2"/>
  <c r="H50" i="2"/>
  <c r="G50" i="2"/>
  <c r="F50" i="2"/>
  <c r="E50" i="2"/>
  <c r="D50" i="2"/>
  <c r="C50" i="2"/>
  <c r="AB49" i="2"/>
  <c r="T49" i="2"/>
  <c r="P49" i="2"/>
  <c r="K49" i="2"/>
  <c r="J49" i="2"/>
  <c r="J57" i="2" s="1"/>
  <c r="I49" i="2"/>
  <c r="H49" i="2"/>
  <c r="G49" i="2"/>
  <c r="F49" i="2"/>
  <c r="R45" i="2" s="1"/>
  <c r="E49" i="2"/>
  <c r="D49" i="2"/>
  <c r="C49" i="2"/>
  <c r="AB48" i="2"/>
  <c r="K48" i="2"/>
  <c r="J48" i="2"/>
  <c r="I48" i="2"/>
  <c r="H48" i="2"/>
  <c r="G48" i="2"/>
  <c r="F48" i="2"/>
  <c r="E48" i="2"/>
  <c r="D48" i="2"/>
  <c r="C48" i="2"/>
  <c r="AB47" i="2"/>
  <c r="K47" i="2"/>
  <c r="J47" i="2"/>
  <c r="I47" i="2"/>
  <c r="H47" i="2"/>
  <c r="G47" i="2"/>
  <c r="F47" i="2"/>
  <c r="E47" i="2"/>
  <c r="D47" i="2"/>
  <c r="C47" i="2"/>
  <c r="AB46" i="2"/>
  <c r="K46" i="2"/>
  <c r="J46" i="2"/>
  <c r="I46" i="2"/>
  <c r="H46" i="2"/>
  <c r="G46" i="2"/>
  <c r="F46" i="2"/>
  <c r="E46" i="2"/>
  <c r="D46" i="2"/>
  <c r="C46" i="2"/>
  <c r="AF45" i="2"/>
  <c r="AE45" i="2"/>
  <c r="AD45" i="2"/>
  <c r="AB45" i="2"/>
  <c r="AB57" i="2" s="1"/>
  <c r="V45" i="2"/>
  <c r="M45" i="2"/>
  <c r="K45" i="2"/>
  <c r="J45" i="2"/>
  <c r="I45" i="2"/>
  <c r="H45" i="2"/>
  <c r="G45" i="2"/>
  <c r="F45" i="2"/>
  <c r="E45" i="2"/>
  <c r="D45" i="2"/>
  <c r="D57" i="2" s="1"/>
  <c r="C45" i="2"/>
  <c r="X43" i="2"/>
  <c r="W43" i="2"/>
  <c r="V43" i="2"/>
  <c r="U43" i="2"/>
  <c r="T43" i="2"/>
  <c r="S43" i="2"/>
  <c r="R43" i="2"/>
  <c r="Q43" i="2"/>
  <c r="P43" i="2"/>
  <c r="O43" i="2"/>
  <c r="L43" i="2"/>
  <c r="K43" i="2"/>
  <c r="J43" i="2"/>
  <c r="I43" i="2"/>
  <c r="H43" i="2"/>
  <c r="G43" i="2"/>
  <c r="F43" i="2"/>
  <c r="E43" i="2"/>
  <c r="D43" i="2"/>
  <c r="C43" i="2"/>
  <c r="X38" i="2"/>
  <c r="Q38" i="2"/>
  <c r="L38" i="2"/>
  <c r="E38" i="2"/>
  <c r="X37" i="2"/>
  <c r="Q37" i="2"/>
  <c r="L37" i="2"/>
  <c r="E37" i="2"/>
  <c r="X36" i="2"/>
  <c r="Q36" i="2"/>
  <c r="L36" i="2"/>
  <c r="E36" i="2"/>
  <c r="X35" i="2"/>
  <c r="Q35" i="2"/>
  <c r="L35" i="2"/>
  <c r="E35" i="2"/>
  <c r="X34" i="2"/>
  <c r="Q34" i="2"/>
  <c r="L34" i="2"/>
  <c r="E34" i="2"/>
  <c r="X33" i="2"/>
  <c r="Q33" i="2"/>
  <c r="L33" i="2"/>
  <c r="E33" i="2"/>
  <c r="X32" i="2"/>
  <c r="Q32" i="2"/>
  <c r="L32" i="2"/>
  <c r="E32" i="2"/>
  <c r="X31" i="2"/>
  <c r="Q31" i="2"/>
  <c r="L31" i="2"/>
  <c r="E31" i="2"/>
  <c r="X30" i="2"/>
  <c r="Q30" i="2"/>
  <c r="L30" i="2"/>
  <c r="E30" i="2"/>
  <c r="X29" i="2"/>
  <c r="Q29" i="2"/>
  <c r="L29" i="2"/>
  <c r="E29" i="2"/>
  <c r="X28" i="2"/>
  <c r="Q28" i="2"/>
  <c r="L28" i="2"/>
  <c r="E28" i="2"/>
  <c r="X27" i="2"/>
  <c r="Q27" i="2"/>
  <c r="L27" i="2"/>
  <c r="E27" i="2"/>
  <c r="X25" i="2"/>
  <c r="W25" i="2"/>
  <c r="V25" i="2"/>
  <c r="U25" i="2"/>
  <c r="T25" i="2"/>
  <c r="S25" i="2"/>
  <c r="R25" i="2"/>
  <c r="Q25" i="2"/>
  <c r="P25" i="2"/>
  <c r="O25" i="2"/>
  <c r="L25" i="2"/>
  <c r="K25" i="2"/>
  <c r="J25" i="2"/>
  <c r="I25" i="2"/>
  <c r="H25" i="2"/>
  <c r="G25" i="2"/>
  <c r="F25" i="2"/>
  <c r="E25" i="2"/>
  <c r="D25" i="2"/>
  <c r="C25" i="2"/>
  <c r="E23" i="2"/>
  <c r="U20" i="2"/>
  <c r="Q20" i="2"/>
  <c r="L20" i="2"/>
  <c r="X20" i="2" s="1"/>
  <c r="K20" i="2"/>
  <c r="W20" i="2" s="1"/>
  <c r="J20" i="2"/>
  <c r="V20" i="2" s="1"/>
  <c r="I20" i="2"/>
  <c r="H20" i="2"/>
  <c r="T20" i="2" s="1"/>
  <c r="G20" i="2"/>
  <c r="S20" i="2" s="1"/>
  <c r="F20" i="2"/>
  <c r="R20" i="2" s="1"/>
  <c r="E20" i="2"/>
  <c r="D20" i="2"/>
  <c r="P20" i="2" s="1"/>
  <c r="C20" i="2"/>
  <c r="O20" i="2" s="1"/>
  <c r="X19" i="2"/>
  <c r="U19" i="2"/>
  <c r="R19" i="2"/>
  <c r="Q19" i="2"/>
  <c r="P19" i="2"/>
  <c r="L19" i="2"/>
  <c r="K19" i="2"/>
  <c r="W19" i="2" s="1"/>
  <c r="J19" i="2"/>
  <c r="V19" i="2" s="1"/>
  <c r="I19" i="2"/>
  <c r="H19" i="2"/>
  <c r="T19" i="2" s="1"/>
  <c r="G19" i="2"/>
  <c r="S19" i="2" s="1"/>
  <c r="F19" i="2"/>
  <c r="E19" i="2"/>
  <c r="D19" i="2"/>
  <c r="C19" i="2"/>
  <c r="O19" i="2" s="1"/>
  <c r="U18" i="2"/>
  <c r="Q18" i="2"/>
  <c r="L18" i="2"/>
  <c r="X18" i="2" s="1"/>
  <c r="K18" i="2"/>
  <c r="W18" i="2" s="1"/>
  <c r="J18" i="2"/>
  <c r="V18" i="2" s="1"/>
  <c r="I18" i="2"/>
  <c r="H18" i="2"/>
  <c r="T18" i="2" s="1"/>
  <c r="G18" i="2"/>
  <c r="S18" i="2" s="1"/>
  <c r="F18" i="2"/>
  <c r="R18" i="2" s="1"/>
  <c r="E18" i="2"/>
  <c r="D18" i="2"/>
  <c r="P18" i="2" s="1"/>
  <c r="C18" i="2"/>
  <c r="O18" i="2" s="1"/>
  <c r="X17" i="2"/>
  <c r="U17" i="2"/>
  <c r="R17" i="2"/>
  <c r="Q17" i="2"/>
  <c r="P17" i="2"/>
  <c r="L17" i="2"/>
  <c r="K17" i="2"/>
  <c r="W17" i="2" s="1"/>
  <c r="J17" i="2"/>
  <c r="V17" i="2" s="1"/>
  <c r="I17" i="2"/>
  <c r="H17" i="2"/>
  <c r="T17" i="2" s="1"/>
  <c r="G17" i="2"/>
  <c r="S17" i="2" s="1"/>
  <c r="F17" i="2"/>
  <c r="E17" i="2"/>
  <c r="D17" i="2"/>
  <c r="C17" i="2"/>
  <c r="O17" i="2" s="1"/>
  <c r="U16" i="2"/>
  <c r="Q16" i="2"/>
  <c r="L16" i="2"/>
  <c r="X16" i="2" s="1"/>
  <c r="K16" i="2"/>
  <c r="W16" i="2" s="1"/>
  <c r="J16" i="2"/>
  <c r="V16" i="2" s="1"/>
  <c r="I16" i="2"/>
  <c r="H16" i="2"/>
  <c r="T16" i="2" s="1"/>
  <c r="G16" i="2"/>
  <c r="S16" i="2" s="1"/>
  <c r="F16" i="2"/>
  <c r="R16" i="2" s="1"/>
  <c r="E16" i="2"/>
  <c r="D16" i="2"/>
  <c r="P16" i="2" s="1"/>
  <c r="C16" i="2"/>
  <c r="O16" i="2" s="1"/>
  <c r="X15" i="2"/>
  <c r="U15" i="2"/>
  <c r="R15" i="2"/>
  <c r="Q15" i="2"/>
  <c r="P15" i="2"/>
  <c r="L15" i="2"/>
  <c r="K15" i="2"/>
  <c r="W15" i="2" s="1"/>
  <c r="J15" i="2"/>
  <c r="V15" i="2" s="1"/>
  <c r="I15" i="2"/>
  <c r="H15" i="2"/>
  <c r="T15" i="2" s="1"/>
  <c r="G15" i="2"/>
  <c r="S15" i="2" s="1"/>
  <c r="F15" i="2"/>
  <c r="E15" i="2"/>
  <c r="D15" i="2"/>
  <c r="C15" i="2"/>
  <c r="O15" i="2" s="1"/>
  <c r="U14" i="2"/>
  <c r="Q14" i="2"/>
  <c r="L14" i="2"/>
  <c r="K14" i="2"/>
  <c r="W14" i="2" s="1"/>
  <c r="J14" i="2"/>
  <c r="V14" i="2" s="1"/>
  <c r="I14" i="2"/>
  <c r="U65" i="2" s="1"/>
  <c r="H14" i="2"/>
  <c r="T14" i="2" s="1"/>
  <c r="G14" i="2"/>
  <c r="S14" i="2" s="1"/>
  <c r="F14" i="2"/>
  <c r="E14" i="2"/>
  <c r="Q65" i="2" s="1"/>
  <c r="D14" i="2"/>
  <c r="C14" i="2"/>
  <c r="O14" i="2" s="1"/>
  <c r="X13" i="2"/>
  <c r="U13" i="2"/>
  <c r="R13" i="2"/>
  <c r="Q13" i="2"/>
  <c r="P13" i="2"/>
  <c r="L13" i="2"/>
  <c r="K13" i="2"/>
  <c r="W13" i="2" s="1"/>
  <c r="J13" i="2"/>
  <c r="V13" i="2" s="1"/>
  <c r="I13" i="2"/>
  <c r="H13" i="2"/>
  <c r="T13" i="2" s="1"/>
  <c r="G13" i="2"/>
  <c r="S13" i="2" s="1"/>
  <c r="F13" i="2"/>
  <c r="E13" i="2"/>
  <c r="D13" i="2"/>
  <c r="C13" i="2"/>
  <c r="O13" i="2" s="1"/>
  <c r="V12" i="2"/>
  <c r="U12" i="2"/>
  <c r="Q12" i="2"/>
  <c r="L12" i="2"/>
  <c r="X12" i="2" s="1"/>
  <c r="K12" i="2"/>
  <c r="W12" i="2" s="1"/>
  <c r="J12" i="2"/>
  <c r="I12" i="2"/>
  <c r="H12" i="2"/>
  <c r="T12" i="2" s="1"/>
  <c r="G12" i="2"/>
  <c r="S12" i="2" s="1"/>
  <c r="F12" i="2"/>
  <c r="R12" i="2" s="1"/>
  <c r="E12" i="2"/>
  <c r="D12" i="2"/>
  <c r="P12" i="2" s="1"/>
  <c r="C12" i="2"/>
  <c r="O12" i="2" s="1"/>
  <c r="X11" i="2"/>
  <c r="U11" i="2"/>
  <c r="R11" i="2"/>
  <c r="Q11" i="2"/>
  <c r="P11" i="2"/>
  <c r="L11" i="2"/>
  <c r="K11" i="2"/>
  <c r="W11" i="2" s="1"/>
  <c r="J11" i="2"/>
  <c r="V11" i="2" s="1"/>
  <c r="I11" i="2"/>
  <c r="H11" i="2"/>
  <c r="T11" i="2" s="1"/>
  <c r="G11" i="2"/>
  <c r="S11" i="2" s="1"/>
  <c r="F11" i="2"/>
  <c r="E11" i="2"/>
  <c r="D11" i="2"/>
  <c r="C11" i="2"/>
  <c r="O11" i="2" s="1"/>
  <c r="Q10" i="2"/>
  <c r="L10" i="2"/>
  <c r="X10" i="2" s="1"/>
  <c r="K10" i="2"/>
  <c r="W10" i="2" s="1"/>
  <c r="J10" i="2"/>
  <c r="V10" i="2" s="1"/>
  <c r="I10" i="2"/>
  <c r="U10" i="2" s="1"/>
  <c r="H10" i="2"/>
  <c r="T10" i="2" s="1"/>
  <c r="G10" i="2"/>
  <c r="S10" i="2" s="1"/>
  <c r="F10" i="2"/>
  <c r="R10" i="2" s="1"/>
  <c r="E10" i="2"/>
  <c r="D10" i="2"/>
  <c r="P10" i="2" s="1"/>
  <c r="C10" i="2"/>
  <c r="O10" i="2" s="1"/>
  <c r="X9" i="2"/>
  <c r="W9" i="2"/>
  <c r="T9" i="2"/>
  <c r="S9" i="2"/>
  <c r="P9" i="2"/>
  <c r="O9" i="2"/>
  <c r="L9" i="2"/>
  <c r="K9" i="2"/>
  <c r="J9" i="2"/>
  <c r="I9" i="2"/>
  <c r="H9" i="2"/>
  <c r="G9" i="2"/>
  <c r="F9" i="2"/>
  <c r="E9" i="2"/>
  <c r="D9" i="2"/>
  <c r="C9" i="2"/>
  <c r="X7" i="2"/>
  <c r="W7" i="2"/>
  <c r="V7" i="2"/>
  <c r="U7" i="2"/>
  <c r="T7" i="2"/>
  <c r="S7" i="2"/>
  <c r="R7" i="2"/>
  <c r="Q7" i="2"/>
  <c r="P7" i="2"/>
  <c r="O7" i="2"/>
  <c r="E4" i="2"/>
  <c r="B42" i="2"/>
  <c r="E27" i="1"/>
  <c r="E22" i="2"/>
  <c r="R47" i="2" l="1"/>
  <c r="V61" i="2"/>
  <c r="O49" i="2"/>
  <c r="X61" i="2"/>
  <c r="L47" i="2"/>
  <c r="L99" i="2" s="1"/>
  <c r="L45" i="2"/>
  <c r="L53" i="2"/>
  <c r="L51" i="2"/>
  <c r="L49" i="2"/>
  <c r="L46" i="2"/>
  <c r="F57" i="2"/>
  <c r="F181" i="2" s="1"/>
  <c r="C183" i="2"/>
  <c r="C182" i="2"/>
  <c r="F183" i="2"/>
  <c r="F182" i="2"/>
  <c r="V148" i="2"/>
  <c r="G183" i="2"/>
  <c r="F99" i="2"/>
  <c r="F117" i="2" s="1"/>
  <c r="R61" i="2"/>
  <c r="F94" i="2"/>
  <c r="R65" i="2"/>
  <c r="P66" i="2"/>
  <c r="P54" i="2"/>
  <c r="W49" i="2"/>
  <c r="P61" i="2"/>
  <c r="T61" i="2"/>
  <c r="T68" i="2" s="1"/>
  <c r="R9" i="2"/>
  <c r="V9" i="2"/>
  <c r="H94" i="2"/>
  <c r="L48" i="2"/>
  <c r="L52" i="2"/>
  <c r="P62" i="2"/>
  <c r="P47" i="2"/>
  <c r="L55" i="2"/>
  <c r="W61" i="2"/>
  <c r="H79" i="2"/>
  <c r="H80" i="2" s="1"/>
  <c r="H81" i="2" s="1"/>
  <c r="L84" i="2"/>
  <c r="H84" i="2"/>
  <c r="D84" i="2"/>
  <c r="J84" i="2"/>
  <c r="F84" i="2"/>
  <c r="C85" i="2"/>
  <c r="I84" i="2"/>
  <c r="E84" i="2"/>
  <c r="Q61" i="2"/>
  <c r="Q68" i="2" s="1"/>
  <c r="I99" i="2"/>
  <c r="I117" i="2" s="1"/>
  <c r="U61" i="2"/>
  <c r="U68" i="2" s="1"/>
  <c r="P14" i="2"/>
  <c r="Q136" i="2"/>
  <c r="T135" i="2"/>
  <c r="W135" i="2" s="1"/>
  <c r="E57" i="2"/>
  <c r="Q45" i="2"/>
  <c r="Q135" i="2"/>
  <c r="I57" i="2"/>
  <c r="U45" i="2"/>
  <c r="U62" i="2" s="1"/>
  <c r="U69" i="2" s="1"/>
  <c r="H57" i="2"/>
  <c r="E66" i="2"/>
  <c r="E71" i="2"/>
  <c r="E74" i="2"/>
  <c r="G84" i="2"/>
  <c r="D183" i="2"/>
  <c r="D182" i="2"/>
  <c r="H183" i="2"/>
  <c r="H182" i="2"/>
  <c r="V147" i="2"/>
  <c r="V65" i="2"/>
  <c r="V62" i="2"/>
  <c r="V69" i="2" s="1"/>
  <c r="S49" i="2"/>
  <c r="P53" i="2"/>
  <c r="O68" i="2"/>
  <c r="P65" i="2"/>
  <c r="I79" i="2"/>
  <c r="I80" i="2" s="1"/>
  <c r="E79" i="2"/>
  <c r="E80" i="2" s="1"/>
  <c r="K79" i="2"/>
  <c r="K80" i="2" s="1"/>
  <c r="G79" i="2"/>
  <c r="G80" i="2" s="1"/>
  <c r="G94" i="2" s="1"/>
  <c r="C80" i="2"/>
  <c r="C96" i="2" s="1"/>
  <c r="C114" i="2" s="1"/>
  <c r="J79" i="2"/>
  <c r="J80" i="2" s="1"/>
  <c r="J81" i="2" s="1"/>
  <c r="F79" i="2"/>
  <c r="F80" i="2" s="1"/>
  <c r="F81" i="2" s="1"/>
  <c r="E183" i="2"/>
  <c r="E182" i="2"/>
  <c r="I183" i="2"/>
  <c r="I182" i="2"/>
  <c r="Q9" i="2"/>
  <c r="T136" i="2" s="1"/>
  <c r="W136" i="2" s="1"/>
  <c r="U9" i="2"/>
  <c r="R14" i="2"/>
  <c r="X14" i="2"/>
  <c r="Q46" i="2"/>
  <c r="C57" i="2"/>
  <c r="C181" i="2" s="1"/>
  <c r="K57" i="2"/>
  <c r="L50" i="2"/>
  <c r="L95" i="2" s="1"/>
  <c r="R49" i="2"/>
  <c r="R66" i="2" s="1"/>
  <c r="V49" i="2"/>
  <c r="V66" i="2" s="1"/>
  <c r="L56" i="2"/>
  <c r="S61" i="2"/>
  <c r="S68" i="2" s="1"/>
  <c r="I72" i="2"/>
  <c r="I64" i="2"/>
  <c r="I74" i="2"/>
  <c r="I66" i="2"/>
  <c r="I73" i="2"/>
  <c r="I65" i="2"/>
  <c r="T65" i="2"/>
  <c r="T66" i="2" s="1"/>
  <c r="E67" i="2"/>
  <c r="G100" i="2" s="1"/>
  <c r="G118" i="2" s="1"/>
  <c r="H69" i="2"/>
  <c r="H71" i="2"/>
  <c r="H70" i="2"/>
  <c r="F95" i="2" s="1"/>
  <c r="F113" i="2" s="1"/>
  <c r="D79" i="2"/>
  <c r="D80" i="2" s="1"/>
  <c r="D81" i="2" s="1"/>
  <c r="Z128" i="2"/>
  <c r="T128" i="2"/>
  <c r="W128" i="2"/>
  <c r="AC128" i="2"/>
  <c r="Q128" i="2"/>
  <c r="T132" i="2"/>
  <c r="W132" i="2" s="1"/>
  <c r="Q131" i="2"/>
  <c r="Q50" i="2"/>
  <c r="C95" i="2"/>
  <c r="C113" i="2" s="1"/>
  <c r="T131" i="2"/>
  <c r="C281" i="2"/>
  <c r="J213" i="2"/>
  <c r="J269" i="2" s="1"/>
  <c r="O65" i="2"/>
  <c r="S65" i="2"/>
  <c r="W65" i="2"/>
  <c r="H67" i="2"/>
  <c r="E68" i="2"/>
  <c r="D69" i="2"/>
  <c r="E69" i="2" s="1"/>
  <c r="I94" i="2" s="1"/>
  <c r="AD128" i="2"/>
  <c r="J183" i="2"/>
  <c r="J182" i="2"/>
  <c r="H181" i="2"/>
  <c r="D181" i="2"/>
  <c r="J181" i="2"/>
  <c r="E181" i="2"/>
  <c r="O45" i="2"/>
  <c r="S45" i="2"/>
  <c r="W45" i="2"/>
  <c r="Q49" i="2"/>
  <c r="U49" i="2"/>
  <c r="U66" i="2" s="1"/>
  <c r="G57" i="2"/>
  <c r="G181" i="2" s="1"/>
  <c r="H65" i="2"/>
  <c r="G98" i="2" s="1"/>
  <c r="G116" i="2" s="1"/>
  <c r="G134" i="2" s="1"/>
  <c r="R128" i="2"/>
  <c r="L149" i="2"/>
  <c r="I212" i="2"/>
  <c r="I268" i="2" s="1"/>
  <c r="J214" i="2"/>
  <c r="J270" i="2" s="1"/>
  <c r="I214" i="2"/>
  <c r="I270" i="2" s="1"/>
  <c r="J212" i="2"/>
  <c r="J268" i="2" s="1"/>
  <c r="I181" i="2"/>
  <c r="I213" i="2"/>
  <c r="I269" i="2" s="1"/>
  <c r="E177" i="3"/>
  <c r="J177" i="3" s="1"/>
  <c r="J105" i="3"/>
  <c r="D10" i="3"/>
  <c r="I112" i="2" l="1"/>
  <c r="G112" i="2"/>
  <c r="G102" i="2"/>
  <c r="K98" i="2"/>
  <c r="K116" i="2" s="1"/>
  <c r="K134" i="2" s="1"/>
  <c r="C215" i="2" s="1"/>
  <c r="E81" i="2"/>
  <c r="E98" i="2"/>
  <c r="E116" i="2" s="1"/>
  <c r="E95" i="2"/>
  <c r="E113" i="2" s="1"/>
  <c r="H112" i="2"/>
  <c r="D99" i="2"/>
  <c r="D117" i="2" s="1"/>
  <c r="J99" i="2"/>
  <c r="J117" i="2" s="1"/>
  <c r="X46" i="2"/>
  <c r="F96" i="2"/>
  <c r="F114" i="2"/>
  <c r="I81" i="2"/>
  <c r="I98" i="2"/>
  <c r="I116" i="2" s="1"/>
  <c r="I134" i="2" s="1"/>
  <c r="I95" i="2"/>
  <c r="I113" i="2" s="1"/>
  <c r="I100" i="2"/>
  <c r="I118" i="2" s="1"/>
  <c r="D100" i="2"/>
  <c r="D118" i="2" s="1"/>
  <c r="H99" i="2"/>
  <c r="H117" i="2" s="1"/>
  <c r="W66" i="2"/>
  <c r="F98" i="2"/>
  <c r="F116" i="2" s="1"/>
  <c r="F134" i="2" s="1"/>
  <c r="D95" i="2"/>
  <c r="D113" i="2" s="1"/>
  <c r="E96" i="2"/>
  <c r="E114" i="2" s="1"/>
  <c r="E132" i="2" s="1"/>
  <c r="J98" i="2"/>
  <c r="J116" i="2" s="1"/>
  <c r="J134" i="2" s="1"/>
  <c r="I72" i="3"/>
  <c r="I109" i="3" s="1"/>
  <c r="I71" i="3"/>
  <c r="I108" i="3" s="1"/>
  <c r="S62" i="2"/>
  <c r="S69" i="2" s="1"/>
  <c r="G96" i="2"/>
  <c r="G114" i="2" s="1"/>
  <c r="K95" i="2"/>
  <c r="K113" i="2" s="1"/>
  <c r="E94" i="2"/>
  <c r="J71" i="3"/>
  <c r="J108" i="3" s="1"/>
  <c r="J72" i="3"/>
  <c r="J109" i="3" s="1"/>
  <c r="O62" i="2"/>
  <c r="O47" i="2"/>
  <c r="W131" i="2"/>
  <c r="G95" i="2"/>
  <c r="G113" i="2" s="1"/>
  <c r="K81" i="2"/>
  <c r="K99" i="2"/>
  <c r="K117" i="2" s="1"/>
  <c r="K94" i="2"/>
  <c r="Y61" i="2"/>
  <c r="J94" i="2"/>
  <c r="D96" i="2"/>
  <c r="D114" i="2" s="1"/>
  <c r="P69" i="2"/>
  <c r="H95" i="2"/>
  <c r="H113" i="2" s="1"/>
  <c r="H98" i="2"/>
  <c r="H116" i="2" s="1"/>
  <c r="H134" i="2" s="1"/>
  <c r="P68" i="2"/>
  <c r="R68" i="2"/>
  <c r="L117" i="2"/>
  <c r="L135" i="2" s="1"/>
  <c r="R135" i="2"/>
  <c r="R136" i="2"/>
  <c r="L57" i="2"/>
  <c r="X45" i="2"/>
  <c r="U135" i="2"/>
  <c r="X135" i="2" s="1"/>
  <c r="U136" i="2"/>
  <c r="X136" i="2" s="1"/>
  <c r="L98" i="2"/>
  <c r="L116" i="2" s="1"/>
  <c r="V68" i="2"/>
  <c r="Y68" i="2" s="1"/>
  <c r="H96" i="2"/>
  <c r="H114" i="2" s="1"/>
  <c r="Q51" i="2"/>
  <c r="Q66" i="2"/>
  <c r="R132" i="2"/>
  <c r="R131" i="2"/>
  <c r="U131" i="2"/>
  <c r="X131" i="2" s="1"/>
  <c r="U132" i="2"/>
  <c r="L113" i="2"/>
  <c r="X65" i="2"/>
  <c r="X68" i="2" s="1"/>
  <c r="X49" i="2"/>
  <c r="C352" i="2" s="1"/>
  <c r="C20" i="3" s="1"/>
  <c r="L96" i="2"/>
  <c r="L114" i="2" s="1"/>
  <c r="J95" i="2"/>
  <c r="J113" i="2" s="1"/>
  <c r="Q62" i="2"/>
  <c r="Q47" i="2"/>
  <c r="K100" i="2"/>
  <c r="K118" i="2" s="1"/>
  <c r="W68" i="2"/>
  <c r="X50" i="2"/>
  <c r="F102" i="2"/>
  <c r="F112" i="2"/>
  <c r="E100" i="2"/>
  <c r="E118" i="2" s="1"/>
  <c r="W62" i="2"/>
  <c r="W69" i="2" s="1"/>
  <c r="C81" i="2"/>
  <c r="C94" i="2"/>
  <c r="C99" i="2"/>
  <c r="C117" i="2" s="1"/>
  <c r="J85" i="2"/>
  <c r="J86" i="2" s="1"/>
  <c r="F85" i="2"/>
  <c r="F86" i="2" s="1"/>
  <c r="L85" i="2"/>
  <c r="L86" i="2" s="1"/>
  <c r="H85" i="2"/>
  <c r="H86" i="2" s="1"/>
  <c r="D85" i="2"/>
  <c r="D86" i="2" s="1"/>
  <c r="K85" i="2"/>
  <c r="K86" i="2" s="1"/>
  <c r="G85" i="2"/>
  <c r="G86" i="2" s="1"/>
  <c r="E85" i="2"/>
  <c r="E86" i="2" s="1"/>
  <c r="C86" i="2"/>
  <c r="I85" i="2"/>
  <c r="I86" i="2" s="1"/>
  <c r="J100" i="2"/>
  <c r="J118" i="2" s="1"/>
  <c r="Y65" i="2"/>
  <c r="C98" i="2"/>
  <c r="C116" i="2" s="1"/>
  <c r="C134" i="2" s="1"/>
  <c r="G81" i="2"/>
  <c r="G99" i="2"/>
  <c r="G117" i="2" s="1"/>
  <c r="S66" i="2"/>
  <c r="V150" i="2"/>
  <c r="D155" i="2" s="1"/>
  <c r="I96" i="2"/>
  <c r="I114" i="2" s="1"/>
  <c r="C100" i="2"/>
  <c r="C118" i="2" s="1"/>
  <c r="E99" i="2"/>
  <c r="E117" i="2" s="1"/>
  <c r="E135" i="2" s="1"/>
  <c r="L94" i="2"/>
  <c r="F100" i="2"/>
  <c r="F118" i="2" s="1"/>
  <c r="D98" i="2"/>
  <c r="D116" i="2" s="1"/>
  <c r="D134" i="2" s="1"/>
  <c r="H100" i="2"/>
  <c r="H118" i="2" s="1"/>
  <c r="T62" i="2"/>
  <c r="T69" i="2" s="1"/>
  <c r="D94" i="2"/>
  <c r="Y49" i="2"/>
  <c r="O53" i="2"/>
  <c r="O54" i="2" s="1"/>
  <c r="O66" i="2"/>
  <c r="L100" i="2"/>
  <c r="L118" i="2" s="1"/>
  <c r="L136" i="2" s="1"/>
  <c r="K96" i="2"/>
  <c r="K114" i="2" s="1"/>
  <c r="R62" i="2"/>
  <c r="R69" i="2" s="1"/>
  <c r="J96" i="2"/>
  <c r="J114" i="2" s="1"/>
  <c r="D217" i="2" l="1"/>
  <c r="AA136" i="2"/>
  <c r="AA137" i="2" s="1"/>
  <c r="C24" i="3"/>
  <c r="D24" i="3"/>
  <c r="X62" i="2"/>
  <c r="X47" i="2"/>
  <c r="D216" i="2"/>
  <c r="AA135" i="2"/>
  <c r="J102" i="2"/>
  <c r="J112" i="2"/>
  <c r="J180" i="3"/>
  <c r="Z132" i="2"/>
  <c r="E196" i="2"/>
  <c r="I200" i="2"/>
  <c r="H102" i="2"/>
  <c r="I102" i="2"/>
  <c r="C200" i="2"/>
  <c r="AD137" i="2"/>
  <c r="L134" i="2"/>
  <c r="D215" i="2" s="1"/>
  <c r="Y45" i="2"/>
  <c r="Z45" i="2" s="1"/>
  <c r="Z49" i="2" s="1"/>
  <c r="E112" i="2"/>
  <c r="E102" i="2"/>
  <c r="I180" i="3"/>
  <c r="I120" i="2"/>
  <c r="I130" i="2"/>
  <c r="Z135" i="2"/>
  <c r="D102" i="2"/>
  <c r="D112" i="2"/>
  <c r="C112" i="2"/>
  <c r="C102" i="2"/>
  <c r="L131" i="2"/>
  <c r="J181" i="3"/>
  <c r="J200" i="2"/>
  <c r="H120" i="2"/>
  <c r="H130" i="2"/>
  <c r="E134" i="2"/>
  <c r="AC137" i="2"/>
  <c r="G130" i="2"/>
  <c r="G120" i="2"/>
  <c r="F120" i="2"/>
  <c r="F130" i="2"/>
  <c r="H200" i="2"/>
  <c r="O69" i="2"/>
  <c r="Y62" i="2"/>
  <c r="L102" i="2"/>
  <c r="L112" i="2"/>
  <c r="C283" i="2"/>
  <c r="J217" i="2"/>
  <c r="J273" i="2" s="1"/>
  <c r="J75" i="3" s="1"/>
  <c r="J112" i="3" s="1"/>
  <c r="J184" i="3" s="1"/>
  <c r="H178" i="2"/>
  <c r="D178" i="2"/>
  <c r="J178" i="2"/>
  <c r="F178" i="2"/>
  <c r="I178" i="2"/>
  <c r="I217" i="2"/>
  <c r="I273" i="2" s="1"/>
  <c r="I75" i="3" s="1"/>
  <c r="I112" i="3" s="1"/>
  <c r="I184" i="3" s="1"/>
  <c r="E178" i="2"/>
  <c r="E201" i="2" s="1"/>
  <c r="C178" i="2"/>
  <c r="G178" i="2"/>
  <c r="G200" i="2" s="1"/>
  <c r="X66" i="2"/>
  <c r="Y66" i="2" s="1"/>
  <c r="Z65" i="2" s="1"/>
  <c r="Z66" i="2" s="1"/>
  <c r="X51" i="2"/>
  <c r="X132" i="2"/>
  <c r="L132" i="2" s="1"/>
  <c r="Z61" i="2"/>
  <c r="Z62" i="2" s="1"/>
  <c r="D200" i="2"/>
  <c r="E136" i="2"/>
  <c r="Q69" i="2"/>
  <c r="K112" i="2"/>
  <c r="K102" i="2"/>
  <c r="C353" i="2"/>
  <c r="I181" i="3"/>
  <c r="F200" i="2"/>
  <c r="E131" i="2"/>
  <c r="D213" i="2" l="1"/>
  <c r="AA132" i="2"/>
  <c r="AA133" i="2" s="1"/>
  <c r="E303" i="2"/>
  <c r="F303" i="2"/>
  <c r="L130" i="2"/>
  <c r="AD133" i="2"/>
  <c r="L120" i="2"/>
  <c r="H303" i="2"/>
  <c r="G138" i="2"/>
  <c r="G204" i="2" s="1"/>
  <c r="G194" i="2"/>
  <c r="K303" i="2"/>
  <c r="I303" i="2"/>
  <c r="D130" i="3"/>
  <c r="K130" i="2"/>
  <c r="K120" i="2"/>
  <c r="G303" i="2"/>
  <c r="C104" i="2"/>
  <c r="AC133" i="2"/>
  <c r="E130" i="2"/>
  <c r="E138" i="2" s="1"/>
  <c r="E120" i="2"/>
  <c r="C303" i="2"/>
  <c r="J120" i="2"/>
  <c r="J130" i="2"/>
  <c r="E195" i="2"/>
  <c r="Z131" i="2"/>
  <c r="C21" i="3"/>
  <c r="C354" i="2"/>
  <c r="E202" i="2"/>
  <c r="Z136" i="2"/>
  <c r="Z137" i="2" s="1"/>
  <c r="H138" i="2"/>
  <c r="H204" i="2" s="1"/>
  <c r="H194" i="2"/>
  <c r="D120" i="2"/>
  <c r="D130" i="2"/>
  <c r="C226" i="2"/>
  <c r="D226" i="2"/>
  <c r="L303" i="2"/>
  <c r="G129" i="3"/>
  <c r="D303" i="2"/>
  <c r="AA131" i="2"/>
  <c r="D212" i="2"/>
  <c r="F272" i="2"/>
  <c r="F75" i="3" s="1"/>
  <c r="D227" i="2"/>
  <c r="F138" i="2"/>
  <c r="F204" i="2" s="1"/>
  <c r="F194" i="2"/>
  <c r="J303" i="2"/>
  <c r="I194" i="2"/>
  <c r="I138" i="2"/>
  <c r="I204" i="2" s="1"/>
  <c r="G130" i="3"/>
  <c r="C130" i="2"/>
  <c r="C120" i="2"/>
  <c r="C122" i="2" s="1"/>
  <c r="C139" i="2" s="1"/>
  <c r="D129" i="3"/>
  <c r="Z133" i="2"/>
  <c r="X69" i="2"/>
  <c r="Y69" i="2" s="1"/>
  <c r="Z68" i="2" s="1"/>
  <c r="Z69" i="2" s="1"/>
  <c r="D228" i="2"/>
  <c r="D271" i="2" l="1"/>
  <c r="D74" i="3" s="1"/>
  <c r="J194" i="2"/>
  <c r="J138" i="2"/>
  <c r="J204" i="2" s="1"/>
  <c r="C138" i="2"/>
  <c r="C204" i="2" s="1"/>
  <c r="C194" i="2"/>
  <c r="F302" i="2"/>
  <c r="D194" i="2"/>
  <c r="D138" i="2"/>
  <c r="D204" i="2" s="1"/>
  <c r="D25" i="3"/>
  <c r="D26" i="3" s="1"/>
  <c r="C25" i="3"/>
  <c r="F304" i="2"/>
  <c r="F308" i="2" s="1"/>
  <c r="F273" i="2"/>
  <c r="F76" i="3" s="1"/>
  <c r="D135" i="3"/>
  <c r="H302" i="2"/>
  <c r="E302" i="2"/>
  <c r="E204" i="2"/>
  <c r="K138" i="2"/>
  <c r="C219" i="2" s="1"/>
  <c r="C230" i="2" s="1"/>
  <c r="C211" i="2"/>
  <c r="D131" i="3"/>
  <c r="D136" i="3"/>
  <c r="D211" i="2"/>
  <c r="L138" i="2"/>
  <c r="D219" i="2" s="1"/>
  <c r="D230" i="2" s="1"/>
  <c r="D223" i="2"/>
  <c r="G131" i="3"/>
  <c r="I302" i="2"/>
  <c r="I304" i="2" s="1"/>
  <c r="I308" i="2" s="1"/>
  <c r="C312" i="2"/>
  <c r="G302" i="2"/>
  <c r="F269" i="2"/>
  <c r="F72" i="3" s="1"/>
  <c r="D224" i="2"/>
  <c r="D222" i="2" l="1"/>
  <c r="L302" i="2"/>
  <c r="C197" i="2"/>
  <c r="F268" i="2"/>
  <c r="F71" i="3" s="1"/>
  <c r="H307" i="2"/>
  <c r="D197" i="2"/>
  <c r="E317" i="2"/>
  <c r="K302" i="2"/>
  <c r="C222" i="2"/>
  <c r="D267" i="2" s="1"/>
  <c r="D70" i="3" s="1"/>
  <c r="E304" i="2"/>
  <c r="E308" i="2" s="1"/>
  <c r="C26" i="3"/>
  <c r="C233" i="2"/>
  <c r="J302" i="2"/>
  <c r="I307" i="2"/>
  <c r="H304" i="2"/>
  <c r="H308" i="2" s="1"/>
  <c r="D137" i="3"/>
  <c r="G304" i="2"/>
  <c r="G308" i="2" s="1"/>
  <c r="F307" i="2"/>
  <c r="K304" i="2" l="1"/>
  <c r="K308" i="2" s="1"/>
  <c r="E307" i="2"/>
  <c r="G307" i="2"/>
  <c r="C302" i="2"/>
  <c r="C250" i="2"/>
  <c r="C53" i="3" s="1"/>
  <c r="C198" i="2"/>
  <c r="C251" i="2" s="1"/>
  <c r="C54" i="3" s="1"/>
  <c r="L307" i="2"/>
  <c r="L304" i="2"/>
  <c r="L308" i="2" s="1"/>
  <c r="J307" i="2"/>
  <c r="J304" i="2"/>
  <c r="J308" i="2" s="1"/>
  <c r="D234" i="2"/>
  <c r="D235" i="2"/>
  <c r="C267" i="2"/>
  <c r="C70" i="3" s="1"/>
  <c r="D250" i="2"/>
  <c r="D53" i="3" s="1"/>
  <c r="D198" i="2"/>
  <c r="D251" i="2" s="1"/>
  <c r="D54" i="3" s="1"/>
  <c r="C322" i="2" l="1"/>
  <c r="F255" i="2"/>
  <c r="F58" i="3" s="1"/>
  <c r="E256" i="2"/>
  <c r="E59" i="3" s="1"/>
  <c r="I255" i="2"/>
  <c r="C255" i="2"/>
  <c r="C58" i="3" s="1"/>
  <c r="D255" i="2"/>
  <c r="D58" i="3" s="1"/>
  <c r="J255" i="2"/>
  <c r="J58" i="3" s="1"/>
  <c r="H255" i="2"/>
  <c r="H58" i="3" s="1"/>
  <c r="G255" i="2"/>
  <c r="G58" i="3" s="1"/>
  <c r="E247" i="2"/>
  <c r="E50" i="3" s="1"/>
  <c r="E273" i="2"/>
  <c r="E76" i="3" s="1"/>
  <c r="H245" i="2"/>
  <c r="H48" i="3" s="1"/>
  <c r="E246" i="2"/>
  <c r="E49" i="3" s="1"/>
  <c r="G259" i="2"/>
  <c r="G62" i="3" s="1"/>
  <c r="I259" i="2"/>
  <c r="I62" i="3" s="1"/>
  <c r="C271" i="2"/>
  <c r="C74" i="3" s="1"/>
  <c r="F245" i="2"/>
  <c r="F48" i="3" s="1"/>
  <c r="E272" i="2"/>
  <c r="E75" i="3" s="1"/>
  <c r="H259" i="2"/>
  <c r="H62" i="3" s="1"/>
  <c r="I245" i="2"/>
  <c r="G245" i="2"/>
  <c r="G48" i="3" s="1"/>
  <c r="E257" i="2"/>
  <c r="E60" i="3" s="1"/>
  <c r="F259" i="2"/>
  <c r="F62" i="3" s="1"/>
  <c r="C275" i="2"/>
  <c r="C78" i="3" s="1"/>
  <c r="J259" i="2"/>
  <c r="J62" i="3" s="1"/>
  <c r="D249" i="2"/>
  <c r="D52" i="3" s="1"/>
  <c r="E259" i="2"/>
  <c r="E62" i="3" s="1"/>
  <c r="C259" i="2"/>
  <c r="C62" i="3" s="1"/>
  <c r="E268" i="2"/>
  <c r="E71" i="3" s="1"/>
  <c r="D259" i="2"/>
  <c r="D62" i="3" s="1"/>
  <c r="E269" i="2"/>
  <c r="E72" i="3" s="1"/>
  <c r="E275" i="2"/>
  <c r="E78" i="3" s="1"/>
  <c r="J245" i="2"/>
  <c r="J48" i="3" s="1"/>
  <c r="C249" i="2"/>
  <c r="C52" i="3" s="1"/>
  <c r="C311" i="2"/>
  <c r="C304" i="2"/>
  <c r="C308" i="2" s="1"/>
  <c r="K307" i="2"/>
  <c r="D302" i="2"/>
  <c r="E316" i="2" l="1"/>
  <c r="C316" i="2"/>
  <c r="C313" i="2"/>
  <c r="C317" i="2" s="1"/>
  <c r="I48" i="3"/>
  <c r="K247" i="2"/>
  <c r="K50" i="3" s="1"/>
  <c r="I58" i="3"/>
  <c r="K257" i="2"/>
  <c r="K60" i="3" s="1"/>
  <c r="D307" i="2"/>
  <c r="D304" i="2"/>
  <c r="D308" i="2" s="1"/>
  <c r="C307" i="2"/>
  <c r="K329" i="2"/>
  <c r="K330" i="2" s="1"/>
  <c r="G329" i="2"/>
  <c r="C329" i="2"/>
  <c r="E328" i="2"/>
  <c r="I329" i="2"/>
  <c r="D329" i="2"/>
  <c r="H328" i="2"/>
  <c r="C328" i="2"/>
  <c r="F329" i="2"/>
  <c r="J328" i="2"/>
  <c r="J329" i="2"/>
  <c r="J330" i="2" s="1"/>
  <c r="L328" i="2"/>
  <c r="F328" i="2"/>
  <c r="H329" i="2"/>
  <c r="H330" i="2" s="1"/>
  <c r="K328" i="2"/>
  <c r="D328" i="2"/>
  <c r="E329" i="2"/>
  <c r="E330" i="2" s="1"/>
  <c r="G328" i="2"/>
  <c r="L329" i="2"/>
  <c r="L330" i="2" s="1"/>
  <c r="C330" i="2" l="1"/>
  <c r="C333" i="2"/>
  <c r="F330" i="2"/>
  <c r="I328" i="2"/>
  <c r="C332" i="2" s="1"/>
  <c r="D330" i="2"/>
  <c r="G330" i="2"/>
  <c r="L317" i="2"/>
  <c r="L316" i="2"/>
  <c r="C323" i="2" l="1"/>
  <c r="E16" i="3"/>
  <c r="E24" i="3" s="1"/>
  <c r="C334" i="2"/>
  <c r="I330" i="2"/>
  <c r="E17" i="3"/>
  <c r="E25" i="3" s="1"/>
  <c r="C324" i="2"/>
  <c r="H339" i="2" l="1"/>
  <c r="L339" i="2"/>
  <c r="L340" i="2" s="1"/>
  <c r="C339" i="2"/>
  <c r="J339" i="2"/>
  <c r="K339" i="2"/>
  <c r="F339" i="2"/>
  <c r="F340" i="2" s="1"/>
  <c r="I339" i="2"/>
  <c r="D339" i="2"/>
  <c r="E339" i="2"/>
  <c r="G339" i="2"/>
  <c r="G340" i="2" s="1"/>
  <c r="C203" i="3"/>
  <c r="C141" i="3"/>
  <c r="C29" i="3"/>
  <c r="E26" i="3"/>
  <c r="C30" i="3"/>
  <c r="C142" i="3"/>
  <c r="C204" i="3"/>
  <c r="C205" i="3" s="1"/>
  <c r="L338" i="2"/>
  <c r="K338" i="2"/>
  <c r="F338" i="2"/>
  <c r="J338" i="2"/>
  <c r="E338" i="2"/>
  <c r="D338" i="2"/>
  <c r="G338" i="2"/>
  <c r="I338" i="2"/>
  <c r="C338" i="2"/>
  <c r="H338" i="2"/>
  <c r="D340" i="2" l="1"/>
  <c r="J340" i="2"/>
  <c r="C342" i="2"/>
  <c r="C37" i="3"/>
  <c r="C32" i="3"/>
  <c r="I340" i="2"/>
  <c r="C343" i="2"/>
  <c r="C344" i="2" s="1"/>
  <c r="C346" i="2" s="1"/>
  <c r="C340" i="2"/>
  <c r="C143" i="3"/>
  <c r="E340" i="2"/>
  <c r="K340" i="2"/>
  <c r="H340" i="2"/>
  <c r="E97" i="3" l="1"/>
  <c r="G96" i="3"/>
  <c r="D94" i="3"/>
  <c r="E91" i="3"/>
  <c r="H89" i="3"/>
  <c r="E112" i="3"/>
  <c r="I96" i="3"/>
  <c r="C96" i="3"/>
  <c r="E90" i="3"/>
  <c r="F89" i="3"/>
  <c r="E109" i="3"/>
  <c r="D96" i="3"/>
  <c r="C93" i="3"/>
  <c r="G89" i="3"/>
  <c r="E108" i="3"/>
  <c r="H96" i="3"/>
  <c r="C111" i="3"/>
  <c r="C94" i="3"/>
  <c r="E98" i="3"/>
  <c r="D93" i="3"/>
  <c r="C36" i="3"/>
  <c r="C38" i="3" s="1"/>
  <c r="E113" i="3"/>
  <c r="I89" i="3"/>
  <c r="F96" i="3"/>
  <c r="C107" i="3"/>
  <c r="C129" i="3" l="1"/>
  <c r="C121" i="3"/>
  <c r="I121" i="3"/>
  <c r="J89" i="3"/>
  <c r="F129" i="3"/>
  <c r="I122" i="3"/>
  <c r="J96" i="3"/>
  <c r="E121" i="3"/>
  <c r="G121" i="3"/>
  <c r="F121" i="3"/>
  <c r="F130" i="3"/>
  <c r="G122" i="3"/>
  <c r="C130" i="3"/>
  <c r="H121" i="3"/>
  <c r="E122" i="3"/>
  <c r="F122" i="3"/>
  <c r="D121" i="3"/>
  <c r="H122" i="3"/>
  <c r="H123" i="3" s="1"/>
  <c r="D122" i="3"/>
  <c r="C122" i="3"/>
  <c r="C123" i="3" s="1"/>
  <c r="G123" i="3" l="1"/>
  <c r="E123" i="3"/>
  <c r="F131" i="3"/>
  <c r="I123" i="3"/>
  <c r="C131" i="3"/>
  <c r="J122" i="3"/>
  <c r="F123" i="3"/>
  <c r="J121" i="3"/>
  <c r="C135" i="3" s="1"/>
  <c r="E135" i="3" s="1"/>
  <c r="C146" i="3" s="1"/>
  <c r="E146" i="3" s="1"/>
  <c r="D123" i="3"/>
  <c r="J123" i="3" l="1"/>
  <c r="C179" i="3"/>
  <c r="K193" i="3" s="1"/>
  <c r="D165" i="3"/>
  <c r="H161" i="3"/>
  <c r="H193" i="3" s="1"/>
  <c r="C165" i="3"/>
  <c r="E162" i="3"/>
  <c r="C166" i="3"/>
  <c r="F161" i="3"/>
  <c r="F193" i="3" s="1"/>
  <c r="I161" i="3"/>
  <c r="I193" i="3" s="1"/>
  <c r="D166" i="3"/>
  <c r="E180" i="3"/>
  <c r="G161" i="3"/>
  <c r="G193" i="3" s="1"/>
  <c r="E163" i="3"/>
  <c r="E181" i="3"/>
  <c r="J161" i="3"/>
  <c r="J193" i="3" s="1"/>
  <c r="C136" i="3"/>
  <c r="L193" i="3" l="1"/>
  <c r="D193" i="3"/>
  <c r="C193" i="3"/>
  <c r="C137" i="3"/>
  <c r="E137" i="3" s="1"/>
  <c r="C148" i="3" s="1"/>
  <c r="E136" i="3"/>
  <c r="C147" i="3" s="1"/>
  <c r="E147" i="3" s="1"/>
  <c r="E193" i="3"/>
  <c r="I168" i="3" l="1"/>
  <c r="I194" i="3" s="1"/>
  <c r="I195" i="3" s="1"/>
  <c r="E170" i="3"/>
  <c r="E184" i="3"/>
  <c r="C183" i="3"/>
  <c r="K194" i="3" s="1"/>
  <c r="K195" i="3" s="1"/>
  <c r="E169" i="3"/>
  <c r="G168" i="3"/>
  <c r="G194" i="3" s="1"/>
  <c r="G195" i="3" s="1"/>
  <c r="H168" i="3"/>
  <c r="H194" i="3" s="1"/>
  <c r="H195" i="3" s="1"/>
  <c r="C168" i="3"/>
  <c r="C194" i="3" s="1"/>
  <c r="D168" i="3"/>
  <c r="D194" i="3" s="1"/>
  <c r="D195" i="3" s="1"/>
  <c r="E185" i="3"/>
  <c r="F168" i="3"/>
  <c r="F194" i="3" s="1"/>
  <c r="F195" i="3" s="1"/>
  <c r="J168" i="3"/>
  <c r="J194" i="3" s="1"/>
  <c r="J195" i="3" s="1"/>
  <c r="C197" i="3"/>
  <c r="C208" i="3" s="1"/>
  <c r="E208" i="3" s="1"/>
  <c r="C195" i="3" l="1"/>
  <c r="L194" i="3"/>
  <c r="L195" i="3" s="1"/>
  <c r="E194" i="3"/>
  <c r="E195" i="3" s="1"/>
  <c r="C198" i="3" l="1"/>
  <c r="C199" i="3" l="1"/>
  <c r="C210" i="3" s="1"/>
  <c r="E210" i="3" s="1"/>
  <c r="C209" i="3"/>
  <c r="E209" i="3" s="1"/>
</calcChain>
</file>

<file path=xl/comments1.xml><?xml version="1.0" encoding="utf-8"?>
<comments xmlns="http://schemas.openxmlformats.org/spreadsheetml/2006/main">
  <authors>
    <author>Fee, George</author>
  </authors>
  <commentList>
    <comment ref="D130" authorId="0">
      <text>
        <r>
          <rPr>
            <b/>
            <sz val="9"/>
            <color indexed="81"/>
            <rFont val="Tahoma"/>
            <family val="2"/>
          </rPr>
          <t>Fee, George:</t>
        </r>
        <r>
          <rPr>
            <sz val="9"/>
            <color indexed="81"/>
            <rFont val="Tahoma"/>
            <family val="2"/>
          </rPr>
          <t xml:space="preserve">
Provide by BPU at conclusion of annual BRA (Base Residual Auction)
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Fee, George:</t>
        </r>
        <r>
          <rPr>
            <sz val="9"/>
            <color indexed="81"/>
            <rFont val="Tahoma"/>
            <family val="2"/>
          </rPr>
          <t xml:space="preserve">
Only use "No" if analyzing estimated markup percentages</t>
        </r>
      </text>
    </comment>
  </commentList>
</comments>
</file>

<file path=xl/sharedStrings.xml><?xml version="1.0" encoding="utf-8"?>
<sst xmlns="http://schemas.openxmlformats.org/spreadsheetml/2006/main" count="904" uniqueCount="353">
  <si>
    <t xml:space="preserve"> </t>
  </si>
  <si>
    <t>Adjusted to Billing Time Periods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</si>
  <si>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</si>
  <si>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</si>
  <si>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</si>
  <si>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</si>
  <si>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</si>
  <si>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>(data rounded to nearest .01%)</t>
  </si>
  <si>
    <t>RS</t>
  </si>
  <si>
    <t>RHS</t>
  </si>
  <si>
    <t>RLM</t>
  </si>
  <si>
    <t>WH</t>
  </si>
  <si>
    <t>WHS</t>
  </si>
  <si>
    <t>HS</t>
  </si>
  <si>
    <t>PSAL</t>
  </si>
  <si>
    <t>BPL</t>
  </si>
  <si>
    <t>GLP</t>
  </si>
  <si>
    <t>LPL-S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</si>
  <si>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</si>
  <si>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</si>
  <si>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</si>
  <si>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</si>
  <si>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</si>
  <si>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</si>
  <si>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</si>
  <si>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</si>
  <si>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</si>
  <si>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</si>
  <si>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</si>
  <si>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</si>
  <si>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</si>
  <si>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PSE&amp;G On-Peak Billing Period</t>
  </si>
  <si>
    <t>Table #3</t>
  </si>
  <si>
    <t>Class Usage @ customer</t>
  </si>
  <si>
    <t>in MWh</t>
  </si>
  <si>
    <t>LPL-S &gt; 500 kW PLS</t>
  </si>
  <si>
    <t>% of</t>
  </si>
  <si>
    <t>kWh</t>
  </si>
  <si>
    <t>Gen Obl</t>
  </si>
  <si>
    <t>Table #4</t>
  </si>
  <si>
    <t>Forwards Prices - Energy Only @ bulk system</t>
  </si>
  <si>
    <t>Table #5</t>
  </si>
  <si>
    <t>Zone to Western Hub Basis Differential</t>
  </si>
  <si>
    <t>in $/MWh, not including PJM losses</t>
  </si>
  <si>
    <t>Off/On Pk</t>
  </si>
  <si>
    <t>On-Peak</t>
  </si>
  <si>
    <t>LMP ratio</t>
  </si>
  <si>
    <t>Summer</t>
  </si>
  <si>
    <t>Winter</t>
  </si>
  <si>
    <t>Basis</t>
  </si>
  <si>
    <t>Off-Peak</t>
  </si>
  <si>
    <t>Table #6</t>
  </si>
  <si>
    <t>Loss Type</t>
  </si>
  <si>
    <t>Percentage</t>
  </si>
  <si>
    <t>Source</t>
  </si>
  <si>
    <t>Delivery Losses</t>
  </si>
  <si>
    <t>Tariff (Result of 2000 Loss Study)</t>
  </si>
  <si>
    <t>EHV Losses</t>
  </si>
  <si>
    <t>PJM - No Update for 2019</t>
  </si>
  <si>
    <t>Marginal Loss Deration Factor</t>
  </si>
  <si>
    <t>NERA</t>
  </si>
  <si>
    <t>Table #10</t>
  </si>
  <si>
    <t>Generation &amp; Transmission Obligations and Costs and Other Adjustments</t>
  </si>
  <si>
    <t>obligations - Peak Load shares eff 1/1/18, scaling factors eff 6/1/18, Transmission Loads eff 1/1/18; costs are market estimates</t>
  </si>
  <si>
    <t>in MW</t>
  </si>
  <si>
    <t>Generation Peak Load Share</t>
  </si>
  <si>
    <t>Tranmsission Obligation</t>
  </si>
  <si>
    <t>Final Zonal RPM Scaling Factor</t>
  </si>
  <si>
    <t>PJM June 1, 2018 (through May 31, 2019) Forecast Pool Requirement</t>
  </si>
  <si>
    <t>NITS Rate</t>
  </si>
  <si>
    <t>Tranches</t>
  </si>
  <si>
    <t>Base
Capacity</t>
  </si>
  <si>
    <t>Generation Capacity cost</t>
  </si>
  <si>
    <t>summer =</t>
  </si>
  <si>
    <t>$/MW/day</t>
  </si>
  <si>
    <t>winter =</t>
  </si>
  <si>
    <t>Required summer inversion =</t>
  </si>
  <si>
    <t>¢/kWh</t>
  </si>
  <si>
    <t>(same as 2003/2004 BGS blocking inversion)</t>
  </si>
  <si>
    <t>Table #11</t>
  </si>
  <si>
    <t>Ancillary Services &amp; Renewable Power Cost</t>
  </si>
  <si>
    <t xml:space="preserve">Ancillary Services </t>
  </si>
  <si>
    <t>per MWh @  bulk system</t>
  </si>
  <si>
    <t>Renewable Power Cost</t>
  </si>
  <si>
    <t>Bill Impacts</t>
  </si>
  <si>
    <t>BGS - CIEP BRA Clearing Price ($ per MW/Day)</t>
  </si>
  <si>
    <t>Annual Obligation Clearing Price</t>
  </si>
  <si>
    <t>per MWh</t>
  </si>
  <si>
    <t>auction results and rates</t>
  </si>
  <si>
    <t>Specific BGS-RSCP Auction &gt;&gt;</t>
  </si>
  <si>
    <t>remaining portion of 36 month bid - 2017 auction</t>
  </si>
  <si>
    <t>remaining portion of 36 month bid - 2018 auction</t>
  </si>
  <si>
    <t>36 month bid - 2019 Auction</t>
  </si>
  <si>
    <t>Winning Bid - in $/MWh</t>
  </si>
  <si>
    <t># of Tranches for Bid</t>
  </si>
  <si>
    <t>Use Estimated amount in cell e136</t>
  </si>
  <si>
    <t>Yes</t>
  </si>
  <si>
    <t>Payment Factors</t>
  </si>
  <si>
    <t xml:space="preserve">                           Summer</t>
  </si>
  <si>
    <t xml:space="preserve">                           Winter</t>
  </si>
  <si>
    <t>% usage during Off-Peak period</t>
  </si>
  <si>
    <t xml:space="preserve"> -- Other Analysis --</t>
  </si>
  <si>
    <t>N/A</t>
  </si>
  <si>
    <t>Actual Billed Sales</t>
  </si>
  <si>
    <t>Usage by season - PSE&amp;G periods</t>
  </si>
  <si>
    <t>&lt; 500 kW</t>
  </si>
  <si>
    <t>Total</t>
  </si>
  <si>
    <t>%</t>
  </si>
  <si>
    <t>Trans Obl</t>
  </si>
  <si>
    <t>winter MWh =</t>
  </si>
  <si>
    <t>on-peak</t>
  </si>
  <si>
    <t>off-peak</t>
  </si>
  <si>
    <t>summer MWh =</t>
  </si>
  <si>
    <t>Block 1</t>
  </si>
  <si>
    <t>Block 2</t>
  </si>
  <si>
    <t>Usage by season/period - PJM periods</t>
  </si>
  <si>
    <t>in MWhs</t>
  </si>
  <si>
    <t>Resulting</t>
  </si>
  <si>
    <t>NYMEX Forwards (June 1, 2018) from NERA</t>
  </si>
  <si>
    <t xml:space="preserve">Congestion Factors &amp; On/Off Peak Ratios </t>
  </si>
  <si>
    <t>Summer Averages for June 2015-Sept 2017</t>
  </si>
  <si>
    <t>Winter Averages for March 2015-Feb 2018</t>
  </si>
  <si>
    <t>Total on-peak</t>
  </si>
  <si>
    <t>Total off-peak</t>
  </si>
  <si>
    <t>Losses</t>
  </si>
  <si>
    <t>from meter to bulk system (includes Delivery &amp; PJM EHV losses)</t>
  </si>
  <si>
    <t xml:space="preserve">     Loss Factors =</t>
  </si>
  <si>
    <t>PJM</t>
  </si>
  <si>
    <t xml:space="preserve">     Expansion Factor =</t>
  </si>
  <si>
    <t xml:space="preserve">     1 / Expansion Factor =</t>
  </si>
  <si>
    <t>Marginal Loss Factor</t>
  </si>
  <si>
    <t>from meter to transmission node (includes Delivery less mean hourly PJM marginal losses)</t>
  </si>
  <si>
    <t>Table #7</t>
  </si>
  <si>
    <t>Summary of Average BGS Energy Only Unit Costs @ customer - PJM Time Periods</t>
  </si>
  <si>
    <t>based on Forwards prices corrected for congestion &amp; all losses - PJM time periods</t>
  </si>
  <si>
    <t>in $/MWh</t>
  </si>
  <si>
    <t>Summer - all hrs</t>
  </si>
  <si>
    <t>PJM on pk</t>
  </si>
  <si>
    <t>PJM off pk</t>
  </si>
  <si>
    <t>Winter - all hrs</t>
  </si>
  <si>
    <t>Annual</t>
  </si>
  <si>
    <t>System Total</t>
  </si>
  <si>
    <t>Table #8</t>
  </si>
  <si>
    <t>Summary of Average BGS Energy Only Costs @ customer - PJM Time Periods</t>
  </si>
  <si>
    <t>based on Forwards prices corrected for congestion &amp; all losses</t>
  </si>
  <si>
    <t>in $1000</t>
  </si>
  <si>
    <t>Table #9</t>
  </si>
  <si>
    <t>Summary of Average BGS Energy Only Unit Costs @ customer - PSE&amp;G Time Periods</t>
  </si>
  <si>
    <t>MWhs in PSE&amp;G time periods</t>
  </si>
  <si>
    <t>MWhs in PJM time periods</t>
  </si>
  <si>
    <t>Difference in MWhs</t>
  </si>
  <si>
    <t>Check on total $ recovered</t>
  </si>
  <si>
    <t>based on Forwards prices corrected for congestion &amp; all losses - PSE&amp;G billing time periods</t>
  </si>
  <si>
    <t>(PJM - PSE&amp;G)</t>
  </si>
  <si>
    <t>PSE&amp;G time periods</t>
  </si>
  <si>
    <t>PJM time periods (Table #8)</t>
  </si>
  <si>
    <t>PSE&amp;G On pk</t>
  </si>
  <si>
    <t>PSE&amp;G Off pk</t>
  </si>
  <si>
    <t>Annual Average</t>
  </si>
  <si>
    <t>System Average</t>
  </si>
  <si>
    <t>Adj for PLS</t>
  </si>
  <si>
    <t>&gt; 500 kW</t>
  </si>
  <si>
    <t>NITS Rate Weighted Average Calculation</t>
  </si>
  <si>
    <t>Gen Obl - MW</t>
  </si>
  <si>
    <t xml:space="preserve"> NITS Rate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</si>
  <si>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</si>
  <si>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</si>
  <si>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</si>
  <si>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</si>
  <si>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</si>
  <si>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</si>
  <si>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</si>
  <si>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</si>
  <si>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year round =</t>
  </si>
  <si>
    <t>per MW-yr</t>
  </si>
  <si>
    <t>Total Capacity</t>
  </si>
  <si>
    <t xml:space="preserve">Resulting average generation capacity cost = </t>
  </si>
  <si>
    <t>annual  &gt;&gt;</t>
  </si>
  <si>
    <t>per kW/yr</t>
  </si>
  <si>
    <t>% usage in Summer Blocks</t>
  </si>
  <si>
    <t>Block 1 (0-600 kWh/m)</t>
  </si>
  <si>
    <t>(based on W/N actuals used in settlement and final rate design of 2009 Rate Case, rounded to .1%)</t>
  </si>
  <si>
    <t>Blocking Percentages based on Annualized W/N Usaeg Used in 2009 Electric Rate Case Settlement</t>
  </si>
  <si>
    <t>Block 2  (&gt;600 kWh/m)</t>
  </si>
  <si>
    <t>June - September (0-600)</t>
  </si>
  <si>
    <t>June - September (600+)</t>
  </si>
  <si>
    <t>Total Summer Usage</t>
  </si>
  <si>
    <t>Total AncillaryServices &amp; Renewable Power Costs</t>
  </si>
  <si>
    <t>Table #12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</si>
  <si>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</si>
  <si>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</si>
  <si>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</si>
  <si>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</si>
  <si>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recovery per summer MWh</t>
  </si>
  <si>
    <t>recovery per winter MWh</t>
  </si>
  <si>
    <t xml:space="preserve">For RLM, per </t>
  </si>
  <si>
    <t>on-peak kWh only</t>
  </si>
  <si>
    <t>Table #13</t>
  </si>
  <si>
    <t>Summary of BGS Unit Costs @ customer</t>
  </si>
  <si>
    <t>NON-DEMAND RATES</t>
  </si>
  <si>
    <t>includes energy, G&amp;T obligations, and Ancillary Services - adjusted to billing time periods</t>
  </si>
  <si>
    <t>Block 2 (&gt;600 kWh/m)</t>
  </si>
  <si>
    <t>Annual -all hrs</t>
  </si>
  <si>
    <t>DEMAND RATES</t>
  </si>
  <si>
    <t>includes energy and Ancillary Services, G&amp;T obligations charged separately - adjusted to billing time periods</t>
  </si>
  <si>
    <t>PLUS:</t>
  </si>
  <si>
    <t>Gen Cost</t>
  </si>
  <si>
    <t>summer</t>
  </si>
  <si>
    <t>per kW of G obl /month</t>
  </si>
  <si>
    <t>winter</t>
  </si>
  <si>
    <t>annual</t>
  </si>
  <si>
    <t>Trans cost</t>
  </si>
  <si>
    <t>all months</t>
  </si>
  <si>
    <t>per kW of T obl /month</t>
  </si>
  <si>
    <t>Annual - all hrs per MWh only</t>
  </si>
  <si>
    <t>Including T&amp;G Obligation $</t>
  </si>
  <si>
    <t>Note: Obligation $ included in On pk costs</t>
  </si>
  <si>
    <t>Annual - including T&amp;G Obl $</t>
  </si>
  <si>
    <t>ALL RATES</t>
  </si>
  <si>
    <t>Grand Total Cost in $1000 =</t>
  </si>
  <si>
    <t>All-In Average cost @ customer =</t>
  </si>
  <si>
    <t>per MWh at customer (per customer metered MWh)</t>
  </si>
  <si>
    <t>All-In Average costs @ transmission nodes =</t>
  </si>
  <si>
    <t>per MWh at transmission nodes (per metered MWh at transmission node)</t>
  </si>
  <si>
    <t>Table #14</t>
  </si>
  <si>
    <r>
      <t>Ratio of BGS Unit Costs @ customer to All-In Average Cost @ transmission nodes -</t>
    </r>
    <r>
      <rPr>
        <i/>
        <sz val="10"/>
        <rFont val="Arial"/>
        <family val="2"/>
      </rPr>
      <t xml:space="preserve"> rounded to 3 decimal places, unit obligation $ rounded to 4 decimal places</t>
    </r>
  </si>
  <si>
    <t>Use weighted average</t>
  </si>
  <si>
    <t>for all streetlighting =</t>
  </si>
  <si>
    <t>All usage Multiplier</t>
  </si>
  <si>
    <t>Constant (in $/MWh)</t>
  </si>
  <si>
    <t>for Block 1 (0-600 kWh/m) usage</t>
  </si>
  <si>
    <t>for Block 2 (&gt;600 kWh/m) usage</t>
  </si>
  <si>
    <t>Annual - all hrs</t>
  </si>
  <si>
    <t>Multiplier</t>
  </si>
  <si>
    <t>Assumptions:</t>
  </si>
  <si>
    <t>Gen Cost =</t>
  </si>
  <si>
    <t xml:space="preserve">/MW day </t>
  </si>
  <si>
    <t>Trans cost =</t>
  </si>
  <si>
    <t>Analysis time period =</t>
  </si>
  <si>
    <t>summer months</t>
  </si>
  <si>
    <t>winter months</t>
  </si>
  <si>
    <t>Ancillary Services &amp; RPS =</t>
  </si>
  <si>
    <t>Energy Costs =</t>
  </si>
  <si>
    <t xml:space="preserve"> based on Forwards @ PJM West - corrected for congestion</t>
  </si>
  <si>
    <t>Usage patterns =</t>
  </si>
  <si>
    <t xml:space="preserve"> forecasted 2018 energy use by class, PJM and PSE&amp;G on/off % from 2015, 2016 &amp; 2017 class load profiles</t>
  </si>
  <si>
    <t>Obligations =</t>
  </si>
  <si>
    <t xml:space="preserve"> class totals in effect as of filing date</t>
  </si>
  <si>
    <t>Losses =</t>
  </si>
  <si>
    <t xml:space="preserve"> Delivery losses from tariff, PJM losses based on 3 year average %</t>
  </si>
  <si>
    <t>PJM Time Periods =</t>
  </si>
  <si>
    <t xml:space="preserve"> PJM trading time periods - 7 AM to 11 PM weekdays, local time, x NERC </t>
  </si>
  <si>
    <t xml:space="preserve">     holidays - New Year's, Memorial, 4th of July, Labor Day, Thanksgiving &amp; Christmas</t>
  </si>
  <si>
    <t>PSE&amp;G Billing time periods =</t>
  </si>
  <si>
    <t xml:space="preserve"> as per specific rate schedule</t>
  </si>
  <si>
    <t>NJ SUT (Sales &amp; Use Tax) =</t>
  </si>
  <si>
    <t>SUT excluded from all rates</t>
  </si>
  <si>
    <t>Table #15</t>
  </si>
  <si>
    <t>Summary of Total BGS Costs by Season</t>
  </si>
  <si>
    <t>Total Costs by Rate - in $1000</t>
  </si>
  <si>
    <t>% of Annual Total $ by Rate</t>
  </si>
  <si>
    <t>Total Costs - in $1000</t>
  </si>
  <si>
    <t>rounded to 4 decimal places</t>
  </si>
  <si>
    <t>% of Annual Total $</t>
  </si>
  <si>
    <t xml:space="preserve">         If total $ were split on a per MWh basis (on transmission node MWhs):</t>
  </si>
  <si>
    <t>per MWh @ trans nodes</t>
  </si>
  <si>
    <t>Ratio to All-In Cost &gt;&gt;&gt;</t>
  </si>
  <si>
    <t>Table #16</t>
  </si>
  <si>
    <r>
      <t xml:space="preserve">Spreadsheet Error Checking - </t>
    </r>
    <r>
      <rPr>
        <i/>
        <sz val="10"/>
        <rFont val="Arial"/>
        <family val="2"/>
      </rPr>
      <t>Reconciliation of Customer Revenue and Supplier Payments, based on above data only</t>
    </r>
  </si>
  <si>
    <t>Assumed Winning Bid Price =</t>
  </si>
  <si>
    <t>(bid includes payments for all losses)</t>
  </si>
  <si>
    <t>Payment Ratio - Summer =</t>
  </si>
  <si>
    <t>Payment Ratio - Winter =</t>
  </si>
  <si>
    <t>Total Rate Revenue - in $1000</t>
  </si>
  <si>
    <t>Total Summer</t>
  </si>
  <si>
    <t>Total Winter</t>
  </si>
  <si>
    <t>Grand Total</t>
  </si>
  <si>
    <t>Total Supplier Payment - in $1000</t>
  </si>
  <si>
    <t>Difference ( in $1000) =</t>
  </si>
  <si>
    <t>Note: Minor differences in totals are due to rounding of Bid Factors and Payment Factors</t>
  </si>
  <si>
    <t>Table #17</t>
  </si>
  <si>
    <t>Total Supplier Energy</t>
  </si>
  <si>
    <t>@ transmission nodes</t>
  </si>
  <si>
    <t>Calculation of June 2019 to May 2020 BGS-RSCP Rates</t>
  </si>
  <si>
    <t>llustrative Purposes Only</t>
  </si>
  <si>
    <t>NJ Sales &amp; Use Tax (SUT) excluded</t>
  </si>
  <si>
    <t>Table A</t>
  </si>
  <si>
    <t>Auction Results</t>
  </si>
  <si>
    <t>line #</t>
  </si>
  <si>
    <t>36 month bid - 2019 auction</t>
  </si>
  <si>
    <t>Notes:</t>
  </si>
  <si>
    <r>
      <t xml:space="preserve">Winning Bid </t>
    </r>
    <r>
      <rPr>
        <sz val="10"/>
        <color rgb="FFFF0000"/>
        <rFont val="Arial"/>
        <family val="2"/>
      </rPr>
      <t>- 2018 Illustrative Purposes Only</t>
    </r>
  </si>
  <si>
    <t>Total - in $/MWh</t>
  </si>
  <si>
    <t xml:space="preserve">      (includes all payments, including impact of PJM marginal losses)</t>
  </si>
  <si>
    <t>from then current Bid</t>
  </si>
  <si>
    <t>Total # of Tranches</t>
  </si>
  <si>
    <r>
      <t xml:space="preserve">Applicable Customer Usage 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</si>
  <si>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t xml:space="preserve">                           Summer MWh</t>
  </si>
  <si>
    <t>from Table #17 of the current Bid Factor Spreadsheet</t>
  </si>
  <si>
    <t xml:space="preserve">                           Winter MWh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</si>
  <si>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</si>
  <si>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t>= (1) * (2)/(3) * (4) * (6) + (1A) * (2)/(3) * (6)</t>
  </si>
  <si>
    <t>= (1) * (2)/(3) * (5) * (7) + (1A) * (2)/(3) * (7)</t>
  </si>
  <si>
    <t xml:space="preserve">                           Total</t>
  </si>
  <si>
    <t>Note: $ reflect total payment</t>
  </si>
  <si>
    <r>
      <t xml:space="preserve">Average Payment to Suppliers </t>
    </r>
    <r>
      <rPr>
        <i/>
        <sz val="10"/>
        <rFont val="Arial"/>
        <family val="2"/>
      </rPr>
      <t>- in $/MWh</t>
    </r>
  </si>
  <si>
    <t>= sum(line 8) / (6) - rounded to 3 decimal places</t>
  </si>
  <si>
    <t>= sum(line 9) / (7) - rounded to 3 decimal places</t>
  </si>
  <si>
    <t xml:space="preserve">                Total weighted average</t>
  </si>
  <si>
    <t xml:space="preserve">   &lt;&lt;&lt; used in calculation of</t>
  </si>
  <si>
    <t>= sum(line 10) / [ (6) + (7)]</t>
  </si>
  <si>
    <t xml:space="preserve">           Customer Rates</t>
  </si>
  <si>
    <t xml:space="preserve">   rounded to 3 decimal places</t>
  </si>
  <si>
    <r>
      <t>Reconciliation of amounts</t>
    </r>
    <r>
      <rPr>
        <i/>
        <sz val="10"/>
        <rFont val="Arial"/>
        <family val="2"/>
      </rPr>
      <t xml:space="preserve"> - in $1000</t>
    </r>
  </si>
  <si>
    <t>Weighted Average * Total MWh =</t>
  </si>
  <si>
    <t>= (13) * [(6)+(7)] / 1000</t>
  </si>
  <si>
    <t>Total Payment to Suppliers =</t>
  </si>
  <si>
    <t>= sum (line 10)</t>
  </si>
  <si>
    <t>Difference =</t>
  </si>
  <si>
    <t>= line (14) - line (15)</t>
  </si>
  <si>
    <t>Table B</t>
  </si>
  <si>
    <t>Ratio of BGS Unit Costs @ customer to All-In Average Cost @ transmission nodes</t>
  </si>
  <si>
    <t>from Table #14 of the bid factor spreadsheet ---</t>
  </si>
  <si>
    <t>rounded to 3 decimal places, unit obligation $ rounded to 4 decimal places</t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</si>
  <si>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</si>
  <si>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</si>
  <si>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 xml:space="preserve">   rounded to 4 decimal places</t>
  </si>
  <si>
    <t>NON-DEMAND RATES -----------------------------------------------------------------------------------------------------------------------------------------------------------------------</t>
  </si>
  <si>
    <t>DEMAND RATES --------------------------------------------------------------------------------------------------------------------------------------------------------------------------------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</si>
  <si>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</si>
  <si>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</si>
  <si>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Total Preliminary Rate Revenue - in $1000</t>
  </si>
  <si>
    <t>Energy $</t>
  </si>
  <si>
    <t>Obligation $</t>
  </si>
  <si>
    <t>Total $</t>
  </si>
  <si>
    <t>kWh Rate</t>
  </si>
  <si>
    <t>Adjustment</t>
  </si>
  <si>
    <t xml:space="preserve">   rounded to 5 decimal places</t>
  </si>
  <si>
    <t>Differences - in $1000</t>
  </si>
  <si>
    <t>Factors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</si>
  <si>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</si>
  <si>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</si>
  <si>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Table E</t>
  </si>
  <si>
    <r>
      <t xml:space="preserve">Final Resulting BGS Rates from Auctions (in cents per kWh) - </t>
    </r>
    <r>
      <rPr>
        <i/>
        <sz val="10"/>
        <rFont val="Arial"/>
        <family val="2"/>
      </rPr>
      <t>with preliminary kWh rates adjusted by the kWh Rate Adjustment Factor</t>
    </r>
  </si>
  <si>
    <t>includes energy, G&amp;T obligations, and Ancillary Services - adjusted to billing time periods &amp; adjustment to energy price</t>
  </si>
  <si>
    <t>includes energy and Ancillary Services, G&amp;T obligations charged separately - adjusted to billing time periods &amp; adjustment to energy price</t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</si>
  <si>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</si>
  <si>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</si>
  <si>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% difference</t>
  </si>
  <si>
    <t>Development of BGS-RSCP Cost and Bid Factors for 2019/2020 BGS Filing</t>
  </si>
  <si>
    <t>Based on average of year 2015,2016 &amp; 2017 Load Profile Information</t>
  </si>
  <si>
    <t>On-Peak periods as defined in specified rate schedule (average of %s for 2015,2016 &amp; 2017)</t>
  </si>
  <si>
    <t>Calendar month sales forecasted for 2019, less % for LPL-Sec &gt; 500 kW Peak Load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</si>
</sst>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"/>
    <numFmt numFmtId="167" formatCode="#,##0.000"/>
    <numFmt numFmtId="168" formatCode="0.0000%"/>
    <numFmt numFmtId="169" formatCode="0.00000"/>
    <numFmt numFmtId="170" formatCode="0.000000"/>
    <numFmt numFmtId="171" formatCode="0.00000%"/>
    <numFmt numFmtId="172" formatCode="#,##0.0"/>
    <numFmt numFmtId="173" formatCode="&quot;$&quot;#,##0.00"/>
    <numFmt numFmtId="174" formatCode="0.00000000"/>
    <numFmt numFmtId="175" formatCode="#,##0.0_);[Red]\(#,##0.0\)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&quot;$&quot;* #,##0.000_);_(&quot;$&quot;* \(#,##0.000\);_(&quot;$&quot;* &quot;-&quot;??_);_(@_)"/>
    <numFmt numFmtId="180" formatCode="_(* #,##0.0000_);_(* \(#,##0.0000\);_(* &quot;-&quot;??_);_(@_)"/>
    <numFmt numFmtId="181" formatCode="&quot;$&quot;#,##0"/>
    <numFmt numFmtId="182" formatCode="0.0"/>
    <numFmt numFmtId="183" formatCode="&quot;$&quot;#,##0.0000"/>
    <numFmt numFmtId="184" formatCode="&quot;$&quot;#,##0\ ;\(&quot;$&quot;#,##0\)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indexed="54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Arial"/>
      <family val="2"/>
    </font>
    <font>
      <u val="singleAccounting"/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color indexed="22"/>
      <name val="Arial"/>
      <family val="2"/>
    </font>
    <font>
      <b/>
      <sz val="13"/>
      <color indexed="56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15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6" fillId="22" borderId="16" applyNumberFormat="0" applyAlignment="0" applyProtection="0"/>
    <xf numFmtId="0" fontId="27" fillId="23" borderId="17" applyNumberFormat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9" borderId="16" applyNumberFormat="0" applyAlignment="0" applyProtection="0"/>
    <xf numFmtId="0" fontId="40" fillId="0" borderId="21" applyNumberFormat="0" applyFill="0" applyAlignment="0" applyProtection="0"/>
    <xf numFmtId="0" fontId="4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25" borderId="22" applyNumberFormat="0" applyFont="0" applyAlignment="0" applyProtection="0"/>
    <xf numFmtId="0" fontId="2" fillId="25" borderId="22" applyNumberFormat="0" applyFont="0" applyAlignment="0" applyProtection="0"/>
    <xf numFmtId="0" fontId="42" fillId="22" borderId="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" fontId="23" fillId="26" borderId="23" applyNumberFormat="0" applyProtection="0">
      <alignment vertical="center"/>
    </xf>
    <xf numFmtId="4" fontId="43" fillId="26" borderId="23" applyNumberFormat="0" applyProtection="0">
      <alignment vertical="center"/>
    </xf>
    <xf numFmtId="4" fontId="23" fillId="26" borderId="23" applyNumberFormat="0" applyProtection="0">
      <alignment horizontal="left" vertical="center" indent="1"/>
    </xf>
    <xf numFmtId="4" fontId="23" fillId="26" borderId="23" applyNumberFormat="0" applyProtection="0">
      <alignment horizontal="left" vertical="center" indent="1"/>
    </xf>
    <xf numFmtId="0" fontId="2" fillId="27" borderId="23" applyNumberFormat="0" applyProtection="0">
      <alignment horizontal="left" vertical="center" indent="1"/>
    </xf>
    <xf numFmtId="4" fontId="23" fillId="28" borderId="23" applyNumberFormat="0" applyProtection="0">
      <alignment horizontal="right" vertical="center"/>
    </xf>
    <xf numFmtId="4" fontId="23" fillId="29" borderId="23" applyNumberFormat="0" applyProtection="0">
      <alignment horizontal="right" vertical="center"/>
    </xf>
    <xf numFmtId="4" fontId="23" fillId="30" borderId="23" applyNumberFormat="0" applyProtection="0">
      <alignment horizontal="right" vertical="center"/>
    </xf>
    <xf numFmtId="4" fontId="23" fillId="31" borderId="23" applyNumberFormat="0" applyProtection="0">
      <alignment horizontal="right" vertical="center"/>
    </xf>
    <xf numFmtId="4" fontId="23" fillId="32" borderId="23" applyNumberFormat="0" applyProtection="0">
      <alignment horizontal="right" vertical="center"/>
    </xf>
    <xf numFmtId="4" fontId="23" fillId="33" borderId="23" applyNumberFormat="0" applyProtection="0">
      <alignment horizontal="right" vertical="center"/>
    </xf>
    <xf numFmtId="4" fontId="23" fillId="34" borderId="23" applyNumberFormat="0" applyProtection="0">
      <alignment horizontal="right" vertical="center"/>
    </xf>
    <xf numFmtId="4" fontId="23" fillId="35" borderId="23" applyNumberFormat="0" applyProtection="0">
      <alignment horizontal="right" vertical="center"/>
    </xf>
    <xf numFmtId="4" fontId="23" fillId="36" borderId="23" applyNumberFormat="0" applyProtection="0">
      <alignment horizontal="right" vertical="center"/>
    </xf>
    <xf numFmtId="4" fontId="44" fillId="37" borderId="23" applyNumberFormat="0" applyProtection="0">
      <alignment horizontal="left" vertical="center" indent="1"/>
    </xf>
    <xf numFmtId="4" fontId="23" fillId="38" borderId="24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0" fontId="2" fillId="27" borderId="23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4" fontId="23" fillId="40" borderId="23" applyNumberFormat="0" applyProtection="0">
      <alignment horizontal="left" vertical="center" indent="1"/>
    </xf>
    <xf numFmtId="0" fontId="2" fillId="40" borderId="23" applyNumberFormat="0" applyProtection="0">
      <alignment horizontal="left" vertical="center" indent="1"/>
    </xf>
    <xf numFmtId="0" fontId="2" fillId="40" borderId="23" applyNumberFormat="0" applyProtection="0">
      <alignment horizontal="left" vertical="center" indent="1"/>
    </xf>
    <xf numFmtId="0" fontId="2" fillId="41" borderId="23" applyNumberFormat="0" applyProtection="0">
      <alignment horizontal="left" vertical="center" indent="1"/>
    </xf>
    <xf numFmtId="0" fontId="2" fillId="41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center" indent="1"/>
    </xf>
    <xf numFmtId="0" fontId="2" fillId="27" borderId="23" applyNumberFormat="0" applyProtection="0">
      <alignment horizontal="left" vertical="center" indent="1"/>
    </xf>
    <xf numFmtId="0" fontId="2" fillId="27" borderId="23" applyNumberFormat="0" applyProtection="0">
      <alignment horizontal="left" vertical="center" indent="1"/>
    </xf>
    <xf numFmtId="4" fontId="23" fillId="43" borderId="23" applyNumberFormat="0" applyProtection="0">
      <alignment vertical="center"/>
    </xf>
    <xf numFmtId="4" fontId="43" fillId="43" borderId="23" applyNumberFormat="0" applyProtection="0">
      <alignment vertical="center"/>
    </xf>
    <xf numFmtId="4" fontId="23" fillId="43" borderId="23" applyNumberFormat="0" applyProtection="0">
      <alignment horizontal="left" vertical="center" indent="1"/>
    </xf>
    <xf numFmtId="4" fontId="23" fillId="43" borderId="23" applyNumberFormat="0" applyProtection="0">
      <alignment horizontal="left" vertical="center" indent="1"/>
    </xf>
    <xf numFmtId="4" fontId="23" fillId="38" borderId="23" applyNumberFormat="0" applyProtection="0">
      <alignment horizontal="right" vertical="center"/>
    </xf>
    <xf numFmtId="4" fontId="43" fillId="38" borderId="23" applyNumberFormat="0" applyProtection="0">
      <alignment horizontal="right" vertical="center"/>
    </xf>
    <xf numFmtId="0" fontId="2" fillId="27" borderId="23" applyNumberFormat="0" applyProtection="0">
      <alignment horizontal="left" vertical="center" indent="1"/>
    </xf>
    <xf numFmtId="0" fontId="2" fillId="27" borderId="23" applyNumberFormat="0" applyProtection="0">
      <alignment horizontal="left" vertical="center" indent="1"/>
    </xf>
    <xf numFmtId="0" fontId="46" fillId="0" borderId="0"/>
    <xf numFmtId="4" fontId="47" fillId="38" borderId="23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30" fillId="0" borderId="26" applyNumberFormat="0" applyFont="0" applyFill="0" applyAlignment="0" applyProtection="0"/>
    <xf numFmtId="0" fontId="47" fillId="0" borderId="0" applyNumberFormat="0" applyFill="0" applyBorder="0" applyAlignment="0" applyProtection="0"/>
  </cellStyleXfs>
  <cellXfs count="362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0" fillId="2" borderId="1" xfId="0" applyFill="1" applyBorder="1"/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0" borderId="0" xfId="0" applyFont="1" applyFill="1"/>
    <xf numFmtId="0" fontId="2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8" fillId="2" borderId="0" xfId="0" applyFont="1" applyFill="1" applyBorder="1"/>
    <xf numFmtId="0" fontId="4" fillId="2" borderId="0" xfId="0" quotePrefix="1" applyFont="1" applyFill="1" applyBorder="1"/>
    <xf numFmtId="39" fontId="2" fillId="2" borderId="0" xfId="0" quotePrefix="1" applyNumberFormat="1" applyFont="1" applyFill="1" applyBorder="1"/>
    <xf numFmtId="0" fontId="8" fillId="2" borderId="0" xfId="0" applyFont="1" applyFill="1" applyBorder="1" applyAlignment="1">
      <alignment horizontal="left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8" fillId="2" borderId="1" xfId="0" quotePrefix="1" applyFont="1" applyFill="1" applyBorder="1"/>
    <xf numFmtId="0" fontId="4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7" fontId="0" fillId="2" borderId="1" xfId="0" applyNumberFormat="1" applyFill="1" applyBorder="1"/>
    <xf numFmtId="10" fontId="5" fillId="0" borderId="1" xfId="3" applyNumberFormat="1" applyFont="1" applyFill="1" applyBorder="1"/>
    <xf numFmtId="164" fontId="5" fillId="2" borderId="0" xfId="3" quotePrefix="1" applyNumberFormat="1" applyFont="1" applyFill="1" applyBorder="1"/>
    <xf numFmtId="9" fontId="5" fillId="2" borderId="0" xfId="3" quotePrefix="1" applyFont="1" applyFill="1" applyBorder="1"/>
    <xf numFmtId="9" fontId="2" fillId="2" borderId="0" xfId="3" quotePrefix="1" applyFont="1" applyFill="1" applyBorder="1"/>
    <xf numFmtId="17" fontId="0" fillId="2" borderId="0" xfId="0" applyNumberFormat="1" applyFill="1" applyBorder="1"/>
    <xf numFmtId="9" fontId="8" fillId="2" borderId="0" xfId="3" applyFont="1" applyFill="1" applyBorder="1"/>
    <xf numFmtId="9" fontId="5" fillId="2" borderId="0" xfId="3" applyNumberFormat="1" applyFont="1" applyFill="1" applyBorder="1"/>
    <xf numFmtId="10" fontId="5" fillId="0" borderId="1" xfId="3" quotePrefix="1" applyNumberFormat="1" applyFont="1" applyFill="1" applyBorder="1"/>
    <xf numFmtId="1" fontId="5" fillId="2" borderId="0" xfId="3" quotePrefix="1" applyNumberFormat="1" applyFont="1" applyFill="1" applyBorder="1"/>
    <xf numFmtId="17" fontId="4" fillId="2" borderId="0" xfId="0" applyNumberFormat="1" applyFont="1" applyFill="1" applyBorder="1"/>
    <xf numFmtId="17" fontId="8" fillId="2" borderId="0" xfId="0" applyNumberFormat="1" applyFont="1" applyFill="1" applyBorder="1"/>
    <xf numFmtId="0" fontId="10" fillId="2" borderId="0" xfId="4" applyFill="1" applyBorder="1" applyAlignment="1" applyProtection="1"/>
    <xf numFmtId="0" fontId="0" fillId="2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3" fontId="0" fillId="2" borderId="0" xfId="0" applyNumberFormat="1" applyFill="1" applyBorder="1" applyAlignment="1"/>
    <xf numFmtId="38" fontId="5" fillId="0" borderId="1" xfId="0" applyNumberFormat="1" applyFont="1" applyFill="1" applyBorder="1" applyAlignment="1">
      <alignment horizontal="right"/>
    </xf>
    <xf numFmtId="3" fontId="0" fillId="2" borderId="0" xfId="0" quotePrefix="1" applyNumberFormat="1" applyFill="1" applyBorder="1"/>
    <xf numFmtId="3" fontId="0" fillId="2" borderId="0" xfId="0" applyNumberFormat="1" applyFill="1" applyBorder="1"/>
    <xf numFmtId="9" fontId="0" fillId="2" borderId="0" xfId="3" applyFont="1" applyFill="1" applyBorder="1" applyAlignment="1"/>
    <xf numFmtId="165" fontId="5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0" fontId="2" fillId="2" borderId="0" xfId="0" quotePrefix="1" applyFont="1" applyFill="1" applyBorder="1"/>
    <xf numFmtId="3" fontId="5" fillId="0" borderId="0" xfId="0" applyNumberFormat="1" applyFont="1" applyFill="1" applyBorder="1"/>
    <xf numFmtId="0" fontId="0" fillId="2" borderId="0" xfId="0" applyFill="1" applyBorder="1" applyAlignment="1">
      <alignment horizontal="right"/>
    </xf>
    <xf numFmtId="9" fontId="0" fillId="2" borderId="0" xfId="0" applyNumberFormat="1" applyFill="1" applyBorder="1"/>
    <xf numFmtId="17" fontId="0" fillId="2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37" fontId="0" fillId="0" borderId="0" xfId="0" applyNumberFormat="1" applyFill="1" applyBorder="1"/>
    <xf numFmtId="10" fontId="0" fillId="2" borderId="0" xfId="0" applyNumberFormat="1" applyFill="1" applyBorder="1"/>
    <xf numFmtId="0" fontId="2" fillId="0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4" fontId="2" fillId="0" borderId="0" xfId="2" quotePrefix="1" applyFont="1" applyFill="1" applyBorder="1"/>
    <xf numFmtId="164" fontId="5" fillId="0" borderId="1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40" fontId="5" fillId="0" borderId="1" xfId="0" applyNumberFormat="1" applyFont="1" applyFill="1" applyBorder="1" applyAlignment="1">
      <alignment horizontal="right"/>
    </xf>
    <xf numFmtId="0" fontId="11" fillId="2" borderId="1" xfId="5" applyFont="1" applyFill="1" applyBorder="1" applyAlignment="1">
      <alignment vertical="center"/>
    </xf>
    <xf numFmtId="166" fontId="5" fillId="2" borderId="1" xfId="0" applyNumberFormat="1" applyFont="1" applyFill="1" applyBorder="1"/>
    <xf numFmtId="0" fontId="8" fillId="2" borderId="0" xfId="0" applyFont="1" applyFill="1" applyBorder="1" applyAlignment="1"/>
    <xf numFmtId="166" fontId="2" fillId="2" borderId="0" xfId="0" applyNumberFormat="1" applyFont="1" applyFill="1" applyBorder="1"/>
    <xf numFmtId="167" fontId="2" fillId="2" borderId="0" xfId="0" applyNumberFormat="1" applyFont="1" applyFill="1" applyBorder="1"/>
    <xf numFmtId="9" fontId="2" fillId="2" borderId="0" xfId="3" applyNumberFormat="1" applyFont="1" applyFill="1" applyBorder="1"/>
    <xf numFmtId="166" fontId="0" fillId="2" borderId="0" xfId="0" applyNumberFormat="1" applyFill="1" applyBorder="1"/>
    <xf numFmtId="9" fontId="0" fillId="2" borderId="0" xfId="3" applyNumberFormat="1" applyFont="1" applyFill="1" applyBorder="1"/>
    <xf numFmtId="9" fontId="5" fillId="2" borderId="1" xfId="3" applyNumberFormat="1" applyFont="1" applyFill="1" applyBorder="1"/>
    <xf numFmtId="4" fontId="5" fillId="2" borderId="0" xfId="0" applyNumberFormat="1" applyFont="1" applyFill="1" applyBorder="1"/>
    <xf numFmtId="9" fontId="5" fillId="2" borderId="0" xfId="3" applyFont="1" applyFill="1" applyBorder="1"/>
    <xf numFmtId="168" fontId="5" fillId="2" borderId="0" xfId="0" applyNumberFormat="1" applyFont="1" applyFill="1" applyBorder="1"/>
    <xf numFmtId="169" fontId="0" fillId="2" borderId="0" xfId="0" applyNumberFormat="1" applyFill="1" applyBorder="1"/>
    <xf numFmtId="168" fontId="5" fillId="0" borderId="1" xfId="3" applyNumberFormat="1" applyFont="1" applyFill="1" applyBorder="1"/>
    <xf numFmtId="168" fontId="2" fillId="2" borderId="0" xfId="0" applyNumberFormat="1" applyFont="1" applyFill="1" applyBorder="1"/>
    <xf numFmtId="170" fontId="0" fillId="2" borderId="0" xfId="0" applyNumberFormat="1" applyFill="1" applyBorder="1"/>
    <xf numFmtId="171" fontId="5" fillId="0" borderId="1" xfId="3" applyNumberFormat="1" applyFont="1" applyFill="1" applyBorder="1"/>
    <xf numFmtId="169" fontId="0" fillId="2" borderId="0" xfId="0" quotePrefix="1" applyNumberFormat="1" applyFill="1" applyBorder="1"/>
    <xf numFmtId="4" fontId="0" fillId="2" borderId="0" xfId="0" applyNumberFormat="1" applyFill="1" applyBorder="1" applyAlignment="1">
      <alignment wrapText="1"/>
    </xf>
    <xf numFmtId="172" fontId="4" fillId="2" borderId="0" xfId="0" applyNumberFormat="1" applyFont="1" applyFill="1" applyBorder="1"/>
    <xf numFmtId="0" fontId="0" fillId="2" borderId="1" xfId="0" applyFill="1" applyBorder="1" applyAlignment="1">
      <alignment horizontal="right"/>
    </xf>
    <xf numFmtId="172" fontId="5" fillId="0" borderId="1" xfId="0" applyNumberFormat="1" applyFont="1" applyFill="1" applyBorder="1"/>
    <xf numFmtId="172" fontId="0" fillId="2" borderId="0" xfId="0" applyNumberFormat="1" applyFill="1" applyBorder="1"/>
    <xf numFmtId="173" fontId="0" fillId="2" borderId="0" xfId="0" applyNumberFormat="1" applyFill="1" applyBorder="1"/>
    <xf numFmtId="172" fontId="2" fillId="2" borderId="0" xfId="0" applyNumberFormat="1" applyFont="1" applyFill="1" applyBorder="1"/>
    <xf numFmtId="174" fontId="5" fillId="0" borderId="1" xfId="0" applyNumberFormat="1" applyFont="1" applyFill="1" applyBorder="1"/>
    <xf numFmtId="172" fontId="5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175" fontId="12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173" fontId="5" fillId="0" borderId="1" xfId="0" applyNumberFormat="1" applyFont="1" applyFill="1" applyBorder="1"/>
    <xf numFmtId="176" fontId="0" fillId="2" borderId="0" xfId="2" applyNumberFormat="1" applyFont="1" applyFill="1" applyBorder="1"/>
    <xf numFmtId="0" fontId="5" fillId="0" borderId="0" xfId="0" applyFont="1" applyFill="1" applyBorder="1"/>
    <xf numFmtId="173" fontId="5" fillId="0" borderId="0" xfId="0" applyNumberFormat="1" applyFont="1" applyFill="1" applyBorder="1"/>
    <xf numFmtId="0" fontId="0" fillId="2" borderId="0" xfId="0" quotePrefix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176" fontId="0" fillId="2" borderId="0" xfId="0" applyNumberFormat="1" applyFill="1" applyBorder="1"/>
    <xf numFmtId="173" fontId="2" fillId="2" borderId="0" xfId="2" applyNumberFormat="1" applyFont="1" applyFill="1" applyAlignment="1">
      <alignment horizontal="center" wrapText="1"/>
    </xf>
    <xf numFmtId="0" fontId="0" fillId="0" borderId="0" xfId="0" applyFill="1"/>
    <xf numFmtId="172" fontId="2" fillId="2" borderId="0" xfId="0" quotePrefix="1" applyNumberFormat="1" applyFont="1" applyFill="1" applyBorder="1" applyAlignment="1">
      <alignment horizontal="center"/>
    </xf>
    <xf numFmtId="44" fontId="5" fillId="2" borderId="1" xfId="2" applyNumberFormat="1" applyFont="1" applyFill="1" applyBorder="1"/>
    <xf numFmtId="0" fontId="0" fillId="2" borderId="1" xfId="0" quotePrefix="1" applyFill="1" applyBorder="1"/>
    <xf numFmtId="44" fontId="0" fillId="2" borderId="0" xfId="2" quotePrefix="1" applyFont="1" applyFill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2" borderId="0" xfId="0" quotePrefix="1" applyFont="1" applyFill="1" applyBorder="1"/>
    <xf numFmtId="44" fontId="0" fillId="2" borderId="0" xfId="2" applyFont="1" applyFill="1" applyBorder="1"/>
    <xf numFmtId="3" fontId="0" fillId="2" borderId="0" xfId="0" applyNumberFormat="1" applyFill="1" applyBorder="1" applyAlignment="1">
      <alignment horizontal="center"/>
    </xf>
    <xf numFmtId="0" fontId="0" fillId="2" borderId="0" xfId="0" quotePrefix="1" applyFill="1" applyBorder="1"/>
    <xf numFmtId="176" fontId="5" fillId="2" borderId="0" xfId="2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4" fontId="2" fillId="2" borderId="0" xfId="2" quotePrefix="1" applyFont="1" applyFill="1" applyBorder="1"/>
    <xf numFmtId="44" fontId="5" fillId="0" borderId="1" xfId="2" applyFont="1" applyFill="1" applyBorder="1"/>
    <xf numFmtId="0" fontId="5" fillId="0" borderId="1" xfId="2" applyNumberFormat="1" applyFont="1" applyFill="1" applyBorder="1"/>
    <xf numFmtId="0" fontId="0" fillId="3" borderId="1" xfId="0" applyFill="1" applyBorder="1"/>
    <xf numFmtId="0" fontId="5" fillId="0" borderId="1" xfId="2" applyNumberFormat="1" applyFont="1" applyFill="1" applyBorder="1" applyAlignment="1">
      <alignment horizontal="right"/>
    </xf>
    <xf numFmtId="9" fontId="0" fillId="0" borderId="1" xfId="3" applyFont="1" applyFill="1" applyBorder="1"/>
    <xf numFmtId="166" fontId="5" fillId="0" borderId="1" xfId="2" applyNumberFormat="1" applyFont="1" applyFill="1" applyBorder="1"/>
    <xf numFmtId="44" fontId="4" fillId="2" borderId="0" xfId="0" applyNumberFormat="1" applyFont="1" applyFill="1" applyBorder="1" applyAlignment="1">
      <alignment horizontal="center"/>
    </xf>
    <xf numFmtId="44" fontId="4" fillId="2" borderId="0" xfId="0" applyNumberFormat="1" applyFont="1" applyFill="1" applyBorder="1"/>
    <xf numFmtId="44" fontId="0" fillId="2" borderId="0" xfId="0" applyNumberFormat="1" applyFill="1" applyBorder="1"/>
    <xf numFmtId="0" fontId="13" fillId="2" borderId="0" xfId="0" applyFont="1" applyFill="1" applyBorder="1" applyAlignment="1">
      <alignment horizontal="left"/>
    </xf>
    <xf numFmtId="177" fontId="2" fillId="2" borderId="0" xfId="2" applyNumberFormat="1" applyFont="1" applyFill="1" applyBorder="1"/>
    <xf numFmtId="43" fontId="0" fillId="2" borderId="0" xfId="0" applyNumberFormat="1" applyFill="1" applyBorder="1"/>
    <xf numFmtId="177" fontId="0" fillId="2" borderId="0" xfId="0" applyNumberFormat="1" applyFill="1" applyBorder="1"/>
    <xf numFmtId="17" fontId="13" fillId="2" borderId="0" xfId="0" applyNumberFormat="1" applyFont="1" applyFill="1" applyBorder="1" applyAlignment="1">
      <alignment horizontal="left"/>
    </xf>
    <xf numFmtId="176" fontId="2" fillId="2" borderId="0" xfId="2" quotePrefix="1" applyNumberFormat="1" applyFont="1" applyFill="1" applyBorder="1"/>
    <xf numFmtId="178" fontId="2" fillId="2" borderId="0" xfId="1" quotePrefix="1" applyNumberFormat="1" applyFont="1" applyFill="1" applyBorder="1"/>
    <xf numFmtId="178" fontId="4" fillId="2" borderId="0" xfId="1" quotePrefix="1" applyNumberFormat="1" applyFont="1" applyFill="1" applyBorder="1"/>
    <xf numFmtId="43" fontId="2" fillId="2" borderId="0" xfId="1" quotePrefix="1" applyFont="1" applyFill="1" applyBorder="1"/>
    <xf numFmtId="43" fontId="4" fillId="2" borderId="0" xfId="1" quotePrefix="1" applyNumberFormat="1" applyFont="1" applyFill="1" applyBorder="1"/>
    <xf numFmtId="43" fontId="2" fillId="2" borderId="0" xfId="1" quotePrefix="1" applyNumberFormat="1" applyFont="1" applyFill="1" applyBorder="1"/>
    <xf numFmtId="43" fontId="2" fillId="2" borderId="0" xfId="1" applyNumberFormat="1" applyFont="1" applyFill="1" applyBorder="1" applyAlignment="1">
      <alignment horizontal="right"/>
    </xf>
    <xf numFmtId="178" fontId="0" fillId="2" borderId="0" xfId="0" applyNumberFormat="1" applyFill="1" applyBorder="1"/>
    <xf numFmtId="178" fontId="4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179" fontId="4" fillId="2" borderId="0" xfId="2" quotePrefix="1" applyNumberFormat="1" applyFont="1" applyFill="1" applyBorder="1"/>
    <xf numFmtId="0" fontId="4" fillId="2" borderId="0" xfId="0" applyFont="1" applyFill="1" applyBorder="1" applyAlignment="1">
      <alignment horizontal="center" wrapText="1"/>
    </xf>
    <xf numFmtId="177" fontId="2" fillId="2" borderId="0" xfId="2" quotePrefix="1" applyNumberFormat="1" applyFont="1" applyFill="1" applyBorder="1"/>
    <xf numFmtId="165" fontId="0" fillId="2" borderId="0" xfId="1" applyNumberFormat="1" applyFont="1" applyFill="1" applyBorder="1"/>
    <xf numFmtId="44" fontId="2" fillId="2" borderId="0" xfId="0" applyNumberFormat="1" applyFont="1" applyFill="1" applyBorder="1"/>
    <xf numFmtId="176" fontId="2" fillId="2" borderId="0" xfId="2" applyNumberFormat="1" applyFont="1" applyFill="1" applyBorder="1"/>
    <xf numFmtId="9" fontId="0" fillId="2" borderId="0" xfId="3" applyFont="1" applyFill="1" applyBorder="1"/>
    <xf numFmtId="176" fontId="0" fillId="2" borderId="0" xfId="3" applyNumberFormat="1" applyFont="1" applyFill="1" applyBorder="1"/>
    <xf numFmtId="0" fontId="8" fillId="2" borderId="0" xfId="0" applyFont="1" applyFill="1" applyBorder="1" applyAlignment="1">
      <alignment horizontal="right"/>
    </xf>
    <xf numFmtId="180" fontId="4" fillId="2" borderId="0" xfId="1" applyNumberFormat="1" applyFont="1" applyFill="1" applyBorder="1"/>
    <xf numFmtId="43" fontId="8" fillId="2" borderId="0" xfId="1" applyFont="1" applyFill="1" applyBorder="1"/>
    <xf numFmtId="180" fontId="2" fillId="2" borderId="0" xfId="1" quotePrefix="1" applyNumberFormat="1" applyFont="1" applyFill="1" applyBorder="1"/>
    <xf numFmtId="176" fontId="0" fillId="2" borderId="0" xfId="2" quotePrefix="1" applyNumberFormat="1" applyFont="1" applyFill="1" applyBorder="1"/>
    <xf numFmtId="3" fontId="13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172" fontId="0" fillId="2" borderId="0" xfId="0" applyNumberFormat="1" applyFill="1" applyBorder="1" applyAlignment="1">
      <alignment horizontal="right"/>
    </xf>
    <xf numFmtId="0" fontId="14" fillId="2" borderId="0" xfId="0" applyFont="1" applyFill="1" applyBorder="1"/>
    <xf numFmtId="181" fontId="5" fillId="2" borderId="0" xfId="0" applyNumberFormat="1" applyFont="1" applyFill="1" applyBorder="1"/>
    <xf numFmtId="6" fontId="5" fillId="2" borderId="0" xfId="0" applyNumberFormat="1" applyFont="1" applyFill="1" applyBorder="1"/>
    <xf numFmtId="6" fontId="0" fillId="2" borderId="0" xfId="0" applyNumberFormat="1" applyFill="1" applyBorder="1"/>
    <xf numFmtId="8" fontId="0" fillId="2" borderId="0" xfId="0" applyNumberFormat="1" applyFill="1" applyBorder="1"/>
    <xf numFmtId="181" fontId="0" fillId="2" borderId="0" xfId="0" applyNumberFormat="1" applyFill="1" applyBorder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2" fillId="0" borderId="0" xfId="0" quotePrefix="1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8" fillId="0" borderId="0" xfId="0" quotePrefix="1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0" fillId="0" borderId="0" xfId="0" applyNumberFormat="1" applyFill="1"/>
    <xf numFmtId="10" fontId="5" fillId="0" borderId="0" xfId="3" applyNumberFormat="1" applyFont="1" applyFill="1"/>
    <xf numFmtId="164" fontId="5" fillId="0" borderId="0" xfId="3" quotePrefix="1" applyNumberFormat="1" applyFont="1" applyFill="1"/>
    <xf numFmtId="9" fontId="5" fillId="0" borderId="0" xfId="3" quotePrefix="1" applyFont="1" applyFill="1"/>
    <xf numFmtId="9" fontId="2" fillId="0" borderId="0" xfId="3" quotePrefix="1" applyFont="1" applyFill="1"/>
    <xf numFmtId="9" fontId="8" fillId="0" borderId="0" xfId="3" applyFont="1" applyFill="1"/>
    <xf numFmtId="9" fontId="5" fillId="0" borderId="0" xfId="3" applyNumberFormat="1" applyFont="1" applyFill="1"/>
    <xf numFmtId="9" fontId="5" fillId="0" borderId="0" xfId="3" quotePrefix="1" applyFont="1" applyFill="1" applyAlignment="1">
      <alignment horizontal="center"/>
    </xf>
    <xf numFmtId="1" fontId="5" fillId="0" borderId="0" xfId="3" quotePrefix="1" applyNumberFormat="1" applyFont="1" applyFill="1"/>
    <xf numFmtId="17" fontId="4" fillId="0" borderId="0" xfId="0" applyNumberFormat="1" applyFont="1" applyFill="1"/>
    <xf numFmtId="17" fontId="8" fillId="0" borderId="0" xfId="0" applyNumberFormat="1" applyFont="1" applyFill="1"/>
    <xf numFmtId="0" fontId="10" fillId="0" borderId="0" xfId="4" applyFill="1" applyAlignment="1" applyProtection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/>
    <xf numFmtId="38" fontId="5" fillId="0" borderId="0" xfId="0" applyNumberFormat="1" applyFont="1" applyFill="1" applyAlignment="1">
      <alignment horizontal="right"/>
    </xf>
    <xf numFmtId="165" fontId="2" fillId="0" borderId="0" xfId="1" applyNumberFormat="1" applyFon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/>
    <xf numFmtId="3" fontId="0" fillId="0" borderId="0" xfId="0" applyNumberFormat="1" applyFill="1"/>
    <xf numFmtId="9" fontId="0" fillId="0" borderId="0" xfId="3" applyFont="1" applyFill="1" applyAlignment="1"/>
    <xf numFmtId="165" fontId="5" fillId="0" borderId="0" xfId="1" applyNumberFormat="1" applyFont="1" applyFill="1" applyAlignment="1">
      <alignment horizontal="center"/>
    </xf>
    <xf numFmtId="164" fontId="5" fillId="0" borderId="0" xfId="3" applyNumberFormat="1" applyFont="1" applyFill="1"/>
    <xf numFmtId="164" fontId="5" fillId="0" borderId="0" xfId="0" applyNumberFormat="1" applyFont="1" applyFill="1"/>
    <xf numFmtId="164" fontId="2" fillId="0" borderId="0" xfId="0" applyNumberFormat="1" applyFont="1" applyFill="1"/>
    <xf numFmtId="3" fontId="5" fillId="0" borderId="0" xfId="0" applyNumberFormat="1" applyFont="1" applyFill="1"/>
    <xf numFmtId="0" fontId="2" fillId="0" borderId="0" xfId="0" quotePrefix="1" applyFont="1" applyFill="1"/>
    <xf numFmtId="9" fontId="0" fillId="0" borderId="0" xfId="0" applyNumberFormat="1" applyFill="1"/>
    <xf numFmtId="17" fontId="0" fillId="0" borderId="0" xfId="0" applyNumberFormat="1" applyFill="1" applyAlignment="1">
      <alignment horizontal="center"/>
    </xf>
    <xf numFmtId="9" fontId="0" fillId="0" borderId="0" xfId="3" applyFont="1" applyFill="1"/>
    <xf numFmtId="10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40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7" fontId="2" fillId="0" borderId="0" xfId="0" applyNumberFormat="1" applyFont="1" applyFill="1"/>
    <xf numFmtId="0" fontId="17" fillId="0" borderId="0" xfId="0" applyFont="1" applyFill="1"/>
    <xf numFmtId="166" fontId="2" fillId="0" borderId="0" xfId="0" applyNumberFormat="1" applyFont="1" applyFill="1"/>
    <xf numFmtId="9" fontId="2" fillId="0" borderId="0" xfId="3" applyNumberFormat="1" applyFont="1" applyFill="1"/>
    <xf numFmtId="0" fontId="8" fillId="0" borderId="0" xfId="0" applyFont="1" applyFill="1" applyAlignment="1"/>
    <xf numFmtId="166" fontId="5" fillId="0" borderId="4" xfId="0" applyNumberFormat="1" applyFont="1" applyFill="1" applyBorder="1"/>
    <xf numFmtId="9" fontId="5" fillId="0" borderId="4" xfId="3" applyNumberFormat="1" applyFont="1" applyFill="1" applyBorder="1"/>
    <xf numFmtId="166" fontId="0" fillId="0" borderId="5" xfId="0" applyNumberFormat="1" applyFill="1" applyBorder="1"/>
    <xf numFmtId="9" fontId="0" fillId="0" borderId="5" xfId="3" applyNumberFormat="1" applyFont="1" applyFill="1" applyBorder="1"/>
    <xf numFmtId="166" fontId="0" fillId="0" borderId="6" xfId="0" applyNumberFormat="1" applyFill="1" applyBorder="1"/>
    <xf numFmtId="9" fontId="0" fillId="0" borderId="6" xfId="3" applyNumberFormat="1" applyFont="1" applyFill="1" applyBorder="1"/>
    <xf numFmtId="166" fontId="0" fillId="0" borderId="0" xfId="0" applyNumberFormat="1" applyFill="1"/>
    <xf numFmtId="4" fontId="5" fillId="0" borderId="0" xfId="0" applyNumberFormat="1" applyFont="1" applyFill="1"/>
    <xf numFmtId="9" fontId="5" fillId="0" borderId="0" xfId="3" applyFont="1" applyFill="1"/>
    <xf numFmtId="168" fontId="5" fillId="0" borderId="0" xfId="0" applyNumberFormat="1" applyFont="1" applyFill="1"/>
    <xf numFmtId="0" fontId="0" fillId="0" borderId="7" xfId="0" applyFill="1" applyBorder="1"/>
    <xf numFmtId="10" fontId="0" fillId="0" borderId="0" xfId="0" applyNumberFormat="1" applyFill="1" applyAlignment="1">
      <alignment horizontal="center"/>
    </xf>
    <xf numFmtId="168" fontId="5" fillId="0" borderId="8" xfId="3" applyNumberFormat="1" applyFont="1" applyFill="1" applyBorder="1"/>
    <xf numFmtId="168" fontId="2" fillId="0" borderId="0" xfId="0" applyNumberFormat="1" applyFont="1" applyFill="1"/>
    <xf numFmtId="0" fontId="0" fillId="0" borderId="0" xfId="0" quotePrefix="1" applyFill="1"/>
    <xf numFmtId="170" fontId="0" fillId="0" borderId="0" xfId="0" applyNumberFormat="1" applyFill="1"/>
    <xf numFmtId="169" fontId="0" fillId="0" borderId="0" xfId="0" applyNumberFormat="1" applyFill="1"/>
    <xf numFmtId="171" fontId="2" fillId="0" borderId="0" xfId="3" applyNumberFormat="1" applyFont="1" applyFill="1"/>
    <xf numFmtId="169" fontId="0" fillId="0" borderId="0" xfId="0" quotePrefix="1" applyNumberFormat="1" applyFill="1"/>
    <xf numFmtId="44" fontId="2" fillId="0" borderId="0" xfId="2" quotePrefix="1" applyFont="1" applyFill="1"/>
    <xf numFmtId="17" fontId="0" fillId="0" borderId="0" xfId="0" applyNumberFormat="1" applyFill="1" applyAlignment="1">
      <alignment horizontal="right"/>
    </xf>
    <xf numFmtId="44" fontId="0" fillId="0" borderId="0" xfId="2" applyFont="1" applyFill="1"/>
    <xf numFmtId="44" fontId="2" fillId="0" borderId="0" xfId="2" applyFont="1" applyFill="1"/>
    <xf numFmtId="44" fontId="2" fillId="0" borderId="0" xfId="2" quotePrefix="1" applyNumberFormat="1" applyFont="1" applyFill="1"/>
    <xf numFmtId="176" fontId="0" fillId="0" borderId="0" xfId="0" applyNumberFormat="1" applyFill="1"/>
    <xf numFmtId="176" fontId="2" fillId="0" borderId="0" xfId="2" quotePrefix="1" applyNumberFormat="1" applyFont="1" applyFill="1"/>
    <xf numFmtId="176" fontId="2" fillId="0" borderId="0" xfId="2" applyNumberFormat="1" applyFont="1" applyFill="1"/>
    <xf numFmtId="39" fontId="0" fillId="0" borderId="0" xfId="0" applyNumberFormat="1" applyFill="1"/>
    <xf numFmtId="164" fontId="4" fillId="0" borderId="0" xfId="0" applyNumberFormat="1" applyFont="1" applyFill="1" applyAlignment="1">
      <alignment horizontal="center"/>
    </xf>
    <xf numFmtId="176" fontId="0" fillId="0" borderId="0" xfId="2" applyNumberFormat="1" applyFont="1" applyFill="1"/>
    <xf numFmtId="176" fontId="18" fillId="0" borderId="0" xfId="2" applyNumberFormat="1" applyFont="1" applyFill="1"/>
    <xf numFmtId="0" fontId="2" fillId="0" borderId="0" xfId="0" applyFont="1" applyFill="1" applyAlignment="1">
      <alignment horizontal="right"/>
    </xf>
    <xf numFmtId="172" fontId="5" fillId="0" borderId="0" xfId="0" applyNumberFormat="1" applyFont="1" applyFill="1"/>
    <xf numFmtId="172" fontId="4" fillId="0" borderId="0" xfId="0" applyNumberFormat="1" applyFont="1" applyFill="1"/>
    <xf numFmtId="172" fontId="2" fillId="0" borderId="0" xfId="0" applyNumberFormat="1" applyFont="1" applyFill="1"/>
    <xf numFmtId="172" fontId="0" fillId="0" borderId="0" xfId="0" applyNumberFormat="1" applyFill="1"/>
    <xf numFmtId="0" fontId="5" fillId="0" borderId="0" xfId="0" applyFont="1" applyFill="1"/>
    <xf numFmtId="173" fontId="5" fillId="0" borderId="0" xfId="0" applyNumberFormat="1" applyFont="1" applyFill="1"/>
    <xf numFmtId="173" fontId="0" fillId="0" borderId="0" xfId="0" applyNumberFormat="1" applyFill="1"/>
    <xf numFmtId="1" fontId="2" fillId="0" borderId="0" xfId="0" applyNumberFormat="1" applyFont="1" applyFill="1"/>
    <xf numFmtId="174" fontId="5" fillId="0" borderId="0" xfId="0" applyNumberFormat="1" applyFont="1" applyFill="1"/>
    <xf numFmtId="173" fontId="0" fillId="0" borderId="7" xfId="0" applyNumberFormat="1" applyFill="1" applyBorder="1"/>
    <xf numFmtId="3" fontId="2" fillId="0" borderId="0" xfId="0" applyNumberFormat="1" applyFont="1" applyFill="1" applyAlignment="1">
      <alignment horizontal="right"/>
    </xf>
    <xf numFmtId="0" fontId="0" fillId="0" borderId="0" xfId="0" quotePrefix="1" applyFill="1" applyAlignment="1">
      <alignment horizontal="right"/>
    </xf>
    <xf numFmtId="3" fontId="2" fillId="0" borderId="0" xfId="0" applyNumberFormat="1" applyFont="1" applyFill="1"/>
    <xf numFmtId="44" fontId="5" fillId="0" borderId="0" xfId="2" applyFont="1" applyFill="1"/>
    <xf numFmtId="172" fontId="2" fillId="0" borderId="0" xfId="0" applyNumberFormat="1" applyFont="1" applyFill="1" applyAlignment="1">
      <alignment horizontal="right"/>
    </xf>
    <xf numFmtId="173" fontId="2" fillId="0" borderId="0" xfId="2" applyNumberFormat="1" applyFont="1" applyFill="1"/>
    <xf numFmtId="0" fontId="2" fillId="0" borderId="0" xfId="0" quotePrefix="1" applyFont="1" applyFill="1" applyAlignment="1">
      <alignment horizontal="center"/>
    </xf>
    <xf numFmtId="172" fontId="2" fillId="0" borderId="0" xfId="0" quotePrefix="1" applyNumberFormat="1" applyFont="1" applyFill="1" applyAlignment="1">
      <alignment horizontal="center"/>
    </xf>
    <xf numFmtId="173" fontId="2" fillId="0" borderId="0" xfId="2" applyNumberFormat="1" applyFont="1" applyFill="1" applyAlignment="1">
      <alignment horizontal="center" wrapText="1"/>
    </xf>
    <xf numFmtId="44" fontId="5" fillId="0" borderId="0" xfId="2" applyNumberFormat="1" applyFont="1" applyFill="1"/>
    <xf numFmtId="44" fontId="2" fillId="0" borderId="0" xfId="0" applyNumberFormat="1" applyFont="1" applyFill="1"/>
    <xf numFmtId="182" fontId="0" fillId="0" borderId="0" xfId="0" applyNumberFormat="1" applyFill="1"/>
    <xf numFmtId="44" fontId="0" fillId="0" borderId="0" xfId="0" applyNumberFormat="1" applyFill="1"/>
    <xf numFmtId="44" fontId="0" fillId="0" borderId="0" xfId="2" quotePrefix="1" applyFont="1" applyFill="1"/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0" fillId="0" borderId="0" xfId="0" applyNumberFormat="1" applyFill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2" applyNumberFormat="1" applyFont="1" applyFill="1"/>
    <xf numFmtId="176" fontId="5" fillId="0" borderId="0" xfId="2" applyNumberFormat="1" applyFont="1" applyFill="1"/>
    <xf numFmtId="44" fontId="0" fillId="0" borderId="0" xfId="2" quotePrefix="1" applyFont="1" applyFill="1" applyAlignment="1">
      <alignment horizontal="right"/>
    </xf>
    <xf numFmtId="44" fontId="0" fillId="0" borderId="0" xfId="2" applyFont="1" applyFill="1" applyAlignment="1">
      <alignment horizontal="center"/>
    </xf>
    <xf numFmtId="10" fontId="0" fillId="0" borderId="0" xfId="3" applyNumberFormat="1" applyFont="1" applyFill="1"/>
    <xf numFmtId="0" fontId="13" fillId="0" borderId="0" xfId="0" applyFont="1" applyFill="1" applyAlignment="1">
      <alignment horizontal="left"/>
    </xf>
    <xf numFmtId="177" fontId="2" fillId="0" borderId="0" xfId="2" applyNumberFormat="1" applyFont="1" applyFill="1"/>
    <xf numFmtId="43" fontId="0" fillId="0" borderId="0" xfId="0" applyNumberFormat="1" applyFill="1"/>
    <xf numFmtId="177" fontId="0" fillId="0" borderId="0" xfId="0" applyNumberFormat="1" applyFill="1"/>
    <xf numFmtId="17" fontId="13" fillId="0" borderId="0" xfId="0" applyNumberFormat="1" applyFont="1" applyFill="1" applyAlignment="1">
      <alignment horizontal="left"/>
    </xf>
    <xf numFmtId="178" fontId="2" fillId="0" borderId="0" xfId="1" quotePrefix="1" applyNumberFormat="1" applyFont="1" applyFill="1" applyBorder="1"/>
    <xf numFmtId="178" fontId="4" fillId="0" borderId="0" xfId="1" quotePrefix="1" applyNumberFormat="1" applyFont="1" applyFill="1" applyBorder="1"/>
    <xf numFmtId="43" fontId="2" fillId="0" borderId="0" xfId="1" quotePrefix="1" applyFont="1" applyFill="1"/>
    <xf numFmtId="43" fontId="4" fillId="0" borderId="0" xfId="1" quotePrefix="1" applyNumberFormat="1" applyFont="1" applyFill="1" applyBorder="1"/>
    <xf numFmtId="43" fontId="2" fillId="0" borderId="0" xfId="1" quotePrefix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178" fontId="0" fillId="0" borderId="0" xfId="0" applyNumberFormat="1" applyFill="1"/>
    <xf numFmtId="178" fontId="4" fillId="0" borderId="0" xfId="0" applyNumberFormat="1" applyFont="1" applyFill="1"/>
    <xf numFmtId="0" fontId="4" fillId="0" borderId="0" xfId="0" applyFont="1" applyFill="1" applyAlignment="1">
      <alignment horizontal="right"/>
    </xf>
    <xf numFmtId="179" fontId="4" fillId="0" borderId="0" xfId="2" quotePrefix="1" applyNumberFormat="1" applyFont="1" applyFill="1" applyBorder="1"/>
    <xf numFmtId="43" fontId="2" fillId="0" borderId="0" xfId="1" quotePrefix="1" applyNumberFormat="1" applyFont="1" applyFill="1"/>
    <xf numFmtId="178" fontId="2" fillId="0" borderId="0" xfId="1" quotePrefix="1" applyNumberFormat="1" applyFont="1" applyFill="1"/>
    <xf numFmtId="0" fontId="4" fillId="0" borderId="0" xfId="0" applyFont="1" applyFill="1" applyAlignment="1">
      <alignment horizontal="center" wrapText="1"/>
    </xf>
    <xf numFmtId="177" fontId="2" fillId="0" borderId="0" xfId="2" quotePrefix="1" applyNumberFormat="1" applyFont="1" applyFill="1"/>
    <xf numFmtId="165" fontId="0" fillId="0" borderId="0" xfId="1" applyNumberFormat="1" applyFont="1" applyFill="1"/>
    <xf numFmtId="176" fontId="0" fillId="0" borderId="0" xfId="3" applyNumberFormat="1" applyFont="1" applyFill="1"/>
    <xf numFmtId="0" fontId="8" fillId="0" borderId="0" xfId="0" applyFont="1" applyFill="1" applyAlignment="1">
      <alignment horizontal="right"/>
    </xf>
    <xf numFmtId="180" fontId="4" fillId="0" borderId="0" xfId="1" applyNumberFormat="1" applyFont="1" applyFill="1"/>
    <xf numFmtId="43" fontId="8" fillId="0" borderId="0" xfId="1" applyFont="1" applyFill="1"/>
    <xf numFmtId="180" fontId="2" fillId="0" borderId="0" xfId="1" quotePrefix="1" applyNumberFormat="1" applyFont="1" applyFill="1"/>
    <xf numFmtId="176" fontId="0" fillId="0" borderId="0" xfId="2" quotePrefix="1" applyNumberFormat="1" applyFont="1" applyFill="1"/>
    <xf numFmtId="3" fontId="13" fillId="0" borderId="0" xfId="0" applyNumberFormat="1" applyFont="1" applyFill="1"/>
    <xf numFmtId="0" fontId="19" fillId="0" borderId="0" xfId="0" applyFont="1" applyFill="1"/>
    <xf numFmtId="44" fontId="21" fillId="0" borderId="0" xfId="2" applyFont="1" applyFill="1"/>
    <xf numFmtId="176" fontId="21" fillId="0" borderId="0" xfId="2" applyNumberFormat="1" applyFont="1" applyFill="1"/>
    <xf numFmtId="0" fontId="21" fillId="0" borderId="0" xfId="0" applyFont="1" applyFill="1"/>
    <xf numFmtId="0" fontId="21" fillId="0" borderId="0" xfId="0" quotePrefix="1" applyFont="1" applyFill="1"/>
    <xf numFmtId="176" fontId="22" fillId="0" borderId="0" xfId="2" applyNumberFormat="1" applyFont="1" applyFill="1"/>
    <xf numFmtId="179" fontId="0" fillId="0" borderId="0" xfId="2" applyNumberFormat="1" applyFont="1" applyFill="1"/>
    <xf numFmtId="179" fontId="2" fillId="0" borderId="0" xfId="2" applyNumberFormat="1" applyFont="1" applyFill="1"/>
    <xf numFmtId="179" fontId="4" fillId="0" borderId="0" xfId="2" quotePrefix="1" applyNumberFormat="1" applyFont="1" applyFill="1"/>
    <xf numFmtId="0" fontId="4" fillId="0" borderId="0" xfId="0" applyFont="1" applyFill="1" applyAlignment="1">
      <alignment horizontal="left"/>
    </xf>
    <xf numFmtId="176" fontId="18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177" fontId="4" fillId="0" borderId="0" xfId="2" quotePrefix="1" applyNumberFormat="1" applyFont="1" applyFill="1"/>
    <xf numFmtId="176" fontId="18" fillId="0" borderId="0" xfId="2" quotePrefix="1" applyNumberFormat="1" applyFont="1" applyFill="1"/>
    <xf numFmtId="176" fontId="4" fillId="0" borderId="0" xfId="0" applyNumberFormat="1" applyFont="1" applyFill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8" fillId="0" borderId="0" xfId="0" applyFont="1" applyFill="1" applyBorder="1"/>
    <xf numFmtId="0" fontId="13" fillId="0" borderId="12" xfId="0" applyFont="1" applyFill="1" applyBorder="1" applyAlignment="1">
      <alignment horizontal="center"/>
    </xf>
    <xf numFmtId="168" fontId="0" fillId="0" borderId="0" xfId="3" applyNumberFormat="1" applyFont="1" applyFill="1"/>
    <xf numFmtId="169" fontId="0" fillId="0" borderId="12" xfId="0" applyNumberFormat="1" applyFill="1" applyBorder="1"/>
    <xf numFmtId="0" fontId="0" fillId="0" borderId="14" xfId="0" applyFill="1" applyBorder="1"/>
    <xf numFmtId="0" fontId="0" fillId="0" borderId="15" xfId="0" applyFill="1" applyBorder="1"/>
    <xf numFmtId="183" fontId="4" fillId="0" borderId="0" xfId="2" quotePrefix="1" applyNumberFormat="1" applyFont="1" applyFill="1"/>
    <xf numFmtId="168" fontId="13" fillId="0" borderId="0" xfId="3" applyNumberFormat="1" applyFont="1" applyFill="1"/>
    <xf numFmtId="0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4" fontId="5" fillId="0" borderId="0" xfId="2" applyFont="1" applyFill="1" applyBorder="1"/>
    <xf numFmtId="0" fontId="5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right"/>
    </xf>
    <xf numFmtId="166" fontId="5" fillId="0" borderId="0" xfId="2" applyNumberFormat="1" applyFont="1" applyFill="1" applyBorder="1"/>
    <xf numFmtId="44" fontId="0" fillId="0" borderId="0" xfId="2" quotePrefix="1" applyFont="1" applyFill="1" applyBorder="1"/>
    <xf numFmtId="44" fontId="0" fillId="0" borderId="0" xfId="2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Alignment="1">
      <alignment horizontal="center" wrapText="1"/>
    </xf>
  </cellXfs>
  <cellStyles count="15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33"/>
    <cellStyle name="Comma 3" xfId="34"/>
    <cellStyle name="Comma 3 2" xfId="35"/>
    <cellStyle name="Comma 4" xfId="36"/>
    <cellStyle name="Comma 4 2" xfId="37"/>
    <cellStyle name="Comma 5" xfId="38"/>
    <cellStyle name="Comma 5 2" xfId="39"/>
    <cellStyle name="Comma 5 3" xfId="40"/>
    <cellStyle name="Comma 6" xfId="41"/>
    <cellStyle name="Comma0" xfId="42"/>
    <cellStyle name="Currency" xfId="2" builtinId="4"/>
    <cellStyle name="Currency 2" xfId="43"/>
    <cellStyle name="Currency 2 2" xfId="44"/>
    <cellStyle name="Currency 2 2 2" xfId="45"/>
    <cellStyle name="Currency 2 3" xfId="46"/>
    <cellStyle name="Currency 3" xfId="47"/>
    <cellStyle name="Currency 3 2" xfId="48"/>
    <cellStyle name="Currency 4" xfId="49"/>
    <cellStyle name="Currency 4 2" xfId="50"/>
    <cellStyle name="Currency 5" xfId="51"/>
    <cellStyle name="Currency 5 2" xfId="52"/>
    <cellStyle name="Currency 5 3" xfId="53"/>
    <cellStyle name="Currency0" xfId="54"/>
    <cellStyle name="Date" xfId="55"/>
    <cellStyle name="Explanatory Text 2" xfId="56"/>
    <cellStyle name="Fixed" xfId="57"/>
    <cellStyle name="Good 2" xfId="58"/>
    <cellStyle name="Heading 1 2" xfId="59"/>
    <cellStyle name="Heading 1 3" xfId="60"/>
    <cellStyle name="Heading 2 2" xfId="61"/>
    <cellStyle name="Heading 2 3" xfId="62"/>
    <cellStyle name="Heading 3 2" xfId="63"/>
    <cellStyle name="Heading 4 2" xfId="64"/>
    <cellStyle name="Hyperlink" xfId="4" builtinId="8"/>
    <cellStyle name="Hyperlink 2" xfId="65"/>
    <cellStyle name="Input 2" xfId="66"/>
    <cellStyle name="Linked Cell 2" xfId="67"/>
    <cellStyle name="Neutral 2" xfId="68"/>
    <cellStyle name="Normal" xfId="0" builtinId="0"/>
    <cellStyle name="Normal 2" xfId="69"/>
    <cellStyle name="Normal 2 2" xfId="70"/>
    <cellStyle name="Normal 2 2 2" xfId="71"/>
    <cellStyle name="Normal 2 2 2 2" xfId="72"/>
    <cellStyle name="Normal 2 2 3" xfId="73"/>
    <cellStyle name="Normal 2 2 3 2" xfId="74"/>
    <cellStyle name="Normal 2 2 4" xfId="75"/>
    <cellStyle name="Normal 2 2 4 2" xfId="76"/>
    <cellStyle name="Normal 2 2 5" xfId="77"/>
    <cellStyle name="Normal 2 3" xfId="78"/>
    <cellStyle name="Normal 2 3 2" xfId="79"/>
    <cellStyle name="Normal 2 3 2 2" xfId="80"/>
    <cellStyle name="Normal 2 3 3" xfId="81"/>
    <cellStyle name="Normal 2 4" xfId="5"/>
    <cellStyle name="Normal 2 4 2" xfId="82"/>
    <cellStyle name="Normal 2 4 3" xfId="83"/>
    <cellStyle name="Normal 2 5" xfId="84"/>
    <cellStyle name="Normal 2 6" xfId="85"/>
    <cellStyle name="Normal 3" xfId="86"/>
    <cellStyle name="Normal 3 2" xfId="87"/>
    <cellStyle name="Normal 3 2 2" xfId="88"/>
    <cellStyle name="Normal 3 3" xfId="89"/>
    <cellStyle name="Normal 3 4" xfId="90"/>
    <cellStyle name="Normal 4" xfId="91"/>
    <cellStyle name="Normal 4 2" xfId="92"/>
    <cellStyle name="Normal 4 3" xfId="93"/>
    <cellStyle name="Normal 5" xfId="94"/>
    <cellStyle name="Note 2" xfId="95"/>
    <cellStyle name="Note 2 2" xfId="96"/>
    <cellStyle name="Output 2" xfId="97"/>
    <cellStyle name="Percent" xfId="3" builtinId="5"/>
    <cellStyle name="Percent 2" xfId="98"/>
    <cellStyle name="Percent 2 2" xfId="99"/>
    <cellStyle name="Percent 2 2 2" xfId="100"/>
    <cellStyle name="Percent 2 3" xfId="101"/>
    <cellStyle name="Percent 3" xfId="102"/>
    <cellStyle name="Percent 3 2" xfId="103"/>
    <cellStyle name="Percent 3 2 2" xfId="104"/>
    <cellStyle name="Percent 4" xfId="105"/>
    <cellStyle name="Percent 4 2" xfId="106"/>
    <cellStyle name="Percent 5" xfId="107"/>
    <cellStyle name="Percent 5 2" xfId="108"/>
    <cellStyle name="Percent 5 3" xfId="109"/>
    <cellStyle name="Percent 6" xfId="110"/>
    <cellStyle name="Percent 7" xfId="111"/>
    <cellStyle name="SAPBEXaggData" xfId="112"/>
    <cellStyle name="SAPBEXaggDataEmph" xfId="113"/>
    <cellStyle name="SAPBEXaggItem" xfId="114"/>
    <cellStyle name="SAPBEXaggItemX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X" xfId="135"/>
    <cellStyle name="SAPBEXHLevel2" xfId="136"/>
    <cellStyle name="SAPBEXHLevel2X" xfId="137"/>
    <cellStyle name="SAPBEXHLevel3" xfId="138"/>
    <cellStyle name="SAPBEXHLevel3X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X" xfId="147"/>
    <cellStyle name="SAPBEXtitle" xfId="148"/>
    <cellStyle name="SAPBEXundefined" xfId="149"/>
    <cellStyle name="Title 2" xfId="150"/>
    <cellStyle name="Total 2" xfId="151"/>
    <cellStyle name="Total 3" xfId="152"/>
    <cellStyle name="Warning Text 2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2015%20BGS-RSCP%20for%202016-2017/2015-11%20Compliance%20Filing/2014%20BGS-FP%20for%202015-2016/BGS-FP%20Bid%20Factors%20for%202015-16FINAL(02-13-15).xlsx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3%20-%20kWh%20forecast/Net%20Sales%20Forecast%20used%20in%2015-16%20BGS.xls" TargetMode="External"/><Relationship Id="rId7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10%20-%20Gen%20and%20Trans%20Obs/CAP%20AND%20TRAN%20LOADS%20FOR%202015%20For%20Myron%20-%20Copy.xl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1&amp;2%20-%20OnPeak%25/Table%202%20-%20001.2014%20-%20012.2014%20KWH%20(RLM,%20LPLS-H-O).xls" TargetMode="External"/><Relationship Id="rId1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1&amp;2%20-%20OnPeak%25/Table%201%20-%20Time%20period%20usage%20for%202016-17%20Spreadsheet.xls" TargetMode="External"/><Relationship Id="rId6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4&amp;5&amp;6%20-%20NERA%20Inputs/2016%20Inputs%20to%20FP%20Pricing_3%20JUN%202015_DRAFT.xlsx" TargetMode="External"/><Relationship Id="rId11" Type="http://schemas.openxmlformats.org/officeDocument/2006/relationships/hyperlink" Target="../../2015%20BGS-RSCP%20for%202016-2017/2015-11%20Compliance%20Filing/2014%20BGS-FP%20for%202015-2016/BGS-FP%20Bid%20Factors%20for%202015-16FINAL(02-13-15).xlsx" TargetMode="External"/><Relationship Id="rId5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4&amp;5&amp;6%20-%20NERA%20Inputs/2016%20Inputs%20to%20FP%20Pricing_3%20JUN%202015_DRAFT.xlsx" TargetMode="External"/><Relationship Id="rId10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4&amp;5&amp;6%20-%20NERA%20Inputs/2016%20Inputs%20to%20FP%20Pricing_3%20JUN%202015_DRAFT.xlsx" TargetMode="External"/><Relationship Id="rId4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3%20-%20kWh%20forecast/LPLS%20Split%20Mar%202015.xls" TargetMode="External"/><Relationship Id="rId9" Type="http://schemas.openxmlformats.org/officeDocument/2006/relationships/hyperlink" Target="../../2015%20BGS-RSCP%20for%202016-2017/2015-11%20Compliance%20Filing/2015%20BGS-RSCP%20for%202016-2017/2015-07%20Initial%20Filing/BGS-FP%20Initial%20Filing%20Supporting%20Documents/Table4&amp;5&amp;6%20-%20NERA%20Inputs/2016%20Inputs%20to%20FP%20Pricing_3%20JUN%202015_DRAFT.xlsx" TargetMode="Externa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F394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ColWidth="9.140625" defaultRowHeight="12.75" outlineLevelRow="1" x14ac:dyDescent="0.2"/>
  <cols>
    <col min="1" max="1" width="17.42578125" style="4" customWidth="1"/>
    <col min="2" max="2" width="66.140625" style="1" customWidth="1"/>
    <col min="3" max="3" width="13.42578125" style="1" customWidth="1"/>
    <col min="4" max="4" width="11" style="1" customWidth="1"/>
    <col min="5" max="5" width="17.7109375" style="1" customWidth="1"/>
    <col min="6" max="6" width="12.7109375" style="1" customWidth="1"/>
    <col min="7" max="8" width="10.7109375" style="1" customWidth="1"/>
    <col min="9" max="9" width="11" style="1" customWidth="1"/>
    <col min="10" max="10" width="10.7109375" style="1" customWidth="1"/>
    <col min="11" max="11" width="12.28515625" style="1" customWidth="1"/>
    <col min="12" max="12" width="12.42578125" style="1" customWidth="1"/>
    <col min="13" max="13" width="16.5703125" style="1" customWidth="1"/>
    <col min="14" max="14" width="15.140625" style="1" bestFit="1" customWidth="1"/>
    <col min="15" max="15" width="10.42578125" style="1" customWidth="1"/>
    <col min="16" max="16" width="25.85546875" style="1" customWidth="1"/>
    <col min="17" max="17" width="11.140625" style="1" customWidth="1"/>
    <col min="18" max="18" width="10.85546875" style="1" bestFit="1" customWidth="1"/>
    <col min="19" max="19" width="9.140625" style="1"/>
    <col min="20" max="20" width="10.140625" style="1" bestFit="1" customWidth="1"/>
    <col min="21" max="21" width="14.42578125" style="1" customWidth="1"/>
    <col min="22" max="22" width="11" style="1" bestFit="1" customWidth="1"/>
    <col min="23" max="23" width="10.7109375" style="1" customWidth="1"/>
    <col min="24" max="24" width="11.7109375" style="1" customWidth="1"/>
    <col min="25" max="25" width="11.28515625" style="1" bestFit="1" customWidth="1"/>
    <col min="26" max="26" width="10.140625" style="1" customWidth="1"/>
    <col min="27" max="27" width="10.7109375" style="1" customWidth="1"/>
    <col min="28" max="28" width="12.85546875" style="1" bestFit="1" customWidth="1"/>
    <col min="29" max="29" width="9.140625" style="1"/>
    <col min="30" max="30" width="17.5703125" style="1" customWidth="1"/>
    <col min="31" max="31" width="9.140625" style="1"/>
    <col min="32" max="32" width="10.28515625" style="1" bestFit="1" customWidth="1"/>
    <col min="33" max="33" width="10.5703125" style="1" customWidth="1"/>
    <col min="34" max="16384" width="9.140625" style="1"/>
  </cols>
  <sheetData>
    <row r="1" spans="1:24" x14ac:dyDescent="0.2">
      <c r="A1" s="1"/>
    </row>
    <row r="2" spans="1:24" x14ac:dyDescent="0.2">
      <c r="A2" s="2"/>
      <c r="B2" s="346"/>
      <c r="D2" s="345"/>
    </row>
    <row r="3" spans="1:24" x14ac:dyDescent="0.2">
      <c r="C3" s="5"/>
      <c r="D3" s="5"/>
      <c r="E3" s="5"/>
      <c r="F3" s="5"/>
      <c r="G3" s="5"/>
      <c r="H3" s="5"/>
      <c r="I3" s="5"/>
      <c r="J3" s="5"/>
      <c r="K3" s="5"/>
      <c r="L3" s="5"/>
    </row>
    <row r="4" spans="1:24" x14ac:dyDescent="0.2">
      <c r="A4" s="1"/>
    </row>
    <row r="5" spans="1:24" x14ac:dyDescent="0.2">
      <c r="A5" s="6"/>
      <c r="B5" s="355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24" x14ac:dyDescent="0.2">
      <c r="C6" s="5"/>
      <c r="D6" s="5"/>
      <c r="E6" s="5"/>
      <c r="F6" s="5"/>
      <c r="G6" s="5"/>
      <c r="H6" s="5"/>
      <c r="I6" s="5"/>
      <c r="J6" s="5"/>
      <c r="K6" s="5"/>
      <c r="L6" s="5"/>
    </row>
    <row r="7" spans="1:24" ht="15.75" x14ac:dyDescent="0.25">
      <c r="B7" s="7" t="s">
        <v>349</v>
      </c>
      <c r="C7" s="8"/>
      <c r="D7" s="8"/>
      <c r="E7" s="8"/>
      <c r="F7" s="8"/>
      <c r="J7" s="7"/>
    </row>
    <row r="8" spans="1:24" x14ac:dyDescent="0.2">
      <c r="A8" s="9"/>
      <c r="B8" s="10" t="s">
        <v>1</v>
      </c>
      <c r="C8" s="8"/>
      <c r="D8" s="8"/>
      <c r="E8" s="8"/>
      <c r="F8" s="8"/>
    </row>
    <row r="9" spans="1:24" x14ac:dyDescent="0.2">
      <c r="B9" s="8"/>
      <c r="C9" s="8"/>
      <c r="D9" s="8"/>
      <c r="E9" s="11" t="s">
        <v>350</v>
      </c>
      <c r="F9" s="8"/>
    </row>
    <row r="10" spans="1:24" x14ac:dyDescent="0.2">
      <c r="A10" s="2" t="s">
        <v>2</v>
      </c>
      <c r="B10" s="12" t="s">
        <v>3</v>
      </c>
      <c r="C10" s="13"/>
      <c r="D10" s="8"/>
      <c r="E10" s="11" t="s">
        <v>4</v>
      </c>
      <c r="F10" s="8"/>
      <c r="N10" s="12"/>
      <c r="O10" s="12"/>
      <c r="P10" s="8"/>
      <c r="Q10" s="8"/>
      <c r="R10" s="8"/>
      <c r="S10" s="8"/>
      <c r="T10" s="8"/>
      <c r="U10" s="8"/>
      <c r="V10" s="8"/>
      <c r="W10" s="8"/>
      <c r="X10" s="8"/>
    </row>
    <row r="11" spans="1:24" ht="25.5" x14ac:dyDescent="0.2">
      <c r="A11" s="14"/>
      <c r="B11" s="15"/>
      <c r="C11" s="16" t="s">
        <v>5</v>
      </c>
      <c r="D11" s="16" t="s">
        <v>5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6</v>
      </c>
      <c r="J11" s="18"/>
      <c r="K11" s="16" t="s">
        <v>5</v>
      </c>
      <c r="L11" s="16" t="s">
        <v>5</v>
      </c>
      <c r="M11" s="19"/>
      <c r="N11" s="11"/>
      <c r="O11" s="19"/>
      <c r="P11" s="19"/>
      <c r="Q11" s="19"/>
      <c r="R11" s="19"/>
      <c r="S11" s="19"/>
      <c r="T11" s="19"/>
      <c r="U11" s="11"/>
      <c r="V11" s="20"/>
      <c r="W11" s="19"/>
      <c r="X11" s="19"/>
    </row>
    <row r="12" spans="1:24" x14ac:dyDescent="0.2">
      <c r="A12" s="14"/>
      <c r="B12" s="21" t="s">
        <v>7</v>
      </c>
      <c r="C12" s="22" t="s">
        <v>8</v>
      </c>
      <c r="D12" s="22" t="s">
        <v>9</v>
      </c>
      <c r="E12" s="22" t="s">
        <v>10</v>
      </c>
      <c r="F12" s="22" t="s">
        <v>11</v>
      </c>
      <c r="G12" s="22" t="s">
        <v>12</v>
      </c>
      <c r="H12" s="22" t="s">
        <v>13</v>
      </c>
      <c r="I12" s="22" t="s">
        <v>14</v>
      </c>
      <c r="J12" s="22" t="s">
        <v>15</v>
      </c>
      <c r="K12" s="22" t="s">
        <v>16</v>
      </c>
      <c r="L12" s="22" t="s">
        <v>17</v>
      </c>
      <c r="M12" s="23"/>
      <c r="N12" s="24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">
      <c r="A13" s="14"/>
      <c r="B13" s="3"/>
      <c r="C13" s="22"/>
      <c r="D13" s="22"/>
      <c r="E13" s="22"/>
      <c r="F13" s="22"/>
      <c r="G13" s="22"/>
      <c r="H13" s="22"/>
      <c r="I13" s="22"/>
      <c r="J13" s="22"/>
      <c r="K13" s="22"/>
      <c r="L13" s="22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">
      <c r="A14" s="14"/>
      <c r="B14" s="25" t="s">
        <v>18</v>
      </c>
      <c r="C14" s="26">
        <v>0.46229999999999999</v>
      </c>
      <c r="D14" s="26">
        <v>0.4597</v>
      </c>
      <c r="E14" s="26">
        <v>0.4743</v>
      </c>
      <c r="F14" s="26">
        <v>0.44769999999999999</v>
      </c>
      <c r="G14" s="26">
        <v>0.44769999999999999</v>
      </c>
      <c r="H14" s="26">
        <v>0.45929999999999999</v>
      </c>
      <c r="I14" s="26">
        <v>0.29530000000000001</v>
      </c>
      <c r="J14" s="26">
        <v>0.29530000000000001</v>
      </c>
      <c r="K14" s="26">
        <v>0.54869999999999997</v>
      </c>
      <c r="L14" s="26">
        <v>0.52500000000000002</v>
      </c>
      <c r="M14" s="27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x14ac:dyDescent="0.2">
      <c r="A15" s="14"/>
      <c r="B15" s="25" t="s">
        <v>19</v>
      </c>
      <c r="C15" s="26">
        <v>0.49830000000000002</v>
      </c>
      <c r="D15" s="26">
        <v>0.48470000000000002</v>
      </c>
      <c r="E15" s="26">
        <v>0.50829999999999997</v>
      </c>
      <c r="F15" s="26">
        <v>0.48099999999999998</v>
      </c>
      <c r="G15" s="26">
        <v>0.48099999999999998</v>
      </c>
      <c r="H15" s="26">
        <v>0.47870000000000001</v>
      </c>
      <c r="I15" s="26">
        <v>0.29730000000000001</v>
      </c>
      <c r="J15" s="26">
        <v>0.29730000000000001</v>
      </c>
      <c r="K15" s="26">
        <v>0.57469999999999999</v>
      </c>
      <c r="L15" s="26">
        <v>0.55469999999999997</v>
      </c>
      <c r="M15" s="27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x14ac:dyDescent="0.2">
      <c r="A16" s="14"/>
      <c r="B16" s="25" t="s">
        <v>20</v>
      </c>
      <c r="C16" s="26">
        <v>0.50029999999999997</v>
      </c>
      <c r="D16" s="26">
        <v>0.49299999999999999</v>
      </c>
      <c r="E16" s="26">
        <v>0.51400000000000001</v>
      </c>
      <c r="F16" s="26">
        <v>0.48670000000000002</v>
      </c>
      <c r="G16" s="26">
        <v>0.48670000000000002</v>
      </c>
      <c r="H16" s="26">
        <v>0.47570000000000001</v>
      </c>
      <c r="I16" s="26">
        <v>0.26300000000000001</v>
      </c>
      <c r="J16" s="26">
        <v>0.26300000000000001</v>
      </c>
      <c r="K16" s="26">
        <v>0.58599999999999997</v>
      </c>
      <c r="L16" s="26">
        <v>0.56599999999999995</v>
      </c>
      <c r="M16" s="27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x14ac:dyDescent="0.2">
      <c r="A17" s="14"/>
      <c r="B17" s="25" t="s">
        <v>21</v>
      </c>
      <c r="C17" s="26">
        <v>0.49</v>
      </c>
      <c r="D17" s="26">
        <v>0.497</v>
      </c>
      <c r="E17" s="26">
        <v>0.50270000000000004</v>
      </c>
      <c r="F17" s="26">
        <v>0.46800000000000003</v>
      </c>
      <c r="G17" s="26">
        <v>0.46800000000000003</v>
      </c>
      <c r="H17" s="26">
        <v>0.48499999999999999</v>
      </c>
      <c r="I17" s="26">
        <v>0.2223</v>
      </c>
      <c r="J17" s="26">
        <v>0.2223</v>
      </c>
      <c r="K17" s="26">
        <v>0.57730000000000004</v>
      </c>
      <c r="L17" s="26">
        <v>0.55769999999999997</v>
      </c>
      <c r="M17" s="27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x14ac:dyDescent="0.2">
      <c r="A18" s="14"/>
      <c r="B18" s="25" t="s">
        <v>22</v>
      </c>
      <c r="C18" s="26">
        <v>0.48330000000000001</v>
      </c>
      <c r="D18" s="26">
        <v>0.49399999999999999</v>
      </c>
      <c r="E18" s="26">
        <v>0.49830000000000002</v>
      </c>
      <c r="F18" s="26">
        <v>0.4597</v>
      </c>
      <c r="G18" s="26">
        <v>0.4597</v>
      </c>
      <c r="H18" s="26">
        <v>0.55469999999999997</v>
      </c>
      <c r="I18" s="26">
        <v>0.20569999999999999</v>
      </c>
      <c r="J18" s="26">
        <v>0.20569999999999999</v>
      </c>
      <c r="K18" s="26">
        <v>0.57499999999999996</v>
      </c>
      <c r="L18" s="26">
        <v>0.55300000000000005</v>
      </c>
      <c r="M18" s="27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x14ac:dyDescent="0.2">
      <c r="A19" s="14"/>
      <c r="B19" s="25" t="s">
        <v>23</v>
      </c>
      <c r="C19" s="26">
        <v>0.5383</v>
      </c>
      <c r="D19" s="26">
        <v>0.54469999999999996</v>
      </c>
      <c r="E19" s="26">
        <v>0.55630000000000002</v>
      </c>
      <c r="F19" s="26">
        <v>0.50800000000000001</v>
      </c>
      <c r="G19" s="26">
        <v>0.50800000000000001</v>
      </c>
      <c r="H19" s="26">
        <v>0.63729999999999998</v>
      </c>
      <c r="I19" s="26">
        <v>0.20699999999999999</v>
      </c>
      <c r="J19" s="26">
        <v>0.20699999999999999</v>
      </c>
      <c r="K19" s="26">
        <v>0.61870000000000003</v>
      </c>
      <c r="L19" s="26">
        <v>0.5887</v>
      </c>
      <c r="M19" s="27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x14ac:dyDescent="0.2">
      <c r="A20" s="14"/>
      <c r="B20" s="25" t="s">
        <v>24</v>
      </c>
      <c r="C20" s="26">
        <v>0.50770000000000004</v>
      </c>
      <c r="D20" s="26">
        <v>0.51270000000000004</v>
      </c>
      <c r="E20" s="26">
        <v>0.52400000000000002</v>
      </c>
      <c r="F20" s="26">
        <v>0.48499999999999999</v>
      </c>
      <c r="G20" s="26">
        <v>0.48499999999999999</v>
      </c>
      <c r="H20" s="26">
        <v>0.60570000000000002</v>
      </c>
      <c r="I20" s="26">
        <v>0.189</v>
      </c>
      <c r="J20" s="26">
        <v>0.189</v>
      </c>
      <c r="K20" s="26">
        <v>0.58230000000000004</v>
      </c>
      <c r="L20" s="26">
        <v>0.54430000000000001</v>
      </c>
      <c r="M20" s="27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x14ac:dyDescent="0.2">
      <c r="A21" s="14"/>
      <c r="B21" s="25" t="s">
        <v>25</v>
      </c>
      <c r="C21" s="26">
        <v>0.52569999999999995</v>
      </c>
      <c r="D21" s="26">
        <v>0.53469999999999995</v>
      </c>
      <c r="E21" s="26">
        <v>0.54800000000000004</v>
      </c>
      <c r="F21" s="26">
        <v>0.52270000000000005</v>
      </c>
      <c r="G21" s="26">
        <v>0.52270000000000005</v>
      </c>
      <c r="H21" s="26">
        <v>0.62570000000000003</v>
      </c>
      <c r="I21" s="26">
        <v>0.21870000000000001</v>
      </c>
      <c r="J21" s="26">
        <v>0.21870000000000001</v>
      </c>
      <c r="K21" s="26">
        <v>0.60929999999999995</v>
      </c>
      <c r="L21" s="26">
        <v>0.56699999999999995</v>
      </c>
      <c r="M21" s="27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x14ac:dyDescent="0.2">
      <c r="A22" s="14"/>
      <c r="B22" s="25" t="s">
        <v>26</v>
      </c>
      <c r="C22" s="26">
        <v>0.505</v>
      </c>
      <c r="D22" s="26">
        <v>0.51829999999999998</v>
      </c>
      <c r="E22" s="26">
        <v>0.52729999999999999</v>
      </c>
      <c r="F22" s="26">
        <v>0.49669999999999997</v>
      </c>
      <c r="G22" s="26">
        <v>0.49669999999999997</v>
      </c>
      <c r="H22" s="26">
        <v>0.61729999999999996</v>
      </c>
      <c r="I22" s="26">
        <v>0.23400000000000001</v>
      </c>
      <c r="J22" s="26">
        <v>0.23400000000000001</v>
      </c>
      <c r="K22" s="26">
        <v>0.59330000000000005</v>
      </c>
      <c r="L22" s="26">
        <v>0.55969999999999998</v>
      </c>
      <c r="M22" s="27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x14ac:dyDescent="0.2">
      <c r="A23" s="14"/>
      <c r="B23" s="25" t="s">
        <v>27</v>
      </c>
      <c r="C23" s="26">
        <v>0.49099999999999999</v>
      </c>
      <c r="D23" s="26">
        <v>0.51029999999999998</v>
      </c>
      <c r="E23" s="26">
        <v>0.51170000000000004</v>
      </c>
      <c r="F23" s="26">
        <v>0.497</v>
      </c>
      <c r="G23" s="26">
        <v>0.497</v>
      </c>
      <c r="H23" s="26">
        <v>0.54600000000000004</v>
      </c>
      <c r="I23" s="26">
        <v>0.26529999999999998</v>
      </c>
      <c r="J23" s="26">
        <v>0.26529999999999998</v>
      </c>
      <c r="K23" s="26">
        <v>0.5857</v>
      </c>
      <c r="L23" s="26">
        <v>0.56230000000000002</v>
      </c>
      <c r="M23" s="27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x14ac:dyDescent="0.2">
      <c r="A24" s="14"/>
      <c r="B24" s="25" t="s">
        <v>28</v>
      </c>
      <c r="C24" s="26">
        <v>0.47399999999999998</v>
      </c>
      <c r="D24" s="26">
        <v>0.47699999999999998</v>
      </c>
      <c r="E24" s="26">
        <v>0.49769999999999998</v>
      </c>
      <c r="F24" s="26">
        <v>0.4607</v>
      </c>
      <c r="G24" s="26">
        <v>0.4607</v>
      </c>
      <c r="H24" s="26">
        <v>0.48170000000000002</v>
      </c>
      <c r="I24" s="26">
        <v>0.30599999999999999</v>
      </c>
      <c r="J24" s="26">
        <v>0.30599999999999999</v>
      </c>
      <c r="K24" s="26">
        <v>0.56469999999999998</v>
      </c>
      <c r="L24" s="26">
        <v>0.5423</v>
      </c>
      <c r="M24" s="27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x14ac:dyDescent="0.2">
      <c r="A25" s="14"/>
      <c r="B25" s="25" t="s">
        <v>29</v>
      </c>
      <c r="C25" s="26">
        <v>0.47299999999999998</v>
      </c>
      <c r="D25" s="26">
        <v>0.4713</v>
      </c>
      <c r="E25" s="26">
        <v>0.49170000000000003</v>
      </c>
      <c r="F25" s="26">
        <v>0.45800000000000002</v>
      </c>
      <c r="G25" s="26">
        <v>0.45800000000000002</v>
      </c>
      <c r="H25" s="26">
        <v>0.46600000000000003</v>
      </c>
      <c r="I25" s="26">
        <v>0.30830000000000002</v>
      </c>
      <c r="J25" s="26">
        <v>0.30830000000000002</v>
      </c>
      <c r="K25" s="26">
        <v>0.55069999999999997</v>
      </c>
      <c r="L25" s="26">
        <v>0.52569999999999995</v>
      </c>
      <c r="M25" s="27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x14ac:dyDescent="0.2">
      <c r="A26" s="14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x14ac:dyDescent="0.2">
      <c r="A27" s="14"/>
      <c r="B27" s="30"/>
      <c r="C27" s="28"/>
      <c r="D27" s="28"/>
      <c r="E27" s="11" t="str">
        <f>E9</f>
        <v>Based on average of year 2015,2016 &amp; 2017 Load Profile Information</v>
      </c>
      <c r="K27" s="28"/>
      <c r="L27" s="28"/>
      <c r="M27" s="28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x14ac:dyDescent="0.2">
      <c r="A28" s="2" t="s">
        <v>30</v>
      </c>
      <c r="B28" s="12" t="s">
        <v>31</v>
      </c>
      <c r="C28" s="28"/>
      <c r="D28" s="28"/>
      <c r="E28" s="31" t="s">
        <v>351</v>
      </c>
      <c r="G28" s="28"/>
      <c r="H28" s="28"/>
      <c r="I28" s="32"/>
      <c r="J28" s="32"/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25.5" x14ac:dyDescent="0.2">
      <c r="A29" s="14"/>
      <c r="B29" s="3"/>
      <c r="C29" s="16" t="s">
        <v>5</v>
      </c>
      <c r="D29" s="16" t="s">
        <v>5</v>
      </c>
      <c r="E29" s="19"/>
      <c r="F29" s="11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24" x14ac:dyDescent="0.2">
      <c r="A30" s="14"/>
      <c r="B30" s="21" t="s">
        <v>7</v>
      </c>
      <c r="C30" s="22" t="s">
        <v>10</v>
      </c>
      <c r="D30" s="22" t="s">
        <v>17</v>
      </c>
      <c r="E30" s="5"/>
      <c r="F30" s="24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24" x14ac:dyDescent="0.2">
      <c r="A31" s="14"/>
      <c r="B31" s="3"/>
      <c r="C31" s="3"/>
      <c r="D31" s="3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4" x14ac:dyDescent="0.2">
      <c r="A32" s="14"/>
      <c r="B32" s="25" t="s">
        <v>18</v>
      </c>
      <c r="C32" s="26">
        <v>0.43020000000000003</v>
      </c>
      <c r="D32" s="33">
        <v>0.48409999999999997</v>
      </c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32" x14ac:dyDescent="0.2">
      <c r="A33" s="14"/>
      <c r="B33" s="25" t="s">
        <v>19</v>
      </c>
      <c r="C33" s="26">
        <v>0.42480000000000001</v>
      </c>
      <c r="D33" s="33">
        <v>0.48299999999999998</v>
      </c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32" x14ac:dyDescent="0.2">
      <c r="A34" s="14"/>
      <c r="B34" s="25" t="s">
        <v>20</v>
      </c>
      <c r="C34" s="26">
        <v>0.4163</v>
      </c>
      <c r="D34" s="33">
        <v>0.4824</v>
      </c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32" x14ac:dyDescent="0.2">
      <c r="A35" s="14"/>
      <c r="B35" s="25" t="s">
        <v>21</v>
      </c>
      <c r="C35" s="26">
        <v>0.42109999999999997</v>
      </c>
      <c r="D35" s="33">
        <v>0.48980000000000001</v>
      </c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32" x14ac:dyDescent="0.2">
      <c r="A36" s="14"/>
      <c r="B36" s="25" t="s">
        <v>22</v>
      </c>
      <c r="C36" s="26">
        <v>0.4415</v>
      </c>
      <c r="D36" s="33">
        <v>0.50470000000000004</v>
      </c>
      <c r="E36" s="27"/>
      <c r="F36" s="34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32" x14ac:dyDescent="0.2">
      <c r="A37" s="14"/>
      <c r="B37" s="25" t="s">
        <v>23</v>
      </c>
      <c r="C37" s="26">
        <v>0.46379999999999999</v>
      </c>
      <c r="D37" s="26">
        <v>0.5091</v>
      </c>
      <c r="E37" s="27"/>
      <c r="F37" s="34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32" x14ac:dyDescent="0.2">
      <c r="A38" s="14"/>
      <c r="B38" s="25" t="s">
        <v>24</v>
      </c>
      <c r="C38" s="26">
        <v>0.48399999999999999</v>
      </c>
      <c r="D38" s="26">
        <v>0.50829999999999997</v>
      </c>
      <c r="E38" s="27"/>
      <c r="F38" s="34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32" x14ac:dyDescent="0.2">
      <c r="A39" s="14"/>
      <c r="B39" s="25" t="s">
        <v>25</v>
      </c>
      <c r="C39" s="26">
        <v>0.48220000000000002</v>
      </c>
      <c r="D39" s="33">
        <v>0.50219999999999998</v>
      </c>
      <c r="E39" s="27"/>
      <c r="F39" s="34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32" x14ac:dyDescent="0.2">
      <c r="A40" s="14"/>
      <c r="B40" s="25" t="s">
        <v>26</v>
      </c>
      <c r="C40" s="26">
        <v>0.4839</v>
      </c>
      <c r="D40" s="33">
        <v>0.50819999999999999</v>
      </c>
      <c r="E40" s="27"/>
      <c r="F40" s="34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32" x14ac:dyDescent="0.2">
      <c r="A41" s="14"/>
      <c r="B41" s="25" t="s">
        <v>27</v>
      </c>
      <c r="C41" s="26">
        <v>0.46079999999999999</v>
      </c>
      <c r="D41" s="33">
        <v>0.5101</v>
      </c>
      <c r="E41" s="27"/>
      <c r="F41" s="34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32" x14ac:dyDescent="0.2">
      <c r="A42" s="14"/>
      <c r="B42" s="25" t="s">
        <v>28</v>
      </c>
      <c r="C42" s="26">
        <v>0.43609999999999999</v>
      </c>
      <c r="D42" s="33">
        <v>0.49890000000000001</v>
      </c>
      <c r="E42" s="27"/>
      <c r="F42" s="34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32" x14ac:dyDescent="0.2">
      <c r="A43" s="14"/>
      <c r="B43" s="25" t="s">
        <v>29</v>
      </c>
      <c r="C43" s="26">
        <v>0.42849999999999999</v>
      </c>
      <c r="D43" s="33">
        <v>0.48909999999999998</v>
      </c>
      <c r="E43" s="27"/>
      <c r="F43" s="34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32" x14ac:dyDescent="0.2">
      <c r="A44" s="14"/>
      <c r="B44" s="30"/>
      <c r="C44" s="28"/>
      <c r="D44" s="28"/>
      <c r="E44" s="28"/>
      <c r="F44" s="28"/>
      <c r="G44" s="28"/>
      <c r="H44" s="28"/>
      <c r="I44" s="32"/>
      <c r="J44" s="32"/>
      <c r="K44" s="28"/>
      <c r="L44" s="28"/>
      <c r="M44" s="28"/>
      <c r="N44" s="34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32" x14ac:dyDescent="0.2">
      <c r="A45" s="14"/>
      <c r="B45" s="30"/>
      <c r="C45" s="28"/>
      <c r="D45" s="28"/>
      <c r="E45" s="28"/>
      <c r="F45" s="28"/>
      <c r="G45" s="28"/>
      <c r="H45" s="28"/>
      <c r="I45" s="32"/>
      <c r="J45" s="32"/>
      <c r="K45" s="28"/>
      <c r="L45" s="28"/>
      <c r="M45" s="28"/>
      <c r="N45" s="34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32" x14ac:dyDescent="0.2">
      <c r="A46" s="2" t="s">
        <v>32</v>
      </c>
      <c r="B46" s="35" t="s">
        <v>33</v>
      </c>
      <c r="C46" s="5"/>
      <c r="D46" s="5"/>
      <c r="E46" s="5"/>
      <c r="F46" s="5"/>
      <c r="G46" s="5"/>
      <c r="H46" s="5"/>
      <c r="I46" s="5"/>
      <c r="J46" s="5"/>
      <c r="K46" s="5"/>
      <c r="L46" s="5"/>
      <c r="O46" s="10"/>
    </row>
    <row r="47" spans="1:32" x14ac:dyDescent="0.2">
      <c r="A47" s="14"/>
      <c r="B47" s="36" t="s">
        <v>352</v>
      </c>
      <c r="G47" s="37"/>
      <c r="L47" s="5"/>
      <c r="AB47" s="38"/>
    </row>
    <row r="48" spans="1:32" x14ac:dyDescent="0.2">
      <c r="A48" s="14"/>
      <c r="B48" s="17" t="s">
        <v>34</v>
      </c>
      <c r="C48" s="22" t="s">
        <v>8</v>
      </c>
      <c r="D48" s="22" t="s">
        <v>9</v>
      </c>
      <c r="E48" s="22" t="s">
        <v>10</v>
      </c>
      <c r="F48" s="22" t="s">
        <v>11</v>
      </c>
      <c r="G48" s="22" t="s">
        <v>12</v>
      </c>
      <c r="H48" s="22" t="s">
        <v>13</v>
      </c>
      <c r="I48" s="22" t="s">
        <v>14</v>
      </c>
      <c r="J48" s="22" t="s">
        <v>15</v>
      </c>
      <c r="K48" s="22" t="s">
        <v>16</v>
      </c>
      <c r="L48" s="22" t="s">
        <v>17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38"/>
      <c r="AF48" s="38"/>
    </row>
    <row r="49" spans="1:32" x14ac:dyDescent="0.2">
      <c r="A49" s="14"/>
      <c r="B49" s="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Y49" s="41"/>
      <c r="AB49" s="38"/>
      <c r="AF49" s="38"/>
    </row>
    <row r="50" spans="1:32" x14ac:dyDescent="0.2">
      <c r="A50" s="14"/>
      <c r="B50" s="25" t="s">
        <v>18</v>
      </c>
      <c r="C50" s="42">
        <v>1041224.6599977178</v>
      </c>
      <c r="D50" s="42">
        <v>17825.527830187097</v>
      </c>
      <c r="E50" s="42">
        <v>18171.345746583887</v>
      </c>
      <c r="F50" s="42">
        <v>110</v>
      </c>
      <c r="G50" s="42">
        <v>2</v>
      </c>
      <c r="H50" s="42">
        <v>1932.9172564750029</v>
      </c>
      <c r="I50" s="42">
        <v>17199</v>
      </c>
      <c r="J50" s="42">
        <v>31648</v>
      </c>
      <c r="K50" s="42">
        <v>537793.35348465282</v>
      </c>
      <c r="L50" s="42">
        <v>633186.44531720201</v>
      </c>
      <c r="M50" s="40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1"/>
      <c r="Z50" s="45"/>
      <c r="AB50" s="46"/>
      <c r="AF50" s="47"/>
    </row>
    <row r="51" spans="1:32" x14ac:dyDescent="0.2">
      <c r="A51" s="14"/>
      <c r="B51" s="25" t="s">
        <v>19</v>
      </c>
      <c r="C51" s="42">
        <v>878745.45451783459</v>
      </c>
      <c r="D51" s="42">
        <v>14701.40690139556</v>
      </c>
      <c r="E51" s="42">
        <v>14904.650499817304</v>
      </c>
      <c r="F51" s="42">
        <v>107</v>
      </c>
      <c r="G51" s="42">
        <v>2</v>
      </c>
      <c r="H51" s="42">
        <v>1811.2470184558174</v>
      </c>
      <c r="I51" s="42">
        <v>13165</v>
      </c>
      <c r="J51" s="42">
        <v>28407</v>
      </c>
      <c r="K51" s="42">
        <v>508852.87189390534</v>
      </c>
      <c r="L51" s="42">
        <v>590011.18506337237</v>
      </c>
      <c r="M51" s="40"/>
      <c r="O51" s="44"/>
      <c r="P51" s="44"/>
      <c r="Q51" s="44"/>
      <c r="R51" s="44"/>
      <c r="X51" s="44"/>
      <c r="Y51" s="41"/>
      <c r="Z51" s="45"/>
      <c r="AB51" s="46"/>
      <c r="AD51" s="48"/>
    </row>
    <row r="52" spans="1:32" x14ac:dyDescent="0.2">
      <c r="A52" s="14"/>
      <c r="B52" s="25" t="s">
        <v>20</v>
      </c>
      <c r="C52" s="42">
        <v>860012.62242081226</v>
      </c>
      <c r="D52" s="42">
        <v>12860.132926472046</v>
      </c>
      <c r="E52" s="42">
        <v>15256.201950205052</v>
      </c>
      <c r="F52" s="42">
        <v>104</v>
      </c>
      <c r="G52" s="42">
        <v>2</v>
      </c>
      <c r="H52" s="42">
        <v>1570.4952708859398</v>
      </c>
      <c r="I52" s="42">
        <v>14162</v>
      </c>
      <c r="J52" s="42">
        <v>24439</v>
      </c>
      <c r="K52" s="42">
        <v>532388.6931611934</v>
      </c>
      <c r="L52" s="42">
        <v>613669.34484862746</v>
      </c>
      <c r="M52" s="49"/>
      <c r="N52" s="50"/>
      <c r="O52" s="44"/>
      <c r="P52" s="44"/>
      <c r="Q52" s="44"/>
      <c r="R52" s="44"/>
      <c r="X52" s="44"/>
      <c r="Y52" s="41"/>
      <c r="Z52" s="51"/>
      <c r="AB52" s="46"/>
    </row>
    <row r="53" spans="1:32" x14ac:dyDescent="0.2">
      <c r="A53" s="14"/>
      <c r="B53" s="25" t="s">
        <v>21</v>
      </c>
      <c r="C53" s="42">
        <v>707010.01499273698</v>
      </c>
      <c r="D53" s="42">
        <v>7621.2814918277591</v>
      </c>
      <c r="E53" s="42">
        <v>11572.922947214915</v>
      </c>
      <c r="F53" s="42">
        <v>89</v>
      </c>
      <c r="G53" s="42">
        <v>3</v>
      </c>
      <c r="H53" s="42">
        <v>755.90871280004581</v>
      </c>
      <c r="I53" s="42">
        <v>11664</v>
      </c>
      <c r="J53" s="42">
        <v>21743</v>
      </c>
      <c r="K53" s="42">
        <v>467824.40809767507</v>
      </c>
      <c r="L53" s="42">
        <v>537563.4251288214</v>
      </c>
      <c r="M53" s="49"/>
      <c r="Y53" s="41"/>
      <c r="AB53" s="46"/>
    </row>
    <row r="54" spans="1:32" x14ac:dyDescent="0.2">
      <c r="A54" s="14"/>
      <c r="B54" s="25" t="s">
        <v>22</v>
      </c>
      <c r="C54" s="42">
        <v>795979.38179230224</v>
      </c>
      <c r="D54" s="42">
        <v>5354.9505232142419</v>
      </c>
      <c r="E54" s="42">
        <v>13778.366362516072</v>
      </c>
      <c r="F54" s="42">
        <v>101</v>
      </c>
      <c r="G54" s="42">
        <v>1</v>
      </c>
      <c r="H54" s="42">
        <v>418.51110240641805</v>
      </c>
      <c r="I54" s="42">
        <v>10502</v>
      </c>
      <c r="J54" s="42">
        <v>25431</v>
      </c>
      <c r="K54" s="42">
        <v>489949.15240992792</v>
      </c>
      <c r="L54" s="42">
        <v>624679.74456103786</v>
      </c>
      <c r="M54" s="40"/>
      <c r="N54" s="50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1"/>
      <c r="Z54" s="51"/>
      <c r="AB54" s="46"/>
    </row>
    <row r="55" spans="1:32" x14ac:dyDescent="0.2">
      <c r="A55" s="14"/>
      <c r="B55" s="25" t="s">
        <v>23</v>
      </c>
      <c r="C55" s="42">
        <v>1234663.5897516471</v>
      </c>
      <c r="D55" s="42">
        <v>6891.1045794167148</v>
      </c>
      <c r="E55" s="42">
        <v>21697.22771950766</v>
      </c>
      <c r="F55" s="42">
        <v>89</v>
      </c>
      <c r="G55" s="42">
        <v>2</v>
      </c>
      <c r="H55" s="42">
        <v>653.22248354981127</v>
      </c>
      <c r="I55" s="42">
        <v>9790</v>
      </c>
      <c r="J55" s="42">
        <v>18792</v>
      </c>
      <c r="K55" s="42">
        <v>575090.62761221488</v>
      </c>
      <c r="L55" s="42">
        <v>639199.89279725018</v>
      </c>
      <c r="M55" s="49"/>
      <c r="N55" s="50"/>
      <c r="O55" s="43"/>
      <c r="Q55" s="44"/>
      <c r="X55" s="44"/>
      <c r="Y55" s="41"/>
      <c r="Z55" s="45"/>
      <c r="AB55" s="46"/>
    </row>
    <row r="56" spans="1:32" x14ac:dyDescent="0.2">
      <c r="A56" s="14"/>
      <c r="B56" s="25" t="s">
        <v>24</v>
      </c>
      <c r="C56" s="42">
        <v>1594714.7323194316</v>
      </c>
      <c r="D56" s="42">
        <v>7604.0105530322289</v>
      </c>
      <c r="E56" s="42">
        <v>27193.871308412083</v>
      </c>
      <c r="F56" s="42">
        <v>73</v>
      </c>
      <c r="G56" s="42">
        <v>1</v>
      </c>
      <c r="H56" s="42">
        <v>749.00543688406356</v>
      </c>
      <c r="I56" s="42">
        <v>9988</v>
      </c>
      <c r="J56" s="42">
        <v>15816</v>
      </c>
      <c r="K56" s="42">
        <v>644639.58060670376</v>
      </c>
      <c r="L56" s="42">
        <v>727918.97127446916</v>
      </c>
      <c r="M56" s="49"/>
      <c r="N56" s="50"/>
      <c r="O56" s="43"/>
      <c r="Q56" s="44"/>
      <c r="X56" s="44"/>
      <c r="Y56" s="41"/>
      <c r="Z56" s="51"/>
      <c r="AB56" s="46"/>
    </row>
    <row r="57" spans="1:32" x14ac:dyDescent="0.2">
      <c r="A57" s="14"/>
      <c r="B57" s="25" t="s">
        <v>25</v>
      </c>
      <c r="C57" s="42">
        <v>1479266.6913026536</v>
      </c>
      <c r="D57" s="42">
        <v>7099.315341562834</v>
      </c>
      <c r="E57" s="42">
        <v>26306.038959175461</v>
      </c>
      <c r="F57" s="42">
        <v>69</v>
      </c>
      <c r="G57" s="42">
        <v>1</v>
      </c>
      <c r="H57" s="42">
        <v>718.80360475164173</v>
      </c>
      <c r="I57" s="42">
        <v>11339</v>
      </c>
      <c r="J57" s="42">
        <v>22714</v>
      </c>
      <c r="K57" s="42">
        <v>641153.72498548566</v>
      </c>
      <c r="L57" s="42">
        <v>718530.91625730565</v>
      </c>
      <c r="M57" s="49"/>
      <c r="AB57" s="46"/>
    </row>
    <row r="58" spans="1:32" x14ac:dyDescent="0.2">
      <c r="A58" s="14"/>
      <c r="B58" s="25" t="s">
        <v>26</v>
      </c>
      <c r="C58" s="42">
        <v>1038764.716730976</v>
      </c>
      <c r="D58" s="42">
        <v>5550.6878295635888</v>
      </c>
      <c r="E58" s="42">
        <v>18830.151279616159</v>
      </c>
      <c r="F58" s="42">
        <v>66</v>
      </c>
      <c r="G58" s="42">
        <v>1</v>
      </c>
      <c r="H58" s="42">
        <v>610.07700907492278</v>
      </c>
      <c r="I58" s="42">
        <v>11966</v>
      </c>
      <c r="J58" s="42">
        <v>21369</v>
      </c>
      <c r="K58" s="42">
        <v>538740.57036984048</v>
      </c>
      <c r="L58" s="42">
        <v>602357.978977461</v>
      </c>
      <c r="M58" s="49"/>
      <c r="N58" s="50"/>
      <c r="O58" s="43"/>
      <c r="P58" s="43"/>
      <c r="AB58" s="46"/>
    </row>
    <row r="59" spans="1:32" x14ac:dyDescent="0.2">
      <c r="A59" s="14"/>
      <c r="B59" s="25" t="s">
        <v>27</v>
      </c>
      <c r="C59" s="42">
        <v>798040.21084967651</v>
      </c>
      <c r="D59" s="42">
        <v>6831.6157902321092</v>
      </c>
      <c r="E59" s="42">
        <v>13865.076103630476</v>
      </c>
      <c r="F59" s="42">
        <v>84</v>
      </c>
      <c r="G59" s="42">
        <v>1</v>
      </c>
      <c r="H59" s="42">
        <v>807.68328216991188</v>
      </c>
      <c r="I59" s="42">
        <v>14720</v>
      </c>
      <c r="J59" s="42">
        <v>24732</v>
      </c>
      <c r="K59" s="42">
        <v>512863.51491463574</v>
      </c>
      <c r="L59" s="42">
        <v>625858.14785074443</v>
      </c>
      <c r="M59" s="49"/>
      <c r="N59" s="50"/>
      <c r="O59" s="44"/>
      <c r="P59" s="44"/>
      <c r="AB59" s="46"/>
    </row>
    <row r="60" spans="1:32" x14ac:dyDescent="0.2">
      <c r="A60" s="14"/>
      <c r="B60" s="25" t="s">
        <v>28</v>
      </c>
      <c r="C60" s="42">
        <v>763766.51456230367</v>
      </c>
      <c r="D60" s="42">
        <v>8837.9231803129151</v>
      </c>
      <c r="E60" s="42">
        <v>12244.923440851549</v>
      </c>
      <c r="F60" s="42">
        <v>80</v>
      </c>
      <c r="G60" s="42">
        <v>1</v>
      </c>
      <c r="H60" s="42">
        <v>940.57134355256835</v>
      </c>
      <c r="I60" s="42">
        <v>14692</v>
      </c>
      <c r="J60" s="42">
        <v>28357</v>
      </c>
      <c r="K60" s="42">
        <v>454551.18623911444</v>
      </c>
      <c r="L60" s="42">
        <v>561455.30700699333</v>
      </c>
      <c r="M60" s="49"/>
      <c r="AB60" s="46"/>
    </row>
    <row r="61" spans="1:32" x14ac:dyDescent="0.2">
      <c r="A61" s="14"/>
      <c r="B61" s="25" t="s">
        <v>29</v>
      </c>
      <c r="C61" s="42">
        <v>986437.24996346701</v>
      </c>
      <c r="D61" s="42">
        <v>13318.772301153358</v>
      </c>
      <c r="E61" s="42">
        <v>15713.313085427728</v>
      </c>
      <c r="F61" s="42">
        <v>88</v>
      </c>
      <c r="G61" s="42">
        <v>2</v>
      </c>
      <c r="H61" s="42">
        <v>1460.9057657197231</v>
      </c>
      <c r="I61" s="42">
        <v>16661</v>
      </c>
      <c r="J61" s="42">
        <v>31646</v>
      </c>
      <c r="K61" s="42">
        <v>522006.67618632311</v>
      </c>
      <c r="L61" s="42">
        <v>620503.43107391719</v>
      </c>
      <c r="M61" s="49"/>
      <c r="AB61" s="46"/>
    </row>
    <row r="62" spans="1:32" x14ac:dyDescent="0.2">
      <c r="A62" s="14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O62" s="10"/>
      <c r="AB62" s="44"/>
    </row>
    <row r="63" spans="1:32" x14ac:dyDescent="0.2">
      <c r="A63" s="14"/>
      <c r="B63" s="30"/>
      <c r="C63" s="40"/>
      <c r="D63" s="40"/>
      <c r="E63" s="40"/>
      <c r="F63" s="40"/>
      <c r="G63" s="40"/>
      <c r="H63" s="40"/>
      <c r="I63" s="54"/>
      <c r="J63" s="54"/>
      <c r="K63" s="40"/>
      <c r="L63" s="40"/>
      <c r="M63" s="40"/>
      <c r="O63" s="11"/>
      <c r="AB63" s="55"/>
    </row>
    <row r="64" spans="1:32" x14ac:dyDescent="0.2">
      <c r="A64" s="14"/>
      <c r="B64" s="10" t="s">
        <v>35</v>
      </c>
      <c r="C64" s="56" t="s">
        <v>36</v>
      </c>
      <c r="D64" s="56" t="s">
        <v>36</v>
      </c>
      <c r="E64" s="40"/>
      <c r="F64" s="40"/>
      <c r="G64" s="40"/>
      <c r="H64" s="40"/>
      <c r="I64" s="40"/>
      <c r="J64" s="40"/>
      <c r="K64" s="40"/>
      <c r="L64" s="53"/>
      <c r="M64" s="40"/>
      <c r="Y64" s="5"/>
      <c r="Z64" s="5"/>
      <c r="AB64" s="55"/>
    </row>
    <row r="65" spans="1:26" x14ac:dyDescent="0.2">
      <c r="A65" s="14"/>
      <c r="B65" s="57"/>
      <c r="C65" s="58" t="s">
        <v>37</v>
      </c>
      <c r="D65" s="58" t="s">
        <v>38</v>
      </c>
      <c r="E65" s="59"/>
      <c r="F65" s="59"/>
      <c r="G65" s="59"/>
      <c r="H65" s="59"/>
      <c r="I65" s="59"/>
      <c r="J65" s="59"/>
      <c r="K65" s="40"/>
      <c r="L65" s="40"/>
      <c r="M65" s="40"/>
    </row>
    <row r="66" spans="1:26" x14ac:dyDescent="0.2">
      <c r="A66" s="14"/>
      <c r="C66" s="60">
        <v>0.36478748834156355</v>
      </c>
      <c r="D66" s="60">
        <v>0.34836577134667845</v>
      </c>
      <c r="E66" s="59"/>
      <c r="F66" s="59"/>
      <c r="G66" s="59"/>
      <c r="H66" s="59"/>
      <c r="I66" s="59"/>
      <c r="J66" s="59"/>
      <c r="K66" s="40"/>
      <c r="L66" s="40"/>
      <c r="M66" s="40"/>
    </row>
    <row r="67" spans="1:26" x14ac:dyDescent="0.2">
      <c r="A67" s="14"/>
      <c r="C67" s="59"/>
      <c r="D67" s="59"/>
      <c r="E67" s="59"/>
      <c r="F67" s="59"/>
      <c r="G67" s="59"/>
      <c r="H67" s="59"/>
      <c r="I67" s="59"/>
      <c r="J67" s="59"/>
      <c r="K67" s="59"/>
      <c r="L67" s="40"/>
      <c r="M67" s="40"/>
    </row>
    <row r="68" spans="1:26" x14ac:dyDescent="0.2">
      <c r="A68" s="14"/>
      <c r="C68" s="59"/>
      <c r="D68" s="59"/>
      <c r="E68" s="59"/>
      <c r="F68" s="59"/>
      <c r="G68" s="59"/>
      <c r="H68" s="59"/>
      <c r="I68" s="59"/>
      <c r="J68" s="59"/>
      <c r="K68" s="59"/>
      <c r="L68" s="40"/>
      <c r="M68" s="40"/>
    </row>
    <row r="69" spans="1:26" x14ac:dyDescent="0.2">
      <c r="A69" s="14"/>
      <c r="B69" s="10"/>
    </row>
    <row r="70" spans="1:26" x14ac:dyDescent="0.2">
      <c r="A70" s="2" t="s">
        <v>39</v>
      </c>
      <c r="B70" s="10" t="s">
        <v>40</v>
      </c>
      <c r="E70" s="61" t="s">
        <v>41</v>
      </c>
      <c r="F70" s="10" t="s">
        <v>42</v>
      </c>
      <c r="N70" s="38"/>
    </row>
    <row r="71" spans="1:26" s="62" customFormat="1" x14ac:dyDescent="0.2">
      <c r="A71" s="14"/>
      <c r="B71" s="11" t="s">
        <v>43</v>
      </c>
      <c r="F71" s="5" t="s">
        <v>44</v>
      </c>
      <c r="G71" s="8"/>
      <c r="N71" s="50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1"/>
      <c r="Z71" s="45"/>
    </row>
    <row r="72" spans="1:26" x14ac:dyDescent="0.2">
      <c r="A72" s="14"/>
      <c r="C72" s="5" t="s">
        <v>45</v>
      </c>
      <c r="F72" s="5" t="s">
        <v>46</v>
      </c>
      <c r="N72" s="50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1"/>
      <c r="Z72" s="51"/>
    </row>
    <row r="73" spans="1:26" x14ac:dyDescent="0.2">
      <c r="A73" s="14"/>
      <c r="B73" s="25" t="s">
        <v>18</v>
      </c>
      <c r="C73" s="63">
        <v>48.05</v>
      </c>
      <c r="E73" s="64" t="s">
        <v>47</v>
      </c>
      <c r="F73" s="65">
        <v>0.64014790671091271</v>
      </c>
      <c r="K73" s="66"/>
      <c r="Y73" s="41"/>
    </row>
    <row r="74" spans="1:26" x14ac:dyDescent="0.2">
      <c r="A74" s="14"/>
      <c r="B74" s="25" t="s">
        <v>19</v>
      </c>
      <c r="C74" s="63">
        <v>45.15</v>
      </c>
      <c r="D74" s="67"/>
      <c r="E74" s="64" t="s">
        <v>48</v>
      </c>
      <c r="F74" s="65">
        <v>0.77561303583970465</v>
      </c>
      <c r="K74" s="66"/>
      <c r="N74" s="38"/>
      <c r="Y74" s="41"/>
    </row>
    <row r="75" spans="1:26" x14ac:dyDescent="0.2">
      <c r="A75" s="14"/>
      <c r="B75" s="25" t="s">
        <v>20</v>
      </c>
      <c r="C75" s="63">
        <v>36.43</v>
      </c>
      <c r="D75" s="67"/>
      <c r="E75" s="68"/>
      <c r="H75" s="69"/>
      <c r="I75" s="69"/>
      <c r="J75" s="66"/>
      <c r="N75" s="50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1"/>
      <c r="Z75" s="45"/>
    </row>
    <row r="76" spans="1:26" x14ac:dyDescent="0.2">
      <c r="A76" s="14"/>
      <c r="B76" s="25" t="s">
        <v>21</v>
      </c>
      <c r="C76" s="63">
        <v>31.5</v>
      </c>
      <c r="D76" s="67"/>
      <c r="E76" s="68"/>
      <c r="H76" s="69"/>
      <c r="I76" s="69"/>
      <c r="J76" s="66"/>
      <c r="N76" s="50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1"/>
      <c r="Z76" s="51"/>
    </row>
    <row r="77" spans="1:26" x14ac:dyDescent="0.2">
      <c r="A77" s="14"/>
      <c r="B77" s="25" t="s">
        <v>22</v>
      </c>
      <c r="C77" s="63">
        <v>31.55</v>
      </c>
      <c r="D77" s="67"/>
      <c r="E77" s="68"/>
      <c r="H77" s="69"/>
      <c r="I77" s="69"/>
      <c r="Y77" s="41"/>
    </row>
    <row r="78" spans="1:26" x14ac:dyDescent="0.2">
      <c r="A78" s="14"/>
      <c r="B78" s="25" t="s">
        <v>23</v>
      </c>
      <c r="C78" s="63">
        <v>32.479999999999997</v>
      </c>
      <c r="F78" s="357" t="s">
        <v>49</v>
      </c>
      <c r="G78" s="358"/>
      <c r="N78" s="50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1"/>
      <c r="Z78" s="45"/>
    </row>
    <row r="79" spans="1:26" x14ac:dyDescent="0.2">
      <c r="A79" s="14"/>
      <c r="B79" s="25" t="s">
        <v>24</v>
      </c>
      <c r="C79" s="63">
        <v>38.270000000000003</v>
      </c>
      <c r="D79" s="70"/>
      <c r="E79" s="22"/>
      <c r="F79" s="22" t="s">
        <v>45</v>
      </c>
      <c r="G79" s="22" t="s">
        <v>50</v>
      </c>
      <c r="H79" s="71"/>
      <c r="I79" s="71"/>
      <c r="N79" s="50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1"/>
      <c r="Z79" s="51"/>
    </row>
    <row r="80" spans="1:26" x14ac:dyDescent="0.2">
      <c r="A80" s="14"/>
      <c r="B80" s="25" t="s">
        <v>25</v>
      </c>
      <c r="C80" s="63">
        <v>35.67</v>
      </c>
      <c r="D80" s="70"/>
      <c r="E80" s="64" t="s">
        <v>47</v>
      </c>
      <c r="F80" s="72">
        <v>0.93137132450168991</v>
      </c>
      <c r="G80" s="72">
        <v>0.86321354124990501</v>
      </c>
      <c r="H80" s="71"/>
      <c r="I80" s="71"/>
    </row>
    <row r="81" spans="1:21" x14ac:dyDescent="0.2">
      <c r="A81" s="14"/>
      <c r="B81" s="25" t="s">
        <v>26</v>
      </c>
      <c r="C81" s="63">
        <v>32.53</v>
      </c>
      <c r="D81" s="70"/>
      <c r="E81" s="64" t="s">
        <v>48</v>
      </c>
      <c r="F81" s="72">
        <v>0.94961099592430165</v>
      </c>
      <c r="G81" s="72">
        <v>0.94827719223989393</v>
      </c>
      <c r="H81" s="71"/>
      <c r="I81" s="71"/>
    </row>
    <row r="82" spans="1:21" x14ac:dyDescent="0.2">
      <c r="A82" s="14"/>
      <c r="B82" s="25" t="s">
        <v>27</v>
      </c>
      <c r="C82" s="63">
        <v>31.45</v>
      </c>
      <c r="D82" s="70"/>
      <c r="E82" s="68"/>
      <c r="H82" s="69"/>
      <c r="I82" s="69"/>
    </row>
    <row r="83" spans="1:21" x14ac:dyDescent="0.2">
      <c r="A83" s="14"/>
      <c r="B83" s="25" t="s">
        <v>28</v>
      </c>
      <c r="C83" s="63">
        <v>31.43</v>
      </c>
      <c r="D83" s="67"/>
      <c r="E83" s="68"/>
      <c r="H83" s="69"/>
      <c r="I83" s="69"/>
    </row>
    <row r="84" spans="1:21" x14ac:dyDescent="0.2">
      <c r="A84" s="14"/>
      <c r="B84" s="25" t="s">
        <v>29</v>
      </c>
      <c r="C84" s="63">
        <v>34.28</v>
      </c>
      <c r="D84" s="67"/>
      <c r="E84" s="68"/>
      <c r="H84" s="69"/>
      <c r="I84" s="69"/>
    </row>
    <row r="85" spans="1:21" x14ac:dyDescent="0.2">
      <c r="A85" s="14"/>
      <c r="B85" s="30"/>
      <c r="C85" s="73"/>
      <c r="D85" s="73"/>
      <c r="G85" s="74"/>
      <c r="K85" s="74"/>
    </row>
    <row r="86" spans="1:21" x14ac:dyDescent="0.2">
      <c r="A86" s="14"/>
      <c r="B86" s="75"/>
      <c r="C86" s="75"/>
      <c r="D86" s="73"/>
      <c r="G86" s="74"/>
      <c r="K86" s="74"/>
    </row>
    <row r="87" spans="1:21" x14ac:dyDescent="0.2">
      <c r="A87" s="14"/>
      <c r="E87" s="76"/>
      <c r="F87" s="76"/>
      <c r="G87" s="76"/>
      <c r="H87" s="76"/>
      <c r="I87" s="76"/>
      <c r="J87" s="76"/>
      <c r="K87" s="76"/>
      <c r="L87" s="76"/>
      <c r="M87" s="76"/>
    </row>
    <row r="88" spans="1:21" x14ac:dyDescent="0.2">
      <c r="A88" s="2" t="s">
        <v>51</v>
      </c>
      <c r="B88" s="3" t="s">
        <v>52</v>
      </c>
      <c r="C88" s="3" t="s">
        <v>53</v>
      </c>
      <c r="D88" s="3" t="s">
        <v>54</v>
      </c>
      <c r="E88" s="76"/>
      <c r="F88" s="76"/>
      <c r="G88" s="76"/>
      <c r="H88" s="76"/>
      <c r="I88" s="76"/>
      <c r="J88" s="76"/>
      <c r="K88" s="76"/>
      <c r="L88" s="76"/>
      <c r="M88" s="76"/>
    </row>
    <row r="89" spans="1:21" x14ac:dyDescent="0.2">
      <c r="A89" s="14"/>
      <c r="B89" s="3" t="s">
        <v>55</v>
      </c>
      <c r="C89" s="77">
        <v>7.5377E-2</v>
      </c>
      <c r="D89" s="3" t="s">
        <v>56</v>
      </c>
      <c r="E89" s="78"/>
      <c r="F89" s="78"/>
      <c r="G89" s="78"/>
      <c r="H89" s="78"/>
      <c r="I89" s="78"/>
      <c r="J89" s="78"/>
      <c r="K89" s="78"/>
      <c r="L89" s="78"/>
      <c r="M89" s="76"/>
    </row>
    <row r="90" spans="1:21" x14ac:dyDescent="0.2">
      <c r="A90" s="14"/>
      <c r="B90" s="3" t="s">
        <v>57</v>
      </c>
      <c r="C90" s="26">
        <v>4.5599999999999998E-3</v>
      </c>
      <c r="D90" s="15" t="s">
        <v>58</v>
      </c>
      <c r="E90" s="79"/>
      <c r="F90" s="79"/>
      <c r="G90" s="79"/>
      <c r="H90" s="79"/>
      <c r="I90" s="79"/>
      <c r="J90" s="79"/>
      <c r="K90" s="79"/>
      <c r="L90" s="79"/>
      <c r="M90" s="76"/>
    </row>
    <row r="91" spans="1:21" x14ac:dyDescent="0.2">
      <c r="A91" s="14"/>
      <c r="B91" s="3" t="s">
        <v>59</v>
      </c>
      <c r="C91" s="80">
        <v>1.0351414867624585E-2</v>
      </c>
      <c r="D91" s="3" t="s">
        <v>60</v>
      </c>
      <c r="E91" s="79"/>
      <c r="F91" s="79"/>
      <c r="G91" s="79"/>
      <c r="H91" s="79"/>
      <c r="I91" s="79"/>
      <c r="J91" s="79"/>
      <c r="K91" s="79"/>
      <c r="L91" s="79"/>
      <c r="M91" s="76"/>
    </row>
    <row r="92" spans="1:21" x14ac:dyDescent="0.2">
      <c r="A92" s="14"/>
      <c r="C92" s="81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21" x14ac:dyDescent="0.2">
      <c r="A93" s="14"/>
    </row>
    <row r="94" spans="1:21" x14ac:dyDescent="0.2">
      <c r="A94" s="14"/>
      <c r="T94" s="44"/>
      <c r="U94" s="44"/>
    </row>
    <row r="95" spans="1:21" x14ac:dyDescent="0.2">
      <c r="A95" s="14"/>
      <c r="T95" s="44"/>
      <c r="U95" s="44"/>
    </row>
    <row r="96" spans="1:21" x14ac:dyDescent="0.2">
      <c r="A96" s="2" t="s">
        <v>61</v>
      </c>
      <c r="B96" s="10" t="s">
        <v>62</v>
      </c>
      <c r="L96" s="5"/>
      <c r="T96" s="44"/>
      <c r="U96" s="44"/>
    </row>
    <row r="97" spans="1:22" x14ac:dyDescent="0.2">
      <c r="A97" s="14"/>
      <c r="B97" s="11" t="s">
        <v>63</v>
      </c>
      <c r="L97" s="5"/>
      <c r="T97" s="44"/>
      <c r="U97" s="44"/>
    </row>
    <row r="98" spans="1:22" x14ac:dyDescent="0.2">
      <c r="A98" s="14"/>
      <c r="B98" s="11" t="s">
        <v>64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T98" s="44"/>
      <c r="U98" s="44"/>
    </row>
    <row r="99" spans="1:22" ht="12.75" customHeight="1" x14ac:dyDescent="0.2">
      <c r="A99" s="14"/>
      <c r="B99" s="11"/>
      <c r="C99" s="5"/>
      <c r="D99" s="5"/>
      <c r="E99" s="5"/>
      <c r="F99" s="5"/>
      <c r="G99" s="5"/>
      <c r="H99" s="5"/>
      <c r="I99" s="5"/>
      <c r="J99" s="5"/>
      <c r="K99" s="5"/>
      <c r="M99" s="5"/>
      <c r="R99" s="82"/>
      <c r="S99" s="82"/>
      <c r="T99" s="82"/>
      <c r="U99" s="82"/>
      <c r="V99" s="82"/>
    </row>
    <row r="100" spans="1:22" x14ac:dyDescent="0.2">
      <c r="A100" s="14"/>
      <c r="B100" s="3"/>
      <c r="C100" s="22" t="s">
        <v>8</v>
      </c>
      <c r="D100" s="22" t="s">
        <v>9</v>
      </c>
      <c r="E100" s="22" t="s">
        <v>10</v>
      </c>
      <c r="F100" s="22" t="s">
        <v>11</v>
      </c>
      <c r="G100" s="22" t="s">
        <v>12</v>
      </c>
      <c r="H100" s="22" t="s">
        <v>13</v>
      </c>
      <c r="I100" s="22" t="s">
        <v>14</v>
      </c>
      <c r="J100" s="22" t="s">
        <v>15</v>
      </c>
      <c r="K100" s="22" t="s">
        <v>16</v>
      </c>
      <c r="L100" s="22" t="s">
        <v>17</v>
      </c>
    </row>
    <row r="101" spans="1:22" x14ac:dyDescent="0.2">
      <c r="A101" s="83"/>
      <c r="B101" s="84" t="s">
        <v>65</v>
      </c>
      <c r="C101" s="85">
        <v>3806.9778289480928</v>
      </c>
      <c r="D101" s="85">
        <v>21.855866835496002</v>
      </c>
      <c r="E101" s="85">
        <v>72.136983101323764</v>
      </c>
      <c r="F101" s="85">
        <v>0</v>
      </c>
      <c r="G101" s="85">
        <v>0</v>
      </c>
      <c r="H101" s="85">
        <v>2.7677877273678271</v>
      </c>
      <c r="I101" s="85">
        <v>0</v>
      </c>
      <c r="J101" s="85">
        <v>0</v>
      </c>
      <c r="K101" s="85">
        <v>1746.5388600973272</v>
      </c>
      <c r="L101" s="85">
        <v>1319.8280820573179</v>
      </c>
      <c r="M101" s="86"/>
      <c r="V101" s="87"/>
    </row>
    <row r="102" spans="1:22" x14ac:dyDescent="0.2">
      <c r="A102" s="1"/>
      <c r="B102" s="84" t="s">
        <v>66</v>
      </c>
      <c r="C102" s="85">
        <v>3751.3040728766514</v>
      </c>
      <c r="D102" s="85">
        <v>21.784108904141615</v>
      </c>
      <c r="E102" s="85">
        <v>71.932475553703355</v>
      </c>
      <c r="F102" s="85">
        <v>0</v>
      </c>
      <c r="G102" s="85">
        <v>0</v>
      </c>
      <c r="H102" s="85">
        <v>2.7927977458462694</v>
      </c>
      <c r="I102" s="85">
        <v>0</v>
      </c>
      <c r="J102" s="85">
        <v>0</v>
      </c>
      <c r="K102" s="85">
        <v>1809.0281072935859</v>
      </c>
      <c r="L102" s="85">
        <v>1349.5730936626032</v>
      </c>
      <c r="V102" s="87"/>
    </row>
    <row r="103" spans="1:22" x14ac:dyDescent="0.2">
      <c r="A103" s="83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6"/>
      <c r="V103" s="87"/>
    </row>
    <row r="104" spans="1:22" x14ac:dyDescent="0.2">
      <c r="A104" s="1"/>
      <c r="B104" s="84" t="s">
        <v>67</v>
      </c>
      <c r="C104" s="89">
        <v>1.0938508154268132</v>
      </c>
      <c r="D104" s="90"/>
      <c r="E104" s="90"/>
      <c r="F104" s="90"/>
      <c r="G104" s="90"/>
      <c r="H104" s="90"/>
      <c r="I104" s="90"/>
      <c r="J104" s="90"/>
      <c r="K104" s="90"/>
      <c r="M104" s="90"/>
      <c r="V104" s="87"/>
    </row>
    <row r="105" spans="1:22" x14ac:dyDescent="0.2">
      <c r="A105" s="14"/>
      <c r="B105" s="15" t="s">
        <v>68</v>
      </c>
      <c r="C105" s="89">
        <v>1.0905</v>
      </c>
      <c r="I105" s="90"/>
      <c r="K105" s="5"/>
      <c r="M105" s="90"/>
    </row>
    <row r="106" spans="1:22" x14ac:dyDescent="0.2">
      <c r="A106" s="14"/>
      <c r="D106" s="50"/>
      <c r="E106" s="91"/>
      <c r="G106" s="50"/>
      <c r="H106" s="8"/>
      <c r="I106" s="90"/>
      <c r="M106" s="90"/>
    </row>
    <row r="107" spans="1:22" x14ac:dyDescent="0.2">
      <c r="A107" s="14"/>
      <c r="B107" s="8" t="s">
        <v>69</v>
      </c>
      <c r="C107" s="3"/>
      <c r="D107" s="15" t="s">
        <v>70</v>
      </c>
      <c r="E107" s="3" t="s">
        <v>69</v>
      </c>
      <c r="G107" s="50"/>
      <c r="H107" s="8"/>
      <c r="I107" s="90"/>
      <c r="M107" s="90"/>
    </row>
    <row r="108" spans="1:22" x14ac:dyDescent="0.2">
      <c r="A108" s="14"/>
      <c r="B108" s="92"/>
      <c r="C108" s="93">
        <v>2017</v>
      </c>
      <c r="D108" s="3">
        <v>28</v>
      </c>
      <c r="E108" s="94">
        <v>91224.18</v>
      </c>
      <c r="G108" s="50"/>
      <c r="H108" s="8"/>
      <c r="I108" s="90"/>
      <c r="K108" s="96"/>
      <c r="M108" s="97"/>
      <c r="N108" s="95"/>
    </row>
    <row r="109" spans="1:22" x14ac:dyDescent="0.2">
      <c r="A109" s="14"/>
      <c r="B109" s="14"/>
      <c r="C109" s="93">
        <v>2018</v>
      </c>
      <c r="D109" s="3">
        <v>29</v>
      </c>
      <c r="E109" s="94">
        <v>101197</v>
      </c>
      <c r="G109" s="50"/>
      <c r="H109" s="96"/>
      <c r="J109" s="97"/>
      <c r="K109" s="96"/>
      <c r="M109" s="97"/>
      <c r="N109" s="95"/>
    </row>
    <row r="110" spans="1:22" x14ac:dyDescent="0.2">
      <c r="A110" s="14"/>
      <c r="C110" s="93">
        <v>2019</v>
      </c>
      <c r="D110" s="3">
        <v>28</v>
      </c>
      <c r="E110" s="94">
        <v>101197</v>
      </c>
      <c r="G110" s="98"/>
      <c r="H110" s="8"/>
      <c r="I110" s="90"/>
      <c r="K110" s="96"/>
      <c r="M110" s="97"/>
      <c r="N110" s="95"/>
    </row>
    <row r="111" spans="1:22" x14ac:dyDescent="0.2">
      <c r="A111" s="14"/>
      <c r="G111" s="50"/>
      <c r="I111" s="90"/>
      <c r="J111" s="99"/>
      <c r="M111" s="90"/>
      <c r="N111" s="100"/>
    </row>
    <row r="112" spans="1:22" ht="25.5" x14ac:dyDescent="0.2">
      <c r="A112" s="14"/>
      <c r="B112" s="8"/>
      <c r="C112" s="50"/>
      <c r="E112" s="101" t="s">
        <v>71</v>
      </c>
      <c r="F112" s="102"/>
      <c r="I112" s="90"/>
      <c r="J112" s="99"/>
      <c r="K112" s="103"/>
    </row>
    <row r="113" spans="1:18" x14ac:dyDescent="0.2">
      <c r="A113" s="14"/>
      <c r="B113" s="8" t="s">
        <v>72</v>
      </c>
      <c r="C113" s="359" t="s">
        <v>73</v>
      </c>
      <c r="D113" s="359"/>
      <c r="E113" s="104">
        <v>158.09396162228384</v>
      </c>
      <c r="F113" s="105" t="s">
        <v>74</v>
      </c>
      <c r="I113" s="90"/>
      <c r="J113" s="99"/>
    </row>
    <row r="114" spans="1:18" x14ac:dyDescent="0.2">
      <c r="A114" s="14"/>
      <c r="C114" s="359" t="s">
        <v>75</v>
      </c>
      <c r="D114" s="359"/>
      <c r="E114" s="104">
        <v>158.09396162228384</v>
      </c>
      <c r="F114" s="105" t="s">
        <v>74</v>
      </c>
      <c r="P114" s="50"/>
    </row>
    <row r="115" spans="1:18" ht="18" customHeight="1" x14ac:dyDescent="0.2">
      <c r="A115" s="14"/>
      <c r="F115" s="8"/>
      <c r="G115" s="8"/>
      <c r="H115" s="8"/>
      <c r="I115" s="8"/>
      <c r="O115" s="50"/>
      <c r="P115" s="106"/>
    </row>
    <row r="116" spans="1:18" x14ac:dyDescent="0.2">
      <c r="A116" s="14"/>
      <c r="F116" s="8"/>
      <c r="G116" s="8"/>
      <c r="H116" s="8"/>
      <c r="I116" s="8"/>
      <c r="J116" s="8"/>
      <c r="P116" s="50"/>
      <c r="Q116" s="106"/>
    </row>
    <row r="117" spans="1:18" x14ac:dyDescent="0.2">
      <c r="A117" s="14"/>
      <c r="F117" s="8"/>
      <c r="G117" s="8"/>
      <c r="H117" s="8"/>
      <c r="I117" s="8"/>
      <c r="J117" s="8"/>
      <c r="P117" s="50"/>
      <c r="Q117" s="106"/>
    </row>
    <row r="118" spans="1:18" x14ac:dyDescent="0.2">
      <c r="A118" s="2"/>
      <c r="B118" s="3"/>
      <c r="C118" s="22" t="s">
        <v>8</v>
      </c>
      <c r="D118" s="22" t="s">
        <v>9</v>
      </c>
      <c r="F118" s="8"/>
      <c r="G118" s="8"/>
      <c r="H118" s="8"/>
      <c r="I118" s="8"/>
      <c r="J118" s="107"/>
    </row>
    <row r="119" spans="1:18" x14ac:dyDescent="0.2">
      <c r="A119" s="2"/>
      <c r="B119" s="108" t="s">
        <v>76</v>
      </c>
      <c r="C119" s="65">
        <v>0.86519999999999975</v>
      </c>
      <c r="D119" s="65">
        <v>1.1569000000000003</v>
      </c>
      <c r="E119" s="8" t="s">
        <v>77</v>
      </c>
      <c r="F119" s="109" t="s">
        <v>78</v>
      </c>
      <c r="I119" s="8"/>
      <c r="J119" s="107"/>
      <c r="K119" s="110"/>
      <c r="Q119" s="111"/>
      <c r="R119" s="111"/>
    </row>
    <row r="120" spans="1:18" x14ac:dyDescent="0.2">
      <c r="A120" s="2"/>
      <c r="F120" s="8"/>
      <c r="H120" s="8"/>
      <c r="I120" s="8"/>
      <c r="J120" s="107"/>
      <c r="K120" s="110"/>
      <c r="Q120" s="111"/>
      <c r="R120" s="111"/>
    </row>
    <row r="121" spans="1:18" x14ac:dyDescent="0.2">
      <c r="A121" s="1"/>
      <c r="B121" s="8"/>
      <c r="C121" s="8"/>
      <c r="D121" s="8"/>
      <c r="E121" s="8"/>
      <c r="F121" s="8"/>
      <c r="G121" s="8"/>
      <c r="H121" s="8"/>
      <c r="I121" s="8"/>
      <c r="J121" s="8"/>
    </row>
    <row r="122" spans="1:18" x14ac:dyDescent="0.2">
      <c r="A122" s="2" t="s">
        <v>79</v>
      </c>
      <c r="B122" s="10" t="s">
        <v>80</v>
      </c>
      <c r="D122" s="8"/>
      <c r="I122" s="8"/>
      <c r="J122" s="8"/>
    </row>
    <row r="123" spans="1:18" x14ac:dyDescent="0.2">
      <c r="A123" s="2"/>
      <c r="B123" s="8" t="s">
        <v>81</v>
      </c>
      <c r="D123" s="104">
        <v>2</v>
      </c>
      <c r="E123" s="112" t="s">
        <v>82</v>
      </c>
      <c r="I123" s="8"/>
      <c r="J123" s="8"/>
    </row>
    <row r="124" spans="1:18" x14ac:dyDescent="0.2">
      <c r="A124" s="2"/>
      <c r="B124" s="8" t="s">
        <v>83</v>
      </c>
      <c r="D124" s="104">
        <v>19.169999999999998</v>
      </c>
      <c r="E124" s="112" t="s">
        <v>82</v>
      </c>
      <c r="I124" s="8"/>
      <c r="J124" s="8"/>
    </row>
    <row r="125" spans="1:18" x14ac:dyDescent="0.2">
      <c r="A125" s="14"/>
      <c r="B125" s="11"/>
      <c r="E125" s="112"/>
    </row>
    <row r="126" spans="1:18" x14ac:dyDescent="0.2">
      <c r="A126" s="14"/>
      <c r="B126" s="11"/>
      <c r="F126" s="112"/>
    </row>
    <row r="127" spans="1:18" x14ac:dyDescent="0.2">
      <c r="A127" s="14"/>
      <c r="B127" s="10"/>
      <c r="E127" s="113"/>
      <c r="F127" s="112"/>
    </row>
    <row r="128" spans="1:18" x14ac:dyDescent="0.2">
      <c r="A128" s="2"/>
      <c r="B128" s="10"/>
    </row>
    <row r="129" spans="1:13" x14ac:dyDescent="0.2">
      <c r="A129" s="2" t="s">
        <v>84</v>
      </c>
      <c r="B129" s="10" t="s">
        <v>85</v>
      </c>
    </row>
    <row r="130" spans="1:13" x14ac:dyDescent="0.2">
      <c r="A130" s="2"/>
      <c r="B130" s="10" t="s">
        <v>86</v>
      </c>
      <c r="C130" s="5"/>
      <c r="D130" s="104">
        <v>287.76</v>
      </c>
      <c r="E130" s="5" t="s">
        <v>87</v>
      </c>
      <c r="F130" s="5"/>
      <c r="G130" s="5"/>
      <c r="H130" s="5"/>
      <c r="I130" s="5"/>
      <c r="J130" s="5"/>
    </row>
    <row r="131" spans="1:13" x14ac:dyDescent="0.2">
      <c r="A131" s="2"/>
      <c r="B131" s="10"/>
    </row>
    <row r="132" spans="1:13" x14ac:dyDescent="0.2">
      <c r="A132" s="14"/>
      <c r="B132" s="50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</row>
    <row r="133" spans="1:13" x14ac:dyDescent="0.2">
      <c r="A133" s="14"/>
      <c r="B133" s="50"/>
      <c r="C133" s="106"/>
      <c r="D133" s="106"/>
      <c r="E133" s="106"/>
      <c r="F133" s="106"/>
      <c r="G133" s="106"/>
      <c r="H133" s="106"/>
      <c r="I133" s="106"/>
      <c r="J133" s="353"/>
      <c r="K133" s="353"/>
      <c r="L133" s="353"/>
      <c r="M133" s="353"/>
    </row>
    <row r="134" spans="1:13" x14ac:dyDescent="0.2">
      <c r="A134" s="14"/>
      <c r="B134" s="50"/>
      <c r="G134" s="106"/>
      <c r="H134" s="106"/>
      <c r="I134" s="106"/>
      <c r="J134" s="40"/>
      <c r="K134" s="353"/>
      <c r="L134" s="353"/>
      <c r="M134" s="353"/>
    </row>
    <row r="135" spans="1:13" ht="63.75" x14ac:dyDescent="0.2">
      <c r="A135" s="114" t="s">
        <v>88</v>
      </c>
      <c r="B135" s="115" t="s">
        <v>89</v>
      </c>
      <c r="C135" s="116" t="s">
        <v>90</v>
      </c>
      <c r="D135" s="116" t="s">
        <v>91</v>
      </c>
      <c r="E135" s="117" t="s">
        <v>92</v>
      </c>
      <c r="G135" s="106"/>
      <c r="H135" s="106"/>
      <c r="I135" s="106"/>
      <c r="J135" s="59"/>
      <c r="K135" s="347"/>
      <c r="L135" s="347"/>
      <c r="M135" s="348"/>
    </row>
    <row r="136" spans="1:13" x14ac:dyDescent="0.2">
      <c r="A136" s="14"/>
      <c r="B136" s="115" t="s">
        <v>93</v>
      </c>
      <c r="C136" s="119">
        <v>90.78</v>
      </c>
      <c r="D136" s="119">
        <v>91.77</v>
      </c>
      <c r="E136" s="119">
        <v>91.77</v>
      </c>
      <c r="G136" s="106"/>
      <c r="H136" s="106"/>
      <c r="I136" s="106"/>
      <c r="J136" s="354"/>
      <c r="K136" s="349"/>
      <c r="L136" s="349"/>
      <c r="M136" s="349"/>
    </row>
    <row r="137" spans="1:13" x14ac:dyDescent="0.2">
      <c r="A137" s="14"/>
      <c r="B137" s="115" t="s">
        <v>94</v>
      </c>
      <c r="C137" s="120">
        <v>28</v>
      </c>
      <c r="D137" s="120">
        <v>29</v>
      </c>
      <c r="E137" s="120">
        <v>28</v>
      </c>
      <c r="G137" s="106"/>
      <c r="H137" s="106"/>
      <c r="I137" s="106"/>
      <c r="J137" s="40"/>
      <c r="K137" s="350"/>
      <c r="L137" s="350"/>
      <c r="M137" s="350"/>
    </row>
    <row r="138" spans="1:13" x14ac:dyDescent="0.2">
      <c r="A138" s="14"/>
      <c r="B138" s="15" t="s">
        <v>95</v>
      </c>
      <c r="C138" s="121"/>
      <c r="D138" s="121"/>
      <c r="E138" s="122" t="s">
        <v>96</v>
      </c>
      <c r="G138" s="106"/>
      <c r="H138" s="106"/>
      <c r="I138" s="106"/>
      <c r="J138" s="40"/>
      <c r="K138" s="40"/>
      <c r="L138" s="40"/>
      <c r="M138" s="351"/>
    </row>
    <row r="139" spans="1:13" x14ac:dyDescent="0.2">
      <c r="A139" s="14"/>
      <c r="B139" s="10" t="s">
        <v>97</v>
      </c>
      <c r="F139" s="106"/>
      <c r="G139" s="106"/>
      <c r="H139" s="106"/>
      <c r="I139" s="106"/>
      <c r="J139" s="40"/>
      <c r="K139" s="40"/>
      <c r="L139" s="40"/>
      <c r="M139" s="40"/>
    </row>
    <row r="140" spans="1:13" x14ac:dyDescent="0.2">
      <c r="A140" s="2"/>
      <c r="B140" s="123" t="s">
        <v>98</v>
      </c>
      <c r="C140" s="124">
        <v>1</v>
      </c>
      <c r="D140" s="124">
        <v>1</v>
      </c>
      <c r="E140" s="124">
        <v>1</v>
      </c>
      <c r="F140" s="106"/>
      <c r="G140" s="106"/>
      <c r="H140" s="106"/>
      <c r="I140" s="106"/>
      <c r="J140" s="40"/>
      <c r="K140" s="352"/>
      <c r="L140" s="352"/>
      <c r="M140" s="352"/>
    </row>
    <row r="141" spans="1:13" x14ac:dyDescent="0.2">
      <c r="A141" s="14"/>
      <c r="B141" s="123" t="s">
        <v>99</v>
      </c>
      <c r="C141" s="124">
        <v>1</v>
      </c>
      <c r="D141" s="124">
        <v>1</v>
      </c>
      <c r="E141" s="124">
        <v>1</v>
      </c>
      <c r="F141" s="106"/>
      <c r="G141" s="106"/>
      <c r="H141" s="106"/>
      <c r="I141" s="106"/>
      <c r="J141" s="40"/>
      <c r="K141" s="352"/>
      <c r="L141" s="352"/>
      <c r="M141" s="352"/>
    </row>
    <row r="142" spans="1:13" x14ac:dyDescent="0.2">
      <c r="A142" s="14"/>
      <c r="B142" s="10"/>
    </row>
    <row r="143" spans="1:13" x14ac:dyDescent="0.2">
      <c r="A143" s="14"/>
      <c r="B143" s="11"/>
      <c r="G143" s="106"/>
    </row>
    <row r="144" spans="1:13" x14ac:dyDescent="0.2">
      <c r="A144" s="14"/>
      <c r="B144" s="11"/>
    </row>
    <row r="145" spans="1:11" x14ac:dyDescent="0.2">
      <c r="A145" s="14"/>
      <c r="C145" s="5"/>
      <c r="D145" s="5"/>
      <c r="E145" s="5"/>
      <c r="F145" s="5"/>
      <c r="G145" s="5"/>
      <c r="H145" s="5"/>
      <c r="I145" s="5"/>
      <c r="J145" s="5"/>
    </row>
    <row r="146" spans="1:11" x14ac:dyDescent="0.2">
      <c r="A146" s="14"/>
      <c r="C146" s="5"/>
      <c r="D146" s="5"/>
      <c r="E146" s="118"/>
      <c r="F146" s="125"/>
      <c r="G146" s="5"/>
    </row>
    <row r="147" spans="1:11" x14ac:dyDescent="0.2">
      <c r="A147" s="14"/>
      <c r="B147" s="30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1:11" x14ac:dyDescent="0.2">
      <c r="A148" s="14"/>
      <c r="B148" s="57"/>
      <c r="C148" s="118"/>
      <c r="D148" s="118"/>
      <c r="E148" s="118"/>
      <c r="F148" s="118"/>
      <c r="G148" s="118"/>
      <c r="H148" s="118"/>
      <c r="I148" s="118"/>
      <c r="J148" s="118"/>
    </row>
    <row r="149" spans="1:11" x14ac:dyDescent="0.2">
      <c r="A149" s="14"/>
      <c r="B149" s="57"/>
      <c r="C149" s="118"/>
      <c r="D149" s="118"/>
      <c r="E149" s="118"/>
      <c r="F149" s="118"/>
      <c r="G149" s="118"/>
      <c r="H149" s="118"/>
      <c r="I149" s="118"/>
      <c r="J149" s="118"/>
    </row>
    <row r="150" spans="1:11" x14ac:dyDescent="0.2">
      <c r="A150" s="14"/>
      <c r="B150" s="107"/>
      <c r="C150" s="118"/>
      <c r="D150" s="118"/>
      <c r="E150" s="118"/>
      <c r="F150" s="118"/>
      <c r="G150" s="118"/>
      <c r="H150" s="118"/>
      <c r="I150" s="118"/>
      <c r="J150" s="118"/>
    </row>
    <row r="151" spans="1:11" x14ac:dyDescent="0.2">
      <c r="A151" s="14"/>
      <c r="B151" s="107"/>
      <c r="C151" s="118"/>
      <c r="D151" s="118"/>
      <c r="E151" s="118"/>
      <c r="F151" s="118"/>
      <c r="G151" s="118"/>
      <c r="H151" s="118"/>
      <c r="I151" s="118"/>
      <c r="J151" s="118"/>
    </row>
    <row r="152" spans="1:11" x14ac:dyDescent="0.2">
      <c r="A152" s="14"/>
      <c r="C152" s="118"/>
      <c r="D152" s="118"/>
      <c r="E152" s="118"/>
      <c r="F152" s="118"/>
      <c r="G152" s="118"/>
      <c r="H152" s="118"/>
      <c r="I152" s="118"/>
      <c r="J152" s="118"/>
    </row>
    <row r="153" spans="1:11" x14ac:dyDescent="0.2">
      <c r="A153" s="14"/>
      <c r="B153" s="30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1:11" x14ac:dyDescent="0.2">
      <c r="A154" s="14"/>
      <c r="B154" s="57"/>
      <c r="C154" s="118"/>
      <c r="D154" s="118"/>
      <c r="E154" s="118"/>
      <c r="F154" s="118"/>
      <c r="G154" s="118"/>
      <c r="H154" s="118"/>
      <c r="I154" s="118"/>
      <c r="J154" s="118"/>
    </row>
    <row r="155" spans="1:11" x14ac:dyDescent="0.2">
      <c r="A155" s="14"/>
      <c r="B155" s="57"/>
      <c r="C155" s="118"/>
      <c r="D155" s="118"/>
      <c r="E155" s="118"/>
      <c r="F155" s="118"/>
      <c r="G155" s="118"/>
      <c r="H155" s="118"/>
      <c r="I155" s="118"/>
      <c r="J155" s="118"/>
    </row>
    <row r="156" spans="1:11" x14ac:dyDescent="0.2">
      <c r="A156" s="14"/>
      <c r="C156" s="118"/>
      <c r="D156" s="118"/>
      <c r="E156" s="118"/>
      <c r="F156" s="118"/>
      <c r="G156" s="118"/>
      <c r="H156" s="118"/>
      <c r="I156" s="118"/>
      <c r="J156" s="118"/>
    </row>
    <row r="157" spans="1:11" x14ac:dyDescent="0.2">
      <c r="A157" s="14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1:11" x14ac:dyDescent="0.2">
      <c r="A158" s="14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1:11" x14ac:dyDescent="0.2">
      <c r="A159" s="14"/>
      <c r="B159" s="10"/>
      <c r="D159" s="8"/>
      <c r="F159" s="118"/>
    </row>
    <row r="160" spans="1:11" x14ac:dyDescent="0.2">
      <c r="A160" s="14"/>
      <c r="B160" s="11"/>
      <c r="D160" s="8"/>
      <c r="F160" s="118"/>
    </row>
    <row r="161" spans="1:15" x14ac:dyDescent="0.2">
      <c r="A161" s="14"/>
      <c r="B161" s="11"/>
      <c r="E161" s="126"/>
      <c r="F161" s="118"/>
    </row>
    <row r="162" spans="1:15" x14ac:dyDescent="0.2">
      <c r="A162" s="14"/>
      <c r="C162" s="5"/>
      <c r="D162" s="5"/>
      <c r="E162" s="5"/>
      <c r="H162" s="10"/>
      <c r="I162" s="5"/>
      <c r="J162" s="5"/>
    </row>
    <row r="163" spans="1:15" x14ac:dyDescent="0.2">
      <c r="A163" s="14"/>
      <c r="C163" s="5"/>
      <c r="D163" s="5"/>
      <c r="E163" s="126"/>
      <c r="F163" s="10"/>
    </row>
    <row r="164" spans="1:15" x14ac:dyDescent="0.2">
      <c r="A164" s="14"/>
      <c r="B164" s="30"/>
      <c r="C164" s="118"/>
      <c r="D164" s="118"/>
      <c r="E164" s="127"/>
      <c r="H164" s="128"/>
    </row>
    <row r="165" spans="1:15" x14ac:dyDescent="0.2">
      <c r="A165" s="14"/>
      <c r="B165" s="57"/>
      <c r="C165" s="118"/>
      <c r="D165" s="118"/>
      <c r="E165" s="126"/>
      <c r="H165" s="50"/>
      <c r="I165" s="129"/>
      <c r="J165" s="129"/>
      <c r="K165" s="112"/>
      <c r="O165" s="130"/>
    </row>
    <row r="166" spans="1:15" x14ac:dyDescent="0.2">
      <c r="A166" s="14"/>
      <c r="B166" s="57"/>
      <c r="C166" s="118"/>
      <c r="D166" s="118"/>
      <c r="H166" s="50"/>
      <c r="I166" s="129"/>
      <c r="J166" s="129"/>
      <c r="K166" s="112"/>
    </row>
    <row r="167" spans="1:15" x14ac:dyDescent="0.2">
      <c r="A167" s="14"/>
      <c r="C167" s="118"/>
      <c r="D167" s="118"/>
      <c r="H167" s="50"/>
      <c r="I167" s="129"/>
      <c r="J167" s="129"/>
      <c r="K167" s="112"/>
    </row>
    <row r="168" spans="1:15" x14ac:dyDescent="0.2">
      <c r="A168" s="14"/>
      <c r="B168" s="30"/>
      <c r="C168" s="118"/>
      <c r="D168" s="118"/>
    </row>
    <row r="169" spans="1:15" x14ac:dyDescent="0.2">
      <c r="A169" s="14"/>
      <c r="B169" s="57"/>
      <c r="C169" s="118"/>
      <c r="D169" s="118"/>
      <c r="H169" s="128"/>
      <c r="I169" s="131"/>
      <c r="J169" s="131"/>
      <c r="K169" s="112"/>
    </row>
    <row r="170" spans="1:15" x14ac:dyDescent="0.2">
      <c r="A170" s="14"/>
      <c r="B170" s="57"/>
      <c r="C170" s="118"/>
      <c r="D170" s="118"/>
      <c r="H170" s="50"/>
      <c r="I170" s="129"/>
      <c r="J170" s="129"/>
      <c r="K170" s="112"/>
    </row>
    <row r="171" spans="1:15" x14ac:dyDescent="0.2">
      <c r="A171" s="14"/>
      <c r="B171" s="57"/>
      <c r="C171" s="118"/>
      <c r="D171" s="118"/>
    </row>
    <row r="172" spans="1:15" x14ac:dyDescent="0.2">
      <c r="A172" s="14"/>
      <c r="C172" s="118"/>
      <c r="D172" s="118"/>
    </row>
    <row r="173" spans="1:15" x14ac:dyDescent="0.2">
      <c r="A173" s="14"/>
      <c r="C173" s="118"/>
      <c r="D173" s="118"/>
    </row>
    <row r="174" spans="1:15" x14ac:dyDescent="0.2">
      <c r="A174" s="14"/>
      <c r="B174" s="132"/>
      <c r="C174" s="118"/>
      <c r="D174" s="118"/>
    </row>
    <row r="175" spans="1:15" x14ac:dyDescent="0.2">
      <c r="A175" s="14"/>
      <c r="B175" s="30"/>
      <c r="C175" s="118"/>
      <c r="D175" s="118"/>
    </row>
    <row r="176" spans="1:15" x14ac:dyDescent="0.2">
      <c r="A176" s="14"/>
      <c r="B176" s="57"/>
      <c r="C176" s="118"/>
      <c r="D176" s="118"/>
    </row>
    <row r="177" spans="1:7" x14ac:dyDescent="0.2">
      <c r="A177" s="14"/>
      <c r="B177" s="57"/>
      <c r="C177" s="118"/>
      <c r="D177" s="118"/>
    </row>
    <row r="178" spans="1:7" x14ac:dyDescent="0.2">
      <c r="A178" s="14"/>
      <c r="C178" s="118"/>
      <c r="D178" s="118"/>
    </row>
    <row r="179" spans="1:7" x14ac:dyDescent="0.2">
      <c r="A179" s="14"/>
      <c r="B179" s="30"/>
      <c r="C179" s="118"/>
      <c r="D179" s="118"/>
    </row>
    <row r="180" spans="1:7" x14ac:dyDescent="0.2">
      <c r="A180" s="14"/>
      <c r="B180" s="57"/>
      <c r="C180" s="118"/>
      <c r="D180" s="118"/>
    </row>
    <row r="181" spans="1:7" x14ac:dyDescent="0.2">
      <c r="A181" s="14"/>
      <c r="B181" s="57"/>
      <c r="C181" s="118"/>
      <c r="D181" s="118"/>
    </row>
    <row r="182" spans="1:7" x14ac:dyDescent="0.2">
      <c r="A182" s="14"/>
      <c r="B182" s="57"/>
      <c r="C182" s="118"/>
      <c r="D182" s="118"/>
    </row>
    <row r="183" spans="1:7" x14ac:dyDescent="0.2">
      <c r="A183" s="14"/>
      <c r="C183" s="118"/>
      <c r="D183" s="118"/>
    </row>
    <row r="184" spans="1:7" x14ac:dyDescent="0.2">
      <c r="A184" s="14"/>
      <c r="C184" s="133"/>
      <c r="D184" s="133"/>
    </row>
    <row r="185" spans="1:7" x14ac:dyDescent="0.2">
      <c r="A185" s="14"/>
      <c r="B185" s="10"/>
      <c r="C185" s="118"/>
      <c r="D185" s="118"/>
    </row>
    <row r="186" spans="1:7" x14ac:dyDescent="0.2">
      <c r="A186" s="14"/>
      <c r="B186" s="50"/>
      <c r="C186" s="95"/>
      <c r="G186" s="100"/>
    </row>
    <row r="187" spans="1:7" x14ac:dyDescent="0.2">
      <c r="A187" s="14"/>
      <c r="C187" s="50"/>
      <c r="D187" s="106"/>
    </row>
    <row r="188" spans="1:7" x14ac:dyDescent="0.2">
      <c r="A188" s="14"/>
      <c r="C188" s="50"/>
      <c r="D188" s="106"/>
    </row>
    <row r="189" spans="1:7" x14ac:dyDescent="0.2">
      <c r="A189" s="14"/>
    </row>
    <row r="190" spans="1:7" x14ac:dyDescent="0.2">
      <c r="A190" s="14"/>
      <c r="E190" s="131"/>
    </row>
    <row r="191" spans="1:7" x14ac:dyDescent="0.2">
      <c r="A191" s="2"/>
      <c r="B191" s="10"/>
    </row>
    <row r="192" spans="1:7" x14ac:dyDescent="0.2">
      <c r="A192" s="14"/>
      <c r="B192" s="10"/>
    </row>
    <row r="193" spans="1:13" x14ac:dyDescent="0.2">
      <c r="A193" s="14"/>
      <c r="B193" s="10"/>
    </row>
    <row r="194" spans="1:13" x14ac:dyDescent="0.2">
      <c r="A194" s="14"/>
      <c r="B194" s="11"/>
    </row>
    <row r="195" spans="1:13" x14ac:dyDescent="0.2">
      <c r="A195" s="14"/>
      <c r="B195" s="10"/>
    </row>
    <row r="196" spans="1:13" x14ac:dyDescent="0.2">
      <c r="A196" s="14"/>
      <c r="C196" s="5"/>
      <c r="D196" s="5"/>
      <c r="E196" s="5"/>
      <c r="F196" s="5"/>
      <c r="G196" s="5"/>
      <c r="H196" s="5"/>
      <c r="I196" s="5"/>
      <c r="J196" s="5"/>
    </row>
    <row r="197" spans="1:13" x14ac:dyDescent="0.2">
      <c r="A197" s="14"/>
      <c r="C197" s="5"/>
      <c r="D197" s="5"/>
      <c r="E197" s="5"/>
      <c r="F197" s="5"/>
      <c r="G197" s="5"/>
    </row>
    <row r="198" spans="1:13" x14ac:dyDescent="0.2">
      <c r="A198" s="14"/>
      <c r="B198" s="30"/>
      <c r="E198" s="134"/>
      <c r="F198" s="135"/>
      <c r="G198" s="135"/>
      <c r="H198" s="135"/>
      <c r="I198" s="134"/>
      <c r="J198" s="134"/>
      <c r="K198" s="136"/>
      <c r="L198" s="136"/>
      <c r="M198" s="136"/>
    </row>
    <row r="199" spans="1:13" x14ac:dyDescent="0.2">
      <c r="A199" s="14"/>
      <c r="B199" s="57"/>
      <c r="C199" s="137"/>
      <c r="D199" s="138"/>
      <c r="E199" s="135"/>
      <c r="F199" s="134"/>
      <c r="G199" s="134"/>
      <c r="H199" s="134"/>
      <c r="I199" s="8"/>
      <c r="J199" s="139"/>
      <c r="K199" s="136"/>
      <c r="L199" s="136"/>
      <c r="M199" s="136"/>
    </row>
    <row r="200" spans="1:13" x14ac:dyDescent="0.2">
      <c r="A200" s="14"/>
      <c r="B200" s="57"/>
      <c r="C200" s="137"/>
      <c r="D200" s="138"/>
      <c r="E200" s="135"/>
      <c r="F200" s="134"/>
      <c r="G200" s="134"/>
      <c r="H200" s="140"/>
      <c r="I200" s="8"/>
      <c r="J200" s="139"/>
      <c r="K200" s="141"/>
      <c r="L200" s="136"/>
      <c r="M200" s="136"/>
    </row>
    <row r="201" spans="1:13" x14ac:dyDescent="0.2">
      <c r="A201" s="14"/>
      <c r="E201" s="137"/>
      <c r="F201" s="138"/>
      <c r="G201" s="138"/>
      <c r="L201" s="136"/>
      <c r="M201" s="136"/>
    </row>
    <row r="202" spans="1:13" x14ac:dyDescent="0.2">
      <c r="A202" s="14"/>
      <c r="B202" s="142"/>
      <c r="C202" s="135"/>
      <c r="D202" s="135"/>
      <c r="E202" s="137"/>
      <c r="F202" s="138"/>
      <c r="G202" s="138"/>
      <c r="H202" s="138"/>
      <c r="I202" s="138"/>
      <c r="J202" s="138"/>
      <c r="K202" s="136"/>
      <c r="L202" s="136"/>
      <c r="M202" s="136"/>
    </row>
    <row r="203" spans="1:13" x14ac:dyDescent="0.2">
      <c r="A203" s="2"/>
      <c r="B203" s="142"/>
      <c r="C203" s="143"/>
      <c r="D203" s="143"/>
      <c r="E203" s="6"/>
      <c r="F203" s="138"/>
      <c r="G203" s="138"/>
      <c r="H203" s="138"/>
      <c r="I203" s="138"/>
      <c r="J203" s="138"/>
      <c r="K203" s="136"/>
      <c r="L203" s="136"/>
      <c r="M203" s="136"/>
    </row>
    <row r="204" spans="1:13" x14ac:dyDescent="0.2">
      <c r="A204" s="2"/>
      <c r="B204" s="142"/>
      <c r="C204" s="143"/>
      <c r="D204" s="143"/>
      <c r="E204" s="6"/>
      <c r="F204" s="138"/>
      <c r="G204" s="138"/>
      <c r="H204" s="138"/>
      <c r="I204" s="138"/>
      <c r="J204" s="138"/>
      <c r="K204" s="136"/>
      <c r="L204" s="136"/>
      <c r="M204" s="136"/>
    </row>
    <row r="205" spans="1:13" x14ac:dyDescent="0.2">
      <c r="A205" s="14"/>
      <c r="G205" s="138"/>
      <c r="H205" s="138"/>
      <c r="I205" s="138"/>
      <c r="J205" s="138"/>
      <c r="K205" s="136"/>
      <c r="L205" s="136"/>
      <c r="M205" s="136"/>
    </row>
    <row r="206" spans="1:13" x14ac:dyDescent="0.2">
      <c r="A206" s="14"/>
      <c r="H206" s="138"/>
      <c r="I206" s="138"/>
      <c r="J206" s="138"/>
      <c r="K206" s="136"/>
      <c r="L206" s="136"/>
      <c r="M206" s="136"/>
    </row>
    <row r="207" spans="1:13" x14ac:dyDescent="0.2">
      <c r="A207" s="14"/>
      <c r="C207" s="138"/>
      <c r="D207" s="138"/>
      <c r="E207" s="138"/>
      <c r="F207" s="138"/>
      <c r="G207" s="138"/>
      <c r="H207" s="138"/>
      <c r="I207" s="138"/>
      <c r="J207" s="138"/>
      <c r="K207" s="136"/>
      <c r="L207" s="136"/>
      <c r="M207" s="136"/>
    </row>
    <row r="208" spans="1:13" x14ac:dyDescent="0.2">
      <c r="A208" s="14"/>
      <c r="B208" s="30"/>
      <c r="C208" s="135"/>
      <c r="D208" s="135"/>
      <c r="E208" s="134"/>
      <c r="F208" s="135"/>
      <c r="G208" s="135"/>
      <c r="H208" s="135"/>
      <c r="I208" s="134"/>
      <c r="J208" s="134"/>
      <c r="K208" s="136"/>
      <c r="L208" s="136"/>
      <c r="M208" s="136"/>
    </row>
    <row r="209" spans="1:13" x14ac:dyDescent="0.2">
      <c r="A209" s="14"/>
      <c r="B209" s="57"/>
      <c r="C209" s="138"/>
      <c r="D209" s="138"/>
      <c r="E209" s="135"/>
      <c r="F209" s="138"/>
      <c r="G209" s="138"/>
      <c r="H209" s="138"/>
      <c r="J209" s="139"/>
      <c r="K209" s="136"/>
      <c r="L209" s="136"/>
      <c r="M209" s="136"/>
    </row>
    <row r="210" spans="1:13" x14ac:dyDescent="0.2">
      <c r="A210" s="14"/>
      <c r="B210" s="57"/>
      <c r="C210" s="138"/>
      <c r="D210" s="138"/>
      <c r="E210" s="135"/>
      <c r="F210" s="138"/>
      <c r="G210" s="138"/>
      <c r="J210" s="139"/>
      <c r="K210" s="141"/>
      <c r="L210" s="136"/>
      <c r="M210" s="136"/>
    </row>
    <row r="211" spans="1:13" x14ac:dyDescent="0.2">
      <c r="A211" s="14"/>
      <c r="C211" s="138"/>
      <c r="D211" s="138"/>
      <c r="E211" s="138"/>
      <c r="F211" s="138"/>
      <c r="G211" s="138"/>
      <c r="K211" s="136"/>
      <c r="L211" s="136"/>
      <c r="M211" s="136"/>
    </row>
    <row r="212" spans="1:13" x14ac:dyDescent="0.2">
      <c r="A212" s="14"/>
      <c r="C212" s="134"/>
      <c r="D212" s="134"/>
      <c r="E212" s="134"/>
      <c r="F212" s="134"/>
      <c r="G212" s="134"/>
      <c r="H212" s="134"/>
      <c r="I212" s="134"/>
      <c r="J212" s="134"/>
      <c r="K212" s="136"/>
      <c r="L212" s="136"/>
      <c r="M212" s="136"/>
    </row>
    <row r="213" spans="1:13" x14ac:dyDescent="0.2">
      <c r="A213" s="14"/>
    </row>
    <row r="214" spans="1:13" x14ac:dyDescent="0.2">
      <c r="A214" s="14"/>
    </row>
    <row r="215" spans="1:13" x14ac:dyDescent="0.2">
      <c r="A215" s="14"/>
      <c r="B215" s="10"/>
    </row>
    <row r="216" spans="1:13" x14ac:dyDescent="0.2">
      <c r="A216" s="14"/>
      <c r="B216" s="11"/>
    </row>
    <row r="217" spans="1:13" x14ac:dyDescent="0.2">
      <c r="A217" s="14"/>
      <c r="B217" s="8"/>
    </row>
    <row r="218" spans="1:13" x14ac:dyDescent="0.2">
      <c r="A218" s="14"/>
      <c r="C218" s="5"/>
      <c r="D218" s="5"/>
      <c r="E218" s="5"/>
      <c r="F218" s="5"/>
      <c r="H218" s="10"/>
    </row>
    <row r="219" spans="1:13" x14ac:dyDescent="0.2">
      <c r="A219" s="14"/>
      <c r="C219" s="5"/>
      <c r="D219" s="144"/>
      <c r="E219" s="5"/>
      <c r="F219" s="144"/>
    </row>
    <row r="220" spans="1:13" x14ac:dyDescent="0.2">
      <c r="A220" s="14"/>
      <c r="B220" s="30"/>
      <c r="C220" s="135"/>
      <c r="D220" s="141"/>
      <c r="E220" s="140"/>
      <c r="F220" s="140"/>
      <c r="H220" s="128"/>
    </row>
    <row r="221" spans="1:13" x14ac:dyDescent="0.2">
      <c r="A221" s="14"/>
      <c r="B221" s="57"/>
      <c r="C221" s="134"/>
      <c r="D221" s="141"/>
      <c r="E221" s="135"/>
      <c r="F221" s="141"/>
      <c r="H221" s="50"/>
      <c r="I221" s="145"/>
      <c r="J221" s="145"/>
      <c r="K221" s="112"/>
    </row>
    <row r="222" spans="1:13" x14ac:dyDescent="0.2">
      <c r="A222" s="14"/>
      <c r="B222" s="57"/>
      <c r="C222" s="134"/>
      <c r="D222" s="141"/>
      <c r="E222" s="135"/>
      <c r="F222" s="141"/>
      <c r="H222" s="50"/>
      <c r="I222" s="145"/>
      <c r="J222" s="145"/>
      <c r="K222" s="112"/>
    </row>
    <row r="223" spans="1:13" x14ac:dyDescent="0.2">
      <c r="A223" s="14"/>
      <c r="C223" s="134"/>
      <c r="D223" s="141"/>
      <c r="E223" s="134"/>
      <c r="F223" s="141"/>
      <c r="H223" s="50"/>
      <c r="I223" s="145"/>
      <c r="J223" s="145"/>
      <c r="K223" s="112"/>
    </row>
    <row r="224" spans="1:13" x14ac:dyDescent="0.2">
      <c r="A224" s="14"/>
      <c r="B224" s="30"/>
      <c r="C224" s="135"/>
      <c r="D224" s="141"/>
      <c r="E224" s="135"/>
      <c r="F224" s="141"/>
    </row>
    <row r="225" spans="1:11" x14ac:dyDescent="0.2">
      <c r="A225" s="14"/>
      <c r="B225" s="57"/>
      <c r="C225" s="134"/>
      <c r="D225" s="140"/>
      <c r="E225" s="135"/>
      <c r="F225" s="141"/>
      <c r="H225" s="128"/>
      <c r="I225" s="131"/>
      <c r="J225" s="131"/>
    </row>
    <row r="226" spans="1:11" x14ac:dyDescent="0.2">
      <c r="A226" s="14"/>
      <c r="B226" s="57"/>
      <c r="C226" s="134"/>
      <c r="D226" s="140"/>
      <c r="E226" s="135"/>
      <c r="F226" s="141"/>
      <c r="H226" s="50"/>
      <c r="I226" s="145"/>
      <c r="J226" s="145"/>
      <c r="K226" s="112"/>
    </row>
    <row r="227" spans="1:11" x14ac:dyDescent="0.2">
      <c r="A227" s="14"/>
      <c r="C227" s="134"/>
      <c r="D227" s="140"/>
      <c r="E227" s="134"/>
      <c r="F227" s="140"/>
    </row>
    <row r="228" spans="1:11" x14ac:dyDescent="0.2">
      <c r="A228" s="14"/>
      <c r="C228" s="134"/>
      <c r="D228" s="140"/>
      <c r="E228" s="134"/>
      <c r="F228" s="140"/>
    </row>
    <row r="229" spans="1:11" x14ac:dyDescent="0.2">
      <c r="A229" s="14"/>
      <c r="C229" s="136"/>
      <c r="E229" s="136"/>
    </row>
    <row r="230" spans="1:11" x14ac:dyDescent="0.2">
      <c r="A230" s="14"/>
      <c r="C230" s="136"/>
      <c r="E230" s="136"/>
    </row>
    <row r="232" spans="1:11" x14ac:dyDescent="0.2">
      <c r="A232" s="10"/>
      <c r="E232" s="110"/>
    </row>
    <row r="233" spans="1:11" x14ac:dyDescent="0.2">
      <c r="A233" s="14"/>
      <c r="B233" s="50"/>
      <c r="C233" s="127"/>
      <c r="D233" s="112"/>
      <c r="E233" s="4"/>
    </row>
    <row r="234" spans="1:11" x14ac:dyDescent="0.2">
      <c r="A234" s="14"/>
      <c r="B234" s="50"/>
      <c r="C234" s="127"/>
      <c r="D234" s="112"/>
      <c r="E234" s="4"/>
    </row>
    <row r="235" spans="1:11" x14ac:dyDescent="0.2">
      <c r="A235" s="14"/>
      <c r="B235" s="50"/>
    </row>
    <row r="236" spans="1:11" x14ac:dyDescent="0.2">
      <c r="A236" s="14"/>
      <c r="B236" s="50"/>
      <c r="C236" s="127"/>
      <c r="D236" s="112"/>
      <c r="E236" s="113"/>
    </row>
    <row r="237" spans="1:11" x14ac:dyDescent="0.2">
      <c r="A237" s="14"/>
      <c r="B237" s="50"/>
      <c r="C237" s="146"/>
      <c r="E237" s="113"/>
    </row>
    <row r="238" spans="1:11" x14ac:dyDescent="0.2">
      <c r="A238" s="14"/>
      <c r="B238" s="50"/>
      <c r="C238" s="146"/>
      <c r="E238" s="113"/>
    </row>
    <row r="239" spans="1:11" x14ac:dyDescent="0.2">
      <c r="A239" s="14"/>
      <c r="B239" s="50"/>
      <c r="C239" s="147"/>
    </row>
    <row r="240" spans="1:11" x14ac:dyDescent="0.2">
      <c r="A240" s="14"/>
      <c r="B240" s="50"/>
      <c r="C240" s="8"/>
    </row>
    <row r="241" spans="1:13" x14ac:dyDescent="0.2">
      <c r="A241" s="14"/>
      <c r="B241" s="50"/>
      <c r="C241" s="6"/>
    </row>
    <row r="242" spans="1:13" x14ac:dyDescent="0.2">
      <c r="A242" s="14"/>
      <c r="B242" s="50"/>
      <c r="C242" s="4"/>
    </row>
    <row r="243" spans="1:13" x14ac:dyDescent="0.2">
      <c r="A243" s="14"/>
      <c r="B243" s="50"/>
    </row>
    <row r="244" spans="1:13" x14ac:dyDescent="0.2">
      <c r="A244" s="14"/>
      <c r="B244" s="50"/>
    </row>
    <row r="245" spans="1:13" x14ac:dyDescent="0.2">
      <c r="A245" s="14"/>
      <c r="B245" s="50"/>
    </row>
    <row r="247" spans="1:13" x14ac:dyDescent="0.2">
      <c r="B247" s="50"/>
    </row>
    <row r="248" spans="1:13" x14ac:dyDescent="0.2">
      <c r="A248" s="14"/>
      <c r="C248" s="136"/>
      <c r="E248" s="136"/>
    </row>
    <row r="249" spans="1:13" x14ac:dyDescent="0.2">
      <c r="A249" s="14"/>
      <c r="C249" s="136"/>
      <c r="E249" s="136"/>
    </row>
    <row r="250" spans="1:13" x14ac:dyDescent="0.2">
      <c r="A250" s="14"/>
      <c r="C250" s="136"/>
      <c r="E250" s="136"/>
    </row>
    <row r="251" spans="1:13" x14ac:dyDescent="0.2">
      <c r="A251" s="2"/>
      <c r="B251" s="10"/>
    </row>
    <row r="252" spans="1:13" x14ac:dyDescent="0.2">
      <c r="A252" s="14"/>
      <c r="B252" s="10"/>
    </row>
    <row r="253" spans="1:13" x14ac:dyDescent="0.2">
      <c r="A253" s="1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4"/>
    </row>
    <row r="255" spans="1:13" x14ac:dyDescent="0.2">
      <c r="A255" s="14"/>
      <c r="B255" s="38"/>
      <c r="C255" s="148"/>
      <c r="D255" s="148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x14ac:dyDescent="0.2">
      <c r="A256" s="14"/>
      <c r="B256" s="38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x14ac:dyDescent="0.2">
      <c r="A257" s="14"/>
      <c r="B257" s="38"/>
      <c r="C257" s="100"/>
      <c r="D257" s="100"/>
      <c r="E257" s="100"/>
      <c r="F257" s="100"/>
      <c r="G257" s="100"/>
      <c r="H257" s="100"/>
      <c r="I257" s="100"/>
      <c r="J257" s="95"/>
      <c r="K257" s="95"/>
      <c r="L257" s="95"/>
      <c r="M257" s="95"/>
    </row>
    <row r="258" spans="1:13" x14ac:dyDescent="0.2">
      <c r="A258" s="14"/>
      <c r="B258" s="38"/>
    </row>
    <row r="259" spans="1:13" x14ac:dyDescent="0.2">
      <c r="A259" s="14"/>
    </row>
    <row r="260" spans="1:13" x14ac:dyDescent="0.2">
      <c r="A260" s="14"/>
      <c r="B260" s="38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</row>
    <row r="261" spans="1:13" x14ac:dyDescent="0.2">
      <c r="A261" s="14"/>
      <c r="B261" s="38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</row>
    <row r="262" spans="1:13" x14ac:dyDescent="0.2">
      <c r="A262" s="14"/>
    </row>
    <row r="263" spans="1:13" x14ac:dyDescent="0.2">
      <c r="A263" s="14"/>
    </row>
    <row r="264" spans="1:13" x14ac:dyDescent="0.2">
      <c r="A264" s="14"/>
      <c r="B264" s="38"/>
      <c r="C264" s="150"/>
    </row>
    <row r="265" spans="1:13" x14ac:dyDescent="0.2">
      <c r="A265" s="14"/>
      <c r="B265" s="38"/>
      <c r="C265" s="150"/>
    </row>
    <row r="266" spans="1:13" x14ac:dyDescent="0.2">
      <c r="A266" s="14"/>
      <c r="B266" s="38"/>
      <c r="C266" s="100"/>
      <c r="D266" s="130"/>
    </row>
    <row r="267" spans="1:13" x14ac:dyDescent="0.2">
      <c r="A267" s="14"/>
      <c r="L267" s="151"/>
    </row>
    <row r="268" spans="1:13" x14ac:dyDescent="0.2">
      <c r="A268" s="14"/>
      <c r="K268" s="38"/>
    </row>
    <row r="269" spans="1:13" x14ac:dyDescent="0.2">
      <c r="A269" s="14"/>
      <c r="B269" s="38"/>
      <c r="C269" s="149"/>
      <c r="E269" s="110"/>
      <c r="K269" s="38"/>
      <c r="L269" s="70"/>
      <c r="M269" s="152"/>
    </row>
    <row r="270" spans="1:13" x14ac:dyDescent="0.2">
      <c r="A270" s="14"/>
      <c r="B270" s="38"/>
      <c r="C270" s="149"/>
      <c r="E270" s="110"/>
      <c r="K270" s="38"/>
      <c r="L270" s="70"/>
      <c r="M270" s="152"/>
    </row>
    <row r="271" spans="1:13" x14ac:dyDescent="0.2">
      <c r="A271" s="14"/>
    </row>
    <row r="272" spans="1:13" x14ac:dyDescent="0.2">
      <c r="A272" s="14"/>
      <c r="C272" s="136"/>
      <c r="E272" s="136"/>
    </row>
    <row r="273" spans="1:12" x14ac:dyDescent="0.2">
      <c r="A273" s="2"/>
      <c r="B273" s="10"/>
      <c r="C273" s="136"/>
      <c r="E273" s="136"/>
    </row>
    <row r="274" spans="1:12" x14ac:dyDescent="0.2">
      <c r="A274" s="14"/>
      <c r="C274" s="136"/>
      <c r="E274" s="136"/>
    </row>
    <row r="275" spans="1:12" x14ac:dyDescent="0.2">
      <c r="A275" s="14"/>
      <c r="B275" s="50"/>
      <c r="C275" s="118"/>
      <c r="E275" s="153"/>
    </row>
    <row r="276" spans="1:12" x14ac:dyDescent="0.2">
      <c r="A276" s="14"/>
      <c r="B276" s="50"/>
      <c r="C276" s="154"/>
      <c r="E276" s="136"/>
    </row>
    <row r="277" spans="1:12" x14ac:dyDescent="0.2">
      <c r="A277" s="14"/>
      <c r="B277" s="50"/>
      <c r="C277" s="154"/>
      <c r="E277" s="136"/>
    </row>
    <row r="278" spans="1:12" x14ac:dyDescent="0.2">
      <c r="A278" s="14"/>
      <c r="C278" s="136"/>
      <c r="E278" s="136"/>
    </row>
    <row r="279" spans="1:12" x14ac:dyDescent="0.2">
      <c r="A279" s="1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">
      <c r="A280" s="14"/>
    </row>
    <row r="281" spans="1:12" x14ac:dyDescent="0.2">
      <c r="A281" s="14"/>
      <c r="B281" s="38"/>
      <c r="C281" s="95"/>
      <c r="D281" s="95"/>
      <c r="E281" s="155"/>
      <c r="F281" s="95"/>
      <c r="G281" s="95"/>
      <c r="H281" s="95"/>
      <c r="I281" s="95"/>
      <c r="J281" s="95"/>
      <c r="K281" s="155"/>
      <c r="L281" s="155"/>
    </row>
    <row r="282" spans="1:12" x14ac:dyDescent="0.2">
      <c r="A282" s="14"/>
      <c r="B282" s="38"/>
      <c r="C282" s="95"/>
      <c r="D282" s="95"/>
      <c r="E282" s="155"/>
      <c r="F282" s="95"/>
      <c r="G282" s="95"/>
      <c r="H282" s="95"/>
      <c r="I282" s="95"/>
      <c r="J282" s="95"/>
      <c r="K282" s="155"/>
      <c r="L282" s="155"/>
    </row>
    <row r="283" spans="1:12" x14ac:dyDescent="0.2">
      <c r="A283" s="14"/>
      <c r="B283" s="38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</row>
    <row r="284" spans="1:12" x14ac:dyDescent="0.2">
      <c r="A284" s="14"/>
      <c r="B284" s="38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</row>
    <row r="285" spans="1:12" x14ac:dyDescent="0.2">
      <c r="A285" s="14"/>
      <c r="B285" s="38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</row>
    <row r="286" spans="1:12" x14ac:dyDescent="0.2">
      <c r="A286" s="14"/>
      <c r="B286" s="38"/>
      <c r="C286" s="100"/>
      <c r="E286" s="136"/>
    </row>
    <row r="287" spans="1:12" x14ac:dyDescent="0.2">
      <c r="A287" s="14"/>
      <c r="B287" s="38"/>
      <c r="C287" s="100"/>
      <c r="E287" s="136"/>
    </row>
    <row r="288" spans="1:12" x14ac:dyDescent="0.2">
      <c r="A288" s="14"/>
      <c r="B288" s="38"/>
      <c r="C288" s="136"/>
      <c r="E288" s="136"/>
    </row>
    <row r="289" spans="1:12" x14ac:dyDescent="0.2">
      <c r="A289" s="1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">
      <c r="A290" s="14"/>
    </row>
    <row r="291" spans="1:12" x14ac:dyDescent="0.2">
      <c r="A291" s="14"/>
      <c r="B291" s="38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1:12" x14ac:dyDescent="0.2">
      <c r="A292" s="14"/>
      <c r="B292" s="38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1:12" x14ac:dyDescent="0.2">
      <c r="A293" s="14"/>
      <c r="B293" s="38"/>
      <c r="C293" s="100"/>
      <c r="D293" s="100"/>
      <c r="E293" s="100"/>
      <c r="F293" s="100"/>
      <c r="G293" s="100"/>
      <c r="H293" s="100"/>
      <c r="I293" s="100"/>
      <c r="J293" s="95"/>
      <c r="K293" s="95"/>
      <c r="L293" s="95"/>
    </row>
    <row r="294" spans="1:12" x14ac:dyDescent="0.2">
      <c r="A294" s="14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1:12" x14ac:dyDescent="0.2">
      <c r="A295" s="14"/>
      <c r="B295" s="38"/>
      <c r="C295" s="100"/>
    </row>
    <row r="296" spans="1:12" x14ac:dyDescent="0.2">
      <c r="A296" s="14"/>
      <c r="B296" s="38"/>
      <c r="C296" s="100"/>
    </row>
    <row r="297" spans="1:12" x14ac:dyDescent="0.2">
      <c r="A297" s="14"/>
      <c r="B297" s="38"/>
      <c r="C297" s="100"/>
    </row>
    <row r="298" spans="1:12" x14ac:dyDescent="0.2">
      <c r="A298" s="14"/>
      <c r="C298" s="136"/>
      <c r="E298" s="136"/>
    </row>
    <row r="299" spans="1:12" x14ac:dyDescent="0.2">
      <c r="B299" s="50"/>
      <c r="C299" s="100"/>
    </row>
    <row r="303" spans="1:12" x14ac:dyDescent="0.2">
      <c r="A303" s="2"/>
      <c r="B303" s="10"/>
      <c r="C303" s="109"/>
    </row>
    <row r="304" spans="1:12" x14ac:dyDescent="0.2">
      <c r="B304" s="11"/>
    </row>
    <row r="305" spans="1:10" x14ac:dyDescent="0.2">
      <c r="B305" s="38"/>
      <c r="C305" s="44"/>
    </row>
    <row r="306" spans="1:10" x14ac:dyDescent="0.2">
      <c r="B306" s="38"/>
      <c r="C306" s="156"/>
    </row>
    <row r="307" spans="1:10" x14ac:dyDescent="0.2">
      <c r="B307" s="38"/>
      <c r="C307" s="44"/>
    </row>
    <row r="309" spans="1:10" hidden="1" outlineLevel="1" x14ac:dyDescent="0.2">
      <c r="A309" s="157"/>
    </row>
    <row r="310" spans="1:10" hidden="1" outlineLevel="1" x14ac:dyDescent="0.2">
      <c r="A310" s="2"/>
      <c r="B310" s="10"/>
    </row>
    <row r="311" spans="1:10" hidden="1" outlineLevel="1" x14ac:dyDescent="0.2"/>
    <row r="312" spans="1:10" hidden="1" outlineLevel="1" x14ac:dyDescent="0.2">
      <c r="A312" s="1"/>
      <c r="C312" s="158"/>
      <c r="D312" s="158"/>
      <c r="E312" s="158"/>
    </row>
    <row r="313" spans="1:10" hidden="1" outlineLevel="1" x14ac:dyDescent="0.2">
      <c r="A313" s="1"/>
      <c r="C313" s="147"/>
      <c r="D313" s="147"/>
      <c r="E313" s="147"/>
    </row>
    <row r="314" spans="1:10" hidden="1" outlineLevel="1" x14ac:dyDescent="0.2">
      <c r="A314" s="1"/>
      <c r="C314" s="127"/>
      <c r="D314" s="127"/>
      <c r="E314" s="127"/>
      <c r="F314" s="127"/>
      <c r="G314" s="127"/>
    </row>
    <row r="315" spans="1:10" hidden="1" outlineLevel="1" x14ac:dyDescent="0.2">
      <c r="A315" s="1"/>
    </row>
    <row r="316" spans="1:10" hidden="1" outlineLevel="1" x14ac:dyDescent="0.2">
      <c r="A316" s="1"/>
      <c r="C316" s="127"/>
      <c r="D316" s="127"/>
      <c r="E316" s="127"/>
      <c r="F316" s="127"/>
    </row>
    <row r="317" spans="1:10" hidden="1" outlineLevel="1" x14ac:dyDescent="0.2">
      <c r="A317" s="1"/>
    </row>
    <row r="318" spans="1:10" hidden="1" outlineLevel="1" x14ac:dyDescent="0.2">
      <c r="A318" s="1"/>
      <c r="C318" s="5"/>
      <c r="D318" s="5"/>
      <c r="E318" s="5"/>
      <c r="F318" s="5"/>
      <c r="G318" s="5"/>
      <c r="H318" s="5"/>
      <c r="I318" s="5"/>
      <c r="J318" s="5"/>
    </row>
    <row r="319" spans="1:10" hidden="1" outlineLevel="1" x14ac:dyDescent="0.2">
      <c r="A319" s="1"/>
      <c r="C319" s="159"/>
      <c r="D319" s="159"/>
      <c r="E319" s="159"/>
      <c r="F319" s="159"/>
      <c r="G319" s="159"/>
      <c r="H319" s="159"/>
      <c r="I319" s="159"/>
      <c r="J319" s="159"/>
    </row>
    <row r="320" spans="1:10" hidden="1" outlineLevel="1" x14ac:dyDescent="0.2">
      <c r="A320" s="1"/>
      <c r="C320" s="44"/>
      <c r="D320" s="44"/>
      <c r="E320" s="44"/>
      <c r="F320" s="44"/>
      <c r="G320" s="44"/>
      <c r="H320" s="44"/>
      <c r="I320" s="44"/>
      <c r="J320" s="44"/>
    </row>
    <row r="321" spans="1:12" hidden="1" outlineLevel="1" x14ac:dyDescent="0.2">
      <c r="A321" s="1"/>
    </row>
    <row r="322" spans="1:12" hidden="1" outlineLevel="1" x14ac:dyDescent="0.2">
      <c r="A322" s="1"/>
    </row>
    <row r="323" spans="1:12" hidden="1" outlineLevel="1" x14ac:dyDescent="0.2">
      <c r="A323" s="1"/>
    </row>
    <row r="324" spans="1:12" hidden="1" outlineLevel="1" x14ac:dyDescent="0.2">
      <c r="A324" s="1"/>
      <c r="C324" s="5"/>
      <c r="D324" s="5"/>
    </row>
    <row r="325" spans="1:12" hidden="1" outlineLevel="1" x14ac:dyDescent="0.2">
      <c r="A325" s="1"/>
      <c r="C325" s="127"/>
      <c r="D325" s="127"/>
    </row>
    <row r="326" spans="1:12" hidden="1" outlineLevel="1" x14ac:dyDescent="0.2">
      <c r="A326" s="1"/>
      <c r="C326" s="131"/>
      <c r="D326" s="131"/>
    </row>
    <row r="327" spans="1:12" hidden="1" outlineLevel="1" x14ac:dyDescent="0.2">
      <c r="A327" s="1"/>
      <c r="C327" s="127"/>
      <c r="D327" s="127"/>
    </row>
    <row r="328" spans="1:12" hidden="1" outlineLevel="1" x14ac:dyDescent="0.2">
      <c r="C328" s="127"/>
      <c r="D328" s="127"/>
    </row>
    <row r="329" spans="1:12" hidden="1" outlineLevel="1" x14ac:dyDescent="0.2">
      <c r="C329" s="131"/>
      <c r="D329" s="131"/>
    </row>
    <row r="330" spans="1:12" hidden="1" outlineLevel="1" x14ac:dyDescent="0.2"/>
    <row r="331" spans="1:12" hidden="1" outlineLevel="1" x14ac:dyDescent="0.2">
      <c r="C331" s="131"/>
      <c r="D331" s="131"/>
    </row>
    <row r="332" spans="1:12" hidden="1" outlineLevel="1" x14ac:dyDescent="0.2"/>
    <row r="333" spans="1:12" hidden="1" outlineLevel="1" x14ac:dyDescent="0.2">
      <c r="C333" s="131"/>
    </row>
    <row r="334" spans="1:12" hidden="1" outlineLevel="1" x14ac:dyDescent="0.2">
      <c r="A334" s="2"/>
      <c r="B334" s="10"/>
    </row>
    <row r="335" spans="1:12" hidden="1" outlineLevel="1" x14ac:dyDescent="0.2"/>
    <row r="336" spans="1:12" hidden="1" outlineLevel="1" x14ac:dyDescent="0.2"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idden="1" outlineLevel="1" x14ac:dyDescent="0.2"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idden="1" outlineLevel="1" x14ac:dyDescent="0.2">
      <c r="B338" s="38"/>
    </row>
    <row r="339" spans="1:12" hidden="1" outlineLevel="1" x14ac:dyDescent="0.2">
      <c r="B339" s="38"/>
      <c r="C339" s="127"/>
      <c r="D339" s="127"/>
      <c r="E339" s="127"/>
      <c r="F339" s="127"/>
      <c r="G339" s="127"/>
      <c r="H339" s="127"/>
      <c r="I339" s="127"/>
      <c r="J339" s="127"/>
    </row>
    <row r="340" spans="1:12" hidden="1" outlineLevel="1" x14ac:dyDescent="0.2">
      <c r="B340" s="38"/>
    </row>
    <row r="341" spans="1:12" hidden="1" outlineLevel="1" x14ac:dyDescent="0.2">
      <c r="A341" s="1"/>
      <c r="B341" s="38"/>
      <c r="C341" s="5"/>
      <c r="D341" s="5"/>
    </row>
    <row r="342" spans="1:12" hidden="1" outlineLevel="1" x14ac:dyDescent="0.2">
      <c r="A342" s="1"/>
      <c r="B342" s="38"/>
      <c r="C342" s="86"/>
      <c r="D342" s="86"/>
    </row>
    <row r="343" spans="1:12" hidden="1" outlineLevel="1" x14ac:dyDescent="0.2">
      <c r="A343" s="1"/>
      <c r="B343" s="38"/>
      <c r="C343" s="131"/>
      <c r="D343" s="131"/>
    </row>
    <row r="344" spans="1:12" hidden="1" outlineLevel="1" x14ac:dyDescent="0.2">
      <c r="A344" s="1"/>
      <c r="B344" s="38"/>
      <c r="C344" s="130"/>
      <c r="D344" s="130"/>
    </row>
    <row r="345" spans="1:12" hidden="1" outlineLevel="1" x14ac:dyDescent="0.2">
      <c r="A345" s="1"/>
      <c r="B345" s="38"/>
    </row>
    <row r="346" spans="1:12" hidden="1" outlineLevel="1" x14ac:dyDescent="0.2">
      <c r="A346" s="1"/>
      <c r="B346" s="38"/>
    </row>
    <row r="347" spans="1:12" hidden="1" outlineLevel="1" x14ac:dyDescent="0.2">
      <c r="A347" s="1"/>
      <c r="B347" s="38"/>
      <c r="C347" s="127"/>
    </row>
    <row r="348" spans="1:12" hidden="1" outlineLevel="1" x14ac:dyDescent="0.2">
      <c r="A348" s="1"/>
      <c r="B348" s="38"/>
      <c r="C348" s="127"/>
    </row>
    <row r="349" spans="1:12" hidden="1" outlineLevel="1" x14ac:dyDescent="0.2">
      <c r="A349" s="1"/>
      <c r="B349" s="38"/>
      <c r="C349" s="127"/>
    </row>
    <row r="350" spans="1:12" hidden="1" outlineLevel="1" x14ac:dyDescent="0.2">
      <c r="A350" s="1"/>
      <c r="B350" s="38"/>
      <c r="C350" s="127"/>
    </row>
    <row r="351" spans="1:12" hidden="1" outlineLevel="1" x14ac:dyDescent="0.2">
      <c r="A351" s="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idden="1" outlineLevel="1" x14ac:dyDescent="0.2">
      <c r="A352" s="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idden="1" outlineLevel="1" x14ac:dyDescent="0.2">
      <c r="A353" s="1"/>
      <c r="B353" s="38"/>
      <c r="C353" s="86"/>
      <c r="D353" s="86"/>
      <c r="E353" s="86"/>
      <c r="F353" s="86"/>
      <c r="G353" s="86"/>
      <c r="H353" s="86"/>
      <c r="I353" s="86"/>
      <c r="J353" s="86"/>
      <c r="K353" s="86"/>
      <c r="L353" s="86"/>
    </row>
    <row r="354" spans="1:12" hidden="1" outlineLevel="1" x14ac:dyDescent="0.2">
      <c r="A354" s="1"/>
      <c r="B354" s="38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</row>
    <row r="355" spans="1:12" hidden="1" outlineLevel="1" x14ac:dyDescent="0.2">
      <c r="A355" s="1"/>
      <c r="B355" s="38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</row>
    <row r="356" spans="1:12" hidden="1" outlineLevel="1" x14ac:dyDescent="0.2">
      <c r="A356" s="1"/>
      <c r="B356" s="38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</row>
    <row r="357" spans="1:12" hidden="1" outlineLevel="1" x14ac:dyDescent="0.2">
      <c r="B357" s="38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</row>
    <row r="358" spans="1:12" hidden="1" outlineLevel="1" x14ac:dyDescent="0.2">
      <c r="B358" s="38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</row>
    <row r="359" spans="1:12" hidden="1" outlineLevel="1" x14ac:dyDescent="0.2">
      <c r="B359" s="38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</row>
    <row r="360" spans="1:12" hidden="1" outlineLevel="1" x14ac:dyDescent="0.2">
      <c r="B360" s="38"/>
      <c r="C360" s="127"/>
    </row>
    <row r="361" spans="1:12" hidden="1" outlineLevel="1" x14ac:dyDescent="0.2">
      <c r="B361" s="38"/>
      <c r="C361" s="127"/>
    </row>
    <row r="362" spans="1:12" hidden="1" outlineLevel="1" x14ac:dyDescent="0.2"/>
    <row r="363" spans="1:12" hidden="1" outlineLevel="1" x14ac:dyDescent="0.2">
      <c r="B363" s="50"/>
      <c r="C363" s="100"/>
    </row>
    <row r="364" spans="1:12" hidden="1" outlineLevel="1" x14ac:dyDescent="0.2"/>
    <row r="365" spans="1:12" hidden="1" outlineLevel="1" x14ac:dyDescent="0.2"/>
    <row r="366" spans="1:12" hidden="1" outlineLevel="1" x14ac:dyDescent="0.2"/>
    <row r="367" spans="1:12" hidden="1" outlineLevel="1" x14ac:dyDescent="0.2"/>
    <row r="368" spans="1:12" hidden="1" outlineLevel="1" x14ac:dyDescent="0.2">
      <c r="A368" s="160"/>
    </row>
    <row r="369" spans="1:4" hidden="1" outlineLevel="1" x14ac:dyDescent="0.2">
      <c r="A369" s="50"/>
      <c r="C369" s="161"/>
    </row>
    <row r="370" spans="1:4" hidden="1" outlineLevel="1" x14ac:dyDescent="0.2">
      <c r="A370" s="50"/>
      <c r="C370" s="162"/>
    </row>
    <row r="371" spans="1:4" hidden="1" outlineLevel="1" x14ac:dyDescent="0.2">
      <c r="A371" s="50"/>
      <c r="C371" s="162"/>
    </row>
    <row r="372" spans="1:4" hidden="1" outlineLevel="1" x14ac:dyDescent="0.2">
      <c r="A372" s="50"/>
      <c r="C372" s="163"/>
      <c r="D372" s="112"/>
    </row>
    <row r="373" spans="1:4" hidden="1" outlineLevel="1" x14ac:dyDescent="0.2">
      <c r="A373" s="50"/>
      <c r="C373" s="90"/>
    </row>
    <row r="374" spans="1:4" hidden="1" outlineLevel="1" x14ac:dyDescent="0.2">
      <c r="A374" s="50"/>
      <c r="C374" s="164"/>
      <c r="D374" s="112"/>
    </row>
    <row r="375" spans="1:4" hidden="1" outlineLevel="1" x14ac:dyDescent="0.2"/>
    <row r="376" spans="1:4" hidden="1" outlineLevel="1" x14ac:dyDescent="0.2"/>
    <row r="377" spans="1:4" hidden="1" outlineLevel="1" x14ac:dyDescent="0.2">
      <c r="A377" s="50"/>
      <c r="C377" s="86"/>
      <c r="D377" s="112"/>
    </row>
    <row r="378" spans="1:4" hidden="1" outlineLevel="1" x14ac:dyDescent="0.2">
      <c r="A378" s="50"/>
      <c r="C378" s="165"/>
      <c r="D378" s="112"/>
    </row>
    <row r="379" spans="1:4" hidden="1" outlineLevel="1" x14ac:dyDescent="0.2"/>
    <row r="380" spans="1:4" hidden="1" outlineLevel="1" x14ac:dyDescent="0.2">
      <c r="A380" s="62"/>
      <c r="C380" s="87"/>
    </row>
    <row r="381" spans="1:4" hidden="1" outlineLevel="1" x14ac:dyDescent="0.2">
      <c r="A381" s="62"/>
      <c r="C381" s="165"/>
      <c r="D381" s="112"/>
    </row>
    <row r="382" spans="1:4" hidden="1" outlineLevel="1" x14ac:dyDescent="0.2">
      <c r="A382" s="62"/>
    </row>
    <row r="383" spans="1:4" hidden="1" outlineLevel="1" x14ac:dyDescent="0.2">
      <c r="A383" s="62"/>
      <c r="C383" s="165"/>
      <c r="D383" s="112"/>
    </row>
    <row r="384" spans="1:4" hidden="1" outlineLevel="1" x14ac:dyDescent="0.2">
      <c r="A384" s="62"/>
      <c r="C384" s="165"/>
    </row>
    <row r="385" spans="1:3" hidden="1" outlineLevel="1" x14ac:dyDescent="0.2">
      <c r="A385" s="62"/>
      <c r="C385" s="165"/>
    </row>
    <row r="386" spans="1:3" collapsed="1" x14ac:dyDescent="0.2">
      <c r="A386" s="62"/>
    </row>
    <row r="387" spans="1:3" x14ac:dyDescent="0.2">
      <c r="A387" s="62"/>
    </row>
    <row r="388" spans="1:3" x14ac:dyDescent="0.2">
      <c r="A388" s="62"/>
    </row>
    <row r="389" spans="1:3" x14ac:dyDescent="0.2">
      <c r="A389" s="62"/>
    </row>
    <row r="392" spans="1:3" x14ac:dyDescent="0.2">
      <c r="A392" s="1"/>
    </row>
    <row r="393" spans="1:3" x14ac:dyDescent="0.2">
      <c r="A393" s="1"/>
    </row>
    <row r="394" spans="1:3" x14ac:dyDescent="0.2">
      <c r="A394" s="1"/>
    </row>
  </sheetData>
  <mergeCells count="4">
    <mergeCell ref="B5:L5"/>
    <mergeCell ref="F78:G78"/>
    <mergeCell ref="C113:D113"/>
    <mergeCell ref="C114:D114"/>
  </mergeCells>
  <hyperlinks>
    <hyperlink ref="P10" r:id="rId1" display="\\njnwkfp06\PSE&amp;G\Customer Operations\CS\regulato\2015 BGS-RSCP for 2016-2017\2015-07 Initial Filing\BGS-FP Initial Filing Supporting Documents\Table1&amp;2 - OnPeak%\Table 1 - Time period usage for 2016-17 Spreadsheet.xls"/>
    <hyperlink ref="P28" r:id="rId2" display="\\njnwkfp06\PSE&amp;G\Customer Operations\CS\regulato\2015 BGS-RSCP for 2016-2017\2015-07 Initial Filing\BGS-FP Initial Filing Supporting Documents\Table1&amp;2 - OnPeak%\Table 2 - 001.2014 - 012.2014 KWH (RLM, LPLS-H-O).xls"/>
    <hyperlink ref="P46" r:id="rId3" display="\\njnwkfp06\PSE&amp;G\Customer Operations\CS\regulato\2015 BGS-RSCP for 2016-2017\2015-07 Initial Filing\BGS-FP Initial Filing Supporting Documents\Table3 - kWh forecast\Net Sales Forecast used in 15-16 BGS.xls"/>
    <hyperlink ref="P63" r:id="rId4" display="\\njnwkfp06\PSE&amp;G\Customer Operations\CS\regulato\2015 BGS-RSCP for 2016-2017\2015-07 Initial Filing\BGS-FP Initial Filing Supporting Documents\Table3 - kWh forecast\LPLS Split Mar 2015.xls"/>
    <hyperlink ref="P70" r:id="rId5" display="\\njnwkfp06\PSE&amp;G\Customer Operations\CS\regulato\2015 BGS-RSCP for 2016-2017\2015-07 Initial Filing\BGS-FP Initial Filing Supporting Documents\Table4&amp;5&amp;6 - NERA Inputs\2016 Inputs to FP Pricing_3 JUN 2015_DRAFT.xlsx"/>
    <hyperlink ref="P91" r:id="rId6" display="\\njnwkfp06\PSE&amp;G\Customer Operations\CS\regulato\2015 BGS-RSCP for 2016-2017\2015-07 Initial Filing\BGS-FP Initial Filing Supporting Documents\Table4&amp;5&amp;6 - NERA Inputs\2016 Inputs to FP Pricing_3 JUN 2015_DRAFT.xlsx"/>
    <hyperlink ref="P100" r:id="rId7" display="\\njnwkfp06\PSE&amp;G\Customer Operations\CS\regulato\2015 BGS-RSCP for 2016-2017\2015-07 Initial Filing\BGS-FP Initial Filing Supporting Documents\Table10 - Gen and Trans Obs\CAP AND TRAN LOADS FOR 2015 For Myron - Copy.xls"/>
    <hyperlink ref="P108" r:id="rId8" display="\\njnwkfp06\PSE&amp;G\Customer Operations\CS\regulato\2014 BGS-FP for 2015-2016\BGS-FP Bid Factors for 2015-16FINAL(02-13-15).xlsx"/>
    <hyperlink ref="P113" r:id="rId9" display="\\njnwkfp06\PSE&amp;G\Customer Operations\CS\regulato\2015 BGS-RSCP for 2016-2017\2015-07 Initial Filing\BGS-FP Initial Filing Supporting Documents\Table4&amp;5&amp;6 - NERA Inputs\2016 Inputs to FP Pricing_3 JUN 2015_DRAFT.xlsx"/>
    <hyperlink ref="P122" r:id="rId10" display="\\njnwkfp06\PSE&amp;G\Customer Operations\CS\regulato\2015 BGS-RSCP for 2016-2017\2015-07 Initial Filing\BGS-FP Initial Filing Supporting Documents\Table4&amp;5&amp;6 - NERA Inputs\2016 Inputs to FP Pricing_3 JUN 2015_DRAFT.xlsx"/>
    <hyperlink ref="P135" r:id="rId11" display="\\njnwkfp06\PSE&amp;G\Customer Operations\CS\regulato\2014 BGS-FP for 2015-2016\BGS-FP Bid Factors for 2015-16FINAL(02-13-15).xlsx"/>
  </hyperlinks>
  <pageMargins left="0.7" right="0.7" top="0.75" bottom="0.75" header="0.3" footer="0.3"/>
  <pageSetup scale="44" fitToHeight="2" orientation="portrait" r:id="rId12"/>
  <rowBreaks count="1" manualBreakCount="1">
    <brk id="94" max="11" man="1"/>
  </rowBreaks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54"/>
  <sheetViews>
    <sheetView showGridLines="0" view="pageBreakPreview" zoomScaleNormal="100" zoomScaleSheetLayoutView="100" workbookViewId="0">
      <selection activeCell="O9" sqref="O9"/>
    </sheetView>
  </sheetViews>
  <sheetFormatPr defaultColWidth="9.140625" defaultRowHeight="12.75" x14ac:dyDescent="0.2"/>
  <cols>
    <col min="1" max="1" width="13.140625" style="166" customWidth="1"/>
    <col min="2" max="2" width="36.28515625" style="102" customWidth="1"/>
    <col min="3" max="3" width="13.42578125" style="102" customWidth="1"/>
    <col min="4" max="4" width="12.5703125" style="102" customWidth="1"/>
    <col min="5" max="5" width="11.5703125" style="102" customWidth="1"/>
    <col min="6" max="6" width="12.7109375" style="102" customWidth="1"/>
    <col min="7" max="8" width="10.7109375" style="102" customWidth="1"/>
    <col min="9" max="9" width="11" style="102" customWidth="1"/>
    <col min="10" max="10" width="10.7109375" style="102" customWidth="1"/>
    <col min="11" max="11" width="12.28515625" style="102" customWidth="1"/>
    <col min="12" max="12" width="14.42578125" style="102" customWidth="1"/>
    <col min="13" max="13" width="16.5703125" style="102" customWidth="1"/>
    <col min="14" max="14" width="15.140625" style="102" bestFit="1" customWidth="1"/>
    <col min="15" max="16" width="11.5703125" style="102" customWidth="1"/>
    <col min="17" max="17" width="15.7109375" style="102" customWidth="1"/>
    <col min="18" max="18" width="29" style="102" bestFit="1" customWidth="1"/>
    <col min="19" max="19" width="16.42578125" style="102" customWidth="1"/>
    <col min="20" max="20" width="23.85546875" style="102" bestFit="1" customWidth="1"/>
    <col min="21" max="21" width="18" style="102" bestFit="1" customWidth="1"/>
    <col min="22" max="24" width="11.5703125" style="102" customWidth="1"/>
    <col min="25" max="25" width="11.28515625" style="102" bestFit="1" customWidth="1"/>
    <col min="26" max="26" width="10.140625" style="102" customWidth="1"/>
    <col min="27" max="27" width="10.7109375" style="102" customWidth="1"/>
    <col min="28" max="28" width="12.85546875" style="102" bestFit="1" customWidth="1"/>
    <col min="29" max="29" width="9.140625" style="102"/>
    <col min="30" max="30" width="17.5703125" style="102" customWidth="1"/>
    <col min="31" max="31" width="9.140625" style="102"/>
    <col min="32" max="32" width="10.28515625" style="102" bestFit="1" customWidth="1"/>
    <col min="33" max="33" width="10.5703125" style="102" customWidth="1"/>
    <col min="34" max="16384" width="9.140625" style="102"/>
  </cols>
  <sheetData>
    <row r="1" spans="1:24" x14ac:dyDescent="0.2">
      <c r="A1" s="166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24" ht="15.75" x14ac:dyDescent="0.25">
      <c r="B2" s="7" t="s">
        <v>349</v>
      </c>
      <c r="C2" s="168"/>
      <c r="D2" s="168"/>
      <c r="E2" s="168"/>
      <c r="F2" s="168"/>
    </row>
    <row r="3" spans="1:24" x14ac:dyDescent="0.2">
      <c r="A3" s="169"/>
      <c r="B3" s="170" t="s">
        <v>1</v>
      </c>
      <c r="C3" s="168"/>
      <c r="D3" s="168"/>
      <c r="E3" s="168"/>
      <c r="F3" s="168"/>
    </row>
    <row r="4" spans="1:24" x14ac:dyDescent="0.2">
      <c r="B4" s="168"/>
      <c r="C4" s="168"/>
      <c r="D4" s="168"/>
      <c r="E4" s="171" t="str">
        <f>+Input!E9</f>
        <v>Based on average of year 2015,2016 &amp; 2017 Load Profile Information</v>
      </c>
      <c r="F4" s="168"/>
    </row>
    <row r="5" spans="1:24" x14ac:dyDescent="0.2">
      <c r="A5" s="172" t="s">
        <v>2</v>
      </c>
      <c r="B5" s="173" t="s">
        <v>3</v>
      </c>
      <c r="C5" s="174"/>
      <c r="D5" s="168"/>
      <c r="E5" s="171" t="s">
        <v>4</v>
      </c>
      <c r="F5" s="168"/>
      <c r="N5" s="173"/>
      <c r="O5" s="173" t="s">
        <v>100</v>
      </c>
      <c r="P5" s="168"/>
      <c r="Q5" s="168"/>
      <c r="R5" s="168"/>
      <c r="S5" s="168"/>
      <c r="T5" s="168"/>
      <c r="U5" s="168"/>
      <c r="V5" s="168"/>
      <c r="W5" s="168"/>
      <c r="X5" s="168"/>
    </row>
    <row r="6" spans="1:24" ht="25.5" x14ac:dyDescent="0.2">
      <c r="A6" s="175"/>
      <c r="B6" s="168"/>
      <c r="C6" s="176" t="s">
        <v>5</v>
      </c>
      <c r="D6" s="176" t="s">
        <v>5</v>
      </c>
      <c r="E6" s="176" t="s">
        <v>5</v>
      </c>
      <c r="F6" s="176" t="s">
        <v>5</v>
      </c>
      <c r="G6" s="176" t="s">
        <v>5</v>
      </c>
      <c r="H6" s="176" t="s">
        <v>5</v>
      </c>
      <c r="I6" s="171" t="s">
        <v>6</v>
      </c>
      <c r="J6" s="177"/>
      <c r="K6" s="176" t="s">
        <v>5</v>
      </c>
      <c r="L6" s="176" t="s">
        <v>5</v>
      </c>
      <c r="M6" s="176"/>
      <c r="N6" s="171"/>
      <c r="O6" s="176" t="s">
        <v>5</v>
      </c>
      <c r="P6" s="176" t="s">
        <v>5</v>
      </c>
      <c r="Q6" s="176" t="s">
        <v>5</v>
      </c>
      <c r="R6" s="176" t="s">
        <v>5</v>
      </c>
      <c r="S6" s="176" t="s">
        <v>5</v>
      </c>
      <c r="T6" s="176" t="s">
        <v>5</v>
      </c>
      <c r="U6" s="171" t="s">
        <v>101</v>
      </c>
      <c r="V6" s="177"/>
      <c r="W6" s="176" t="s">
        <v>5</v>
      </c>
      <c r="X6" s="176" t="s">
        <v>5</v>
      </c>
    </row>
    <row r="7" spans="1:24" x14ac:dyDescent="0.2">
      <c r="A7" s="175"/>
      <c r="B7" s="178" t="s">
        <v>7</v>
      </c>
      <c r="C7" s="167" t="s">
        <v>8</v>
      </c>
      <c r="D7" s="167" t="s">
        <v>9</v>
      </c>
      <c r="E7" s="167" t="s">
        <v>10</v>
      </c>
      <c r="F7" s="167" t="s">
        <v>11</v>
      </c>
      <c r="G7" s="167" t="s">
        <v>12</v>
      </c>
      <c r="H7" s="167" t="s">
        <v>13</v>
      </c>
      <c r="I7" s="167" t="s">
        <v>14</v>
      </c>
      <c r="J7" s="167" t="s">
        <v>15</v>
      </c>
      <c r="K7" s="167" t="s">
        <v>16</v>
      </c>
      <c r="L7" s="167" t="s">
        <v>17</v>
      </c>
      <c r="M7" s="179"/>
      <c r="N7" s="180"/>
      <c r="O7" s="167" t="str">
        <f>+C7</f>
        <v>RS</v>
      </c>
      <c r="P7" s="167" t="str">
        <f t="shared" ref="P7:X7" si="0">+D7</f>
        <v>RHS</v>
      </c>
      <c r="Q7" s="167" t="str">
        <f t="shared" si="0"/>
        <v>RLM</v>
      </c>
      <c r="R7" s="167" t="str">
        <f t="shared" si="0"/>
        <v>WH</v>
      </c>
      <c r="S7" s="167" t="str">
        <f t="shared" si="0"/>
        <v>WHS</v>
      </c>
      <c r="T7" s="167" t="str">
        <f t="shared" si="0"/>
        <v>HS</v>
      </c>
      <c r="U7" s="167" t="str">
        <f t="shared" si="0"/>
        <v>PSAL</v>
      </c>
      <c r="V7" s="167" t="str">
        <f t="shared" si="0"/>
        <v>BPL</v>
      </c>
      <c r="W7" s="167" t="str">
        <f t="shared" si="0"/>
        <v>GLP</v>
      </c>
      <c r="X7" s="167" t="str">
        <f t="shared" si="0"/>
        <v>LPL-S</v>
      </c>
    </row>
    <row r="8" spans="1:24" x14ac:dyDescent="0.2">
      <c r="A8" s="175"/>
      <c r="C8" s="167"/>
      <c r="D8" s="167"/>
      <c r="E8" s="167"/>
      <c r="F8" s="167"/>
      <c r="G8" s="167"/>
      <c r="H8" s="167"/>
      <c r="I8" s="167"/>
      <c r="J8" s="167"/>
      <c r="K8" s="167"/>
      <c r="L8" s="167"/>
      <c r="O8" s="168"/>
      <c r="P8" s="168"/>
      <c r="Q8" s="168"/>
      <c r="R8" s="168"/>
      <c r="S8" s="168"/>
      <c r="T8" s="168"/>
      <c r="U8" s="168"/>
      <c r="V8" s="168"/>
      <c r="W8" s="168"/>
      <c r="X8" s="168"/>
    </row>
    <row r="9" spans="1:24" x14ac:dyDescent="0.2">
      <c r="A9" s="175"/>
      <c r="B9" s="181" t="s">
        <v>18</v>
      </c>
      <c r="C9" s="182">
        <f>Input!C14</f>
        <v>0.46229999999999999</v>
      </c>
      <c r="D9" s="182">
        <f>Input!D14</f>
        <v>0.4597</v>
      </c>
      <c r="E9" s="182">
        <f>Input!E14</f>
        <v>0.4743</v>
      </c>
      <c r="F9" s="182">
        <f>Input!F14</f>
        <v>0.44769999999999999</v>
      </c>
      <c r="G9" s="182">
        <f>Input!G14</f>
        <v>0.44769999999999999</v>
      </c>
      <c r="H9" s="182">
        <f>Input!H14</f>
        <v>0.45929999999999999</v>
      </c>
      <c r="I9" s="182">
        <f>Input!I14</f>
        <v>0.29530000000000001</v>
      </c>
      <c r="J9" s="182">
        <f>Input!J14</f>
        <v>0.29530000000000001</v>
      </c>
      <c r="K9" s="182">
        <f>Input!K14</f>
        <v>0.54869999999999997</v>
      </c>
      <c r="L9" s="182">
        <f>Input!L14</f>
        <v>0.52500000000000002</v>
      </c>
      <c r="M9" s="183"/>
      <c r="N9" s="184"/>
      <c r="O9" s="185">
        <f t="shared" ref="O9:X20" si="1">1-C9</f>
        <v>0.53770000000000007</v>
      </c>
      <c r="P9" s="185">
        <f t="shared" si="1"/>
        <v>0.5403</v>
      </c>
      <c r="Q9" s="185">
        <f t="shared" si="1"/>
        <v>0.52570000000000006</v>
      </c>
      <c r="R9" s="185">
        <f t="shared" si="1"/>
        <v>0.55230000000000001</v>
      </c>
      <c r="S9" s="185">
        <f t="shared" si="1"/>
        <v>0.55230000000000001</v>
      </c>
      <c r="T9" s="185">
        <f t="shared" si="1"/>
        <v>0.54069999999999996</v>
      </c>
      <c r="U9" s="185">
        <f t="shared" si="1"/>
        <v>0.70469999999999999</v>
      </c>
      <c r="V9" s="185">
        <f t="shared" si="1"/>
        <v>0.70469999999999999</v>
      </c>
      <c r="W9" s="185">
        <f t="shared" si="1"/>
        <v>0.45130000000000003</v>
      </c>
      <c r="X9" s="185">
        <f t="shared" si="1"/>
        <v>0.47499999999999998</v>
      </c>
    </row>
    <row r="10" spans="1:24" x14ac:dyDescent="0.2">
      <c r="A10" s="175"/>
      <c r="B10" s="181" t="s">
        <v>19</v>
      </c>
      <c r="C10" s="182">
        <f>Input!C15</f>
        <v>0.49830000000000002</v>
      </c>
      <c r="D10" s="182">
        <f>Input!D15</f>
        <v>0.48470000000000002</v>
      </c>
      <c r="E10" s="182">
        <f>Input!E15</f>
        <v>0.50829999999999997</v>
      </c>
      <c r="F10" s="182">
        <f>Input!F15</f>
        <v>0.48099999999999998</v>
      </c>
      <c r="G10" s="182">
        <f>Input!G15</f>
        <v>0.48099999999999998</v>
      </c>
      <c r="H10" s="182">
        <f>Input!H15</f>
        <v>0.47870000000000001</v>
      </c>
      <c r="I10" s="182">
        <f>Input!I15</f>
        <v>0.29730000000000001</v>
      </c>
      <c r="J10" s="182">
        <f>Input!J15</f>
        <v>0.29730000000000001</v>
      </c>
      <c r="K10" s="182">
        <f>Input!K15</f>
        <v>0.57469999999999999</v>
      </c>
      <c r="L10" s="182">
        <f>Input!L15</f>
        <v>0.55469999999999997</v>
      </c>
      <c r="M10" s="183"/>
      <c r="N10" s="184"/>
      <c r="O10" s="185">
        <f t="shared" si="1"/>
        <v>0.50170000000000003</v>
      </c>
      <c r="P10" s="185">
        <f t="shared" si="1"/>
        <v>0.51529999999999998</v>
      </c>
      <c r="Q10" s="185">
        <f t="shared" si="1"/>
        <v>0.49170000000000003</v>
      </c>
      <c r="R10" s="185">
        <f t="shared" si="1"/>
        <v>0.51900000000000002</v>
      </c>
      <c r="S10" s="185">
        <f t="shared" si="1"/>
        <v>0.51900000000000002</v>
      </c>
      <c r="T10" s="185">
        <f t="shared" si="1"/>
        <v>0.52129999999999999</v>
      </c>
      <c r="U10" s="185">
        <f t="shared" si="1"/>
        <v>0.70269999999999999</v>
      </c>
      <c r="V10" s="185">
        <f t="shared" si="1"/>
        <v>0.70269999999999999</v>
      </c>
      <c r="W10" s="185">
        <f t="shared" si="1"/>
        <v>0.42530000000000001</v>
      </c>
      <c r="X10" s="185">
        <f t="shared" si="1"/>
        <v>0.44530000000000003</v>
      </c>
    </row>
    <row r="11" spans="1:24" x14ac:dyDescent="0.2">
      <c r="A11" s="175"/>
      <c r="B11" s="181" t="s">
        <v>20</v>
      </c>
      <c r="C11" s="182">
        <f>Input!C16</f>
        <v>0.50029999999999997</v>
      </c>
      <c r="D11" s="182">
        <f>Input!D16</f>
        <v>0.49299999999999999</v>
      </c>
      <c r="E11" s="182">
        <f>Input!E16</f>
        <v>0.51400000000000001</v>
      </c>
      <c r="F11" s="182">
        <f>Input!F16</f>
        <v>0.48670000000000002</v>
      </c>
      <c r="G11" s="182">
        <f>Input!G16</f>
        <v>0.48670000000000002</v>
      </c>
      <c r="H11" s="182">
        <f>Input!H16</f>
        <v>0.47570000000000001</v>
      </c>
      <c r="I11" s="182">
        <f>Input!I16</f>
        <v>0.26300000000000001</v>
      </c>
      <c r="J11" s="182">
        <f>Input!J16</f>
        <v>0.26300000000000001</v>
      </c>
      <c r="K11" s="182">
        <f>Input!K16</f>
        <v>0.58599999999999997</v>
      </c>
      <c r="L11" s="182">
        <f>Input!L16</f>
        <v>0.56599999999999995</v>
      </c>
      <c r="M11" s="183"/>
      <c r="N11" s="184"/>
      <c r="O11" s="185">
        <f t="shared" si="1"/>
        <v>0.49970000000000003</v>
      </c>
      <c r="P11" s="185">
        <f t="shared" si="1"/>
        <v>0.50700000000000001</v>
      </c>
      <c r="Q11" s="185">
        <f t="shared" si="1"/>
        <v>0.48599999999999999</v>
      </c>
      <c r="R11" s="185">
        <f t="shared" si="1"/>
        <v>0.51329999999999998</v>
      </c>
      <c r="S11" s="185">
        <f t="shared" si="1"/>
        <v>0.51329999999999998</v>
      </c>
      <c r="T11" s="185">
        <f t="shared" si="1"/>
        <v>0.52429999999999999</v>
      </c>
      <c r="U11" s="185">
        <f t="shared" si="1"/>
        <v>0.73699999999999999</v>
      </c>
      <c r="V11" s="185">
        <f t="shared" si="1"/>
        <v>0.73699999999999999</v>
      </c>
      <c r="W11" s="185">
        <f t="shared" si="1"/>
        <v>0.41400000000000003</v>
      </c>
      <c r="X11" s="185">
        <f t="shared" si="1"/>
        <v>0.43400000000000005</v>
      </c>
    </row>
    <row r="12" spans="1:24" x14ac:dyDescent="0.2">
      <c r="A12" s="175"/>
      <c r="B12" s="181" t="s">
        <v>21</v>
      </c>
      <c r="C12" s="182">
        <f>Input!C17</f>
        <v>0.49</v>
      </c>
      <c r="D12" s="182">
        <f>Input!D17</f>
        <v>0.497</v>
      </c>
      <c r="E12" s="182">
        <f>Input!E17</f>
        <v>0.50270000000000004</v>
      </c>
      <c r="F12" s="182">
        <f>Input!F17</f>
        <v>0.46800000000000003</v>
      </c>
      <c r="G12" s="182">
        <f>Input!G17</f>
        <v>0.46800000000000003</v>
      </c>
      <c r="H12" s="182">
        <f>Input!H17</f>
        <v>0.48499999999999999</v>
      </c>
      <c r="I12" s="182">
        <f>Input!I17</f>
        <v>0.2223</v>
      </c>
      <c r="J12" s="182">
        <f>Input!J17</f>
        <v>0.2223</v>
      </c>
      <c r="K12" s="182">
        <f>Input!K17</f>
        <v>0.57730000000000004</v>
      </c>
      <c r="L12" s="182">
        <f>Input!L17</f>
        <v>0.55769999999999997</v>
      </c>
      <c r="M12" s="183"/>
      <c r="N12" s="184"/>
      <c r="O12" s="185">
        <f t="shared" si="1"/>
        <v>0.51</v>
      </c>
      <c r="P12" s="185">
        <f t="shared" si="1"/>
        <v>0.503</v>
      </c>
      <c r="Q12" s="185">
        <f t="shared" si="1"/>
        <v>0.49729999999999996</v>
      </c>
      <c r="R12" s="185">
        <f t="shared" si="1"/>
        <v>0.53200000000000003</v>
      </c>
      <c r="S12" s="185">
        <f t="shared" si="1"/>
        <v>0.53200000000000003</v>
      </c>
      <c r="T12" s="185">
        <f t="shared" si="1"/>
        <v>0.51500000000000001</v>
      </c>
      <c r="U12" s="185">
        <f t="shared" si="1"/>
        <v>0.77770000000000006</v>
      </c>
      <c r="V12" s="185">
        <f t="shared" si="1"/>
        <v>0.77770000000000006</v>
      </c>
      <c r="W12" s="185">
        <f t="shared" si="1"/>
        <v>0.42269999999999996</v>
      </c>
      <c r="X12" s="185">
        <f t="shared" si="1"/>
        <v>0.44230000000000003</v>
      </c>
    </row>
    <row r="13" spans="1:24" x14ac:dyDescent="0.2">
      <c r="A13" s="175"/>
      <c r="B13" s="181" t="s">
        <v>22</v>
      </c>
      <c r="C13" s="182">
        <f>Input!C18</f>
        <v>0.48330000000000001</v>
      </c>
      <c r="D13" s="182">
        <f>Input!D18</f>
        <v>0.49399999999999999</v>
      </c>
      <c r="E13" s="182">
        <f>Input!E18</f>
        <v>0.49830000000000002</v>
      </c>
      <c r="F13" s="182">
        <f>Input!F18</f>
        <v>0.4597</v>
      </c>
      <c r="G13" s="182">
        <f>Input!G18</f>
        <v>0.4597</v>
      </c>
      <c r="H13" s="182">
        <f>Input!H18</f>
        <v>0.55469999999999997</v>
      </c>
      <c r="I13" s="182">
        <f>Input!I18</f>
        <v>0.20569999999999999</v>
      </c>
      <c r="J13" s="182">
        <f>Input!J18</f>
        <v>0.20569999999999999</v>
      </c>
      <c r="K13" s="182">
        <f>Input!K18</f>
        <v>0.57499999999999996</v>
      </c>
      <c r="L13" s="182">
        <f>Input!L18</f>
        <v>0.55300000000000005</v>
      </c>
      <c r="M13" s="183"/>
      <c r="N13" s="184"/>
      <c r="O13" s="185">
        <f t="shared" si="1"/>
        <v>0.51669999999999994</v>
      </c>
      <c r="P13" s="185">
        <f t="shared" si="1"/>
        <v>0.50600000000000001</v>
      </c>
      <c r="Q13" s="185">
        <f t="shared" si="1"/>
        <v>0.50170000000000003</v>
      </c>
      <c r="R13" s="185">
        <f t="shared" si="1"/>
        <v>0.5403</v>
      </c>
      <c r="S13" s="185">
        <f t="shared" si="1"/>
        <v>0.5403</v>
      </c>
      <c r="T13" s="185">
        <f t="shared" si="1"/>
        <v>0.44530000000000003</v>
      </c>
      <c r="U13" s="185">
        <f t="shared" si="1"/>
        <v>0.79430000000000001</v>
      </c>
      <c r="V13" s="185">
        <f t="shared" si="1"/>
        <v>0.79430000000000001</v>
      </c>
      <c r="W13" s="185">
        <f t="shared" si="1"/>
        <v>0.42500000000000004</v>
      </c>
      <c r="X13" s="185">
        <f t="shared" si="1"/>
        <v>0.44699999999999995</v>
      </c>
    </row>
    <row r="14" spans="1:24" x14ac:dyDescent="0.2">
      <c r="A14" s="175"/>
      <c r="B14" s="181" t="s">
        <v>23</v>
      </c>
      <c r="C14" s="182">
        <f>Input!C19</f>
        <v>0.5383</v>
      </c>
      <c r="D14" s="182">
        <f>Input!D19</f>
        <v>0.54469999999999996</v>
      </c>
      <c r="E14" s="182">
        <f>Input!E19</f>
        <v>0.55630000000000002</v>
      </c>
      <c r="F14" s="182">
        <f>Input!F19</f>
        <v>0.50800000000000001</v>
      </c>
      <c r="G14" s="182">
        <f>Input!G19</f>
        <v>0.50800000000000001</v>
      </c>
      <c r="H14" s="182">
        <f>Input!H19</f>
        <v>0.63729999999999998</v>
      </c>
      <c r="I14" s="182">
        <f>Input!I19</f>
        <v>0.20699999999999999</v>
      </c>
      <c r="J14" s="182">
        <f>Input!J19</f>
        <v>0.20699999999999999</v>
      </c>
      <c r="K14" s="182">
        <f>Input!K19</f>
        <v>0.61870000000000003</v>
      </c>
      <c r="L14" s="182">
        <f>Input!L19</f>
        <v>0.5887</v>
      </c>
      <c r="M14" s="183"/>
      <c r="N14" s="184"/>
      <c r="O14" s="185">
        <f t="shared" si="1"/>
        <v>0.4617</v>
      </c>
      <c r="P14" s="185">
        <f t="shared" si="1"/>
        <v>0.45530000000000004</v>
      </c>
      <c r="Q14" s="185">
        <f t="shared" si="1"/>
        <v>0.44369999999999998</v>
      </c>
      <c r="R14" s="185">
        <f t="shared" si="1"/>
        <v>0.49199999999999999</v>
      </c>
      <c r="S14" s="185">
        <f t="shared" si="1"/>
        <v>0.49199999999999999</v>
      </c>
      <c r="T14" s="185">
        <f t="shared" si="1"/>
        <v>0.36270000000000002</v>
      </c>
      <c r="U14" s="185">
        <f t="shared" si="1"/>
        <v>0.79300000000000004</v>
      </c>
      <c r="V14" s="185">
        <f t="shared" si="1"/>
        <v>0.79300000000000004</v>
      </c>
      <c r="W14" s="185">
        <f t="shared" si="1"/>
        <v>0.38129999999999997</v>
      </c>
      <c r="X14" s="185">
        <f t="shared" si="1"/>
        <v>0.4113</v>
      </c>
    </row>
    <row r="15" spans="1:24" x14ac:dyDescent="0.2">
      <c r="A15" s="175"/>
      <c r="B15" s="181" t="s">
        <v>24</v>
      </c>
      <c r="C15" s="182">
        <f>Input!C20</f>
        <v>0.50770000000000004</v>
      </c>
      <c r="D15" s="182">
        <f>Input!D20</f>
        <v>0.51270000000000004</v>
      </c>
      <c r="E15" s="182">
        <f>Input!E20</f>
        <v>0.52400000000000002</v>
      </c>
      <c r="F15" s="182">
        <f>Input!F20</f>
        <v>0.48499999999999999</v>
      </c>
      <c r="G15" s="182">
        <f>Input!G20</f>
        <v>0.48499999999999999</v>
      </c>
      <c r="H15" s="182">
        <f>Input!H20</f>
        <v>0.60570000000000002</v>
      </c>
      <c r="I15" s="182">
        <f>Input!I20</f>
        <v>0.189</v>
      </c>
      <c r="J15" s="182">
        <f>Input!J20</f>
        <v>0.189</v>
      </c>
      <c r="K15" s="182">
        <f>Input!K20</f>
        <v>0.58230000000000004</v>
      </c>
      <c r="L15" s="182">
        <f>Input!L20</f>
        <v>0.54430000000000001</v>
      </c>
      <c r="M15" s="183"/>
      <c r="N15" s="184"/>
      <c r="O15" s="185">
        <f t="shared" si="1"/>
        <v>0.49229999999999996</v>
      </c>
      <c r="P15" s="185">
        <f t="shared" si="1"/>
        <v>0.48729999999999996</v>
      </c>
      <c r="Q15" s="185">
        <f t="shared" si="1"/>
        <v>0.47599999999999998</v>
      </c>
      <c r="R15" s="185">
        <f t="shared" si="1"/>
        <v>0.51500000000000001</v>
      </c>
      <c r="S15" s="185">
        <f t="shared" si="1"/>
        <v>0.51500000000000001</v>
      </c>
      <c r="T15" s="185">
        <f t="shared" si="1"/>
        <v>0.39429999999999998</v>
      </c>
      <c r="U15" s="185">
        <f t="shared" si="1"/>
        <v>0.81099999999999994</v>
      </c>
      <c r="V15" s="185">
        <f t="shared" si="1"/>
        <v>0.81099999999999994</v>
      </c>
      <c r="W15" s="185">
        <f t="shared" si="1"/>
        <v>0.41769999999999996</v>
      </c>
      <c r="X15" s="185">
        <f t="shared" si="1"/>
        <v>0.45569999999999999</v>
      </c>
    </row>
    <row r="16" spans="1:24" x14ac:dyDescent="0.2">
      <c r="A16" s="175"/>
      <c r="B16" s="181" t="s">
        <v>25</v>
      </c>
      <c r="C16" s="182">
        <f>Input!C21</f>
        <v>0.52569999999999995</v>
      </c>
      <c r="D16" s="182">
        <f>Input!D21</f>
        <v>0.53469999999999995</v>
      </c>
      <c r="E16" s="182">
        <f>Input!E21</f>
        <v>0.54800000000000004</v>
      </c>
      <c r="F16" s="182">
        <f>Input!F21</f>
        <v>0.52270000000000005</v>
      </c>
      <c r="G16" s="182">
        <f>Input!G21</f>
        <v>0.52270000000000005</v>
      </c>
      <c r="H16" s="182">
        <f>Input!H21</f>
        <v>0.62570000000000003</v>
      </c>
      <c r="I16" s="182">
        <f>Input!I21</f>
        <v>0.21870000000000001</v>
      </c>
      <c r="J16" s="182">
        <f>Input!J21</f>
        <v>0.21870000000000001</v>
      </c>
      <c r="K16" s="182">
        <f>Input!K21</f>
        <v>0.60929999999999995</v>
      </c>
      <c r="L16" s="182">
        <f>Input!L21</f>
        <v>0.56699999999999995</v>
      </c>
      <c r="M16" s="183"/>
      <c r="N16" s="184"/>
      <c r="O16" s="185">
        <f t="shared" si="1"/>
        <v>0.47430000000000005</v>
      </c>
      <c r="P16" s="185">
        <f t="shared" si="1"/>
        <v>0.46530000000000005</v>
      </c>
      <c r="Q16" s="185">
        <f t="shared" si="1"/>
        <v>0.45199999999999996</v>
      </c>
      <c r="R16" s="185">
        <f t="shared" si="1"/>
        <v>0.47729999999999995</v>
      </c>
      <c r="S16" s="185">
        <f t="shared" si="1"/>
        <v>0.47729999999999995</v>
      </c>
      <c r="T16" s="185">
        <f t="shared" si="1"/>
        <v>0.37429999999999997</v>
      </c>
      <c r="U16" s="185">
        <f t="shared" si="1"/>
        <v>0.78129999999999999</v>
      </c>
      <c r="V16" s="185">
        <f t="shared" si="1"/>
        <v>0.78129999999999999</v>
      </c>
      <c r="W16" s="185">
        <f t="shared" si="1"/>
        <v>0.39070000000000005</v>
      </c>
      <c r="X16" s="185">
        <f t="shared" si="1"/>
        <v>0.43300000000000005</v>
      </c>
    </row>
    <row r="17" spans="1:24" x14ac:dyDescent="0.2">
      <c r="A17" s="175"/>
      <c r="B17" s="181" t="s">
        <v>26</v>
      </c>
      <c r="C17" s="182">
        <f>Input!C22</f>
        <v>0.505</v>
      </c>
      <c r="D17" s="182">
        <f>Input!D22</f>
        <v>0.51829999999999998</v>
      </c>
      <c r="E17" s="182">
        <f>Input!E22</f>
        <v>0.52729999999999999</v>
      </c>
      <c r="F17" s="182">
        <f>Input!F22</f>
        <v>0.49669999999999997</v>
      </c>
      <c r="G17" s="182">
        <f>Input!G22</f>
        <v>0.49669999999999997</v>
      </c>
      <c r="H17" s="182">
        <f>Input!H22</f>
        <v>0.61729999999999996</v>
      </c>
      <c r="I17" s="182">
        <f>Input!I22</f>
        <v>0.23400000000000001</v>
      </c>
      <c r="J17" s="182">
        <f>Input!J22</f>
        <v>0.23400000000000001</v>
      </c>
      <c r="K17" s="182">
        <f>Input!K22</f>
        <v>0.59330000000000005</v>
      </c>
      <c r="L17" s="182">
        <f>Input!L22</f>
        <v>0.55969999999999998</v>
      </c>
      <c r="M17" s="183"/>
      <c r="N17" s="184"/>
      <c r="O17" s="185">
        <f t="shared" si="1"/>
        <v>0.495</v>
      </c>
      <c r="P17" s="185">
        <f t="shared" si="1"/>
        <v>0.48170000000000002</v>
      </c>
      <c r="Q17" s="185">
        <f t="shared" si="1"/>
        <v>0.47270000000000001</v>
      </c>
      <c r="R17" s="185">
        <f t="shared" si="1"/>
        <v>0.50330000000000008</v>
      </c>
      <c r="S17" s="185">
        <f t="shared" si="1"/>
        <v>0.50330000000000008</v>
      </c>
      <c r="T17" s="185">
        <f t="shared" si="1"/>
        <v>0.38270000000000004</v>
      </c>
      <c r="U17" s="185">
        <f t="shared" si="1"/>
        <v>0.76600000000000001</v>
      </c>
      <c r="V17" s="185">
        <f t="shared" si="1"/>
        <v>0.76600000000000001</v>
      </c>
      <c r="W17" s="185">
        <f t="shared" si="1"/>
        <v>0.40669999999999995</v>
      </c>
      <c r="X17" s="185">
        <f t="shared" si="1"/>
        <v>0.44030000000000002</v>
      </c>
    </row>
    <row r="18" spans="1:24" x14ac:dyDescent="0.2">
      <c r="A18" s="175"/>
      <c r="B18" s="181" t="s">
        <v>27</v>
      </c>
      <c r="C18" s="182">
        <f>Input!C23</f>
        <v>0.49099999999999999</v>
      </c>
      <c r="D18" s="182">
        <f>Input!D23</f>
        <v>0.51029999999999998</v>
      </c>
      <c r="E18" s="182">
        <f>Input!E23</f>
        <v>0.51170000000000004</v>
      </c>
      <c r="F18" s="182">
        <f>Input!F23</f>
        <v>0.497</v>
      </c>
      <c r="G18" s="182">
        <f>Input!G23</f>
        <v>0.497</v>
      </c>
      <c r="H18" s="182">
        <f>Input!H23</f>
        <v>0.54600000000000004</v>
      </c>
      <c r="I18" s="182">
        <f>Input!I23</f>
        <v>0.26529999999999998</v>
      </c>
      <c r="J18" s="182">
        <f>Input!J23</f>
        <v>0.26529999999999998</v>
      </c>
      <c r="K18" s="182">
        <f>Input!K23</f>
        <v>0.5857</v>
      </c>
      <c r="L18" s="182">
        <f>Input!L23</f>
        <v>0.56230000000000002</v>
      </c>
      <c r="M18" s="183"/>
      <c r="N18" s="184"/>
      <c r="O18" s="185">
        <f t="shared" si="1"/>
        <v>0.50900000000000001</v>
      </c>
      <c r="P18" s="185">
        <f t="shared" si="1"/>
        <v>0.48970000000000002</v>
      </c>
      <c r="Q18" s="185">
        <f t="shared" si="1"/>
        <v>0.48829999999999996</v>
      </c>
      <c r="R18" s="185">
        <f t="shared" si="1"/>
        <v>0.503</v>
      </c>
      <c r="S18" s="185">
        <f t="shared" si="1"/>
        <v>0.503</v>
      </c>
      <c r="T18" s="185">
        <f t="shared" si="1"/>
        <v>0.45399999999999996</v>
      </c>
      <c r="U18" s="185">
        <f t="shared" si="1"/>
        <v>0.73470000000000002</v>
      </c>
      <c r="V18" s="185">
        <f t="shared" si="1"/>
        <v>0.73470000000000002</v>
      </c>
      <c r="W18" s="185">
        <f t="shared" si="1"/>
        <v>0.4143</v>
      </c>
      <c r="X18" s="185">
        <f t="shared" si="1"/>
        <v>0.43769999999999998</v>
      </c>
    </row>
    <row r="19" spans="1:24" x14ac:dyDescent="0.2">
      <c r="A19" s="175"/>
      <c r="B19" s="181" t="s">
        <v>28</v>
      </c>
      <c r="C19" s="182">
        <f>Input!C24</f>
        <v>0.47399999999999998</v>
      </c>
      <c r="D19" s="182">
        <f>Input!D24</f>
        <v>0.47699999999999998</v>
      </c>
      <c r="E19" s="182">
        <f>Input!E24</f>
        <v>0.49769999999999998</v>
      </c>
      <c r="F19" s="182">
        <f>Input!F24</f>
        <v>0.4607</v>
      </c>
      <c r="G19" s="182">
        <f>Input!G24</f>
        <v>0.4607</v>
      </c>
      <c r="H19" s="182">
        <f>Input!H24</f>
        <v>0.48170000000000002</v>
      </c>
      <c r="I19" s="182">
        <f>Input!I24</f>
        <v>0.30599999999999999</v>
      </c>
      <c r="J19" s="182">
        <f>Input!J24</f>
        <v>0.30599999999999999</v>
      </c>
      <c r="K19" s="182">
        <f>Input!K24</f>
        <v>0.56469999999999998</v>
      </c>
      <c r="L19" s="182">
        <f>Input!L24</f>
        <v>0.5423</v>
      </c>
      <c r="M19" s="183"/>
      <c r="N19" s="184"/>
      <c r="O19" s="185">
        <f t="shared" si="1"/>
        <v>0.52600000000000002</v>
      </c>
      <c r="P19" s="185">
        <f t="shared" si="1"/>
        <v>0.52300000000000002</v>
      </c>
      <c r="Q19" s="185">
        <f t="shared" si="1"/>
        <v>0.50229999999999997</v>
      </c>
      <c r="R19" s="185">
        <f t="shared" si="1"/>
        <v>0.5393</v>
      </c>
      <c r="S19" s="185">
        <f t="shared" si="1"/>
        <v>0.5393</v>
      </c>
      <c r="T19" s="185">
        <f t="shared" si="1"/>
        <v>0.51829999999999998</v>
      </c>
      <c r="U19" s="185">
        <f t="shared" si="1"/>
        <v>0.69399999999999995</v>
      </c>
      <c r="V19" s="185">
        <f t="shared" si="1"/>
        <v>0.69399999999999995</v>
      </c>
      <c r="W19" s="185">
        <f t="shared" si="1"/>
        <v>0.43530000000000002</v>
      </c>
      <c r="X19" s="185">
        <f t="shared" si="1"/>
        <v>0.4577</v>
      </c>
    </row>
    <row r="20" spans="1:24" x14ac:dyDescent="0.2">
      <c r="A20" s="175"/>
      <c r="B20" s="181" t="s">
        <v>29</v>
      </c>
      <c r="C20" s="182">
        <f>Input!C25</f>
        <v>0.47299999999999998</v>
      </c>
      <c r="D20" s="182">
        <f>Input!D25</f>
        <v>0.4713</v>
      </c>
      <c r="E20" s="182">
        <f>Input!E25</f>
        <v>0.49170000000000003</v>
      </c>
      <c r="F20" s="182">
        <f>Input!F25</f>
        <v>0.45800000000000002</v>
      </c>
      <c r="G20" s="182">
        <f>Input!G25</f>
        <v>0.45800000000000002</v>
      </c>
      <c r="H20" s="182">
        <f>Input!H25</f>
        <v>0.46600000000000003</v>
      </c>
      <c r="I20" s="182">
        <f>Input!I25</f>
        <v>0.30830000000000002</v>
      </c>
      <c r="J20" s="182">
        <f>Input!J25</f>
        <v>0.30830000000000002</v>
      </c>
      <c r="K20" s="182">
        <f>Input!K25</f>
        <v>0.55069999999999997</v>
      </c>
      <c r="L20" s="182">
        <f>Input!L25</f>
        <v>0.52569999999999995</v>
      </c>
      <c r="M20" s="183"/>
      <c r="N20" s="184"/>
      <c r="O20" s="185">
        <f t="shared" si="1"/>
        <v>0.52700000000000002</v>
      </c>
      <c r="P20" s="185">
        <f t="shared" si="1"/>
        <v>0.52869999999999995</v>
      </c>
      <c r="Q20" s="185">
        <f t="shared" si="1"/>
        <v>0.50829999999999997</v>
      </c>
      <c r="R20" s="185">
        <f t="shared" si="1"/>
        <v>0.54200000000000004</v>
      </c>
      <c r="S20" s="185">
        <f t="shared" si="1"/>
        <v>0.54200000000000004</v>
      </c>
      <c r="T20" s="185">
        <f t="shared" si="1"/>
        <v>0.53400000000000003</v>
      </c>
      <c r="U20" s="185">
        <f t="shared" si="1"/>
        <v>0.69169999999999998</v>
      </c>
      <c r="V20" s="185">
        <f t="shared" si="1"/>
        <v>0.69169999999999998</v>
      </c>
      <c r="W20" s="185">
        <f t="shared" si="1"/>
        <v>0.44930000000000003</v>
      </c>
      <c r="X20" s="185">
        <f t="shared" si="1"/>
        <v>0.47430000000000005</v>
      </c>
    </row>
    <row r="21" spans="1:24" x14ac:dyDescent="0.2">
      <c r="A21" s="175"/>
      <c r="B21" s="181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5"/>
      <c r="P21" s="185"/>
      <c r="Q21" s="185"/>
      <c r="R21" s="185"/>
      <c r="S21" s="185"/>
      <c r="T21" s="185"/>
      <c r="U21" s="185"/>
      <c r="V21" s="185"/>
      <c r="W21" s="185"/>
      <c r="X21" s="185"/>
    </row>
    <row r="22" spans="1:24" x14ac:dyDescent="0.2">
      <c r="A22" s="175"/>
      <c r="B22" s="181"/>
      <c r="C22" s="184"/>
      <c r="D22" s="184"/>
      <c r="E22" s="171" t="str">
        <f>+Input!E9</f>
        <v>Based on average of year 2015,2016 &amp; 2017 Load Profile Information</v>
      </c>
      <c r="K22" s="184"/>
      <c r="L22" s="184"/>
      <c r="M22" s="184"/>
      <c r="N22" s="184"/>
      <c r="O22" s="185"/>
      <c r="P22" s="185"/>
      <c r="Q22" s="185"/>
      <c r="R22" s="185"/>
      <c r="S22" s="185"/>
      <c r="T22" s="185"/>
      <c r="U22" s="185"/>
      <c r="V22" s="185"/>
      <c r="W22" s="185"/>
      <c r="X22" s="185"/>
    </row>
    <row r="23" spans="1:24" x14ac:dyDescent="0.2">
      <c r="A23" s="172" t="s">
        <v>30</v>
      </c>
      <c r="B23" s="173" t="s">
        <v>31</v>
      </c>
      <c r="C23" s="184"/>
      <c r="D23" s="184"/>
      <c r="E23" s="186" t="str">
        <f>Input!E28</f>
        <v>On-Peak periods as defined in specified rate schedule (average of %s for 2015,2016 &amp; 2017)</v>
      </c>
      <c r="G23" s="184"/>
      <c r="H23" s="184"/>
      <c r="I23" s="187"/>
      <c r="J23" s="187"/>
      <c r="K23" s="184"/>
      <c r="L23" s="184"/>
      <c r="M23" s="184"/>
      <c r="N23" s="184"/>
      <c r="O23" s="185"/>
      <c r="P23" s="185"/>
      <c r="Q23" s="185"/>
      <c r="R23" s="185"/>
      <c r="S23" s="185"/>
      <c r="T23" s="185"/>
      <c r="U23" s="185"/>
      <c r="V23" s="185"/>
      <c r="W23" s="185"/>
      <c r="X23" s="185"/>
    </row>
    <row r="24" spans="1:24" ht="25.5" x14ac:dyDescent="0.2">
      <c r="A24" s="175"/>
      <c r="C24" s="176" t="s">
        <v>102</v>
      </c>
      <c r="D24" s="176" t="s">
        <v>102</v>
      </c>
      <c r="E24" s="176" t="s">
        <v>5</v>
      </c>
      <c r="F24" s="176" t="s">
        <v>102</v>
      </c>
      <c r="G24" s="176" t="s">
        <v>102</v>
      </c>
      <c r="H24" s="176" t="s">
        <v>102</v>
      </c>
      <c r="I24" s="176" t="s">
        <v>102</v>
      </c>
      <c r="J24" s="176" t="s">
        <v>102</v>
      </c>
      <c r="K24" s="176" t="s">
        <v>102</v>
      </c>
      <c r="L24" s="176" t="s">
        <v>5</v>
      </c>
      <c r="M24" s="176"/>
      <c r="N24" s="171"/>
      <c r="O24" s="176" t="s">
        <v>102</v>
      </c>
      <c r="P24" s="176" t="s">
        <v>102</v>
      </c>
      <c r="Q24" s="176" t="s">
        <v>103</v>
      </c>
      <c r="R24" s="176" t="s">
        <v>102</v>
      </c>
      <c r="S24" s="176" t="s">
        <v>102</v>
      </c>
      <c r="T24" s="176" t="s">
        <v>102</v>
      </c>
      <c r="U24" s="176" t="s">
        <v>102</v>
      </c>
      <c r="V24" s="176" t="s">
        <v>102</v>
      </c>
      <c r="W24" s="176" t="s">
        <v>102</v>
      </c>
      <c r="X24" s="176" t="s">
        <v>103</v>
      </c>
    </row>
    <row r="25" spans="1:24" x14ac:dyDescent="0.2">
      <c r="A25" s="175"/>
      <c r="B25" s="178" t="s">
        <v>7</v>
      </c>
      <c r="C25" s="167" t="str">
        <f>+C7</f>
        <v>RS</v>
      </c>
      <c r="D25" s="167" t="str">
        <f t="shared" ref="D25:L25" si="2">+D7</f>
        <v>RHS</v>
      </c>
      <c r="E25" s="167" t="str">
        <f t="shared" si="2"/>
        <v>RLM</v>
      </c>
      <c r="F25" s="167" t="str">
        <f t="shared" si="2"/>
        <v>WH</v>
      </c>
      <c r="G25" s="167" t="str">
        <f t="shared" si="2"/>
        <v>WHS</v>
      </c>
      <c r="H25" s="167" t="str">
        <f t="shared" si="2"/>
        <v>HS</v>
      </c>
      <c r="I25" s="167" t="str">
        <f t="shared" si="2"/>
        <v>PSAL</v>
      </c>
      <c r="J25" s="167" t="str">
        <f t="shared" si="2"/>
        <v>BPL</v>
      </c>
      <c r="K25" s="167" t="str">
        <f t="shared" si="2"/>
        <v>GLP</v>
      </c>
      <c r="L25" s="167" t="str">
        <f t="shared" si="2"/>
        <v>LPL-S</v>
      </c>
      <c r="M25" s="167"/>
      <c r="N25" s="180"/>
      <c r="O25" s="167" t="str">
        <f>+C7</f>
        <v>RS</v>
      </c>
      <c r="P25" s="167" t="str">
        <f t="shared" ref="P25:X25" si="3">+D7</f>
        <v>RHS</v>
      </c>
      <c r="Q25" s="167" t="str">
        <f t="shared" si="3"/>
        <v>RLM</v>
      </c>
      <c r="R25" s="167" t="str">
        <f t="shared" si="3"/>
        <v>WH</v>
      </c>
      <c r="S25" s="167" t="str">
        <f t="shared" si="3"/>
        <v>WHS</v>
      </c>
      <c r="T25" s="167" t="str">
        <f t="shared" si="3"/>
        <v>HS</v>
      </c>
      <c r="U25" s="167" t="str">
        <f t="shared" si="3"/>
        <v>PSAL</v>
      </c>
      <c r="V25" s="167" t="str">
        <f t="shared" si="3"/>
        <v>BPL</v>
      </c>
      <c r="W25" s="167" t="str">
        <f t="shared" si="3"/>
        <v>GLP</v>
      </c>
      <c r="X25" s="167" t="str">
        <f t="shared" si="3"/>
        <v>LPL-S</v>
      </c>
    </row>
    <row r="26" spans="1:24" x14ac:dyDescent="0.2">
      <c r="A26" s="175"/>
      <c r="O26" s="168"/>
      <c r="P26" s="168"/>
      <c r="Q26" s="168"/>
      <c r="R26" s="168"/>
      <c r="S26" s="168"/>
      <c r="T26" s="168"/>
      <c r="U26" s="168"/>
      <c r="V26" s="168"/>
      <c r="W26" s="168"/>
      <c r="X26" s="168"/>
    </row>
    <row r="27" spans="1:24" x14ac:dyDescent="0.2">
      <c r="A27" s="175"/>
      <c r="B27" s="181" t="s">
        <v>18</v>
      </c>
      <c r="C27" s="188">
        <v>0</v>
      </c>
      <c r="D27" s="188">
        <v>0</v>
      </c>
      <c r="E27" s="188">
        <f>Input!C32</f>
        <v>0.43020000000000003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f>Input!D32</f>
        <v>0.48409999999999997</v>
      </c>
      <c r="M27" s="183"/>
      <c r="N27" s="184"/>
      <c r="O27" s="185"/>
      <c r="P27" s="185"/>
      <c r="Q27" s="185">
        <f t="shared" ref="Q27:Q38" si="4">1-E27</f>
        <v>0.56979999999999997</v>
      </c>
      <c r="R27" s="185"/>
      <c r="S27" s="185"/>
      <c r="T27" s="185"/>
      <c r="U27" s="185"/>
      <c r="V27" s="185"/>
      <c r="W27" s="185"/>
      <c r="X27" s="185">
        <f t="shared" ref="X27:X38" si="5">1-L27</f>
        <v>0.51590000000000003</v>
      </c>
    </row>
    <row r="28" spans="1:24" x14ac:dyDescent="0.2">
      <c r="A28" s="175"/>
      <c r="B28" s="181" t="s">
        <v>19</v>
      </c>
      <c r="C28" s="188">
        <v>0</v>
      </c>
      <c r="D28" s="188">
        <v>0</v>
      </c>
      <c r="E28" s="188">
        <f>Input!C33</f>
        <v>0.42480000000000001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f>Input!D33</f>
        <v>0.48299999999999998</v>
      </c>
      <c r="M28" s="183"/>
      <c r="N28" s="184"/>
      <c r="O28" s="185"/>
      <c r="P28" s="185"/>
      <c r="Q28" s="185">
        <f t="shared" si="4"/>
        <v>0.57519999999999993</v>
      </c>
      <c r="R28" s="185"/>
      <c r="S28" s="185"/>
      <c r="T28" s="185"/>
      <c r="U28" s="185"/>
      <c r="V28" s="185"/>
      <c r="W28" s="185"/>
      <c r="X28" s="185">
        <f t="shared" si="5"/>
        <v>0.51700000000000002</v>
      </c>
    </row>
    <row r="29" spans="1:24" x14ac:dyDescent="0.2">
      <c r="A29" s="175"/>
      <c r="B29" s="181" t="s">
        <v>20</v>
      </c>
      <c r="C29" s="188">
        <v>0</v>
      </c>
      <c r="D29" s="188">
        <v>0</v>
      </c>
      <c r="E29" s="188">
        <f>Input!C34</f>
        <v>0.4163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f>Input!D34</f>
        <v>0.4824</v>
      </c>
      <c r="M29" s="183"/>
      <c r="N29" s="184"/>
      <c r="O29" s="185"/>
      <c r="P29" s="185"/>
      <c r="Q29" s="185">
        <f t="shared" si="4"/>
        <v>0.5837</v>
      </c>
      <c r="R29" s="185"/>
      <c r="S29" s="185"/>
      <c r="T29" s="185"/>
      <c r="U29" s="185"/>
      <c r="V29" s="185"/>
      <c r="W29" s="185"/>
      <c r="X29" s="185">
        <f t="shared" si="5"/>
        <v>0.51760000000000006</v>
      </c>
    </row>
    <row r="30" spans="1:24" x14ac:dyDescent="0.2">
      <c r="A30" s="175"/>
      <c r="B30" s="181" t="s">
        <v>21</v>
      </c>
      <c r="C30" s="188">
        <v>0</v>
      </c>
      <c r="D30" s="188">
        <v>0</v>
      </c>
      <c r="E30" s="188">
        <f>Input!C35</f>
        <v>0.42109999999999997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f>Input!D35</f>
        <v>0.48980000000000001</v>
      </c>
      <c r="M30" s="183"/>
      <c r="N30" s="184"/>
      <c r="O30" s="185"/>
      <c r="P30" s="185"/>
      <c r="Q30" s="185">
        <f t="shared" si="4"/>
        <v>0.57889999999999997</v>
      </c>
      <c r="R30" s="185"/>
      <c r="S30" s="185"/>
      <c r="T30" s="185"/>
      <c r="U30" s="185"/>
      <c r="V30" s="185"/>
      <c r="W30" s="185"/>
      <c r="X30" s="185">
        <f t="shared" si="5"/>
        <v>0.51019999999999999</v>
      </c>
    </row>
    <row r="31" spans="1:24" x14ac:dyDescent="0.2">
      <c r="A31" s="175"/>
      <c r="B31" s="181" t="s">
        <v>22</v>
      </c>
      <c r="C31" s="188">
        <v>0</v>
      </c>
      <c r="D31" s="188">
        <v>0</v>
      </c>
      <c r="E31" s="188">
        <f>Input!C36</f>
        <v>0.4415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f>Input!D36</f>
        <v>0.50470000000000004</v>
      </c>
      <c r="M31" s="183"/>
      <c r="N31" s="189"/>
      <c r="O31" s="185"/>
      <c r="P31" s="185"/>
      <c r="Q31" s="185">
        <f t="shared" si="4"/>
        <v>0.5585</v>
      </c>
      <c r="R31" s="185"/>
      <c r="S31" s="185"/>
      <c r="T31" s="185"/>
      <c r="U31" s="185"/>
      <c r="V31" s="185"/>
      <c r="W31" s="185"/>
      <c r="X31" s="185">
        <f t="shared" si="5"/>
        <v>0.49529999999999996</v>
      </c>
    </row>
    <row r="32" spans="1:24" x14ac:dyDescent="0.2">
      <c r="A32" s="175"/>
      <c r="B32" s="181" t="s">
        <v>23</v>
      </c>
      <c r="C32" s="188">
        <v>0</v>
      </c>
      <c r="D32" s="188">
        <v>0</v>
      </c>
      <c r="E32" s="188">
        <f>Input!C37</f>
        <v>0.46379999999999999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f>Input!D37</f>
        <v>0.5091</v>
      </c>
      <c r="M32" s="183"/>
      <c r="N32" s="189"/>
      <c r="O32" s="185"/>
      <c r="P32" s="185"/>
      <c r="Q32" s="185">
        <f t="shared" si="4"/>
        <v>0.53620000000000001</v>
      </c>
      <c r="R32" s="185"/>
      <c r="S32" s="185"/>
      <c r="T32" s="185"/>
      <c r="U32" s="185"/>
      <c r="V32" s="185"/>
      <c r="W32" s="185"/>
      <c r="X32" s="185">
        <f t="shared" si="5"/>
        <v>0.4909</v>
      </c>
    </row>
    <row r="33" spans="1:32" x14ac:dyDescent="0.2">
      <c r="A33" s="175"/>
      <c r="B33" s="181" t="s">
        <v>24</v>
      </c>
      <c r="C33" s="188">
        <v>0</v>
      </c>
      <c r="D33" s="188">
        <v>0</v>
      </c>
      <c r="E33" s="188">
        <f>Input!C38</f>
        <v>0.48399999999999999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f>Input!D38</f>
        <v>0.50829999999999997</v>
      </c>
      <c r="M33" s="183"/>
      <c r="N33" s="189"/>
      <c r="O33" s="185"/>
      <c r="P33" s="185"/>
      <c r="Q33" s="185">
        <f t="shared" si="4"/>
        <v>0.51600000000000001</v>
      </c>
      <c r="R33" s="185"/>
      <c r="S33" s="185"/>
      <c r="T33" s="185"/>
      <c r="U33" s="185"/>
      <c r="V33" s="185"/>
      <c r="W33" s="185"/>
      <c r="X33" s="185">
        <f t="shared" si="5"/>
        <v>0.49170000000000003</v>
      </c>
    </row>
    <row r="34" spans="1:32" x14ac:dyDescent="0.2">
      <c r="A34" s="175"/>
      <c r="B34" s="181" t="s">
        <v>25</v>
      </c>
      <c r="C34" s="188">
        <v>0</v>
      </c>
      <c r="D34" s="188">
        <v>0</v>
      </c>
      <c r="E34" s="188">
        <f>Input!C39</f>
        <v>0.48220000000000002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f>Input!D39</f>
        <v>0.50219999999999998</v>
      </c>
      <c r="M34" s="183"/>
      <c r="N34" s="189"/>
      <c r="O34" s="185"/>
      <c r="P34" s="185"/>
      <c r="Q34" s="185">
        <f t="shared" si="4"/>
        <v>0.51780000000000004</v>
      </c>
      <c r="R34" s="185"/>
      <c r="S34" s="185"/>
      <c r="T34" s="185"/>
      <c r="U34" s="185"/>
      <c r="V34" s="185"/>
      <c r="W34" s="185"/>
      <c r="X34" s="185">
        <f t="shared" si="5"/>
        <v>0.49780000000000002</v>
      </c>
    </row>
    <row r="35" spans="1:32" x14ac:dyDescent="0.2">
      <c r="A35" s="175"/>
      <c r="B35" s="181" t="s">
        <v>26</v>
      </c>
      <c r="C35" s="188">
        <v>0</v>
      </c>
      <c r="D35" s="188">
        <v>0</v>
      </c>
      <c r="E35" s="188">
        <f>Input!C40</f>
        <v>0.4839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8">
        <f>Input!D40</f>
        <v>0.50819999999999999</v>
      </c>
      <c r="M35" s="183"/>
      <c r="N35" s="189"/>
      <c r="O35" s="185"/>
      <c r="P35" s="185"/>
      <c r="Q35" s="185">
        <f t="shared" si="4"/>
        <v>0.5161</v>
      </c>
      <c r="R35" s="185"/>
      <c r="S35" s="185"/>
      <c r="T35" s="185"/>
      <c r="U35" s="185"/>
      <c r="V35" s="185"/>
      <c r="W35" s="185"/>
      <c r="X35" s="185">
        <f t="shared" si="5"/>
        <v>0.49180000000000001</v>
      </c>
    </row>
    <row r="36" spans="1:32" x14ac:dyDescent="0.2">
      <c r="A36" s="175"/>
      <c r="B36" s="181" t="s">
        <v>27</v>
      </c>
      <c r="C36" s="188">
        <v>0</v>
      </c>
      <c r="D36" s="188">
        <v>0</v>
      </c>
      <c r="E36" s="188">
        <f>Input!C41</f>
        <v>0.46079999999999999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88">
        <f>Input!D41</f>
        <v>0.5101</v>
      </c>
      <c r="M36" s="183"/>
      <c r="N36" s="189"/>
      <c r="O36" s="185"/>
      <c r="P36" s="185"/>
      <c r="Q36" s="185">
        <f t="shared" si="4"/>
        <v>0.53920000000000001</v>
      </c>
      <c r="R36" s="185"/>
      <c r="S36" s="185"/>
      <c r="T36" s="185"/>
      <c r="U36" s="185"/>
      <c r="V36" s="185"/>
      <c r="W36" s="185"/>
      <c r="X36" s="185">
        <f t="shared" si="5"/>
        <v>0.4899</v>
      </c>
    </row>
    <row r="37" spans="1:32" x14ac:dyDescent="0.2">
      <c r="A37" s="175"/>
      <c r="B37" s="181" t="s">
        <v>28</v>
      </c>
      <c r="C37" s="188">
        <v>0</v>
      </c>
      <c r="D37" s="188">
        <v>0</v>
      </c>
      <c r="E37" s="188">
        <f>Input!C42</f>
        <v>0.43609999999999999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f>Input!D42</f>
        <v>0.49890000000000001</v>
      </c>
      <c r="M37" s="183"/>
      <c r="N37" s="189"/>
      <c r="O37" s="185"/>
      <c r="P37" s="185"/>
      <c r="Q37" s="185">
        <f t="shared" si="4"/>
        <v>0.56390000000000007</v>
      </c>
      <c r="R37" s="185"/>
      <c r="S37" s="185"/>
      <c r="T37" s="185"/>
      <c r="U37" s="185"/>
      <c r="V37" s="185"/>
      <c r="W37" s="185"/>
      <c r="X37" s="185">
        <f t="shared" si="5"/>
        <v>0.50109999999999999</v>
      </c>
    </row>
    <row r="38" spans="1:32" x14ac:dyDescent="0.2">
      <c r="A38" s="175"/>
      <c r="B38" s="181" t="s">
        <v>29</v>
      </c>
      <c r="C38" s="188">
        <v>0</v>
      </c>
      <c r="D38" s="188">
        <v>0</v>
      </c>
      <c r="E38" s="188">
        <f>Input!C43</f>
        <v>0.42849999999999999</v>
      </c>
      <c r="F38" s="188">
        <v>0</v>
      </c>
      <c r="G38" s="188">
        <v>0</v>
      </c>
      <c r="H38" s="188">
        <v>0</v>
      </c>
      <c r="I38" s="188">
        <v>0</v>
      </c>
      <c r="J38" s="188">
        <v>0</v>
      </c>
      <c r="K38" s="188">
        <v>0</v>
      </c>
      <c r="L38" s="188">
        <f>Input!D43</f>
        <v>0.48909999999999998</v>
      </c>
      <c r="M38" s="183"/>
      <c r="N38" s="189"/>
      <c r="O38" s="185"/>
      <c r="P38" s="185"/>
      <c r="Q38" s="185">
        <f t="shared" si="4"/>
        <v>0.57150000000000001</v>
      </c>
      <c r="R38" s="185"/>
      <c r="S38" s="185"/>
      <c r="T38" s="185"/>
      <c r="U38" s="185"/>
      <c r="V38" s="185"/>
      <c r="W38" s="185"/>
      <c r="X38" s="185">
        <f t="shared" si="5"/>
        <v>0.51090000000000002</v>
      </c>
    </row>
    <row r="39" spans="1:32" x14ac:dyDescent="0.2">
      <c r="A39" s="175"/>
      <c r="B39" s="181"/>
      <c r="C39" s="184"/>
      <c r="D39" s="184"/>
      <c r="E39" s="184"/>
      <c r="F39" s="184"/>
      <c r="G39" s="184"/>
      <c r="H39" s="184"/>
      <c r="I39" s="187"/>
      <c r="J39" s="187"/>
      <c r="K39" s="184"/>
      <c r="L39" s="184"/>
      <c r="M39" s="184"/>
      <c r="N39" s="189"/>
      <c r="O39" s="185"/>
      <c r="P39" s="185"/>
      <c r="Q39" s="185"/>
      <c r="R39" s="185"/>
      <c r="S39" s="185"/>
      <c r="T39" s="185"/>
      <c r="U39" s="185"/>
      <c r="V39" s="185"/>
      <c r="W39" s="185"/>
      <c r="X39" s="185"/>
    </row>
    <row r="40" spans="1:32" x14ac:dyDescent="0.2">
      <c r="A40" s="175"/>
      <c r="B40" s="181"/>
      <c r="C40" s="184"/>
      <c r="D40" s="184"/>
      <c r="E40" s="184"/>
      <c r="F40" s="184"/>
      <c r="G40" s="184"/>
      <c r="H40" s="184"/>
      <c r="I40" s="187"/>
      <c r="J40" s="187"/>
      <c r="K40" s="184"/>
      <c r="L40" s="184"/>
      <c r="M40" s="184"/>
      <c r="N40" s="189"/>
      <c r="O40" s="185"/>
      <c r="P40" s="185"/>
      <c r="Q40" s="185"/>
      <c r="R40" s="185"/>
      <c r="S40" s="185"/>
      <c r="T40" s="185"/>
      <c r="U40" s="185"/>
      <c r="V40" s="185"/>
      <c r="W40" s="185"/>
      <c r="X40" s="185"/>
    </row>
    <row r="41" spans="1:32" x14ac:dyDescent="0.2">
      <c r="A41" s="172" t="s">
        <v>32</v>
      </c>
      <c r="B41" s="190" t="s">
        <v>33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O41" s="170" t="s">
        <v>104</v>
      </c>
    </row>
    <row r="42" spans="1:32" x14ac:dyDescent="0.2">
      <c r="A42" s="175"/>
      <c r="B42" s="191" t="str">
        <f>Input!B47</f>
        <v>Calendar month sales forecasted for 2019, less % for LPL-Sec &gt; 500 kW Peak Load Share</v>
      </c>
      <c r="G42" s="192"/>
      <c r="L42" s="167" t="s">
        <v>105</v>
      </c>
      <c r="AB42" s="193" t="s">
        <v>106</v>
      </c>
      <c r="AD42" s="170" t="s">
        <v>35</v>
      </c>
    </row>
    <row r="43" spans="1:32" x14ac:dyDescent="0.2">
      <c r="A43" s="175"/>
      <c r="B43" s="171" t="s">
        <v>34</v>
      </c>
      <c r="C43" s="167" t="str">
        <f>+C7</f>
        <v>RS</v>
      </c>
      <c r="D43" s="167" t="str">
        <f t="shared" ref="D43:L43" si="6">+D7</f>
        <v>RHS</v>
      </c>
      <c r="E43" s="167" t="str">
        <f t="shared" si="6"/>
        <v>RLM</v>
      </c>
      <c r="F43" s="167" t="str">
        <f t="shared" si="6"/>
        <v>WH</v>
      </c>
      <c r="G43" s="167" t="str">
        <f t="shared" si="6"/>
        <v>WHS</v>
      </c>
      <c r="H43" s="167" t="str">
        <f t="shared" si="6"/>
        <v>HS</v>
      </c>
      <c r="I43" s="167" t="str">
        <f t="shared" si="6"/>
        <v>PSAL</v>
      </c>
      <c r="J43" s="167" t="str">
        <f t="shared" si="6"/>
        <v>BPL</v>
      </c>
      <c r="K43" s="167" t="str">
        <f t="shared" si="6"/>
        <v>GLP</v>
      </c>
      <c r="L43" s="167" t="str">
        <f t="shared" si="6"/>
        <v>LPL-S</v>
      </c>
      <c r="M43" s="167"/>
      <c r="N43" s="167"/>
      <c r="O43" s="167" t="str">
        <f>+C7</f>
        <v>RS</v>
      </c>
      <c r="P43" s="167" t="str">
        <f t="shared" ref="P43:X43" si="7">+D7</f>
        <v>RHS</v>
      </c>
      <c r="Q43" s="167" t="str">
        <f t="shared" si="7"/>
        <v>RLM</v>
      </c>
      <c r="R43" s="167" t="str">
        <f t="shared" si="7"/>
        <v>WH</v>
      </c>
      <c r="S43" s="167" t="str">
        <f t="shared" si="7"/>
        <v>WHS</v>
      </c>
      <c r="T43" s="167" t="str">
        <f t="shared" si="7"/>
        <v>HS</v>
      </c>
      <c r="U43" s="167" t="str">
        <f t="shared" si="7"/>
        <v>PSAL</v>
      </c>
      <c r="V43" s="167" t="str">
        <f t="shared" si="7"/>
        <v>BPL</v>
      </c>
      <c r="W43" s="167" t="str">
        <f t="shared" si="7"/>
        <v>GLP</v>
      </c>
      <c r="X43" s="167" t="str">
        <f t="shared" si="7"/>
        <v>LPL-S</v>
      </c>
      <c r="Y43" s="167"/>
      <c r="Z43" s="167" t="s">
        <v>107</v>
      </c>
      <c r="AB43" s="193" t="s">
        <v>17</v>
      </c>
      <c r="AD43" s="194" t="s">
        <v>36</v>
      </c>
      <c r="AE43" s="194" t="s">
        <v>36</v>
      </c>
      <c r="AF43" s="193" t="s">
        <v>36</v>
      </c>
    </row>
    <row r="44" spans="1:32" x14ac:dyDescent="0.2">
      <c r="A44" s="175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Y44" s="195"/>
      <c r="AB44" s="193"/>
      <c r="AD44" s="193" t="s">
        <v>37</v>
      </c>
      <c r="AE44" s="193" t="s">
        <v>38</v>
      </c>
      <c r="AF44" s="193" t="s">
        <v>108</v>
      </c>
    </row>
    <row r="45" spans="1:32" x14ac:dyDescent="0.2">
      <c r="A45" s="175"/>
      <c r="B45" s="181" t="s">
        <v>18</v>
      </c>
      <c r="C45" s="196">
        <f>Input!C50</f>
        <v>1041224.6599977178</v>
      </c>
      <c r="D45" s="196">
        <f>Input!D50</f>
        <v>17825.527830187097</v>
      </c>
      <c r="E45" s="196">
        <f>Input!E50</f>
        <v>18171.345746583887</v>
      </c>
      <c r="F45" s="196">
        <f>Input!F50</f>
        <v>110</v>
      </c>
      <c r="G45" s="196">
        <f>Input!G50</f>
        <v>2</v>
      </c>
      <c r="H45" s="196">
        <f>Input!H50</f>
        <v>1932.9172564750029</v>
      </c>
      <c r="I45" s="196">
        <f>Input!I50</f>
        <v>17199</v>
      </c>
      <c r="J45" s="196">
        <f>Input!J50</f>
        <v>31648</v>
      </c>
      <c r="K45" s="196">
        <f>Input!K50</f>
        <v>537793.35348465282</v>
      </c>
      <c r="L45" s="197">
        <f>AB45*$M$45</f>
        <v>402207.95227801707</v>
      </c>
      <c r="M45" s="198">
        <f>(1-AD45)</f>
        <v>0.6352125116584364</v>
      </c>
      <c r="N45" s="199" t="s">
        <v>109</v>
      </c>
      <c r="O45" s="200">
        <f>SUM(C45:C49,C54:C56)</f>
        <v>6831216.1090968503</v>
      </c>
      <c r="P45" s="201">
        <f t="shared" ref="P45:X45" si="8">SUM(D45:D49,D54:D56)</f>
        <v>87351.610944795073</v>
      </c>
      <c r="Q45" s="201">
        <f t="shared" si="8"/>
        <v>115506.80013624698</v>
      </c>
      <c r="R45" s="201">
        <f t="shared" si="8"/>
        <v>763</v>
      </c>
      <c r="S45" s="201">
        <f t="shared" si="8"/>
        <v>14</v>
      </c>
      <c r="T45" s="201">
        <f t="shared" si="8"/>
        <v>9698.2397524654261</v>
      </c>
      <c r="U45" s="201">
        <f t="shared" si="8"/>
        <v>112765</v>
      </c>
      <c r="V45" s="201">
        <f t="shared" si="8"/>
        <v>216403</v>
      </c>
      <c r="W45" s="201">
        <f t="shared" si="8"/>
        <v>4026229.8563874275</v>
      </c>
      <c r="X45" s="201">
        <f t="shared" si="8"/>
        <v>3053420.1926255138</v>
      </c>
      <c r="Y45" s="195">
        <f>SUM(O45:X45)</f>
        <v>14453367.8089433</v>
      </c>
      <c r="Z45" s="202">
        <f>+Y45/(Y45+Y49)</f>
        <v>0.59838804819201785</v>
      </c>
      <c r="AB45" s="203">
        <f>Input!L50</f>
        <v>633186.44531720201</v>
      </c>
      <c r="AD45" s="204">
        <f>Input!C66</f>
        <v>0.36478748834156355</v>
      </c>
      <c r="AE45" s="205">
        <f>Input!D66</f>
        <v>0.34836577134667845</v>
      </c>
      <c r="AF45" s="206">
        <f>AE45</f>
        <v>0.34836577134667845</v>
      </c>
    </row>
    <row r="46" spans="1:32" x14ac:dyDescent="0.2">
      <c r="A46" s="175"/>
      <c r="B46" s="181" t="s">
        <v>19</v>
      </c>
      <c r="C46" s="196">
        <f>Input!C51</f>
        <v>878745.45451783459</v>
      </c>
      <c r="D46" s="196">
        <f>Input!D51</f>
        <v>14701.40690139556</v>
      </c>
      <c r="E46" s="196">
        <f>Input!E51</f>
        <v>14904.650499817304</v>
      </c>
      <c r="F46" s="196">
        <f>Input!F51</f>
        <v>107</v>
      </c>
      <c r="G46" s="196">
        <f>Input!G51</f>
        <v>2</v>
      </c>
      <c r="H46" s="196">
        <f>Input!H51</f>
        <v>1811.2470184558174</v>
      </c>
      <c r="I46" s="196">
        <f>Input!I51</f>
        <v>13165</v>
      </c>
      <c r="J46" s="196">
        <f>Input!J51</f>
        <v>28407</v>
      </c>
      <c r="K46" s="196">
        <f>Input!K51</f>
        <v>508852.87189390534</v>
      </c>
      <c r="L46" s="197">
        <f t="shared" ref="L46:L56" si="9">AB46*$M$45</f>
        <v>374782.48677067528</v>
      </c>
      <c r="M46" s="207"/>
      <c r="N46" s="199" t="s">
        <v>110</v>
      </c>
      <c r="O46" s="201"/>
      <c r="P46" s="201"/>
      <c r="Q46" s="201">
        <f>SUMPRODUCT(E27:E31,E45:E49)+SUMPRODUCT(E36:E38,E54:E56)</f>
        <v>49918.664784710258</v>
      </c>
      <c r="R46" s="201"/>
      <c r="X46" s="201">
        <f>SUMPRODUCT(L27:L31,L45:L49)+SUMPRODUCT(L36:L38,L54:L56)</f>
        <v>1504791.7657982581</v>
      </c>
      <c r="Y46" s="195"/>
      <c r="Z46" s="202"/>
      <c r="AB46" s="203">
        <f>Input!L51</f>
        <v>590011.18506337237</v>
      </c>
      <c r="AD46" s="208"/>
    </row>
    <row r="47" spans="1:32" x14ac:dyDescent="0.2">
      <c r="A47" s="175"/>
      <c r="B47" s="181" t="s">
        <v>20</v>
      </c>
      <c r="C47" s="196">
        <f>Input!C52</f>
        <v>860012.62242081226</v>
      </c>
      <c r="D47" s="196">
        <f>Input!D52</f>
        <v>12860.132926472046</v>
      </c>
      <c r="E47" s="196">
        <f>Input!E52</f>
        <v>15256.201950205052</v>
      </c>
      <c r="F47" s="196">
        <f>Input!F52</f>
        <v>104</v>
      </c>
      <c r="G47" s="196">
        <f>Input!G52</f>
        <v>2</v>
      </c>
      <c r="H47" s="196">
        <f>Input!H52</f>
        <v>1570.4952708859398</v>
      </c>
      <c r="I47" s="196">
        <f>Input!I52</f>
        <v>14162</v>
      </c>
      <c r="J47" s="196">
        <f>Input!J52</f>
        <v>24439</v>
      </c>
      <c r="K47" s="196">
        <f>Input!K52</f>
        <v>532388.6931611934</v>
      </c>
      <c r="L47" s="197">
        <f t="shared" si="9"/>
        <v>389810.44586908381</v>
      </c>
      <c r="M47" s="207"/>
      <c r="N47" s="199" t="s">
        <v>111</v>
      </c>
      <c r="O47" s="201">
        <f>+O45-O46</f>
        <v>6831216.1090968503</v>
      </c>
      <c r="P47" s="201">
        <f>+P45-P46</f>
        <v>87351.610944795073</v>
      </c>
      <c r="Q47" s="201">
        <f>+Q45-Q46</f>
        <v>65588.135351536723</v>
      </c>
      <c r="R47" s="201">
        <f>+R45-R46</f>
        <v>763</v>
      </c>
      <c r="X47" s="201">
        <f>+X45-X46</f>
        <v>1548628.4268272556</v>
      </c>
      <c r="Y47" s="195"/>
      <c r="Z47" s="209"/>
      <c r="AB47" s="203">
        <f>Input!L52</f>
        <v>613669.34484862746</v>
      </c>
    </row>
    <row r="48" spans="1:32" x14ac:dyDescent="0.2">
      <c r="A48" s="175"/>
      <c r="B48" s="181" t="s">
        <v>21</v>
      </c>
      <c r="C48" s="196">
        <f>Input!C53</f>
        <v>707010.01499273698</v>
      </c>
      <c r="D48" s="196">
        <f>Input!D53</f>
        <v>7621.2814918277591</v>
      </c>
      <c r="E48" s="196">
        <f>Input!E53</f>
        <v>11572.922947214915</v>
      </c>
      <c r="F48" s="196">
        <f>Input!F53</f>
        <v>89</v>
      </c>
      <c r="G48" s="196">
        <f>Input!G53</f>
        <v>3</v>
      </c>
      <c r="H48" s="196">
        <f>Input!H53</f>
        <v>755.90871280004581</v>
      </c>
      <c r="I48" s="196">
        <f>Input!I53</f>
        <v>11664</v>
      </c>
      <c r="J48" s="196">
        <f>Input!J53</f>
        <v>21743</v>
      </c>
      <c r="K48" s="196">
        <f>Input!K53</f>
        <v>467824.40809767507</v>
      </c>
      <c r="L48" s="197">
        <f t="shared" si="9"/>
        <v>341467.01345179044</v>
      </c>
      <c r="M48" s="207"/>
      <c r="Y48" s="195"/>
      <c r="AB48" s="203">
        <f>Input!L53</f>
        <v>537563.4251288214</v>
      </c>
    </row>
    <row r="49" spans="1:28" x14ac:dyDescent="0.2">
      <c r="A49" s="175"/>
      <c r="B49" s="181" t="s">
        <v>22</v>
      </c>
      <c r="C49" s="196">
        <f>Input!C54</f>
        <v>795979.38179230224</v>
      </c>
      <c r="D49" s="196">
        <f>Input!D54</f>
        <v>5354.9505232142419</v>
      </c>
      <c r="E49" s="196">
        <f>Input!E54</f>
        <v>13778.366362516072</v>
      </c>
      <c r="F49" s="196">
        <f>Input!F54</f>
        <v>101</v>
      </c>
      <c r="G49" s="196">
        <f>Input!G54</f>
        <v>1</v>
      </c>
      <c r="H49" s="196">
        <f>Input!H54</f>
        <v>418.51110240641805</v>
      </c>
      <c r="I49" s="196">
        <f>Input!I54</f>
        <v>10502</v>
      </c>
      <c r="J49" s="196">
        <f>Input!J54</f>
        <v>25431</v>
      </c>
      <c r="K49" s="196">
        <f>Input!K54</f>
        <v>489949.15240992792</v>
      </c>
      <c r="L49" s="197">
        <f t="shared" si="9"/>
        <v>396804.38952476735</v>
      </c>
      <c r="N49" s="199" t="s">
        <v>112</v>
      </c>
      <c r="O49" s="200">
        <f>SUM(C50:C53)</f>
        <v>5347409.730104709</v>
      </c>
      <c r="P49" s="201">
        <f t="shared" ref="P49:X49" si="10">+SUM(D50:D53)</f>
        <v>27145.118303575364</v>
      </c>
      <c r="Q49" s="201">
        <f t="shared" si="10"/>
        <v>94027.289266711363</v>
      </c>
      <c r="R49" s="201">
        <f t="shared" si="10"/>
        <v>297</v>
      </c>
      <c r="S49" s="201">
        <f t="shared" si="10"/>
        <v>5</v>
      </c>
      <c r="T49" s="201">
        <f t="shared" si="10"/>
        <v>2731.1085342604392</v>
      </c>
      <c r="U49" s="201">
        <f t="shared" si="10"/>
        <v>43083</v>
      </c>
      <c r="V49" s="201">
        <f t="shared" si="10"/>
        <v>78691</v>
      </c>
      <c r="W49" s="201">
        <f t="shared" si="10"/>
        <v>2399624.5035742447</v>
      </c>
      <c r="X49" s="201">
        <f t="shared" si="10"/>
        <v>1707456.1601464387</v>
      </c>
      <c r="Y49" s="195">
        <f>SUM(O49:X49)</f>
        <v>9700469.9099299405</v>
      </c>
      <c r="Z49" s="209">
        <f>1-Z45</f>
        <v>0.40161195180798215</v>
      </c>
      <c r="AB49" s="203">
        <f>Input!L54</f>
        <v>624679.74456103786</v>
      </c>
    </row>
    <row r="50" spans="1:28" x14ac:dyDescent="0.2">
      <c r="A50" s="175"/>
      <c r="B50" s="181" t="s">
        <v>23</v>
      </c>
      <c r="C50" s="196">
        <f>Input!C55</f>
        <v>1234663.5897516471</v>
      </c>
      <c r="D50" s="196">
        <f>Input!D55</f>
        <v>6891.1045794167148</v>
      </c>
      <c r="E50" s="196">
        <f>Input!E55</f>
        <v>21697.22771950766</v>
      </c>
      <c r="F50" s="196">
        <f>Input!F55</f>
        <v>89</v>
      </c>
      <c r="G50" s="196">
        <f>Input!G55</f>
        <v>2</v>
      </c>
      <c r="H50" s="196">
        <f>Input!H55</f>
        <v>653.22248354981127</v>
      </c>
      <c r="I50" s="196">
        <f>Input!I55</f>
        <v>9790</v>
      </c>
      <c r="J50" s="196">
        <f>Input!J55</f>
        <v>18792</v>
      </c>
      <c r="K50" s="196">
        <f>Input!K55</f>
        <v>575090.62761221488</v>
      </c>
      <c r="L50" s="197">
        <f t="shared" si="9"/>
        <v>406027.76935554459</v>
      </c>
      <c r="M50" s="207"/>
      <c r="N50" s="199" t="s">
        <v>110</v>
      </c>
      <c r="O50" s="200"/>
      <c r="Q50" s="201">
        <f>+SUMPRODUCT(E32:E35,E50:E53)</f>
        <v>45021.690119899766</v>
      </c>
      <c r="X50" s="201">
        <f>+SUMPRODUCT(L32:L35,L50:L53)</f>
        <v>865402.36493452266</v>
      </c>
      <c r="Y50" s="195"/>
      <c r="Z50" s="202"/>
      <c r="AB50" s="203">
        <f>Input!L55</f>
        <v>639199.89279725018</v>
      </c>
    </row>
    <row r="51" spans="1:28" x14ac:dyDescent="0.2">
      <c r="A51" s="175"/>
      <c r="B51" s="181" t="s">
        <v>24</v>
      </c>
      <c r="C51" s="196">
        <f>Input!C56</f>
        <v>1594714.7323194316</v>
      </c>
      <c r="D51" s="196">
        <f>Input!D56</f>
        <v>7604.0105530322289</v>
      </c>
      <c r="E51" s="196">
        <f>Input!E56</f>
        <v>27193.871308412083</v>
      </c>
      <c r="F51" s="196">
        <f>Input!F56</f>
        <v>73</v>
      </c>
      <c r="G51" s="196">
        <f>Input!G56</f>
        <v>1</v>
      </c>
      <c r="H51" s="196">
        <f>Input!H56</f>
        <v>749.00543688406356</v>
      </c>
      <c r="I51" s="196">
        <f>Input!I56</f>
        <v>9988</v>
      </c>
      <c r="J51" s="196">
        <f>Input!J56</f>
        <v>15816</v>
      </c>
      <c r="K51" s="196">
        <f>Input!K56</f>
        <v>644639.58060670376</v>
      </c>
      <c r="L51" s="197">
        <f t="shared" si="9"/>
        <v>462383.23802708078</v>
      </c>
      <c r="M51" s="207"/>
      <c r="N51" s="199" t="s">
        <v>111</v>
      </c>
      <c r="O51" s="200"/>
      <c r="Q51" s="201">
        <f>+Q49-Q50</f>
        <v>49005.599146811597</v>
      </c>
      <c r="X51" s="201">
        <f>+X49-X50</f>
        <v>842053.79521191609</v>
      </c>
      <c r="Y51" s="195"/>
      <c r="Z51" s="209"/>
      <c r="AB51" s="203">
        <f>Input!L56</f>
        <v>727918.97127446916</v>
      </c>
    </row>
    <row r="52" spans="1:28" x14ac:dyDescent="0.2">
      <c r="A52" s="175"/>
      <c r="B52" s="181" t="s">
        <v>25</v>
      </c>
      <c r="C52" s="196">
        <f>Input!C57</f>
        <v>1479266.6913026536</v>
      </c>
      <c r="D52" s="196">
        <f>Input!D57</f>
        <v>7099.315341562834</v>
      </c>
      <c r="E52" s="196">
        <f>Input!E57</f>
        <v>26306.038959175461</v>
      </c>
      <c r="F52" s="196">
        <f>Input!F57</f>
        <v>69</v>
      </c>
      <c r="G52" s="196">
        <f>Input!G57</f>
        <v>1</v>
      </c>
      <c r="H52" s="196">
        <f>Input!H57</f>
        <v>718.80360475164173</v>
      </c>
      <c r="I52" s="196">
        <f>Input!I57</f>
        <v>11339</v>
      </c>
      <c r="J52" s="196">
        <f>Input!J57</f>
        <v>22714</v>
      </c>
      <c r="K52" s="196">
        <f>Input!K57</f>
        <v>641153.72498548566</v>
      </c>
      <c r="L52" s="197">
        <f t="shared" si="9"/>
        <v>456419.82802004076</v>
      </c>
      <c r="M52" s="207"/>
      <c r="AB52" s="203">
        <f>Input!L57</f>
        <v>718530.91625730565</v>
      </c>
    </row>
    <row r="53" spans="1:28" x14ac:dyDescent="0.2">
      <c r="A53" s="175"/>
      <c r="B53" s="181" t="s">
        <v>26</v>
      </c>
      <c r="C53" s="196">
        <f>Input!C58</f>
        <v>1038764.716730976</v>
      </c>
      <c r="D53" s="196">
        <f>Input!D58</f>
        <v>5550.6878295635888</v>
      </c>
      <c r="E53" s="196">
        <f>Input!E58</f>
        <v>18830.151279616159</v>
      </c>
      <c r="F53" s="196">
        <f>Input!F58</f>
        <v>66</v>
      </c>
      <c r="G53" s="196">
        <f>Input!G58</f>
        <v>1</v>
      </c>
      <c r="H53" s="196">
        <f>Input!H58</f>
        <v>610.07700907492278</v>
      </c>
      <c r="I53" s="196">
        <f>Input!I58</f>
        <v>11966</v>
      </c>
      <c r="J53" s="196">
        <f>Input!J58</f>
        <v>21369</v>
      </c>
      <c r="K53" s="196">
        <f>Input!K58</f>
        <v>538740.57036984048</v>
      </c>
      <c r="L53" s="197">
        <f t="shared" si="9"/>
        <v>382625.32474377262</v>
      </c>
      <c r="M53" s="207"/>
      <c r="N53" s="199" t="s">
        <v>113</v>
      </c>
      <c r="O53" s="200">
        <f>+O49*C163</f>
        <v>3459774.095377747</v>
      </c>
      <c r="P53" s="200">
        <f>+P49*D163</f>
        <v>17182.859886163205</v>
      </c>
      <c r="AB53" s="203">
        <f>Input!L58</f>
        <v>602357.978977461</v>
      </c>
    </row>
    <row r="54" spans="1:28" x14ac:dyDescent="0.2">
      <c r="A54" s="175"/>
      <c r="B54" s="181" t="s">
        <v>27</v>
      </c>
      <c r="C54" s="196">
        <f>Input!C59</f>
        <v>798040.21084967651</v>
      </c>
      <c r="D54" s="196">
        <f>Input!D59</f>
        <v>6831.6157902321092</v>
      </c>
      <c r="E54" s="196">
        <f>Input!E59</f>
        <v>13865.076103630476</v>
      </c>
      <c r="F54" s="196">
        <f>Input!F59</f>
        <v>84</v>
      </c>
      <c r="G54" s="196">
        <f>Input!G59</f>
        <v>1</v>
      </c>
      <c r="H54" s="196">
        <f>Input!H59</f>
        <v>807.68328216991188</v>
      </c>
      <c r="I54" s="196">
        <f>Input!I59</f>
        <v>14720</v>
      </c>
      <c r="J54" s="196">
        <f>Input!J59</f>
        <v>24732</v>
      </c>
      <c r="K54" s="196">
        <f>Input!K59</f>
        <v>512863.51491463574</v>
      </c>
      <c r="L54" s="197">
        <f t="shared" si="9"/>
        <v>397552.92603816843</v>
      </c>
      <c r="M54" s="207"/>
      <c r="N54" s="199" t="s">
        <v>114</v>
      </c>
      <c r="O54" s="201">
        <f>+O49-O53</f>
        <v>1887635.6347269621</v>
      </c>
      <c r="P54" s="201">
        <f>+P49-P53</f>
        <v>9962.2584174121585</v>
      </c>
      <c r="AB54" s="203">
        <f>Input!L59</f>
        <v>625858.14785074443</v>
      </c>
    </row>
    <row r="55" spans="1:28" x14ac:dyDescent="0.2">
      <c r="A55" s="175"/>
      <c r="B55" s="181" t="s">
        <v>28</v>
      </c>
      <c r="C55" s="196">
        <f>Input!C60</f>
        <v>763766.51456230367</v>
      </c>
      <c r="D55" s="196">
        <f>Input!D60</f>
        <v>8837.9231803129151</v>
      </c>
      <c r="E55" s="196">
        <f>Input!E60</f>
        <v>12244.923440851549</v>
      </c>
      <c r="F55" s="196">
        <f>Input!F60</f>
        <v>80</v>
      </c>
      <c r="G55" s="196">
        <f>Input!G60</f>
        <v>1</v>
      </c>
      <c r="H55" s="196">
        <f>Input!H60</f>
        <v>940.57134355256835</v>
      </c>
      <c r="I55" s="196">
        <f>Input!I60</f>
        <v>14692</v>
      </c>
      <c r="J55" s="196">
        <f>Input!J60</f>
        <v>28357</v>
      </c>
      <c r="K55" s="196">
        <f>Input!K60</f>
        <v>454551.18623911444</v>
      </c>
      <c r="L55" s="197">
        <f t="shared" si="9"/>
        <v>356643.43574787071</v>
      </c>
      <c r="M55" s="207"/>
      <c r="AB55" s="203">
        <f>Input!L60</f>
        <v>561455.30700699333</v>
      </c>
    </row>
    <row r="56" spans="1:28" x14ac:dyDescent="0.2">
      <c r="A56" s="175"/>
      <c r="B56" s="181" t="s">
        <v>29</v>
      </c>
      <c r="C56" s="196">
        <f>Input!C61</f>
        <v>986437.24996346701</v>
      </c>
      <c r="D56" s="196">
        <f>Input!D61</f>
        <v>13318.772301153358</v>
      </c>
      <c r="E56" s="196">
        <f>Input!E61</f>
        <v>15713.313085427728</v>
      </c>
      <c r="F56" s="196">
        <f>Input!F61</f>
        <v>88</v>
      </c>
      <c r="G56" s="196">
        <f>Input!G61</f>
        <v>2</v>
      </c>
      <c r="H56" s="196">
        <f>Input!H61</f>
        <v>1460.9057657197231</v>
      </c>
      <c r="I56" s="196">
        <f>Input!I61</f>
        <v>16661</v>
      </c>
      <c r="J56" s="196">
        <f>Input!J61</f>
        <v>31646</v>
      </c>
      <c r="K56" s="196">
        <f>Input!K61</f>
        <v>522006.67618632311</v>
      </c>
      <c r="L56" s="197">
        <f t="shared" si="9"/>
        <v>394151.54294514039</v>
      </c>
      <c r="M56" s="207"/>
      <c r="AB56" s="203">
        <f>Input!L61</f>
        <v>620503.43107391719</v>
      </c>
    </row>
    <row r="57" spans="1:28" x14ac:dyDescent="0.2">
      <c r="A57" s="175"/>
      <c r="B57" s="210" t="s">
        <v>106</v>
      </c>
      <c r="C57" s="201">
        <f>SUM(C45:C56)</f>
        <v>12178625.839201558</v>
      </c>
      <c r="D57" s="201">
        <f>SUM(D45:D56)</f>
        <v>114496.72924837044</v>
      </c>
      <c r="E57" s="201">
        <f t="shared" ref="E57:K57" si="11">SUM(E45:E56)</f>
        <v>209534.08940295837</v>
      </c>
      <c r="F57" s="201">
        <f t="shared" si="11"/>
        <v>1060</v>
      </c>
      <c r="G57" s="201">
        <f t="shared" si="11"/>
        <v>19</v>
      </c>
      <c r="H57" s="201">
        <f>SUM(H45:H56)</f>
        <v>12429.348286725866</v>
      </c>
      <c r="I57" s="201">
        <f>SUM(I45:I56)</f>
        <v>155848</v>
      </c>
      <c r="J57" s="201">
        <f>SUM(J45:J56)</f>
        <v>295094</v>
      </c>
      <c r="K57" s="201">
        <f t="shared" si="11"/>
        <v>6425854.3599616718</v>
      </c>
      <c r="L57" s="201">
        <f>SUM(L45:L56)</f>
        <v>4760876.3527719518</v>
      </c>
      <c r="M57" s="201"/>
      <c r="O57" s="170" t="s">
        <v>115</v>
      </c>
      <c r="AB57" s="201">
        <f>SUM(AB45:AB56)</f>
        <v>7494934.7901572026</v>
      </c>
    </row>
    <row r="58" spans="1:28" x14ac:dyDescent="0.2">
      <c r="A58" s="175"/>
      <c r="B58" s="18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O58" s="171" t="s">
        <v>116</v>
      </c>
      <c r="AB58" s="212"/>
    </row>
    <row r="59" spans="1:28" x14ac:dyDescent="0.2">
      <c r="A59" s="175"/>
      <c r="L59" s="201"/>
      <c r="Y59" s="167" t="s">
        <v>106</v>
      </c>
      <c r="Z59" s="167" t="s">
        <v>107</v>
      </c>
      <c r="AB59" s="212"/>
    </row>
    <row r="60" spans="1:28" x14ac:dyDescent="0.2">
      <c r="A60" s="172" t="s">
        <v>39</v>
      </c>
      <c r="B60" s="170" t="s">
        <v>40</v>
      </c>
      <c r="G60" s="213" t="s">
        <v>41</v>
      </c>
      <c r="H60" s="170" t="s">
        <v>42</v>
      </c>
      <c r="N60" s="193" t="s">
        <v>48</v>
      </c>
    </row>
    <row r="61" spans="1:28" s="214" customFormat="1" x14ac:dyDescent="0.2">
      <c r="A61" s="175"/>
      <c r="B61" s="171" t="s">
        <v>43</v>
      </c>
      <c r="D61" s="167" t="s">
        <v>44</v>
      </c>
      <c r="E61" s="167" t="s">
        <v>117</v>
      </c>
      <c r="G61" s="168"/>
      <c r="N61" s="199" t="s">
        <v>110</v>
      </c>
      <c r="O61" s="200">
        <f>SUMPRODUCT(C9:C13,C45:C49)+SUMPRODUCT(C18:C20,C54:C56)</f>
        <v>3301080.9685294181</v>
      </c>
      <c r="P61" s="200">
        <f t="shared" ref="P61:X61" si="12">SUMPRODUCT(D9:D13,D45:D49)+SUMPRODUCT(D18:D20,D54:D56)</f>
        <v>42072.335341598671</v>
      </c>
      <c r="Q61" s="200">
        <f t="shared" si="12"/>
        <v>57635.15314591831</v>
      </c>
      <c r="R61" s="200">
        <f t="shared" si="12"/>
        <v>358.32049999999998</v>
      </c>
      <c r="S61" s="200">
        <f t="shared" si="12"/>
        <v>6.5681999999999992</v>
      </c>
      <c r="T61" s="200">
        <f t="shared" si="12"/>
        <v>4675.5316532865072</v>
      </c>
      <c r="U61" s="200">
        <f t="shared" si="12"/>
        <v>31008.148099999999</v>
      </c>
      <c r="V61" s="200">
        <f t="shared" si="12"/>
        <v>59278.241500000004</v>
      </c>
      <c r="W61" s="200">
        <f t="shared" si="12"/>
        <v>2295838.81828795</v>
      </c>
      <c r="X61" s="200">
        <f t="shared" si="12"/>
        <v>1673709.9251724065</v>
      </c>
      <c r="Y61" s="195">
        <f>SUM(O61:X61)</f>
        <v>7465664.0104305772</v>
      </c>
      <c r="Z61" s="202">
        <f>+Y61/(Y61+Y62)</f>
        <v>0.51653456198707226</v>
      </c>
    </row>
    <row r="62" spans="1:28" x14ac:dyDescent="0.2">
      <c r="A62" s="175"/>
      <c r="C62" s="167" t="s">
        <v>45</v>
      </c>
      <c r="D62" s="167" t="s">
        <v>46</v>
      </c>
      <c r="E62" s="167" t="s">
        <v>50</v>
      </c>
      <c r="G62" s="167"/>
      <c r="H62" s="167" t="s">
        <v>45</v>
      </c>
      <c r="I62" s="167" t="s">
        <v>50</v>
      </c>
      <c r="N62" s="199" t="s">
        <v>111</v>
      </c>
      <c r="O62" s="201">
        <f>+O45-O61</f>
        <v>3530135.1405674322</v>
      </c>
      <c r="P62" s="201">
        <f t="shared" ref="P62:X62" si="13">+P45-P61</f>
        <v>45279.275603196402</v>
      </c>
      <c r="Q62" s="201">
        <f t="shared" si="13"/>
        <v>57871.646990328671</v>
      </c>
      <c r="R62" s="201">
        <f t="shared" si="13"/>
        <v>404.67950000000002</v>
      </c>
      <c r="S62" s="201">
        <f t="shared" si="13"/>
        <v>7.4318000000000008</v>
      </c>
      <c r="T62" s="201">
        <f t="shared" si="13"/>
        <v>5022.7080991789189</v>
      </c>
      <c r="U62" s="201">
        <f t="shared" si="13"/>
        <v>81756.851900000009</v>
      </c>
      <c r="V62" s="201">
        <f t="shared" si="13"/>
        <v>157124.7585</v>
      </c>
      <c r="W62" s="201">
        <f t="shared" si="13"/>
        <v>1730391.0380994775</v>
      </c>
      <c r="X62" s="201">
        <f t="shared" si="13"/>
        <v>1379710.2674531073</v>
      </c>
      <c r="Y62" s="195">
        <f t="shared" ref="Y62:Y69" si="14">SUM(O62:X62)</f>
        <v>6987703.7985127205</v>
      </c>
      <c r="Z62" s="209">
        <f>1-Z61</f>
        <v>0.48346543801292774</v>
      </c>
    </row>
    <row r="63" spans="1:28" x14ac:dyDescent="0.2">
      <c r="A63" s="175"/>
      <c r="B63" s="181" t="s">
        <v>18</v>
      </c>
      <c r="C63" s="215">
        <f>Input!C73</f>
        <v>48.05</v>
      </c>
      <c r="D63" s="216">
        <f>Input!F74</f>
        <v>0.77561303583970465</v>
      </c>
      <c r="E63" s="217">
        <f>ROUND(+C63*D63,3)</f>
        <v>37.268000000000001</v>
      </c>
      <c r="H63" s="187">
        <f>Input!F81</f>
        <v>0.94961099592430165</v>
      </c>
      <c r="I63" s="187">
        <f>Input!G81</f>
        <v>0.94827719223989393</v>
      </c>
      <c r="J63" s="218" t="s">
        <v>118</v>
      </c>
      <c r="Y63" s="195"/>
    </row>
    <row r="64" spans="1:28" x14ac:dyDescent="0.2">
      <c r="A64" s="175"/>
      <c r="B64" s="181" t="s">
        <v>19</v>
      </c>
      <c r="C64" s="215">
        <f>Input!C74</f>
        <v>45.15</v>
      </c>
      <c r="D64" s="219">
        <f>+$D$63</f>
        <v>0.77561303583970465</v>
      </c>
      <c r="E64" s="217">
        <f>ROUND(+C64*D64,3)</f>
        <v>35.018999999999998</v>
      </c>
      <c r="H64" s="220">
        <f>+$H$63</f>
        <v>0.94961099592430165</v>
      </c>
      <c r="I64" s="220">
        <f>+$I$63</f>
        <v>0.94827719223989393</v>
      </c>
      <c r="J64" s="221"/>
      <c r="N64" s="193" t="s">
        <v>47</v>
      </c>
      <c r="Y64" s="195"/>
    </row>
    <row r="65" spans="1:26" x14ac:dyDescent="0.2">
      <c r="A65" s="175"/>
      <c r="B65" s="181" t="s">
        <v>20</v>
      </c>
      <c r="C65" s="215">
        <f>Input!C75</f>
        <v>36.43</v>
      </c>
      <c r="D65" s="219">
        <f>+$D$63</f>
        <v>0.77561303583970465</v>
      </c>
      <c r="E65" s="217">
        <f t="shared" ref="E65:E74" si="15">ROUND(+C65*D65,3)</f>
        <v>28.256</v>
      </c>
      <c r="H65" s="220">
        <f>+$H$63</f>
        <v>0.94961099592430165</v>
      </c>
      <c r="I65" s="220">
        <f>+$I$63</f>
        <v>0.94827719223989393</v>
      </c>
      <c r="J65" s="221" t="s">
        <v>119</v>
      </c>
      <c r="N65" s="199" t="s">
        <v>110</v>
      </c>
      <c r="O65" s="200">
        <f>SUMPRODUCT(C14:C17,C50:C53)</f>
        <v>2776482.7615288347</v>
      </c>
      <c r="P65" s="200">
        <f t="shared" ref="P65:X65" si="16">SUMPRODUCT(D14:D17,D50:D53)</f>
        <v>14325.086290144365</v>
      </c>
      <c r="Q65" s="200">
        <f t="shared" si="16"/>
        <v>50664.604465339798</v>
      </c>
      <c r="R65" s="200">
        <f t="shared" si="16"/>
        <v>149.46549999999999</v>
      </c>
      <c r="S65" s="200">
        <f t="shared" si="16"/>
        <v>2.5204</v>
      </c>
      <c r="T65" s="200">
        <f t="shared" si="16"/>
        <v>1696.3272350820241</v>
      </c>
      <c r="U65" s="200">
        <f t="shared" si="16"/>
        <v>9194.1453000000001</v>
      </c>
      <c r="V65" s="200">
        <f t="shared" si="16"/>
        <v>16847.0658</v>
      </c>
      <c r="W65" s="200">
        <f t="shared" si="16"/>
        <v>1441471.9441250437</v>
      </c>
      <c r="X65" s="200">
        <f t="shared" si="16"/>
        <v>963649.1810242018</v>
      </c>
      <c r="Y65" s="195">
        <f t="shared" si="14"/>
        <v>5274483.1016686466</v>
      </c>
      <c r="Z65" s="202">
        <f>+Y65/(Y65+Y66)</f>
        <v>0.5437348036376457</v>
      </c>
    </row>
    <row r="66" spans="1:26" x14ac:dyDescent="0.2">
      <c r="A66" s="175"/>
      <c r="B66" s="181" t="s">
        <v>21</v>
      </c>
      <c r="C66" s="215">
        <f>Input!C76</f>
        <v>31.5</v>
      </c>
      <c r="D66" s="219">
        <f>+$D$63</f>
        <v>0.77561303583970465</v>
      </c>
      <c r="E66" s="217">
        <f t="shared" si="15"/>
        <v>24.431999999999999</v>
      </c>
      <c r="H66" s="220">
        <f>+$H$63</f>
        <v>0.94961099592430165</v>
      </c>
      <c r="I66" s="220">
        <f>+$I$63</f>
        <v>0.94827719223989393</v>
      </c>
      <c r="J66" s="221" t="s">
        <v>120</v>
      </c>
      <c r="N66" s="199" t="s">
        <v>111</v>
      </c>
      <c r="O66" s="201">
        <f>+O49-O65</f>
        <v>2570926.9685758743</v>
      </c>
      <c r="P66" s="201">
        <f t="shared" ref="P66:X66" si="17">+P49-P65</f>
        <v>12820.032013430999</v>
      </c>
      <c r="Q66" s="201">
        <f t="shared" si="17"/>
        <v>43362.684801371564</v>
      </c>
      <c r="R66" s="201">
        <f t="shared" si="17"/>
        <v>147.53450000000001</v>
      </c>
      <c r="S66" s="201">
        <f t="shared" si="17"/>
        <v>2.4796</v>
      </c>
      <c r="T66" s="201">
        <f t="shared" si="17"/>
        <v>1034.7812991784151</v>
      </c>
      <c r="U66" s="201">
        <f t="shared" si="17"/>
        <v>33888.854699999996</v>
      </c>
      <c r="V66" s="201">
        <f t="shared" si="17"/>
        <v>61843.934200000003</v>
      </c>
      <c r="W66" s="201">
        <f t="shared" si="17"/>
        <v>958152.55944920098</v>
      </c>
      <c r="X66" s="201">
        <f t="shared" si="17"/>
        <v>743806.97912223695</v>
      </c>
      <c r="Y66" s="195">
        <f t="shared" si="14"/>
        <v>4425986.8082612939</v>
      </c>
      <c r="Z66" s="209">
        <f>1-Z65</f>
        <v>0.4562651963623543</v>
      </c>
    </row>
    <row r="67" spans="1:26" x14ac:dyDescent="0.2">
      <c r="A67" s="175"/>
      <c r="B67" s="181" t="s">
        <v>22</v>
      </c>
      <c r="C67" s="215">
        <f>Input!C77</f>
        <v>31.55</v>
      </c>
      <c r="D67" s="219">
        <f>+$D$63</f>
        <v>0.77561303583970465</v>
      </c>
      <c r="E67" s="217">
        <f t="shared" si="15"/>
        <v>24.471</v>
      </c>
      <c r="H67" s="220">
        <f>+$H$63</f>
        <v>0.94961099592430165</v>
      </c>
      <c r="I67" s="220">
        <f>+$I$63</f>
        <v>0.94827719223989393</v>
      </c>
      <c r="J67" s="221" t="s">
        <v>121</v>
      </c>
      <c r="Y67" s="195"/>
    </row>
    <row r="68" spans="1:26" x14ac:dyDescent="0.2">
      <c r="A68" s="175"/>
      <c r="B68" s="181" t="s">
        <v>23</v>
      </c>
      <c r="C68" s="215">
        <f>Input!C78</f>
        <v>32.479999999999997</v>
      </c>
      <c r="D68" s="222">
        <f>Input!F73</f>
        <v>0.64014790671091271</v>
      </c>
      <c r="E68" s="217">
        <f t="shared" si="15"/>
        <v>20.792000000000002</v>
      </c>
      <c r="H68" s="223">
        <f>Input!F80</f>
        <v>0.93137132450168991</v>
      </c>
      <c r="I68" s="223">
        <f>Input!G80</f>
        <v>0.86321354124990501</v>
      </c>
      <c r="N68" s="199" t="s">
        <v>122</v>
      </c>
      <c r="O68" s="201">
        <f>+O61+O65</f>
        <v>6077563.7300582528</v>
      </c>
      <c r="P68" s="201">
        <f t="shared" ref="P68:X69" si="18">+P61+P65</f>
        <v>56397.42163174304</v>
      </c>
      <c r="Q68" s="201">
        <f t="shared" si="18"/>
        <v>108299.7576112581</v>
      </c>
      <c r="R68" s="201">
        <f t="shared" si="18"/>
        <v>507.78599999999994</v>
      </c>
      <c r="S68" s="201">
        <f t="shared" si="18"/>
        <v>9.0885999999999996</v>
      </c>
      <c r="T68" s="201">
        <f t="shared" si="18"/>
        <v>6371.8588883685316</v>
      </c>
      <c r="U68" s="201">
        <f t="shared" si="18"/>
        <v>40202.293399999995</v>
      </c>
      <c r="V68" s="201">
        <f t="shared" si="18"/>
        <v>76125.3073</v>
      </c>
      <c r="W68" s="201">
        <f t="shared" si="18"/>
        <v>3737310.7624129937</v>
      </c>
      <c r="X68" s="201">
        <f t="shared" si="18"/>
        <v>2637359.1061966084</v>
      </c>
      <c r="Y68" s="195">
        <f t="shared" si="14"/>
        <v>12740147.112099225</v>
      </c>
      <c r="Z68" s="202">
        <f>+Y68/(Y68+Y69)</f>
        <v>0.52745850412600781</v>
      </c>
    </row>
    <row r="69" spans="1:26" x14ac:dyDescent="0.2">
      <c r="A69" s="175"/>
      <c r="B69" s="181" t="s">
        <v>24</v>
      </c>
      <c r="C69" s="215">
        <f>Input!C79</f>
        <v>38.270000000000003</v>
      </c>
      <c r="D69" s="224">
        <f>+$D$68</f>
        <v>0.64014790671091271</v>
      </c>
      <c r="E69" s="217">
        <f t="shared" si="15"/>
        <v>24.498000000000001</v>
      </c>
      <c r="H69" s="225">
        <f>+$H$68</f>
        <v>0.93137132450168991</v>
      </c>
      <c r="I69" s="225">
        <f>+$I$68</f>
        <v>0.86321354124990501</v>
      </c>
      <c r="N69" s="199" t="s">
        <v>123</v>
      </c>
      <c r="O69" s="201">
        <f>+O62+O66</f>
        <v>6101062.1091433065</v>
      </c>
      <c r="P69" s="201">
        <f t="shared" si="18"/>
        <v>58099.307616627397</v>
      </c>
      <c r="Q69" s="201">
        <f t="shared" si="18"/>
        <v>101234.33179170024</v>
      </c>
      <c r="R69" s="201">
        <f t="shared" si="18"/>
        <v>552.21400000000006</v>
      </c>
      <c r="S69" s="201">
        <f t="shared" si="18"/>
        <v>9.9114000000000004</v>
      </c>
      <c r="T69" s="201">
        <f t="shared" si="18"/>
        <v>6057.4893983573338</v>
      </c>
      <c r="U69" s="201">
        <f t="shared" si="18"/>
        <v>115645.7066</v>
      </c>
      <c r="V69" s="201">
        <f t="shared" si="18"/>
        <v>218968.69270000001</v>
      </c>
      <c r="W69" s="201">
        <f t="shared" si="18"/>
        <v>2688543.5975486785</v>
      </c>
      <c r="X69" s="201">
        <f t="shared" si="18"/>
        <v>2123517.2465753444</v>
      </c>
      <c r="Y69" s="195">
        <f t="shared" si="14"/>
        <v>11413690.606774013</v>
      </c>
      <c r="Z69" s="209">
        <f>1-Z68</f>
        <v>0.47254149587399219</v>
      </c>
    </row>
    <row r="70" spans="1:26" x14ac:dyDescent="0.2">
      <c r="A70" s="175"/>
      <c r="B70" s="181" t="s">
        <v>25</v>
      </c>
      <c r="C70" s="215">
        <f>Input!C80</f>
        <v>35.67</v>
      </c>
      <c r="D70" s="224">
        <f>+$D$68</f>
        <v>0.64014790671091271</v>
      </c>
      <c r="E70" s="217">
        <f t="shared" si="15"/>
        <v>22.834</v>
      </c>
      <c r="H70" s="225">
        <f>+$H$68</f>
        <v>0.93137132450168991</v>
      </c>
      <c r="I70" s="225">
        <f>+$I$68</f>
        <v>0.86321354124990501</v>
      </c>
    </row>
    <row r="71" spans="1:26" x14ac:dyDescent="0.2">
      <c r="A71" s="175"/>
      <c r="B71" s="181" t="s">
        <v>26</v>
      </c>
      <c r="C71" s="215">
        <f>Input!C81</f>
        <v>32.53</v>
      </c>
      <c r="D71" s="226">
        <f>+$D$68</f>
        <v>0.64014790671091271</v>
      </c>
      <c r="E71" s="217">
        <f t="shared" si="15"/>
        <v>20.824000000000002</v>
      </c>
      <c r="H71" s="227">
        <f>+$H$68</f>
        <v>0.93137132450168991</v>
      </c>
      <c r="I71" s="227">
        <f>+$I$68</f>
        <v>0.86321354124990501</v>
      </c>
    </row>
    <row r="72" spans="1:26" x14ac:dyDescent="0.2">
      <c r="A72" s="175"/>
      <c r="B72" s="181" t="s">
        <v>27</v>
      </c>
      <c r="C72" s="215">
        <f>Input!C82</f>
        <v>31.45</v>
      </c>
      <c r="D72" s="228">
        <f>+$D$63</f>
        <v>0.77561303583970465</v>
      </c>
      <c r="E72" s="217">
        <f t="shared" si="15"/>
        <v>24.393000000000001</v>
      </c>
      <c r="H72" s="220">
        <f>+$H$63</f>
        <v>0.94961099592430165</v>
      </c>
      <c r="I72" s="220">
        <f>+$I$63</f>
        <v>0.94827719223989393</v>
      </c>
    </row>
    <row r="73" spans="1:26" x14ac:dyDescent="0.2">
      <c r="A73" s="175"/>
      <c r="B73" s="181" t="s">
        <v>28</v>
      </c>
      <c r="C73" s="215">
        <f>Input!C83</f>
        <v>31.43</v>
      </c>
      <c r="D73" s="219">
        <f>+$D$63</f>
        <v>0.77561303583970465</v>
      </c>
      <c r="E73" s="217">
        <f t="shared" si="15"/>
        <v>24.378</v>
      </c>
      <c r="H73" s="220">
        <f>+$H$63</f>
        <v>0.94961099592430165</v>
      </c>
      <c r="I73" s="220">
        <f>+$I$63</f>
        <v>0.94827719223989393</v>
      </c>
    </row>
    <row r="74" spans="1:26" x14ac:dyDescent="0.2">
      <c r="A74" s="175"/>
      <c r="B74" s="181" t="s">
        <v>29</v>
      </c>
      <c r="C74" s="215">
        <f>Input!C84</f>
        <v>34.28</v>
      </c>
      <c r="D74" s="219">
        <f>+$D$63</f>
        <v>0.77561303583970465</v>
      </c>
      <c r="E74" s="217">
        <f t="shared" si="15"/>
        <v>26.588000000000001</v>
      </c>
      <c r="H74" s="220">
        <f>+$H$63</f>
        <v>0.94961099592430165</v>
      </c>
      <c r="I74" s="220">
        <f>+$I$63</f>
        <v>0.94827719223989393</v>
      </c>
    </row>
    <row r="75" spans="1:26" x14ac:dyDescent="0.2">
      <c r="A75" s="175"/>
      <c r="B75" s="181"/>
      <c r="C75" s="229"/>
      <c r="D75" s="229"/>
      <c r="G75" s="230"/>
      <c r="K75" s="230"/>
    </row>
    <row r="76" spans="1:26" x14ac:dyDescent="0.2">
      <c r="A76" s="175"/>
      <c r="B76" s="231"/>
      <c r="C76" s="231"/>
      <c r="D76" s="229"/>
      <c r="G76" s="230"/>
      <c r="K76" s="230"/>
    </row>
    <row r="77" spans="1:26" x14ac:dyDescent="0.2">
      <c r="A77" s="172" t="s">
        <v>51</v>
      </c>
      <c r="B77" s="190" t="s">
        <v>124</v>
      </c>
      <c r="C77" s="167" t="str">
        <f>+C7</f>
        <v>RS</v>
      </c>
      <c r="D77" s="167" t="str">
        <f t="shared" ref="D77:L77" si="19">+D7</f>
        <v>RHS</v>
      </c>
      <c r="E77" s="167" t="str">
        <f t="shared" si="19"/>
        <v>RLM</v>
      </c>
      <c r="F77" s="167" t="str">
        <f t="shared" si="19"/>
        <v>WH</v>
      </c>
      <c r="G77" s="167" t="str">
        <f t="shared" si="19"/>
        <v>WHS</v>
      </c>
      <c r="H77" s="167" t="str">
        <f t="shared" si="19"/>
        <v>HS</v>
      </c>
      <c r="I77" s="167" t="str">
        <f t="shared" si="19"/>
        <v>PSAL</v>
      </c>
      <c r="J77" s="167" t="str">
        <f t="shared" si="19"/>
        <v>BPL</v>
      </c>
      <c r="K77" s="167" t="str">
        <f t="shared" si="19"/>
        <v>GLP</v>
      </c>
      <c r="L77" s="167" t="str">
        <f t="shared" si="19"/>
        <v>LPL-S</v>
      </c>
      <c r="M77" s="167"/>
      <c r="P77" s="232" t="s">
        <v>52</v>
      </c>
      <c r="Q77" s="232" t="s">
        <v>53</v>
      </c>
      <c r="R77" s="232" t="s">
        <v>54</v>
      </c>
    </row>
    <row r="78" spans="1:26" x14ac:dyDescent="0.2">
      <c r="A78" s="175"/>
      <c r="B78" s="191" t="s">
        <v>125</v>
      </c>
      <c r="C78" s="233"/>
      <c r="D78" s="193"/>
      <c r="E78" s="193"/>
      <c r="F78" s="193"/>
      <c r="P78" s="102" t="s">
        <v>55</v>
      </c>
      <c r="Q78" s="234">
        <f>Input!C89</f>
        <v>7.5377E-2</v>
      </c>
      <c r="R78" s="102" t="s">
        <v>56</v>
      </c>
    </row>
    <row r="79" spans="1:26" x14ac:dyDescent="0.2">
      <c r="A79" s="175"/>
      <c r="B79" s="181" t="s">
        <v>126</v>
      </c>
      <c r="C79" s="235">
        <f>1-((1-$Q$78)*(1-$Q$79))</f>
        <v>7.9593280880000061E-2</v>
      </c>
      <c r="D79" s="235">
        <f>+$C79</f>
        <v>7.9593280880000061E-2</v>
      </c>
      <c r="E79" s="235">
        <f t="shared" ref="E79:L79" si="20">+$C79</f>
        <v>7.9593280880000061E-2</v>
      </c>
      <c r="F79" s="235">
        <f t="shared" si="20"/>
        <v>7.9593280880000061E-2</v>
      </c>
      <c r="G79" s="235">
        <f t="shared" si="20"/>
        <v>7.9593280880000061E-2</v>
      </c>
      <c r="H79" s="235">
        <f t="shared" si="20"/>
        <v>7.9593280880000061E-2</v>
      </c>
      <c r="I79" s="235">
        <f t="shared" si="20"/>
        <v>7.9593280880000061E-2</v>
      </c>
      <c r="J79" s="235">
        <f t="shared" si="20"/>
        <v>7.9593280880000061E-2</v>
      </c>
      <c r="K79" s="235">
        <f t="shared" si="20"/>
        <v>7.9593280880000061E-2</v>
      </c>
      <c r="L79" s="235">
        <f t="shared" si="20"/>
        <v>7.9593280880000061E-2</v>
      </c>
      <c r="M79" s="231"/>
      <c r="N79" s="236"/>
      <c r="P79" s="102" t="s">
        <v>57</v>
      </c>
      <c r="Q79" s="234">
        <f>Input!C90</f>
        <v>4.5599999999999998E-3</v>
      </c>
      <c r="R79" s="102" t="s">
        <v>127</v>
      </c>
    </row>
    <row r="80" spans="1:26" x14ac:dyDescent="0.2">
      <c r="A80" s="175"/>
      <c r="B80" s="102" t="s">
        <v>128</v>
      </c>
      <c r="C80" s="237">
        <f>ROUND(1/(1-C79),6)</f>
        <v>1.086476</v>
      </c>
      <c r="D80" s="237">
        <f t="shared" ref="D80:L80" si="21">ROUND(1/(1-D79),6)</f>
        <v>1.086476</v>
      </c>
      <c r="E80" s="237">
        <f t="shared" si="21"/>
        <v>1.086476</v>
      </c>
      <c r="F80" s="237">
        <f t="shared" si="21"/>
        <v>1.086476</v>
      </c>
      <c r="G80" s="237">
        <f t="shared" si="21"/>
        <v>1.086476</v>
      </c>
      <c r="H80" s="237">
        <f t="shared" si="21"/>
        <v>1.086476</v>
      </c>
      <c r="I80" s="237">
        <f t="shared" si="21"/>
        <v>1.086476</v>
      </c>
      <c r="J80" s="237">
        <f t="shared" si="21"/>
        <v>1.086476</v>
      </c>
      <c r="K80" s="237">
        <f t="shared" si="21"/>
        <v>1.086476</v>
      </c>
      <c r="L80" s="237">
        <f t="shared" si="21"/>
        <v>1.086476</v>
      </c>
      <c r="M80" s="238"/>
      <c r="P80" s="102" t="s">
        <v>59</v>
      </c>
      <c r="Q80" s="234">
        <f>+Input!C91</f>
        <v>1.0351414867624585E-2</v>
      </c>
      <c r="R80" s="102" t="s">
        <v>60</v>
      </c>
    </row>
    <row r="81" spans="1:17" x14ac:dyDescent="0.2">
      <c r="A81" s="175"/>
      <c r="B81" s="102" t="s">
        <v>129</v>
      </c>
      <c r="C81" s="237">
        <f>1/C80</f>
        <v>0.92040689347946936</v>
      </c>
      <c r="D81" s="237">
        <f t="shared" ref="D81:L81" si="22">1/D80</f>
        <v>0.92040689347946936</v>
      </c>
      <c r="E81" s="237">
        <f t="shared" si="22"/>
        <v>0.92040689347946936</v>
      </c>
      <c r="F81" s="237">
        <f t="shared" si="22"/>
        <v>0.92040689347946936</v>
      </c>
      <c r="G81" s="237">
        <f t="shared" si="22"/>
        <v>0.92040689347946936</v>
      </c>
      <c r="H81" s="237">
        <f t="shared" si="22"/>
        <v>0.92040689347946936</v>
      </c>
      <c r="I81" s="237">
        <f t="shared" si="22"/>
        <v>0.92040689347946936</v>
      </c>
      <c r="J81" s="237">
        <f t="shared" si="22"/>
        <v>0.92040689347946936</v>
      </c>
      <c r="K81" s="237">
        <f t="shared" si="22"/>
        <v>0.92040689347946936</v>
      </c>
      <c r="L81" s="237">
        <f t="shared" si="22"/>
        <v>0.92040689347946936</v>
      </c>
      <c r="M81" s="238"/>
      <c r="P81" s="102" t="s">
        <v>130</v>
      </c>
      <c r="Q81" s="239">
        <f>ROUND(1-((1-Q80)/(1-Q79)),7)</f>
        <v>5.8179E-3</v>
      </c>
    </row>
    <row r="82" spans="1:17" x14ac:dyDescent="0.2">
      <c r="A82" s="175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</row>
    <row r="83" spans="1:17" x14ac:dyDescent="0.2">
      <c r="A83" s="175"/>
      <c r="B83" s="191" t="s">
        <v>131</v>
      </c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</row>
    <row r="84" spans="1:17" x14ac:dyDescent="0.2">
      <c r="A84" s="175"/>
      <c r="B84" s="181" t="s">
        <v>126</v>
      </c>
      <c r="C84" s="235">
        <f>1-((1-$Q$78)/((1-$Q$80)/(1-$Q$79)))</f>
        <v>6.9966114288046666E-2</v>
      </c>
      <c r="D84" s="235">
        <f>+$C84</f>
        <v>6.9966114288046666E-2</v>
      </c>
      <c r="E84" s="235">
        <f t="shared" ref="E84:L84" si="23">+$C84</f>
        <v>6.9966114288046666E-2</v>
      </c>
      <c r="F84" s="235">
        <f t="shared" si="23"/>
        <v>6.9966114288046666E-2</v>
      </c>
      <c r="G84" s="235">
        <f t="shared" si="23"/>
        <v>6.9966114288046666E-2</v>
      </c>
      <c r="H84" s="235">
        <f t="shared" si="23"/>
        <v>6.9966114288046666E-2</v>
      </c>
      <c r="I84" s="235">
        <f t="shared" si="23"/>
        <v>6.9966114288046666E-2</v>
      </c>
      <c r="J84" s="235">
        <f t="shared" si="23"/>
        <v>6.9966114288046666E-2</v>
      </c>
      <c r="K84" s="235">
        <f t="shared" si="23"/>
        <v>6.9966114288046666E-2</v>
      </c>
      <c r="L84" s="235">
        <f t="shared" si="23"/>
        <v>6.9966114288046666E-2</v>
      </c>
      <c r="M84" s="238"/>
    </row>
    <row r="85" spans="1:17" x14ac:dyDescent="0.2">
      <c r="A85" s="175"/>
      <c r="B85" s="102" t="s">
        <v>128</v>
      </c>
      <c r="C85" s="237">
        <f>ROUND(1/(1-C84),6)</f>
        <v>1.0752299999999999</v>
      </c>
      <c r="D85" s="237">
        <f>+$C$85</f>
        <v>1.0752299999999999</v>
      </c>
      <c r="E85" s="237">
        <f t="shared" ref="E85:L85" si="24">+$C$85</f>
        <v>1.0752299999999999</v>
      </c>
      <c r="F85" s="237">
        <f t="shared" si="24"/>
        <v>1.0752299999999999</v>
      </c>
      <c r="G85" s="237">
        <f t="shared" si="24"/>
        <v>1.0752299999999999</v>
      </c>
      <c r="H85" s="237">
        <f t="shared" si="24"/>
        <v>1.0752299999999999</v>
      </c>
      <c r="I85" s="237">
        <f t="shared" si="24"/>
        <v>1.0752299999999999</v>
      </c>
      <c r="J85" s="237">
        <f t="shared" si="24"/>
        <v>1.0752299999999999</v>
      </c>
      <c r="K85" s="237">
        <f t="shared" si="24"/>
        <v>1.0752299999999999</v>
      </c>
      <c r="L85" s="237">
        <f t="shared" si="24"/>
        <v>1.0752299999999999</v>
      </c>
      <c r="M85" s="238"/>
    </row>
    <row r="86" spans="1:17" x14ac:dyDescent="0.2">
      <c r="A86" s="175"/>
      <c r="B86" s="102" t="s">
        <v>129</v>
      </c>
      <c r="C86" s="237">
        <f>1/C85</f>
        <v>0.93003357421202915</v>
      </c>
      <c r="D86" s="237">
        <f t="shared" ref="D86:L86" si="25">1/D85</f>
        <v>0.93003357421202915</v>
      </c>
      <c r="E86" s="237">
        <f t="shared" si="25"/>
        <v>0.93003357421202915</v>
      </c>
      <c r="F86" s="237">
        <f t="shared" si="25"/>
        <v>0.93003357421202915</v>
      </c>
      <c r="G86" s="237">
        <f t="shared" si="25"/>
        <v>0.93003357421202915</v>
      </c>
      <c r="H86" s="237">
        <f t="shared" si="25"/>
        <v>0.93003357421202915</v>
      </c>
      <c r="I86" s="237">
        <f t="shared" si="25"/>
        <v>0.93003357421202915</v>
      </c>
      <c r="J86" s="237">
        <f t="shared" si="25"/>
        <v>0.93003357421202915</v>
      </c>
      <c r="K86" s="237">
        <f t="shared" si="25"/>
        <v>0.93003357421202915</v>
      </c>
      <c r="L86" s="237">
        <f t="shared" si="25"/>
        <v>0.93003357421202915</v>
      </c>
      <c r="M86" s="238"/>
    </row>
    <row r="87" spans="1:17" x14ac:dyDescent="0.2">
      <c r="A87" s="175"/>
      <c r="C87" s="240"/>
      <c r="D87" s="238"/>
      <c r="E87" s="238"/>
      <c r="F87" s="238"/>
      <c r="G87" s="238"/>
      <c r="H87" s="238"/>
      <c r="I87" s="238"/>
      <c r="J87" s="238"/>
      <c r="K87" s="238"/>
      <c r="L87" s="238"/>
      <c r="M87" s="238"/>
    </row>
    <row r="88" spans="1:17" x14ac:dyDescent="0.2">
      <c r="A88" s="175"/>
    </row>
    <row r="89" spans="1:17" x14ac:dyDescent="0.2">
      <c r="A89" s="172" t="s">
        <v>132</v>
      </c>
      <c r="B89" s="170" t="s">
        <v>133</v>
      </c>
    </row>
    <row r="90" spans="1:17" x14ac:dyDescent="0.2">
      <c r="B90" s="171" t="s">
        <v>134</v>
      </c>
    </row>
    <row r="91" spans="1:17" x14ac:dyDescent="0.2">
      <c r="A91" s="175"/>
      <c r="B91" s="171" t="s">
        <v>135</v>
      </c>
    </row>
    <row r="92" spans="1:17" x14ac:dyDescent="0.2">
      <c r="A92" s="175"/>
      <c r="B92" s="170"/>
      <c r="C92" s="167" t="str">
        <f>+C7</f>
        <v>RS</v>
      </c>
      <c r="D92" s="167" t="str">
        <f t="shared" ref="D92:L92" si="26">+D7</f>
        <v>RHS</v>
      </c>
      <c r="E92" s="167" t="str">
        <f t="shared" si="26"/>
        <v>RLM</v>
      </c>
      <c r="F92" s="167" t="str">
        <f t="shared" si="26"/>
        <v>WH</v>
      </c>
      <c r="G92" s="167" t="str">
        <f t="shared" si="26"/>
        <v>WHS</v>
      </c>
      <c r="H92" s="167" t="str">
        <f t="shared" si="26"/>
        <v>HS</v>
      </c>
      <c r="I92" s="167" t="str">
        <f t="shared" si="26"/>
        <v>PSAL</v>
      </c>
      <c r="J92" s="167" t="str">
        <f t="shared" si="26"/>
        <v>BPL</v>
      </c>
      <c r="K92" s="167" t="str">
        <f t="shared" si="26"/>
        <v>GLP</v>
      </c>
      <c r="L92" s="167" t="str">
        <f t="shared" si="26"/>
        <v>LPL-S</v>
      </c>
      <c r="M92" s="167"/>
    </row>
    <row r="93" spans="1:17" x14ac:dyDescent="0.2">
      <c r="A93" s="175"/>
    </row>
    <row r="94" spans="1:17" x14ac:dyDescent="0.2">
      <c r="A94" s="175"/>
      <c r="B94" s="181" t="s">
        <v>136</v>
      </c>
      <c r="C94" s="241">
        <f t="shared" ref="C94:L94" si="27">(SUMPRODUCT(C14:C17,C50:C53,$C68:$C71,$H68:$H71)*C80+SUMPRODUCT(O14:O17,C50:C53,$E68:$E71,$I68:$I71)*C80)/SUM(C50:C53)</f>
        <v>28.566310749176946</v>
      </c>
      <c r="D94" s="241">
        <f t="shared" si="27"/>
        <v>28.56271665796076</v>
      </c>
      <c r="E94" s="241">
        <f t="shared" si="27"/>
        <v>28.814137954908432</v>
      </c>
      <c r="F94" s="241">
        <f t="shared" si="27"/>
        <v>27.978617727270567</v>
      </c>
      <c r="G94" s="241">
        <f t="shared" si="27"/>
        <v>27.69263609728127</v>
      </c>
      <c r="H94" s="241">
        <f t="shared" si="27"/>
        <v>29.88126128786574</v>
      </c>
      <c r="I94" s="241">
        <f t="shared" si="27"/>
        <v>23.85206005104963</v>
      </c>
      <c r="J94" s="241">
        <f t="shared" si="27"/>
        <v>23.795985617687744</v>
      </c>
      <c r="K94" s="241">
        <f t="shared" si="27"/>
        <v>29.571056511040894</v>
      </c>
      <c r="L94" s="241">
        <f t="shared" si="27"/>
        <v>29.056726552013753</v>
      </c>
      <c r="M94" s="241"/>
    </row>
    <row r="95" spans="1:17" x14ac:dyDescent="0.2">
      <c r="A95" s="175"/>
      <c r="B95" s="242" t="s">
        <v>137</v>
      </c>
      <c r="C95" s="241">
        <f t="shared" ref="C95:L95" si="28">(SUMPRODUCT(C14:C17,C50:C53,$C68:$C71,$H68:$H71)*C80)/SUMPRODUCT(C14:C17,C50:C53)</f>
        <v>35.489101152405304</v>
      </c>
      <c r="D95" s="241">
        <f t="shared" si="28"/>
        <v>35.326991376728401</v>
      </c>
      <c r="E95" s="241">
        <f t="shared" si="28"/>
        <v>35.443162629422318</v>
      </c>
      <c r="F95" s="241">
        <f t="shared" si="28"/>
        <v>35.04479923726155</v>
      </c>
      <c r="G95" s="241">
        <f t="shared" si="28"/>
        <v>34.67378074558188</v>
      </c>
      <c r="H95" s="241">
        <f t="shared" si="28"/>
        <v>35.3009567677178</v>
      </c>
      <c r="I95" s="241">
        <f t="shared" si="28"/>
        <v>34.955942401907997</v>
      </c>
      <c r="J95" s="241">
        <f t="shared" si="28"/>
        <v>34.87332637663274</v>
      </c>
      <c r="K95" s="241">
        <f t="shared" si="28"/>
        <v>35.278699495555308</v>
      </c>
      <c r="L95" s="241">
        <f t="shared" si="28"/>
        <v>35.275233383647482</v>
      </c>
      <c r="M95" s="241"/>
    </row>
    <row r="96" spans="1:17" x14ac:dyDescent="0.2">
      <c r="A96" s="175"/>
      <c r="B96" s="242" t="s">
        <v>138</v>
      </c>
      <c r="C96" s="241">
        <f t="shared" ref="C96:L96" si="29">(SUMPRODUCT(O14:O17,C50:C53,$E68:$E71,$I68:$I71)*C80)/SUMPRODUCT(O14:O17,C50:C53)</f>
        <v>21.090015836417145</v>
      </c>
      <c r="D96" s="241">
        <f t="shared" si="29"/>
        <v>21.004325311116087</v>
      </c>
      <c r="E96" s="241">
        <f t="shared" si="29"/>
        <v>21.068840018130288</v>
      </c>
      <c r="F96" s="241">
        <f t="shared" si="29"/>
        <v>20.819950754585815</v>
      </c>
      <c r="G96" s="241">
        <f t="shared" si="29"/>
        <v>20.596621832247848</v>
      </c>
      <c r="H96" s="241">
        <f t="shared" si="29"/>
        <v>20.996700796075437</v>
      </c>
      <c r="I96" s="241">
        <f t="shared" si="29"/>
        <v>20.839544324813019</v>
      </c>
      <c r="J96" s="241">
        <f t="shared" si="29"/>
        <v>20.778378619215644</v>
      </c>
      <c r="K96" s="241">
        <f t="shared" si="29"/>
        <v>20.98431617608918</v>
      </c>
      <c r="L96" s="241">
        <f t="shared" si="29"/>
        <v>21.000256011001998</v>
      </c>
      <c r="M96" s="241"/>
    </row>
    <row r="97" spans="1:13" x14ac:dyDescent="0.2">
      <c r="A97" s="175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</row>
    <row r="98" spans="1:13" x14ac:dyDescent="0.2">
      <c r="A98" s="175"/>
      <c r="B98" s="181" t="s">
        <v>139</v>
      </c>
      <c r="C98" s="241">
        <f t="shared" ref="C98:L98" si="30">(SUMPRODUCT(C9:C13,C45:C49,$C63:$C67,$H63:$H67)*C80+SUMPRODUCT(O9:O13,C45:C49,$E63:$E67,$I63:$I67)*C80+SUMPRODUCT(C18:C20,C54:C56,$C72:$C74,$H72:$H74)*C80+SUMPRODUCT(O18:O20,C54:C56,$E72:$E74,$I72:$I74)*C80)/SUM(C45:C49,C54:C56)</f>
        <v>33.53254611460514</v>
      </c>
      <c r="D98" s="241">
        <f t="shared" si="30"/>
        <v>34.897069931888559</v>
      </c>
      <c r="E98" s="241">
        <f t="shared" si="30"/>
        <v>33.748538083705895</v>
      </c>
      <c r="F98" s="241">
        <f t="shared" si="30"/>
        <v>33.409735332264866</v>
      </c>
      <c r="G98" s="241">
        <f t="shared" si="30"/>
        <v>33.519227729267961</v>
      </c>
      <c r="H98" s="241">
        <f t="shared" si="30"/>
        <v>35.112036097500301</v>
      </c>
      <c r="I98" s="241">
        <f t="shared" si="30"/>
        <v>31.641622872640482</v>
      </c>
      <c r="J98" s="241">
        <f t="shared" si="30"/>
        <v>31.660230820511948</v>
      </c>
      <c r="K98" s="241">
        <f t="shared" si="30"/>
        <v>33.944422920444268</v>
      </c>
      <c r="L98" s="241">
        <f t="shared" si="30"/>
        <v>33.660605841642258</v>
      </c>
      <c r="M98" s="241"/>
    </row>
    <row r="99" spans="1:13" x14ac:dyDescent="0.2">
      <c r="A99" s="175"/>
      <c r="B99" s="242" t="s">
        <v>137</v>
      </c>
      <c r="C99" s="241">
        <f t="shared" ref="C99:L99" si="31">(SUMPRODUCT(C9:C13,C45:C49,$C63:$C67,$H63:$H67)*C80+SUMPRODUCT(C18:C20,C54:C56,$C72:$C74,$H72:$H74)*C80)/(SUMPRODUCT(C9:C13,C45:C49)+SUMPRODUCT(C18:C20,C54:C56))</f>
        <v>37.917767357190193</v>
      </c>
      <c r="D99" s="241">
        <f t="shared" si="31"/>
        <v>39.396597805063116</v>
      </c>
      <c r="E99" s="241">
        <f t="shared" si="31"/>
        <v>37.972766180797031</v>
      </c>
      <c r="F99" s="241">
        <f t="shared" si="31"/>
        <v>37.903449318016023</v>
      </c>
      <c r="G99" s="241">
        <f t="shared" si="31"/>
        <v>38.038323710818688</v>
      </c>
      <c r="H99" s="241">
        <f t="shared" si="31"/>
        <v>39.574377042476549</v>
      </c>
      <c r="I99" s="241">
        <f t="shared" si="31"/>
        <v>38.146574835766131</v>
      </c>
      <c r="J99" s="241">
        <f t="shared" si="31"/>
        <v>38.209784679036986</v>
      </c>
      <c r="K99" s="241">
        <f t="shared" si="31"/>
        <v>37.529871555152887</v>
      </c>
      <c r="L99" s="241">
        <f t="shared" si="31"/>
        <v>37.420102424007261</v>
      </c>
      <c r="M99" s="241"/>
    </row>
    <row r="100" spans="1:13" x14ac:dyDescent="0.2">
      <c r="A100" s="175"/>
      <c r="B100" s="242" t="s">
        <v>138</v>
      </c>
      <c r="C100" s="241">
        <f t="shared" ref="C100:L100" si="32">(SUMPRODUCT(O9:O13,C45:C49,$E63:$E67,$I63:$I67)*C80+SUMPRODUCT(O18:O20,C54:C56,$E72:$E74,$I72:$I74)*C80)/(SUMPRODUCT(O9:O13,C45:C49)+SUMPRODUCT(O18:O20,C54:C56))</f>
        <v>29.431861633624731</v>
      </c>
      <c r="D100" s="241">
        <f t="shared" si="32"/>
        <v>30.716224654723678</v>
      </c>
      <c r="E100" s="241">
        <f t="shared" si="32"/>
        <v>29.541572393929936</v>
      </c>
      <c r="F100" s="241">
        <f t="shared" si="32"/>
        <v>29.430809188906125</v>
      </c>
      <c r="G100" s="241">
        <f t="shared" si="32"/>
        <v>29.525265805370442</v>
      </c>
      <c r="H100" s="241">
        <f t="shared" si="32"/>
        <v>30.958138255138405</v>
      </c>
      <c r="I100" s="241">
        <f t="shared" si="32"/>
        <v>29.174471689976293</v>
      </c>
      <c r="J100" s="241">
        <f t="shared" si="32"/>
        <v>29.189289645809019</v>
      </c>
      <c r="K100" s="241">
        <f t="shared" si="32"/>
        <v>29.187340864828368</v>
      </c>
      <c r="L100" s="241">
        <f t="shared" si="32"/>
        <v>29.100005770751007</v>
      </c>
      <c r="M100" s="241"/>
    </row>
    <row r="101" spans="1:13" x14ac:dyDescent="0.2">
      <c r="A101" s="175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</row>
    <row r="102" spans="1:13" x14ac:dyDescent="0.2">
      <c r="A102" s="175"/>
      <c r="B102" s="102" t="s">
        <v>140</v>
      </c>
      <c r="C102" s="241">
        <f t="shared" ref="C102:L102" si="33">(C94*SUM(C50:C53)+C98*SUM(C45:C49,C54:C56))/C57</f>
        <v>31.351963866187706</v>
      </c>
      <c r="D102" s="244">
        <f t="shared" si="33"/>
        <v>33.39530852677089</v>
      </c>
      <c r="E102" s="244">
        <f t="shared" si="33"/>
        <v>31.534252715677436</v>
      </c>
      <c r="F102" s="244">
        <f t="shared" si="33"/>
        <v>31.887997663695707</v>
      </c>
      <c r="G102" s="244">
        <f t="shared" si="33"/>
        <v>31.985914141903041</v>
      </c>
      <c r="H102" s="244">
        <f t="shared" si="33"/>
        <v>33.96267465120112</v>
      </c>
      <c r="I102" s="244">
        <f t="shared" si="33"/>
        <v>29.488257189137332</v>
      </c>
      <c r="J102" s="244">
        <f t="shared" si="33"/>
        <v>29.563118309734232</v>
      </c>
      <c r="K102" s="244">
        <f t="shared" si="33"/>
        <v>32.31126464899296</v>
      </c>
      <c r="L102" s="244">
        <f t="shared" si="33"/>
        <v>32.00945561820285</v>
      </c>
      <c r="M102" s="244"/>
    </row>
    <row r="103" spans="1:13" x14ac:dyDescent="0.2">
      <c r="A103" s="175"/>
      <c r="C103" s="241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</row>
    <row r="104" spans="1:13" x14ac:dyDescent="0.2">
      <c r="A104" s="175"/>
      <c r="B104" s="102" t="s">
        <v>141</v>
      </c>
      <c r="C104" s="245">
        <f>SUMPRODUCT(C102:L102,C57:L57)/SUM(C57:L57)</f>
        <v>31.715525685569563</v>
      </c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</row>
    <row r="105" spans="1:13" x14ac:dyDescent="0.2">
      <c r="A105" s="175"/>
      <c r="C105" s="241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</row>
    <row r="106" spans="1:13" x14ac:dyDescent="0.2">
      <c r="A106" s="175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</row>
    <row r="107" spans="1:13" x14ac:dyDescent="0.2">
      <c r="A107" s="172" t="s">
        <v>142</v>
      </c>
      <c r="B107" s="170" t="s">
        <v>143</v>
      </c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</row>
    <row r="108" spans="1:13" x14ac:dyDescent="0.2">
      <c r="A108" s="175"/>
      <c r="B108" s="171" t="s">
        <v>144</v>
      </c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</row>
    <row r="109" spans="1:13" x14ac:dyDescent="0.2">
      <c r="A109" s="175"/>
      <c r="B109" s="171" t="s">
        <v>145</v>
      </c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</row>
    <row r="110" spans="1:13" x14ac:dyDescent="0.2">
      <c r="A110" s="175"/>
      <c r="B110" s="170"/>
      <c r="C110" s="167" t="str">
        <f>+C7</f>
        <v>RS</v>
      </c>
      <c r="D110" s="167" t="str">
        <f t="shared" ref="D110:L110" si="34">+D7</f>
        <v>RHS</v>
      </c>
      <c r="E110" s="167" t="str">
        <f t="shared" si="34"/>
        <v>RLM</v>
      </c>
      <c r="F110" s="167" t="str">
        <f t="shared" si="34"/>
        <v>WH</v>
      </c>
      <c r="G110" s="167" t="str">
        <f t="shared" si="34"/>
        <v>WHS</v>
      </c>
      <c r="H110" s="167" t="str">
        <f t="shared" si="34"/>
        <v>HS</v>
      </c>
      <c r="I110" s="167" t="str">
        <f t="shared" si="34"/>
        <v>PSAL</v>
      </c>
      <c r="J110" s="167" t="str">
        <f t="shared" si="34"/>
        <v>BPL</v>
      </c>
      <c r="K110" s="167" t="str">
        <f t="shared" si="34"/>
        <v>GLP</v>
      </c>
      <c r="L110" s="167" t="str">
        <f t="shared" si="34"/>
        <v>LPL-S</v>
      </c>
      <c r="M110" s="167"/>
    </row>
    <row r="111" spans="1:13" x14ac:dyDescent="0.2">
      <c r="A111" s="175"/>
      <c r="C111" s="246"/>
    </row>
    <row r="112" spans="1:13" x14ac:dyDescent="0.2">
      <c r="A112" s="175"/>
      <c r="B112" s="181" t="s">
        <v>136</v>
      </c>
      <c r="C112" s="247">
        <f t="shared" ref="C112:L112" si="35">SUM(C50:C53)*C94/1000</f>
        <v>152755.76805334355</v>
      </c>
      <c r="D112" s="247">
        <f t="shared" si="35"/>
        <v>775.33832275184761</v>
      </c>
      <c r="E112" s="247">
        <f t="shared" si="35"/>
        <v>2709.3152844571018</v>
      </c>
      <c r="F112" s="247">
        <f t="shared" si="35"/>
        <v>8.3096494649993584</v>
      </c>
      <c r="G112" s="247">
        <f t="shared" si="35"/>
        <v>0.13846318048640635</v>
      </c>
      <c r="H112" s="247">
        <f t="shared" si="35"/>
        <v>81.608967717756215</v>
      </c>
      <c r="I112" s="247">
        <f t="shared" si="35"/>
        <v>1027.6183031793712</v>
      </c>
      <c r="J112" s="247">
        <f t="shared" si="35"/>
        <v>1872.5299042414663</v>
      </c>
      <c r="K112" s="247">
        <f t="shared" si="35"/>
        <v>70959.431800472434</v>
      </c>
      <c r="L112" s="247">
        <f t="shared" si="35"/>
        <v>49613.086744926477</v>
      </c>
      <c r="M112" s="247"/>
    </row>
    <row r="113" spans="1:30" x14ac:dyDescent="0.2">
      <c r="A113" s="175"/>
      <c r="B113" s="242" t="s">
        <v>137</v>
      </c>
      <c r="C113" s="247">
        <f t="shared" ref="C113:L113" si="36">SUMPRODUCT(C50:C53,C14:C17)*C95/1000</f>
        <v>98534.877571806428</v>
      </c>
      <c r="D113" s="247">
        <f t="shared" si="36"/>
        <v>506.06219984282023</v>
      </c>
      <c r="E113" s="247">
        <f t="shared" si="36"/>
        <v>1795.7138156203946</v>
      </c>
      <c r="F113" s="247">
        <f t="shared" si="36"/>
        <v>5.2379884403969159</v>
      </c>
      <c r="G113" s="247">
        <f t="shared" si="36"/>
        <v>8.7391796991164575E-2</v>
      </c>
      <c r="H113" s="247">
        <f t="shared" si="36"/>
        <v>59.8819743895328</v>
      </c>
      <c r="I113" s="247">
        <f t="shared" si="36"/>
        <v>321.39001354157313</v>
      </c>
      <c r="J113" s="247">
        <f t="shared" si="36"/>
        <v>587.51322413200728</v>
      </c>
      <c r="K113" s="247">
        <f t="shared" si="36"/>
        <v>50853.255548061308</v>
      </c>
      <c r="L113" s="247">
        <f t="shared" si="36"/>
        <v>33992.949760589479</v>
      </c>
      <c r="M113" s="247"/>
    </row>
    <row r="114" spans="1:30" x14ac:dyDescent="0.2">
      <c r="A114" s="175"/>
      <c r="B114" s="242" t="s">
        <v>138</v>
      </c>
      <c r="C114" s="247">
        <f t="shared" ref="C114:L114" si="37">SUMPRODUCT(C50:C53,O14:O17)*C96/1000</f>
        <v>54220.890481537099</v>
      </c>
      <c r="D114" s="247">
        <f t="shared" si="37"/>
        <v>269.27612290902732</v>
      </c>
      <c r="E114" s="247">
        <f t="shared" si="37"/>
        <v>913.60146883670734</v>
      </c>
      <c r="F114" s="247">
        <f t="shared" si="37"/>
        <v>3.0716610246024412</v>
      </c>
      <c r="G114" s="247">
        <f t="shared" si="37"/>
        <v>5.1071383495241776E-2</v>
      </c>
      <c r="H114" s="247">
        <f t="shared" si="37"/>
        <v>21.726993328223408</v>
      </c>
      <c r="I114" s="247">
        <f t="shared" si="37"/>
        <v>706.22828963779796</v>
      </c>
      <c r="J114" s="247">
        <f t="shared" si="37"/>
        <v>1285.0166801094592</v>
      </c>
      <c r="K114" s="247">
        <f t="shared" si="37"/>
        <v>20106.176252411118</v>
      </c>
      <c r="L114" s="247">
        <f t="shared" si="37"/>
        <v>15620.136984336994</v>
      </c>
      <c r="M114" s="247"/>
    </row>
    <row r="115" spans="1:30" x14ac:dyDescent="0.2">
      <c r="A115" s="175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</row>
    <row r="116" spans="1:30" x14ac:dyDescent="0.2">
      <c r="A116" s="175"/>
      <c r="B116" s="181" t="s">
        <v>139</v>
      </c>
      <c r="C116" s="248">
        <f t="shared" ref="C116:L116" si="38">SUM(C45:C49,C54:C56)*C98/1000</f>
        <v>229068.06919712361</v>
      </c>
      <c r="D116" s="248">
        <f t="shared" si="38"/>
        <v>3048.3152758036358</v>
      </c>
      <c r="E116" s="248">
        <f t="shared" si="38"/>
        <v>3898.1856433251364</v>
      </c>
      <c r="F116" s="248">
        <f t="shared" si="38"/>
        <v>25.491628058518096</v>
      </c>
      <c r="G116" s="248">
        <f t="shared" si="38"/>
        <v>0.46926918820975144</v>
      </c>
      <c r="H116" s="248">
        <f t="shared" si="38"/>
        <v>340.52494427077846</v>
      </c>
      <c r="I116" s="248">
        <f t="shared" si="38"/>
        <v>3568.067603233304</v>
      </c>
      <c r="J116" s="248">
        <f t="shared" si="38"/>
        <v>6851.3689302512475</v>
      </c>
      <c r="K116" s="248">
        <f t="shared" si="38"/>
        <v>136668.04902013441</v>
      </c>
      <c r="L116" s="248">
        <f t="shared" si="38"/>
        <v>102779.97357287879</v>
      </c>
      <c r="M116" s="248"/>
    </row>
    <row r="117" spans="1:30" x14ac:dyDescent="0.2">
      <c r="A117" s="175"/>
      <c r="B117" s="242" t="s">
        <v>137</v>
      </c>
      <c r="C117" s="247">
        <f t="shared" ref="C117:L117" si="39">(SUMPRODUCT(C45:C49,C9:C13)+SUMPRODUCT(C54:C56,C18:C20))*C99/1000</f>
        <v>125169.62019194655</v>
      </c>
      <c r="D117" s="247">
        <f t="shared" si="39"/>
        <v>1657.5068741727057</v>
      </c>
      <c r="E117" s="247">
        <f t="shared" si="39"/>
        <v>2188.5661942043844</v>
      </c>
      <c r="F117" s="247">
        <f t="shared" si="39"/>
        <v>13.581582911356159</v>
      </c>
      <c r="G117" s="247">
        <f t="shared" si="39"/>
        <v>0.24984331779739927</v>
      </c>
      <c r="H117" s="247">
        <f t="shared" si="39"/>
        <v>185.03125252119398</v>
      </c>
      <c r="I117" s="247">
        <f t="shared" si="39"/>
        <v>1182.8546420151695</v>
      </c>
      <c r="J117" s="247">
        <f t="shared" si="39"/>
        <v>2265.0088438669545</v>
      </c>
      <c r="K117" s="247">
        <f t="shared" si="39"/>
        <v>86162.535961680755</v>
      </c>
      <c r="L117" s="247">
        <f t="shared" si="39"/>
        <v>62630.396828028977</v>
      </c>
      <c r="M117" s="247"/>
    </row>
    <row r="118" spans="1:30" x14ac:dyDescent="0.2">
      <c r="A118" s="175"/>
      <c r="B118" s="242" t="s">
        <v>138</v>
      </c>
      <c r="C118" s="247">
        <f t="shared" ref="C118:L118" si="40">+(SUMPRODUCT(C45:C49,O9:O13)+SUMPRODUCT(C54:C56,O18:O20))*C100/1000</f>
        <v>103898.44900517708</v>
      </c>
      <c r="D118" s="247">
        <f t="shared" si="40"/>
        <v>1390.8084016309301</v>
      </c>
      <c r="E118" s="247">
        <f t="shared" si="40"/>
        <v>1709.6194491207521</v>
      </c>
      <c r="F118" s="247">
        <f t="shared" si="40"/>
        <v>11.910045147161934</v>
      </c>
      <c r="G118" s="247">
        <f t="shared" si="40"/>
        <v>0.21942587041235209</v>
      </c>
      <c r="H118" s="247">
        <f t="shared" si="40"/>
        <v>155.49369174958446</v>
      </c>
      <c r="I118" s="247">
        <f t="shared" si="40"/>
        <v>2385.2129612181343</v>
      </c>
      <c r="J118" s="247">
        <f t="shared" si="40"/>
        <v>4586.360086384293</v>
      </c>
      <c r="K118" s="247">
        <f t="shared" si="40"/>
        <v>50505.513058453667</v>
      </c>
      <c r="L118" s="247">
        <f t="shared" si="40"/>
        <v>40149.57674484983</v>
      </c>
      <c r="M118" s="247"/>
    </row>
    <row r="119" spans="1:30" x14ac:dyDescent="0.2">
      <c r="A119" s="175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</row>
    <row r="120" spans="1:30" x14ac:dyDescent="0.2">
      <c r="A120" s="175"/>
      <c r="B120" s="102" t="s">
        <v>140</v>
      </c>
      <c r="C120" s="248">
        <f>+C112+C116</f>
        <v>381823.83725046716</v>
      </c>
      <c r="D120" s="248">
        <f t="shared" ref="D120:L120" si="41">+D112+D116</f>
        <v>3823.6535985554833</v>
      </c>
      <c r="E120" s="248">
        <f t="shared" si="41"/>
        <v>6607.5009277822383</v>
      </c>
      <c r="F120" s="248">
        <f t="shared" si="41"/>
        <v>33.801277523517456</v>
      </c>
      <c r="G120" s="248">
        <f t="shared" si="41"/>
        <v>0.60773236869615777</v>
      </c>
      <c r="H120" s="248">
        <f t="shared" si="41"/>
        <v>422.13391198853469</v>
      </c>
      <c r="I120" s="248">
        <f t="shared" si="41"/>
        <v>4595.6859064126747</v>
      </c>
      <c r="J120" s="248">
        <f t="shared" si="41"/>
        <v>8723.8988344927129</v>
      </c>
      <c r="K120" s="248">
        <f t="shared" si="41"/>
        <v>207627.48082060684</v>
      </c>
      <c r="L120" s="248">
        <f t="shared" si="41"/>
        <v>152393.06031780527</v>
      </c>
      <c r="M120" s="248"/>
    </row>
    <row r="121" spans="1:30" x14ac:dyDescent="0.2">
      <c r="A121" s="175"/>
    </row>
    <row r="122" spans="1:30" x14ac:dyDescent="0.2">
      <c r="A122" s="175"/>
      <c r="B122" s="102" t="s">
        <v>141</v>
      </c>
      <c r="C122" s="247">
        <f>SUM(C120:L120)</f>
        <v>766051.66057800304</v>
      </c>
      <c r="E122" s="249"/>
      <c r="F122" s="241"/>
    </row>
    <row r="123" spans="1:30" x14ac:dyDescent="0.2">
      <c r="A123" s="175"/>
    </row>
    <row r="124" spans="1:30" x14ac:dyDescent="0.2">
      <c r="A124" s="175"/>
    </row>
    <row r="125" spans="1:30" x14ac:dyDescent="0.2">
      <c r="A125" s="172" t="s">
        <v>146</v>
      </c>
      <c r="B125" s="170" t="s">
        <v>147</v>
      </c>
      <c r="C125" s="244"/>
      <c r="Q125" s="102" t="s">
        <v>148</v>
      </c>
      <c r="T125" s="102" t="s">
        <v>149</v>
      </c>
      <c r="W125" s="102" t="s">
        <v>150</v>
      </c>
      <c r="Z125" s="102" t="s">
        <v>151</v>
      </c>
    </row>
    <row r="126" spans="1:30" x14ac:dyDescent="0.2">
      <c r="A126" s="175"/>
      <c r="B126" s="171" t="s">
        <v>152</v>
      </c>
      <c r="C126" s="244"/>
      <c r="W126" s="102" t="s">
        <v>153</v>
      </c>
      <c r="Z126" s="102" t="s">
        <v>154</v>
      </c>
      <c r="AC126" s="102" t="s">
        <v>155</v>
      </c>
    </row>
    <row r="127" spans="1:30" x14ac:dyDescent="0.2">
      <c r="A127" s="175"/>
      <c r="B127" s="171" t="s">
        <v>135</v>
      </c>
      <c r="C127" s="244"/>
    </row>
    <row r="128" spans="1:30" x14ac:dyDescent="0.2">
      <c r="A128" s="175"/>
      <c r="B128" s="170"/>
      <c r="C128" s="167" t="str">
        <f>+C7</f>
        <v>RS</v>
      </c>
      <c r="D128" s="167" t="str">
        <f t="shared" ref="D128:L128" si="42">+D7</f>
        <v>RHS</v>
      </c>
      <c r="E128" s="167" t="str">
        <f t="shared" si="42"/>
        <v>RLM</v>
      </c>
      <c r="F128" s="167" t="str">
        <f t="shared" si="42"/>
        <v>WH</v>
      </c>
      <c r="G128" s="167" t="str">
        <f t="shared" si="42"/>
        <v>WHS</v>
      </c>
      <c r="H128" s="167" t="str">
        <f t="shared" si="42"/>
        <v>HS</v>
      </c>
      <c r="I128" s="167" t="str">
        <f t="shared" si="42"/>
        <v>PSAL</v>
      </c>
      <c r="J128" s="167" t="str">
        <f t="shared" si="42"/>
        <v>BPL</v>
      </c>
      <c r="K128" s="167" t="str">
        <f t="shared" si="42"/>
        <v>GLP</v>
      </c>
      <c r="L128" s="167" t="str">
        <f t="shared" si="42"/>
        <v>LPL-S</v>
      </c>
      <c r="M128" s="167"/>
      <c r="O128" s="167"/>
      <c r="P128" s="167"/>
      <c r="Q128" s="167" t="str">
        <f>+E128</f>
        <v>RLM</v>
      </c>
      <c r="R128" s="167" t="str">
        <f>+L128</f>
        <v>LPL-S</v>
      </c>
      <c r="S128" s="167"/>
      <c r="T128" s="167" t="str">
        <f>+E128</f>
        <v>RLM</v>
      </c>
      <c r="U128" s="167" t="str">
        <f>+L128</f>
        <v>LPL-S</v>
      </c>
      <c r="V128" s="167"/>
      <c r="W128" s="167" t="str">
        <f>+E128</f>
        <v>RLM</v>
      </c>
      <c r="X128" s="167" t="str">
        <f>+L128</f>
        <v>LPL-S</v>
      </c>
      <c r="Z128" s="167" t="str">
        <f>+E128</f>
        <v>RLM</v>
      </c>
      <c r="AA128" s="167" t="str">
        <f>+L128</f>
        <v>LPL-S</v>
      </c>
      <c r="AC128" s="250" t="str">
        <f>+E128</f>
        <v>RLM</v>
      </c>
      <c r="AD128" s="167" t="str">
        <f>+L128</f>
        <v>LPL-S</v>
      </c>
    </row>
    <row r="129" spans="1:39" x14ac:dyDescent="0.2">
      <c r="A129" s="175"/>
      <c r="C129" s="246"/>
    </row>
    <row r="130" spans="1:39" x14ac:dyDescent="0.2">
      <c r="A130" s="175"/>
      <c r="B130" s="181" t="s">
        <v>136</v>
      </c>
      <c r="C130" s="245">
        <f t="shared" ref="C130:L130" si="43">+C112/SUM(C50:C53)*1000</f>
        <v>28.566310749176946</v>
      </c>
      <c r="D130" s="245">
        <f t="shared" si="43"/>
        <v>28.56271665796076</v>
      </c>
      <c r="E130" s="245">
        <f t="shared" si="43"/>
        <v>28.814137954908428</v>
      </c>
      <c r="F130" s="245">
        <f t="shared" si="43"/>
        <v>27.978617727270567</v>
      </c>
      <c r="G130" s="245">
        <f t="shared" si="43"/>
        <v>27.69263609728127</v>
      </c>
      <c r="H130" s="245">
        <f t="shared" si="43"/>
        <v>29.881261287865744</v>
      </c>
      <c r="I130" s="245">
        <f t="shared" si="43"/>
        <v>23.85206005104963</v>
      </c>
      <c r="J130" s="245">
        <f t="shared" si="43"/>
        <v>23.795985617687744</v>
      </c>
      <c r="K130" s="245">
        <f t="shared" si="43"/>
        <v>29.571056511040894</v>
      </c>
      <c r="L130" s="245">
        <f t="shared" si="43"/>
        <v>29.056726552013757</v>
      </c>
      <c r="M130" s="245"/>
    </row>
    <row r="131" spans="1:39" x14ac:dyDescent="0.2">
      <c r="A131" s="175"/>
      <c r="B131" s="242" t="s">
        <v>156</v>
      </c>
      <c r="C131" s="247"/>
      <c r="E131" s="245">
        <f>+(E113*1000-W131*AVERAGE(E$95,E$96))/Q131</f>
        <v>36.34398477818246</v>
      </c>
      <c r="F131" s="245"/>
      <c r="G131" s="247"/>
      <c r="H131" s="247"/>
      <c r="I131" s="247"/>
      <c r="J131" s="247"/>
      <c r="K131" s="247"/>
      <c r="L131" s="245">
        <f>+(L113*1000-X131*AVERAGE(L$95,L$96))/R131</f>
        <v>36.085533385959558</v>
      </c>
      <c r="M131" s="245"/>
      <c r="N131" s="245"/>
      <c r="Q131" s="201">
        <f>SUMPRODUCT(E50:E53,E32:E35)</f>
        <v>45021.690119899766</v>
      </c>
      <c r="R131" s="201">
        <f>SUMPRODUCT(L50:L53,L32:L35)</f>
        <v>865402.36493452266</v>
      </c>
      <c r="T131" s="201">
        <f>SUMPRODUCT(E50:E53,E14:E17)</f>
        <v>50664.604465339798</v>
      </c>
      <c r="U131" s="201">
        <f>SUMPRODUCT(L50:L53,L14:L17)</f>
        <v>963649.1810242018</v>
      </c>
      <c r="W131" s="201">
        <f>+T131-Q131</f>
        <v>5642.9143454400328</v>
      </c>
      <c r="X131" s="201">
        <f>+U131-R131</f>
        <v>98246.816089679138</v>
      </c>
      <c r="Z131" s="251">
        <f>+E131*Q131/1000</f>
        <v>1636.2676204056847</v>
      </c>
      <c r="AA131" s="251">
        <f>+L131*R131/1000</f>
        <v>31228.505932133074</v>
      </c>
    </row>
    <row r="132" spans="1:39" ht="15" x14ac:dyDescent="0.35">
      <c r="A132" s="175"/>
      <c r="B132" s="242" t="s">
        <v>157</v>
      </c>
      <c r="C132" s="245"/>
      <c r="D132" s="245"/>
      <c r="E132" s="245">
        <f>+(E114*1000-W132*AVERAGE(E$95,E$96))/Q132</f>
        <v>21.896429851551602</v>
      </c>
      <c r="F132" s="247"/>
      <c r="G132" s="247"/>
      <c r="H132" s="247"/>
      <c r="I132" s="247"/>
      <c r="J132" s="247"/>
      <c r="K132" s="247"/>
      <c r="L132" s="245">
        <f>+(L114*1000-X132*AVERAGE(L$95,L$96))/R132</f>
        <v>21.833024110017384</v>
      </c>
      <c r="M132" s="245"/>
      <c r="N132" s="245"/>
      <c r="Q132" s="201">
        <f>SUMPRODUCT(E50:E53,Q32:Q35)</f>
        <v>49005.599146811597</v>
      </c>
      <c r="R132" s="201">
        <f>SUMPRODUCT(L50:L53,X32:X35)</f>
        <v>842053.79521191609</v>
      </c>
      <c r="T132" s="201">
        <f>SUMPRODUCT(E50:E53,Q14:Q17)</f>
        <v>43362.684801371564</v>
      </c>
      <c r="U132" s="201">
        <f>SUMPRODUCT(L50:L53,X14:X17)</f>
        <v>743806.97912223695</v>
      </c>
      <c r="W132" s="201">
        <f>+T132-Q132</f>
        <v>-5642.9143454400328</v>
      </c>
      <c r="X132" s="201">
        <f>+U132-R132</f>
        <v>-98246.816089679138</v>
      </c>
      <c r="Z132" s="252">
        <f>+E132*Q132/1000</f>
        <v>1073.0476640514173</v>
      </c>
      <c r="AA132" s="252">
        <f>+L132*R132/1000</f>
        <v>18384.580812793403</v>
      </c>
    </row>
    <row r="133" spans="1:39" x14ac:dyDescent="0.2">
      <c r="A133" s="175"/>
      <c r="C133" s="245"/>
      <c r="D133" s="245"/>
      <c r="E133" s="248"/>
      <c r="F133" s="248"/>
      <c r="G133" s="248"/>
      <c r="H133" s="248"/>
      <c r="I133" s="248"/>
      <c r="J133" s="248"/>
      <c r="K133" s="248"/>
      <c r="L133" s="248"/>
      <c r="M133" s="248"/>
      <c r="Q133" s="201"/>
      <c r="R133" s="201"/>
      <c r="T133" s="201"/>
      <c r="U133" s="201"/>
      <c r="W133" s="201"/>
      <c r="X133" s="201"/>
      <c r="Z133" s="251">
        <f>+Z132+Z131</f>
        <v>2709.3152844571023</v>
      </c>
      <c r="AA133" s="251">
        <f>+AA132+AA131</f>
        <v>49613.086744926477</v>
      </c>
      <c r="AC133" s="246">
        <f>+E112</f>
        <v>2709.3152844571018</v>
      </c>
      <c r="AD133" s="246">
        <f>+L112</f>
        <v>49613.086744926477</v>
      </c>
    </row>
    <row r="134" spans="1:39" x14ac:dyDescent="0.2">
      <c r="A134" s="175"/>
      <c r="B134" s="181" t="s">
        <v>139</v>
      </c>
      <c r="C134" s="244">
        <f t="shared" ref="C134:L134" si="44">+C116/SUM(C45:C49,C54:C56)*1000</f>
        <v>33.532546114605132</v>
      </c>
      <c r="D134" s="244">
        <f t="shared" si="44"/>
        <v>34.897069931888559</v>
      </c>
      <c r="E134" s="244">
        <f t="shared" si="44"/>
        <v>33.748538083705895</v>
      </c>
      <c r="F134" s="244">
        <f t="shared" si="44"/>
        <v>33.409735332264873</v>
      </c>
      <c r="G134" s="244">
        <f t="shared" si="44"/>
        <v>33.519227729267961</v>
      </c>
      <c r="H134" s="244">
        <f t="shared" si="44"/>
        <v>35.112036097500308</v>
      </c>
      <c r="I134" s="244">
        <f t="shared" si="44"/>
        <v>31.641622872640482</v>
      </c>
      <c r="J134" s="244">
        <f t="shared" si="44"/>
        <v>31.660230820511948</v>
      </c>
      <c r="K134" s="244">
        <f t="shared" si="44"/>
        <v>33.944422920444268</v>
      </c>
      <c r="L134" s="244">
        <f t="shared" si="44"/>
        <v>33.660605841642258</v>
      </c>
      <c r="M134" s="244"/>
      <c r="Q134" s="201"/>
      <c r="R134" s="201"/>
      <c r="T134" s="201"/>
      <c r="U134" s="201"/>
      <c r="W134" s="201"/>
      <c r="X134" s="201"/>
      <c r="Z134" s="251"/>
      <c r="AA134" s="251"/>
      <c r="AC134" s="246"/>
    </row>
    <row r="135" spans="1:39" x14ac:dyDescent="0.2">
      <c r="A135" s="175"/>
      <c r="B135" s="242" t="s">
        <v>156</v>
      </c>
      <c r="C135" s="247"/>
      <c r="D135" s="247"/>
      <c r="E135" s="245">
        <f>+(E117*1000-W135*AVERAGE(E$99,E$100))/Q135</f>
        <v>38.62441831340152</v>
      </c>
      <c r="F135" s="245"/>
      <c r="G135" s="245"/>
      <c r="H135" s="247"/>
      <c r="I135" s="247"/>
      <c r="J135" s="247"/>
      <c r="K135" s="247"/>
      <c r="L135" s="245">
        <f>+(L117*1000-X135*AVERAGE(L$99,L$100))/R135</f>
        <v>37.887082455539236</v>
      </c>
      <c r="M135" s="245"/>
      <c r="N135" s="245"/>
      <c r="Q135" s="201">
        <f>SUMPRODUCT(E45:E49,E27:E31)+SUMPRODUCT(E54:E56,E36:E38)</f>
        <v>49918.664784710258</v>
      </c>
      <c r="R135" s="201">
        <f>SUMPRODUCT(L45:L49,L27:L31)+SUMPRODUCT(L54:L56,L36:L38)</f>
        <v>1504791.7657982581</v>
      </c>
      <c r="T135" s="201">
        <f>SUMPRODUCT(E45:E49,E9:E13)+SUMPRODUCT(E54:E56,E18:E20)</f>
        <v>57635.15314591831</v>
      </c>
      <c r="U135" s="201">
        <f>SUMPRODUCT(L45:L49,L9:L13)+SUMPRODUCT(L54:L56,L18:L20)</f>
        <v>1673709.9251724065</v>
      </c>
      <c r="W135" s="201">
        <f>+T135-Q135</f>
        <v>7716.4883612080521</v>
      </c>
      <c r="X135" s="201">
        <f>+U135-R135</f>
        <v>168918.15937414835</v>
      </c>
      <c r="Z135" s="251">
        <f>+E135*Q135/1000</f>
        <v>1928.0793902911144</v>
      </c>
      <c r="AA135" s="251">
        <f>+L135*R135/1000</f>
        <v>57012.169709215086</v>
      </c>
      <c r="AC135" s="246"/>
    </row>
    <row r="136" spans="1:39" ht="15" x14ac:dyDescent="0.35">
      <c r="A136" s="175"/>
      <c r="B136" s="242" t="s">
        <v>157</v>
      </c>
      <c r="C136" s="247"/>
      <c r="D136" s="247"/>
      <c r="E136" s="245">
        <f>+(E118*1000-W136*AVERAGE(E$99,E$100))/Q136</f>
        <v>30.037540211727681</v>
      </c>
      <c r="F136" s="245"/>
      <c r="G136" s="245"/>
      <c r="H136" s="247"/>
      <c r="I136" s="247"/>
      <c r="J136" s="247"/>
      <c r="K136" s="247"/>
      <c r="L136" s="245">
        <f>+(L118*1000-X136*AVERAGE(L$99,L$100))/R136</f>
        <v>29.553767108247055</v>
      </c>
      <c r="M136" s="245"/>
      <c r="N136" s="245"/>
      <c r="Q136" s="201">
        <f>SUMPRODUCT(E45:E49,Q27:Q31)+SUMPRODUCT(E54:E56,Q36:Q38)</f>
        <v>65588.135351536737</v>
      </c>
      <c r="R136" s="201">
        <f>SUMPRODUCT(L45:L49,X27:X31)+SUMPRODUCT(L54:L56,X36:X38)</f>
        <v>1548628.4268272556</v>
      </c>
      <c r="T136" s="201">
        <f>SUMPRODUCT(E45:E49,Q9:Q13)+SUMPRODUCT(E54:E56,Q18:Q20)</f>
        <v>57871.646990328678</v>
      </c>
      <c r="U136" s="201">
        <f>SUMPRODUCT(L45:L49,X9:X13)+SUMPRODUCT(L54:L56,X18:X20)</f>
        <v>1379710.2674531071</v>
      </c>
      <c r="W136" s="201">
        <f>+T136-Q136</f>
        <v>-7716.4883612080594</v>
      </c>
      <c r="X136" s="201">
        <f>+U136-R136</f>
        <v>-168918.15937414858</v>
      </c>
      <c r="Z136" s="252">
        <f>+E136*Q136/1000</f>
        <v>1970.1062530340225</v>
      </c>
      <c r="AA136" s="252">
        <f>+L136*R136/1000</f>
        <v>45767.803863663728</v>
      </c>
      <c r="AC136" s="246"/>
    </row>
    <row r="137" spans="1:39" x14ac:dyDescent="0.2">
      <c r="A137" s="175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Z137" s="251">
        <f>+Z136+Z135</f>
        <v>3898.1856433251369</v>
      </c>
      <c r="AA137" s="251">
        <f>+AA136+AA135</f>
        <v>102779.97357287881</v>
      </c>
      <c r="AC137" s="246">
        <f>+E116</f>
        <v>3898.1856433251364</v>
      </c>
      <c r="AD137" s="246">
        <f>+L116</f>
        <v>102779.97357287879</v>
      </c>
    </row>
    <row r="138" spans="1:39" x14ac:dyDescent="0.2">
      <c r="A138" s="175"/>
      <c r="B138" s="102" t="s">
        <v>158</v>
      </c>
      <c r="C138" s="241">
        <f t="shared" ref="C138:L138" si="45">(C130*SUM(C50:C53)+C134*SUM(C45:C49,C54:C56))/C57</f>
        <v>31.351963866187702</v>
      </c>
      <c r="D138" s="241">
        <f t="shared" si="45"/>
        <v>33.39530852677089</v>
      </c>
      <c r="E138" s="241">
        <f t="shared" si="45"/>
        <v>31.534252715677436</v>
      </c>
      <c r="F138" s="241">
        <f t="shared" si="45"/>
        <v>31.887997663695714</v>
      </c>
      <c r="G138" s="241">
        <f t="shared" si="45"/>
        <v>31.985914141903041</v>
      </c>
      <c r="H138" s="241">
        <f t="shared" si="45"/>
        <v>33.962674651201127</v>
      </c>
      <c r="I138" s="241">
        <f t="shared" si="45"/>
        <v>29.488257189137332</v>
      </c>
      <c r="J138" s="241">
        <f t="shared" si="45"/>
        <v>29.563118309734232</v>
      </c>
      <c r="K138" s="241">
        <f t="shared" si="45"/>
        <v>32.31126464899296</v>
      </c>
      <c r="L138" s="241">
        <f t="shared" si="45"/>
        <v>32.009455618202857</v>
      </c>
      <c r="M138" s="241"/>
      <c r="AC138" s="246"/>
    </row>
    <row r="139" spans="1:39" x14ac:dyDescent="0.2">
      <c r="A139" s="175"/>
      <c r="B139" s="102" t="s">
        <v>159</v>
      </c>
      <c r="C139" s="245">
        <f>+C122/SUM(C57:L57)*1000</f>
        <v>31.715525685569553</v>
      </c>
      <c r="T139" s="201"/>
      <c r="U139" s="201"/>
    </row>
    <row r="140" spans="1:39" x14ac:dyDescent="0.2">
      <c r="A140" s="175"/>
      <c r="T140" s="201"/>
      <c r="U140" s="201"/>
    </row>
    <row r="141" spans="1:39" x14ac:dyDescent="0.2">
      <c r="A141" s="175"/>
      <c r="T141" s="201"/>
      <c r="U141" s="201"/>
    </row>
    <row r="142" spans="1:39" x14ac:dyDescent="0.2">
      <c r="A142" s="172" t="s">
        <v>61</v>
      </c>
      <c r="B142" s="170" t="s">
        <v>62</v>
      </c>
      <c r="L142" s="167" t="s">
        <v>160</v>
      </c>
      <c r="T142" s="201"/>
      <c r="U142" s="201"/>
    </row>
    <row r="143" spans="1:39" x14ac:dyDescent="0.2">
      <c r="A143" s="175"/>
      <c r="B143" s="171" t="str">
        <f>Input!B97</f>
        <v>obligations - Peak Load shares eff 1/1/18, scaling factors eff 6/1/18, Transmission Loads eff 1/1/18; costs are market estimates</v>
      </c>
      <c r="L143" s="167" t="s">
        <v>161</v>
      </c>
      <c r="T143" s="201"/>
      <c r="U143" s="201"/>
    </row>
    <row r="144" spans="1:39" x14ac:dyDescent="0.2">
      <c r="A144" s="175"/>
      <c r="B144" s="171" t="s">
        <v>64</v>
      </c>
      <c r="C144" s="167" t="str">
        <f>+C7</f>
        <v>RS</v>
      </c>
      <c r="D144" s="167" t="str">
        <f t="shared" ref="D144:L144" si="46">+D7</f>
        <v>RHS</v>
      </c>
      <c r="E144" s="167" t="str">
        <f t="shared" si="46"/>
        <v>RLM</v>
      </c>
      <c r="F144" s="167" t="str">
        <f t="shared" si="46"/>
        <v>WH</v>
      </c>
      <c r="G144" s="167" t="str">
        <f t="shared" si="46"/>
        <v>WHS</v>
      </c>
      <c r="H144" s="167" t="str">
        <f t="shared" si="46"/>
        <v>HS</v>
      </c>
      <c r="I144" s="167" t="str">
        <f t="shared" si="46"/>
        <v>PSAL</v>
      </c>
      <c r="J144" s="167" t="str">
        <f t="shared" si="46"/>
        <v>BPL</v>
      </c>
      <c r="K144" s="167" t="str">
        <f t="shared" si="46"/>
        <v>GLP</v>
      </c>
      <c r="L144" s="167" t="str">
        <f t="shared" si="46"/>
        <v>LPL-S</v>
      </c>
      <c r="M144" s="167"/>
      <c r="T144" s="201"/>
      <c r="U144" s="201"/>
      <c r="AD144" s="167" t="s">
        <v>8</v>
      </c>
      <c r="AE144" s="167" t="s">
        <v>9</v>
      </c>
      <c r="AF144" s="167" t="s">
        <v>10</v>
      </c>
      <c r="AG144" s="167" t="s">
        <v>11</v>
      </c>
      <c r="AH144" s="167" t="s">
        <v>12</v>
      </c>
      <c r="AI144" s="167" t="s">
        <v>13</v>
      </c>
      <c r="AJ144" s="167" t="s">
        <v>14</v>
      </c>
      <c r="AK144" s="167" t="s">
        <v>15</v>
      </c>
      <c r="AL144" s="167" t="s">
        <v>16</v>
      </c>
      <c r="AM144" s="167" t="s">
        <v>17</v>
      </c>
    </row>
    <row r="145" spans="1:39" x14ac:dyDescent="0.2">
      <c r="A145" s="175"/>
      <c r="B145" s="171"/>
      <c r="C145" s="167"/>
      <c r="D145" s="167"/>
      <c r="E145" s="167"/>
      <c r="F145" s="167"/>
      <c r="G145" s="167"/>
      <c r="H145" s="167"/>
      <c r="I145" s="167"/>
      <c r="J145" s="167"/>
      <c r="K145" s="167"/>
      <c r="M145" s="167"/>
      <c r="R145" s="360" t="s">
        <v>162</v>
      </c>
      <c r="S145" s="361"/>
      <c r="T145" s="361"/>
      <c r="U145" s="361"/>
      <c r="V145" s="361"/>
      <c r="AC145" s="253" t="s">
        <v>65</v>
      </c>
      <c r="AD145" s="254">
        <f>Input!C101</f>
        <v>3806.9778289480928</v>
      </c>
      <c r="AE145" s="254">
        <f>Input!D101</f>
        <v>21.855866835496002</v>
      </c>
      <c r="AF145" s="254">
        <f>Input!E101</f>
        <v>72.136983101323764</v>
      </c>
      <c r="AG145" s="254">
        <f>Input!F101</f>
        <v>0</v>
      </c>
      <c r="AH145" s="254">
        <f>Input!G101</f>
        <v>0</v>
      </c>
      <c r="AI145" s="254">
        <f>Input!H101</f>
        <v>2.7677877273678271</v>
      </c>
      <c r="AJ145" s="254">
        <f>Input!I101</f>
        <v>0</v>
      </c>
      <c r="AK145" s="254">
        <f>Input!J101</f>
        <v>0</v>
      </c>
      <c r="AL145" s="254">
        <f>Input!K101</f>
        <v>1746.5388600973272</v>
      </c>
      <c r="AM145" s="254">
        <f>Input!L101</f>
        <v>1319.8280820573179</v>
      </c>
    </row>
    <row r="146" spans="1:39" x14ac:dyDescent="0.2">
      <c r="A146" s="175"/>
      <c r="T146" s="168" t="s">
        <v>70</v>
      </c>
      <c r="U146" s="102" t="s">
        <v>69</v>
      </c>
      <c r="AC146" s="199" t="s">
        <v>66</v>
      </c>
      <c r="AD146" s="254">
        <f>Input!C102</f>
        <v>3751.3040728766514</v>
      </c>
      <c r="AE146" s="254">
        <f>Input!D102</f>
        <v>21.784108904141615</v>
      </c>
      <c r="AF146" s="254">
        <f>Input!E102</f>
        <v>71.932475553703355</v>
      </c>
      <c r="AG146" s="254">
        <f>Input!F102</f>
        <v>0</v>
      </c>
      <c r="AH146" s="254">
        <f>Input!G102</f>
        <v>0</v>
      </c>
      <c r="AI146" s="254">
        <f>Input!H102</f>
        <v>2.7927977458462694</v>
      </c>
      <c r="AJ146" s="254">
        <f>Input!I102</f>
        <v>0</v>
      </c>
      <c r="AK146" s="254">
        <f>Input!J102</f>
        <v>0</v>
      </c>
      <c r="AL146" s="254">
        <f>Input!K102</f>
        <v>1809.0281072935859</v>
      </c>
      <c r="AM146" s="254">
        <f>Input!L102</f>
        <v>1349.5730936626032</v>
      </c>
    </row>
    <row r="147" spans="1:39" x14ac:dyDescent="0.2">
      <c r="A147" s="255"/>
      <c r="B147" s="102" t="s">
        <v>163</v>
      </c>
      <c r="C147" s="256">
        <f>ROUND(AD145*$AD$148*$AD$149,1)</f>
        <v>4541.1000000000004</v>
      </c>
      <c r="D147" s="256">
        <f t="shared" ref="D147:K147" si="47">ROUND(AE145*$AD$148*$AD$149,1)</f>
        <v>26.1</v>
      </c>
      <c r="E147" s="256">
        <f t="shared" si="47"/>
        <v>86</v>
      </c>
      <c r="F147" s="256">
        <f t="shared" si="47"/>
        <v>0</v>
      </c>
      <c r="G147" s="256">
        <f t="shared" si="47"/>
        <v>0</v>
      </c>
      <c r="H147" s="256">
        <f t="shared" si="47"/>
        <v>3.3</v>
      </c>
      <c r="I147" s="256">
        <f t="shared" si="47"/>
        <v>0</v>
      </c>
      <c r="J147" s="256">
        <f t="shared" si="47"/>
        <v>0</v>
      </c>
      <c r="K147" s="256">
        <f t="shared" si="47"/>
        <v>2083.3000000000002</v>
      </c>
      <c r="L147" s="256">
        <f>ROUND(AM145*$AD$148*$AD$149*(1-AE45),1)</f>
        <v>1025.9000000000001</v>
      </c>
      <c r="M147" s="257"/>
      <c r="R147" s="258">
        <f>Input!C108</f>
        <v>2017</v>
      </c>
      <c r="S147" s="253" t="s">
        <v>164</v>
      </c>
      <c r="T147" s="258">
        <f>Input!D108</f>
        <v>28</v>
      </c>
      <c r="U147" s="259">
        <f>Input!E108</f>
        <v>91224.18</v>
      </c>
      <c r="V147" s="260">
        <f>U147/$T$150*T147</f>
        <v>30050.318117647053</v>
      </c>
    </row>
    <row r="148" spans="1:39" x14ac:dyDescent="0.2">
      <c r="A148" s="102"/>
      <c r="C148" s="261"/>
      <c r="D148" s="168"/>
      <c r="E148" s="168"/>
      <c r="F148" s="168"/>
      <c r="G148" s="168"/>
      <c r="H148" s="168"/>
      <c r="I148" s="168"/>
      <c r="J148" s="168"/>
      <c r="K148" s="168"/>
      <c r="L148" s="168"/>
      <c r="R148" s="258">
        <f>Input!C109</f>
        <v>2018</v>
      </c>
      <c r="S148" s="253" t="s">
        <v>164</v>
      </c>
      <c r="T148" s="258">
        <f>Input!D109</f>
        <v>29</v>
      </c>
      <c r="U148" s="259">
        <f>Input!E109</f>
        <v>101197</v>
      </c>
      <c r="V148" s="260">
        <f>U148/$T$150*T148</f>
        <v>34526.035294117646</v>
      </c>
      <c r="AC148" s="199" t="s">
        <v>67</v>
      </c>
      <c r="AD148" s="262">
        <f>Input!C104</f>
        <v>1.0938508154268132</v>
      </c>
    </row>
    <row r="149" spans="1:39" x14ac:dyDescent="0.2">
      <c r="A149" s="255"/>
      <c r="B149" s="102" t="s">
        <v>165</v>
      </c>
      <c r="C149" s="256">
        <f>ROUND(AD146,1)</f>
        <v>3751.3</v>
      </c>
      <c r="D149" s="256">
        <f t="shared" ref="D149:K149" si="48">ROUND(AE146,1)</f>
        <v>21.8</v>
      </c>
      <c r="E149" s="256">
        <f t="shared" si="48"/>
        <v>71.900000000000006</v>
      </c>
      <c r="F149" s="256">
        <f t="shared" si="48"/>
        <v>0</v>
      </c>
      <c r="G149" s="256">
        <f t="shared" si="48"/>
        <v>0</v>
      </c>
      <c r="H149" s="256">
        <f t="shared" si="48"/>
        <v>2.8</v>
      </c>
      <c r="I149" s="256">
        <f t="shared" si="48"/>
        <v>0</v>
      </c>
      <c r="J149" s="256">
        <f t="shared" si="48"/>
        <v>0</v>
      </c>
      <c r="K149" s="256">
        <f t="shared" si="48"/>
        <v>1809</v>
      </c>
      <c r="L149" s="256">
        <f>ROUND(AM146*(1-AF45),1)</f>
        <v>879.4</v>
      </c>
      <c r="M149" s="257"/>
      <c r="R149" s="258">
        <f>Input!C110</f>
        <v>2019</v>
      </c>
      <c r="S149" s="253" t="s">
        <v>164</v>
      </c>
      <c r="T149" s="258">
        <f>Input!D110</f>
        <v>28</v>
      </c>
      <c r="U149" s="259">
        <f>Input!E110</f>
        <v>101197</v>
      </c>
      <c r="V149" s="263">
        <f>U149/$T$150*T149</f>
        <v>33335.482352941173</v>
      </c>
      <c r="X149" s="102" t="str">
        <f>+Input!B105</f>
        <v>PJM June 1, 2018 (through May 31, 2019) Forecast Pool Requirement</v>
      </c>
      <c r="AD149" s="262">
        <f>Input!C105</f>
        <v>1.0905</v>
      </c>
    </row>
    <row r="150" spans="1:39" x14ac:dyDescent="0.2">
      <c r="A150" s="102"/>
      <c r="C150" s="254"/>
      <c r="D150" s="254"/>
      <c r="E150" s="254"/>
      <c r="F150" s="254"/>
      <c r="G150" s="254"/>
      <c r="H150" s="254"/>
      <c r="I150" s="254"/>
      <c r="J150" s="254"/>
      <c r="K150" s="254"/>
      <c r="M150" s="254"/>
      <c r="T150" s="102">
        <f>SUM(T147:T149)</f>
        <v>85</v>
      </c>
      <c r="V150" s="260">
        <f>ROUND(SUM(V147:V149),2)</f>
        <v>97911.84</v>
      </c>
    </row>
    <row r="151" spans="1:39" x14ac:dyDescent="0.2">
      <c r="A151" s="175"/>
      <c r="B151" s="102" t="s">
        <v>166</v>
      </c>
      <c r="I151" s="254"/>
      <c r="K151" s="167"/>
      <c r="M151" s="254"/>
    </row>
    <row r="152" spans="1:39" x14ac:dyDescent="0.2">
      <c r="A152" s="175"/>
      <c r="D152" s="199" t="s">
        <v>167</v>
      </c>
      <c r="E152" s="264">
        <v>122</v>
      </c>
      <c r="G152" s="199" t="s">
        <v>168</v>
      </c>
      <c r="H152" s="168">
        <v>4</v>
      </c>
      <c r="I152" s="254"/>
      <c r="M152" s="254"/>
    </row>
    <row r="153" spans="1:39" x14ac:dyDescent="0.2">
      <c r="A153" s="175"/>
      <c r="D153" s="265" t="s">
        <v>169</v>
      </c>
      <c r="E153" s="266">
        <v>243</v>
      </c>
      <c r="G153" s="265" t="s">
        <v>170</v>
      </c>
      <c r="H153" s="168">
        <v>8</v>
      </c>
      <c r="I153" s="254"/>
      <c r="K153" s="267"/>
      <c r="L153" s="267"/>
      <c r="M153" s="254"/>
    </row>
    <row r="154" spans="1:39" x14ac:dyDescent="0.2">
      <c r="A154" s="175"/>
      <c r="G154" s="199" t="s">
        <v>171</v>
      </c>
      <c r="H154" s="102">
        <f>+H152+H153</f>
        <v>12</v>
      </c>
      <c r="I154" s="254"/>
      <c r="J154" s="268"/>
      <c r="K154" s="267"/>
      <c r="L154" s="267"/>
      <c r="M154" s="254"/>
    </row>
    <row r="155" spans="1:39" x14ac:dyDescent="0.2">
      <c r="A155" s="175"/>
      <c r="B155" s="168" t="s">
        <v>172</v>
      </c>
      <c r="C155" s="199" t="s">
        <v>173</v>
      </c>
      <c r="D155" s="269">
        <f>V150</f>
        <v>97911.84</v>
      </c>
      <c r="E155" s="236" t="s">
        <v>174</v>
      </c>
      <c r="K155" s="270"/>
      <c r="L155" s="271"/>
    </row>
    <row r="156" spans="1:39" x14ac:dyDescent="0.2">
      <c r="A156" s="175"/>
      <c r="B156" s="168"/>
      <c r="C156" s="199"/>
      <c r="D156" s="269"/>
      <c r="E156" s="236"/>
      <c r="K156" s="270"/>
      <c r="L156" s="271"/>
    </row>
    <row r="157" spans="1:39" ht="25.5" x14ac:dyDescent="0.2">
      <c r="A157" s="175"/>
      <c r="B157" s="168"/>
      <c r="D157" s="272" t="s">
        <v>71</v>
      </c>
      <c r="E157" s="102" t="s">
        <v>175</v>
      </c>
      <c r="I157" s="273"/>
      <c r="K157" s="270"/>
      <c r="L157" s="271"/>
    </row>
    <row r="158" spans="1:39" x14ac:dyDescent="0.2">
      <c r="A158" s="175"/>
      <c r="B158" s="168" t="s">
        <v>72</v>
      </c>
      <c r="C158" s="199" t="s">
        <v>73</v>
      </c>
      <c r="D158" s="273">
        <f>Input!E113</f>
        <v>158.09396162228384</v>
      </c>
      <c r="E158" s="274">
        <f>SUM(D158:D158)</f>
        <v>158.09396162228384</v>
      </c>
      <c r="F158" s="236" t="s">
        <v>74</v>
      </c>
      <c r="K158" s="275"/>
    </row>
    <row r="159" spans="1:39" x14ac:dyDescent="0.2">
      <c r="A159" s="175"/>
      <c r="C159" s="199" t="s">
        <v>75</v>
      </c>
      <c r="D159" s="273">
        <f>Input!E114</f>
        <v>158.09396162228384</v>
      </c>
      <c r="E159" s="274">
        <f>SUM(D159:D159)</f>
        <v>158.09396162228384</v>
      </c>
      <c r="F159" s="236" t="s">
        <v>74</v>
      </c>
      <c r="Q159" s="199" t="s">
        <v>176</v>
      </c>
    </row>
    <row r="160" spans="1:39" x14ac:dyDescent="0.2">
      <c r="A160" s="175"/>
      <c r="E160" s="276"/>
      <c r="F160" s="168"/>
      <c r="G160" s="168"/>
      <c r="H160" s="168"/>
      <c r="I160" s="168"/>
      <c r="J160" s="168"/>
      <c r="P160" s="199" t="s">
        <v>177</v>
      </c>
      <c r="Q160" s="277">
        <f>(E158*E152+E159*E153)/1000</f>
        <v>57.704295992133602</v>
      </c>
      <c r="R160" s="102" t="s">
        <v>178</v>
      </c>
    </row>
    <row r="161" spans="1:18" x14ac:dyDescent="0.2">
      <c r="A161" s="172"/>
      <c r="C161" s="167" t="str">
        <f>+C7</f>
        <v>RS</v>
      </c>
      <c r="D161" s="167" t="str">
        <f>+D7</f>
        <v>RHS</v>
      </c>
      <c r="F161" s="168"/>
      <c r="G161" s="168"/>
      <c r="H161" s="168"/>
      <c r="I161" s="168"/>
      <c r="J161" s="253"/>
    </row>
    <row r="162" spans="1:18" x14ac:dyDescent="0.2">
      <c r="A162" s="172"/>
      <c r="B162" s="278" t="s">
        <v>179</v>
      </c>
      <c r="C162" s="278"/>
      <c r="D162" s="278"/>
      <c r="F162" s="168"/>
      <c r="G162" s="168"/>
      <c r="H162" s="168"/>
      <c r="I162" s="168"/>
      <c r="J162" s="253"/>
      <c r="K162" s="243"/>
    </row>
    <row r="163" spans="1:18" x14ac:dyDescent="0.2">
      <c r="A163" s="172"/>
      <c r="B163" s="253" t="s">
        <v>180</v>
      </c>
      <c r="C163" s="206">
        <f>ROUND(Q165/Q167,3)</f>
        <v>0.64700000000000002</v>
      </c>
      <c r="D163" s="206">
        <f>ROUND(R165/R167,3)</f>
        <v>0.63300000000000001</v>
      </c>
      <c r="F163" s="171" t="s">
        <v>181</v>
      </c>
      <c r="G163" s="279"/>
      <c r="H163" s="280"/>
      <c r="I163" s="280"/>
      <c r="J163" s="253"/>
      <c r="K163" s="243"/>
      <c r="P163" s="214" t="s">
        <v>182</v>
      </c>
      <c r="Q163" s="214"/>
      <c r="R163" s="214"/>
    </row>
    <row r="164" spans="1:18" x14ac:dyDescent="0.2">
      <c r="A164" s="172"/>
      <c r="B164" s="253" t="s">
        <v>183</v>
      </c>
      <c r="C164" s="206">
        <f>1-C163</f>
        <v>0.35299999999999998</v>
      </c>
      <c r="D164" s="206">
        <f>1-D163</f>
        <v>0.36699999999999999</v>
      </c>
      <c r="F164" s="168"/>
      <c r="H164" s="168"/>
      <c r="I164" s="168"/>
      <c r="J164" s="253"/>
      <c r="K164" s="243"/>
      <c r="N164" s="258"/>
      <c r="Q164" s="102" t="s">
        <v>8</v>
      </c>
      <c r="R164" s="102" t="s">
        <v>9</v>
      </c>
    </row>
    <row r="165" spans="1:18" x14ac:dyDescent="0.2">
      <c r="A165" s="172"/>
      <c r="F165" s="168"/>
      <c r="H165" s="168"/>
      <c r="I165" s="168"/>
      <c r="J165" s="253"/>
      <c r="K165" s="243"/>
      <c r="P165" s="102" t="s">
        <v>184</v>
      </c>
      <c r="Q165" s="281">
        <v>3626859</v>
      </c>
      <c r="R165" s="281">
        <v>27006</v>
      </c>
    </row>
    <row r="166" spans="1:18" x14ac:dyDescent="0.2">
      <c r="A166" s="172"/>
      <c r="B166" s="253" t="s">
        <v>76</v>
      </c>
      <c r="C166" s="216">
        <f>Input!C119</f>
        <v>0.86519999999999975</v>
      </c>
      <c r="D166" s="216">
        <f>Input!D119</f>
        <v>1.1569000000000003</v>
      </c>
      <c r="E166" s="168" t="s">
        <v>77</v>
      </c>
      <c r="F166" s="178" t="s">
        <v>78</v>
      </c>
      <c r="I166" s="168"/>
      <c r="J166" s="253"/>
      <c r="K166" s="243"/>
      <c r="P166" s="102" t="s">
        <v>185</v>
      </c>
      <c r="Q166" s="282">
        <v>1975894</v>
      </c>
      <c r="R166" s="282">
        <v>15667</v>
      </c>
    </row>
    <row r="167" spans="1:18" x14ac:dyDescent="0.2">
      <c r="A167" s="172"/>
      <c r="F167" s="168"/>
      <c r="H167" s="168"/>
      <c r="I167" s="168"/>
      <c r="J167" s="253"/>
      <c r="K167" s="243"/>
      <c r="P167" s="102" t="s">
        <v>186</v>
      </c>
      <c r="Q167" s="281">
        <f>SUM(Q165:Q166)</f>
        <v>5602753</v>
      </c>
      <c r="R167" s="281">
        <f>SUM(R165:R166)</f>
        <v>42673</v>
      </c>
    </row>
    <row r="168" spans="1:18" x14ac:dyDescent="0.2">
      <c r="A168" s="172" t="s">
        <v>79</v>
      </c>
      <c r="B168" s="10" t="s">
        <v>80</v>
      </c>
      <c r="F168" s="168"/>
      <c r="H168" s="168"/>
      <c r="I168" s="168"/>
      <c r="J168" s="253"/>
      <c r="K168" s="243"/>
      <c r="Q168" s="281"/>
      <c r="R168" s="281"/>
    </row>
    <row r="169" spans="1:18" x14ac:dyDescent="0.2">
      <c r="A169" s="102"/>
      <c r="B169" s="283" t="s">
        <v>81</v>
      </c>
      <c r="C169" s="168"/>
      <c r="D169" s="267">
        <f>+Input!D123</f>
        <v>2</v>
      </c>
      <c r="E169" s="168"/>
      <c r="F169" s="168"/>
      <c r="G169" s="168"/>
      <c r="H169" s="168"/>
      <c r="I169" s="168"/>
      <c r="J169" s="168"/>
    </row>
    <row r="170" spans="1:18" x14ac:dyDescent="0.2">
      <c r="A170" s="172"/>
      <c r="B170" s="283" t="s">
        <v>83</v>
      </c>
      <c r="D170" s="267">
        <f>+Input!D124</f>
        <v>19.169999999999998</v>
      </c>
      <c r="I170" s="168"/>
      <c r="J170" s="168"/>
    </row>
    <row r="171" spans="1:18" x14ac:dyDescent="0.2">
      <c r="A171" s="175"/>
      <c r="B171" s="283" t="s">
        <v>187</v>
      </c>
      <c r="D171" s="284">
        <f>SUM(D169:D170)</f>
        <v>21.169999999999998</v>
      </c>
      <c r="E171" s="236" t="s">
        <v>82</v>
      </c>
    </row>
    <row r="172" spans="1:18" x14ac:dyDescent="0.2">
      <c r="A172" s="175"/>
      <c r="B172" s="171"/>
      <c r="F172" s="236"/>
    </row>
    <row r="173" spans="1:18" x14ac:dyDescent="0.2">
      <c r="A173" s="175"/>
      <c r="B173" s="170"/>
      <c r="E173" s="285"/>
      <c r="F173" s="236"/>
    </row>
    <row r="174" spans="1:18" x14ac:dyDescent="0.2">
      <c r="A174" s="172" t="s">
        <v>188</v>
      </c>
      <c r="B174" s="170" t="s">
        <v>189</v>
      </c>
    </row>
    <row r="175" spans="1:18" x14ac:dyDescent="0.2">
      <c r="A175" s="172"/>
      <c r="B175" s="170"/>
    </row>
    <row r="176" spans="1:18" x14ac:dyDescent="0.2">
      <c r="A176" s="172"/>
      <c r="B176" s="170"/>
      <c r="C176" s="167" t="str">
        <f t="shared" ref="C176:J176" si="49">+C7</f>
        <v>RS</v>
      </c>
      <c r="D176" s="167" t="str">
        <f t="shared" si="49"/>
        <v>RHS</v>
      </c>
      <c r="E176" s="167" t="str">
        <f t="shared" si="49"/>
        <v>RLM</v>
      </c>
      <c r="F176" s="167" t="str">
        <f t="shared" si="49"/>
        <v>WH</v>
      </c>
      <c r="G176" s="167" t="str">
        <f t="shared" si="49"/>
        <v>WHS</v>
      </c>
      <c r="H176" s="167" t="str">
        <f t="shared" si="49"/>
        <v>HS</v>
      </c>
      <c r="I176" s="167" t="str">
        <f t="shared" si="49"/>
        <v>PSAL</v>
      </c>
      <c r="J176" s="167" t="str">
        <f t="shared" si="49"/>
        <v>BPL</v>
      </c>
    </row>
    <row r="177" spans="1:13" x14ac:dyDescent="0.2">
      <c r="A177" s="172"/>
      <c r="B177" s="170"/>
    </row>
    <row r="178" spans="1:13" x14ac:dyDescent="0.2">
      <c r="A178" s="175"/>
      <c r="B178" s="199" t="s">
        <v>190</v>
      </c>
      <c r="C178" s="277">
        <f>(+$D$155*C149*$H$154/12)/C57</f>
        <v>30.159123881588954</v>
      </c>
      <c r="D178" s="277">
        <f>(+$D$155*D149*$H$154/12)/D57</f>
        <v>18.6422627616708</v>
      </c>
      <c r="E178" s="277">
        <f>(+$D$155*E149*$H$154/12)/SUMPRODUCT(E27:E38,E45:E56)</f>
        <v>74.150357907058591</v>
      </c>
      <c r="F178" s="277">
        <f>(+$D$155*F149*$H$154/12)/F57</f>
        <v>0</v>
      </c>
      <c r="G178" s="277">
        <f>(+$D$155*G149*$H$154/12)/G57</f>
        <v>0</v>
      </c>
      <c r="H178" s="277">
        <f>(+$D$155*H149*$H$154/12)/H57</f>
        <v>22.05692090009148</v>
      </c>
      <c r="I178" s="277">
        <f>(+$D$155*I149*$H$154/12)/I57</f>
        <v>0</v>
      </c>
      <c r="J178" s="277">
        <f>(+$D$155*J149*$H$154/12)/J57</f>
        <v>0</v>
      </c>
      <c r="K178" s="277"/>
      <c r="L178" s="277"/>
      <c r="M178" s="277"/>
    </row>
    <row r="179" spans="1:13" x14ac:dyDescent="0.2">
      <c r="A179" s="175"/>
      <c r="B179" s="199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</row>
    <row r="180" spans="1:13" x14ac:dyDescent="0.2">
      <c r="A180" s="175"/>
      <c r="B180" s="199" t="s">
        <v>191</v>
      </c>
      <c r="K180" s="277"/>
      <c r="L180" s="277"/>
      <c r="M180" s="277"/>
    </row>
    <row r="181" spans="1:13" x14ac:dyDescent="0.2">
      <c r="A181" s="172"/>
      <c r="B181" s="253" t="s">
        <v>192</v>
      </c>
      <c r="C181" s="241">
        <f>((+$Q$160*C147*1000)/C57)</f>
        <v>21.516465157045793</v>
      </c>
      <c r="D181" s="241">
        <f>((+$Q$160*D147*1000)/D57)</f>
        <v>13.153931429147113</v>
      </c>
      <c r="E181" s="241">
        <f>(+$Q$160*E147*1000)/SUMPRODUCT(E45:E56,E27:E38)</f>
        <v>52.270390818630915</v>
      </c>
      <c r="F181" s="241">
        <f>((+$Q$160*F147*1000)/F57)</f>
        <v>0</v>
      </c>
      <c r="G181" s="241">
        <f>((+$Q$160*G147*1000)/G57)</f>
        <v>0</v>
      </c>
      <c r="H181" s="241">
        <f>((+$Q$160*H147*1000)/H57)</f>
        <v>15.320527865278956</v>
      </c>
      <c r="I181" s="241">
        <f>((+$Q$160*I147*1000)/I57)</f>
        <v>0</v>
      </c>
      <c r="J181" s="241">
        <f>((+$Q$160*J147*1000)/J57)</f>
        <v>0</v>
      </c>
      <c r="K181" s="277"/>
      <c r="L181" s="277"/>
      <c r="M181" s="277"/>
    </row>
    <row r="182" spans="1:13" x14ac:dyDescent="0.2">
      <c r="A182" s="175"/>
      <c r="B182" s="199" t="s">
        <v>193</v>
      </c>
      <c r="C182" s="286">
        <f>(C147*$E$158*$E$152)/SUM(C50:C53)</f>
        <v>16.379201163492151</v>
      </c>
      <c r="D182" s="286">
        <f>(D147*$E$158*$E$152)/SUM(D50:D53)</f>
        <v>18.544873776857756</v>
      </c>
      <c r="E182" s="286">
        <f>(E147*$E$158*$E$152)/SUMPRODUCT(E50:E53,E32:E35)</f>
        <v>36.842727159366248</v>
      </c>
      <c r="F182" s="286">
        <f>(F147*$E$158*$E$152)/SUM(F50:F53)</f>
        <v>0</v>
      </c>
      <c r="G182" s="286">
        <f>(G147*$E$158*$E$152)/SUM(G50:G53)</f>
        <v>0</v>
      </c>
      <c r="H182" s="286">
        <f>(H147*$E$158*$E$152)/SUM(H50:H53)</f>
        <v>23.305052930225997</v>
      </c>
      <c r="I182" s="286">
        <f>(I147*$E$158*$E$152)/SUM(I50:I53)</f>
        <v>0</v>
      </c>
      <c r="J182" s="286">
        <f>(J147*$E$158*$E$152)/SUM(J50:J53)</f>
        <v>0</v>
      </c>
      <c r="K182" s="277"/>
      <c r="L182" s="277"/>
      <c r="M182" s="277"/>
    </row>
    <row r="183" spans="1:13" x14ac:dyDescent="0.2">
      <c r="A183" s="175"/>
      <c r="B183" s="199" t="s">
        <v>194</v>
      </c>
      <c r="C183" s="277">
        <f>(C147*$E$159*$E$153)/SUM(C45:C49,C54:C56)</f>
        <v>25.537865596809844</v>
      </c>
      <c r="D183" s="277">
        <f>(D147*$E$159*$E$153)/SUM(D45:D49,D54:D56)</f>
        <v>11.478658744263909</v>
      </c>
      <c r="E183" s="277">
        <f>(E147*$E$159*$E$153)/(SUMPRODUCT(E45:E49,E27:E31)+SUMPRODUCT(E54:E56,E36:E38))</f>
        <v>66.184614997844122</v>
      </c>
      <c r="F183" s="277">
        <f>(F147*$E$159*$E$153)/SUM(F45:F49,F54:F56)</f>
        <v>0</v>
      </c>
      <c r="G183" s="277">
        <f>(G147*$E$159*$E$153)/SUM(G45:G49,G54:G56)</f>
        <v>0</v>
      </c>
      <c r="H183" s="277">
        <f>(H147*$E$159*$E$153)/SUM(H45:H49,H54:H56)</f>
        <v>13.072016269001942</v>
      </c>
      <c r="I183" s="277">
        <f>(I147*$E$159*$E$153)/SUM(I45:I49,I54:I56)</f>
        <v>0</v>
      </c>
      <c r="J183" s="277">
        <f>(J147*$E$159*$E$153)/SUM(J45:J49,J54:J56)</f>
        <v>0</v>
      </c>
      <c r="K183" s="277"/>
      <c r="L183" s="277"/>
      <c r="M183" s="277"/>
    </row>
    <row r="184" spans="1:13" x14ac:dyDescent="0.2">
      <c r="A184" s="175"/>
      <c r="E184" s="287" t="s">
        <v>195</v>
      </c>
      <c r="F184" s="277"/>
      <c r="G184" s="277"/>
      <c r="H184" s="277"/>
      <c r="K184" s="277"/>
      <c r="L184" s="277"/>
      <c r="M184" s="277"/>
    </row>
    <row r="185" spans="1:13" x14ac:dyDescent="0.2">
      <c r="A185" s="175"/>
      <c r="E185" s="287" t="s">
        <v>196</v>
      </c>
      <c r="F185" s="277"/>
      <c r="G185" s="277"/>
      <c r="H185" s="277"/>
      <c r="K185" s="277"/>
      <c r="L185" s="277"/>
      <c r="M185" s="277"/>
    </row>
    <row r="186" spans="1:13" x14ac:dyDescent="0.2">
      <c r="A186" s="175"/>
    </row>
    <row r="187" spans="1:13" x14ac:dyDescent="0.2">
      <c r="A187" s="172" t="s">
        <v>197</v>
      </c>
      <c r="B187" s="170" t="s">
        <v>198</v>
      </c>
    </row>
    <row r="188" spans="1:13" x14ac:dyDescent="0.2">
      <c r="A188" s="175"/>
      <c r="B188" s="170"/>
      <c r="K188" s="288"/>
    </row>
    <row r="189" spans="1:13" x14ac:dyDescent="0.2">
      <c r="A189" s="175"/>
      <c r="B189" s="170" t="s">
        <v>199</v>
      </c>
    </row>
    <row r="190" spans="1:13" x14ac:dyDescent="0.2">
      <c r="A190" s="175"/>
      <c r="B190" s="171" t="s">
        <v>200</v>
      </c>
    </row>
    <row r="191" spans="1:13" x14ac:dyDescent="0.2">
      <c r="A191" s="175"/>
      <c r="B191" s="171" t="s">
        <v>135</v>
      </c>
    </row>
    <row r="192" spans="1:13" x14ac:dyDescent="0.2">
      <c r="A192" s="175"/>
      <c r="C192" s="167" t="str">
        <f t="shared" ref="C192:J192" si="50">+C7</f>
        <v>RS</v>
      </c>
      <c r="D192" s="167" t="str">
        <f t="shared" si="50"/>
        <v>RHS</v>
      </c>
      <c r="E192" s="167" t="str">
        <f t="shared" si="50"/>
        <v>RLM</v>
      </c>
      <c r="F192" s="167" t="str">
        <f t="shared" si="50"/>
        <v>WH</v>
      </c>
      <c r="G192" s="167" t="str">
        <f t="shared" si="50"/>
        <v>WHS</v>
      </c>
      <c r="H192" s="167" t="str">
        <f t="shared" si="50"/>
        <v>HS</v>
      </c>
      <c r="I192" s="167" t="str">
        <f t="shared" si="50"/>
        <v>PSAL</v>
      </c>
      <c r="J192" s="167" t="str">
        <f t="shared" si="50"/>
        <v>BPL</v>
      </c>
    </row>
    <row r="193" spans="1:11" x14ac:dyDescent="0.2">
      <c r="A193" s="175"/>
      <c r="C193" s="167"/>
      <c r="D193" s="167"/>
      <c r="E193" s="241"/>
      <c r="F193" s="167"/>
      <c r="G193" s="167"/>
    </row>
    <row r="194" spans="1:11" x14ac:dyDescent="0.2">
      <c r="A194" s="175"/>
      <c r="B194" s="181" t="s">
        <v>136</v>
      </c>
      <c r="C194" s="241">
        <f>+C130+($D$171*C80)+C$178+C181</f>
        <v>103.24259670781169</v>
      </c>
      <c r="D194" s="241">
        <f>+D130+($D$171*D80)+D$178+D181</f>
        <v>83.359607768778673</v>
      </c>
      <c r="E194" s="241"/>
      <c r="F194" s="241">
        <f>+F130+($D$171*F80)+F$178+F181</f>
        <v>50.97931464727057</v>
      </c>
      <c r="G194" s="241">
        <f>+G130+($D$171*G80)+G$178+G181</f>
        <v>50.693333017281269</v>
      </c>
      <c r="H194" s="241">
        <f>+H130+($D$171*H80)+H$178+H181</f>
        <v>90.259406973236182</v>
      </c>
      <c r="I194" s="241">
        <f>+I130+($D$171*I80)+I$178+I181</f>
        <v>46.852756971049629</v>
      </c>
      <c r="J194" s="241">
        <f>+J130+($D$171*J80)+J$178+J181</f>
        <v>46.796682537687744</v>
      </c>
      <c r="K194" s="241"/>
    </row>
    <row r="195" spans="1:11" x14ac:dyDescent="0.2">
      <c r="A195" s="175"/>
      <c r="B195" s="242" t="s">
        <v>156</v>
      </c>
      <c r="C195" s="241"/>
      <c r="D195" s="241"/>
      <c r="E195" s="241">
        <f>+E131+($D$171*E80)+E$178+E181</f>
        <v>185.76543042387198</v>
      </c>
      <c r="F195" s="241"/>
      <c r="G195" s="241"/>
      <c r="H195" s="241"/>
      <c r="I195" s="241"/>
      <c r="J195" s="241"/>
    </row>
    <row r="196" spans="1:11" x14ac:dyDescent="0.2">
      <c r="A196" s="175"/>
      <c r="B196" s="242" t="s">
        <v>157</v>
      </c>
      <c r="C196" s="241"/>
      <c r="D196" s="241"/>
      <c r="E196" s="241">
        <f>+E132+($D$171*E80)</f>
        <v>44.897126771551598</v>
      </c>
      <c r="F196" s="241"/>
      <c r="G196" s="241"/>
      <c r="H196" s="241"/>
      <c r="I196" s="241"/>
      <c r="J196" s="241"/>
    </row>
    <row r="197" spans="1:11" x14ac:dyDescent="0.2">
      <c r="A197" s="175"/>
      <c r="B197" s="253" t="s">
        <v>180</v>
      </c>
      <c r="C197" s="241">
        <f>(C194*SUM(C50:C53)-C166*10*C164*SUM(C50:C53))/SUM(C50:C53)</f>
        <v>100.18844070781168</v>
      </c>
      <c r="D197" s="241">
        <f>(D194*SUM(D50:D53)-D166*10*D164*SUM(D50:D53))/SUM(D50:D53)</f>
        <v>79.113784768778672</v>
      </c>
      <c r="E197" s="241"/>
      <c r="F197" s="241"/>
      <c r="G197" s="241"/>
      <c r="H197" s="241"/>
      <c r="I197" s="241"/>
      <c r="J197" s="241"/>
    </row>
    <row r="198" spans="1:11" x14ac:dyDescent="0.2">
      <c r="A198" s="175"/>
      <c r="B198" s="253" t="s">
        <v>201</v>
      </c>
      <c r="C198" s="241">
        <f>+C197+C166*10</f>
        <v>108.84044070781168</v>
      </c>
      <c r="D198" s="241">
        <f>+D197+D166*10</f>
        <v>90.682784768778674</v>
      </c>
      <c r="E198" s="241"/>
      <c r="F198" s="241"/>
      <c r="G198" s="241"/>
      <c r="H198" s="241"/>
      <c r="I198" s="241"/>
      <c r="J198" s="241"/>
    </row>
    <row r="199" spans="1:11" x14ac:dyDescent="0.2">
      <c r="A199" s="175"/>
      <c r="C199" s="241"/>
      <c r="D199" s="241"/>
      <c r="E199" s="241"/>
      <c r="F199" s="241"/>
      <c r="G199" s="241"/>
      <c r="H199" s="241"/>
      <c r="I199" s="241"/>
      <c r="J199" s="241"/>
    </row>
    <row r="200" spans="1:11" x14ac:dyDescent="0.2">
      <c r="A200" s="175"/>
      <c r="B200" s="181" t="s">
        <v>139</v>
      </c>
      <c r="C200" s="241">
        <f>+C134+($D$171*C80)+C$178+C181</f>
        <v>108.20883207323988</v>
      </c>
      <c r="D200" s="241">
        <f>+D134+($D$171*D80)+D$178+D181</f>
        <v>89.693961042706476</v>
      </c>
      <c r="E200" s="241"/>
      <c r="F200" s="241">
        <f>+F134+($D$171*F80)+F$178+F181</f>
        <v>56.410432252264869</v>
      </c>
      <c r="G200" s="241">
        <f>+G134+($D$171*G80)+G$178+G181</f>
        <v>56.519924649267963</v>
      </c>
      <c r="H200" s="241">
        <f>+H134+($D$171*H80)+H$178+H181</f>
        <v>95.490181782870749</v>
      </c>
      <c r="I200" s="241">
        <f>+I134+($D$171*I80)+I$178+I181</f>
        <v>54.642319792640478</v>
      </c>
      <c r="J200" s="241">
        <f>+J134+($D$171*J80)+J$178+J181</f>
        <v>54.660927740511951</v>
      </c>
      <c r="K200" s="241"/>
    </row>
    <row r="201" spans="1:11" x14ac:dyDescent="0.2">
      <c r="A201" s="175"/>
      <c r="B201" s="242" t="s">
        <v>156</v>
      </c>
      <c r="C201" s="241"/>
      <c r="D201" s="241"/>
      <c r="E201" s="241">
        <f>+E135+($D$171*E80)+E$178+E181</f>
        <v>188.04586395909104</v>
      </c>
      <c r="F201" s="241"/>
      <c r="G201" s="241"/>
      <c r="H201" s="241"/>
      <c r="I201" s="241"/>
      <c r="J201" s="241"/>
    </row>
    <row r="202" spans="1:11" x14ac:dyDescent="0.2">
      <c r="A202" s="175"/>
      <c r="B202" s="242" t="s">
        <v>157</v>
      </c>
      <c r="C202" s="241"/>
      <c r="D202" s="241"/>
      <c r="E202" s="241">
        <f>+E136+($D$171*E80)</f>
        <v>53.038237131727684</v>
      </c>
      <c r="F202" s="241"/>
      <c r="G202" s="241"/>
      <c r="H202" s="241"/>
      <c r="I202" s="241"/>
      <c r="J202" s="241"/>
    </row>
    <row r="203" spans="1:11" x14ac:dyDescent="0.2">
      <c r="A203" s="175"/>
      <c r="C203" s="241"/>
      <c r="D203" s="241"/>
      <c r="E203" s="241"/>
      <c r="F203" s="241"/>
      <c r="G203" s="241"/>
      <c r="H203" s="241"/>
      <c r="I203" s="241"/>
      <c r="J203" s="241"/>
    </row>
    <row r="204" spans="1:11" x14ac:dyDescent="0.2">
      <c r="A204" s="175"/>
      <c r="B204" s="102" t="s">
        <v>202</v>
      </c>
      <c r="C204" s="241">
        <f>+C138+($D$171*C80)+C$178+C181</f>
        <v>106.02824982482244</v>
      </c>
      <c r="D204" s="241">
        <f>+D138+($D$171*D80)+D$178+D181</f>
        <v>88.192199637588786</v>
      </c>
      <c r="E204" s="241">
        <f>((E195*SUMPRODUCT(E32:E35,E50:E53)+E196*SUMPRODUCT(Q32:Q35,E50:E53))+(E201*(SUMPRODUCT(E27:E31,E45:E49)+SUMPRODUCT(E36:E38,E54:E56))+E202*(SUMPRODUCT(Q27:Q31,E45:E49)+SUMPRODUCT(Q36:Q38,E54:E56))))/E57</f>
        <v>111.81646781500062</v>
      </c>
      <c r="F204" s="241">
        <f>+F138+($D$171*F80)+F$178+F181</f>
        <v>54.88869458369571</v>
      </c>
      <c r="G204" s="241">
        <f>+G138+($D$171*G80)+G$178+G181</f>
        <v>54.986611061903041</v>
      </c>
      <c r="H204" s="241">
        <f>+H138+($D$171*H80)+H$178+H181</f>
        <v>94.340820336571568</v>
      </c>
      <c r="I204" s="241">
        <f>+I138+($D$171*I80)+I$178+I181</f>
        <v>52.488954109137332</v>
      </c>
      <c r="J204" s="241">
        <f>+J138+($D$171*J80)+J$178+J181</f>
        <v>52.563815229734232</v>
      </c>
      <c r="K204" s="241"/>
    </row>
    <row r="205" spans="1:11" x14ac:dyDescent="0.2">
      <c r="A205" s="175"/>
      <c r="C205" s="241"/>
      <c r="D205" s="241"/>
      <c r="E205" s="241"/>
      <c r="F205" s="241"/>
      <c r="G205" s="241"/>
      <c r="H205" s="241"/>
      <c r="I205" s="241"/>
      <c r="J205" s="241"/>
      <c r="K205" s="241"/>
    </row>
    <row r="206" spans="1:11" x14ac:dyDescent="0.2">
      <c r="A206" s="175"/>
      <c r="B206" s="170" t="s">
        <v>203</v>
      </c>
    </row>
    <row r="207" spans="1:11" x14ac:dyDescent="0.2">
      <c r="A207" s="175"/>
      <c r="B207" s="171" t="s">
        <v>204</v>
      </c>
    </row>
    <row r="208" spans="1:11" x14ac:dyDescent="0.2">
      <c r="A208" s="175"/>
      <c r="B208" s="171" t="s">
        <v>135</v>
      </c>
    </row>
    <row r="209" spans="1:15" x14ac:dyDescent="0.2">
      <c r="A209" s="175"/>
      <c r="C209" s="167" t="str">
        <f>+K7</f>
        <v>GLP</v>
      </c>
      <c r="D209" s="167" t="str">
        <f>+L7</f>
        <v>LPL-S</v>
      </c>
      <c r="E209" s="167"/>
      <c r="H209" s="170" t="s">
        <v>205</v>
      </c>
      <c r="I209" s="167" t="str">
        <f>+C209</f>
        <v>GLP</v>
      </c>
      <c r="J209" s="167" t="str">
        <f>+D209</f>
        <v>LPL-S</v>
      </c>
    </row>
    <row r="210" spans="1:15" x14ac:dyDescent="0.2">
      <c r="A210" s="175"/>
      <c r="C210" s="167"/>
      <c r="D210" s="167"/>
      <c r="F210" s="170"/>
    </row>
    <row r="211" spans="1:15" x14ac:dyDescent="0.2">
      <c r="A211" s="175"/>
      <c r="B211" s="181" t="s">
        <v>136</v>
      </c>
      <c r="C211" s="241">
        <f>+K130+($D$171*K80)</f>
        <v>52.571753431040889</v>
      </c>
      <c r="D211" s="241">
        <f>+L130+($D$171*L$80)</f>
        <v>52.057423472013753</v>
      </c>
      <c r="E211" s="276"/>
      <c r="H211" s="289" t="s">
        <v>206</v>
      </c>
    </row>
    <row r="212" spans="1:15" x14ac:dyDescent="0.2">
      <c r="A212" s="175"/>
      <c r="B212" s="242" t="s">
        <v>156</v>
      </c>
      <c r="C212" s="241"/>
      <c r="D212" s="241">
        <f>+L131+($D$171*L$80)</f>
        <v>59.08623030595956</v>
      </c>
      <c r="H212" s="199" t="s">
        <v>207</v>
      </c>
      <c r="I212" s="290">
        <f>+$E158*$E152/$H152/1000</f>
        <v>4.8218658294796573</v>
      </c>
      <c r="J212" s="290">
        <f>+$E158*$E152/$H152/1000</f>
        <v>4.8218658294796573</v>
      </c>
      <c r="K212" s="236" t="s">
        <v>208</v>
      </c>
      <c r="O212" s="291"/>
    </row>
    <row r="213" spans="1:15" x14ac:dyDescent="0.2">
      <c r="A213" s="175"/>
      <c r="B213" s="242" t="s">
        <v>157</v>
      </c>
      <c r="C213" s="241"/>
      <c r="D213" s="241">
        <f>+L132+($D$171*L$80)</f>
        <v>44.833721030017387</v>
      </c>
      <c r="H213" s="199" t="s">
        <v>209</v>
      </c>
      <c r="I213" s="290">
        <f>+$E159*$E153/$H153/1000</f>
        <v>4.8021040842768716</v>
      </c>
      <c r="J213" s="290">
        <f>+$E159*$E153/$H153/1000</f>
        <v>4.8021040842768716</v>
      </c>
      <c r="K213" s="236" t="s">
        <v>208</v>
      </c>
    </row>
    <row r="214" spans="1:15" x14ac:dyDescent="0.2">
      <c r="A214" s="175"/>
      <c r="C214" s="241"/>
      <c r="D214" s="241"/>
      <c r="H214" s="199" t="s">
        <v>210</v>
      </c>
      <c r="I214" s="290">
        <f>($E$158*$E$152+$E$159*$E$153)/$H$154/1000</f>
        <v>4.8086913326778005</v>
      </c>
      <c r="J214" s="290">
        <f>($E$158*$E$152+$E$159*$E$153)/$H$154/1000</f>
        <v>4.8086913326778005</v>
      </c>
      <c r="K214" s="236" t="s">
        <v>208</v>
      </c>
    </row>
    <row r="215" spans="1:15" x14ac:dyDescent="0.2">
      <c r="A215" s="175"/>
      <c r="B215" s="181" t="s">
        <v>139</v>
      </c>
      <c r="C215" s="241">
        <f>+K134+($D$171*K80)</f>
        <v>56.945119840444264</v>
      </c>
      <c r="D215" s="241">
        <f>+L134+($D$171*L$80)</f>
        <v>56.661302761642261</v>
      </c>
    </row>
    <row r="216" spans="1:15" x14ac:dyDescent="0.2">
      <c r="A216" s="175"/>
      <c r="B216" s="242" t="s">
        <v>156</v>
      </c>
      <c r="C216" s="241"/>
      <c r="D216" s="241">
        <f>+L135+($D$171*L$80)</f>
        <v>60.887779375539239</v>
      </c>
      <c r="H216" s="289" t="s">
        <v>211</v>
      </c>
      <c r="I216" s="292"/>
      <c r="J216" s="292"/>
      <c r="K216" s="236"/>
    </row>
    <row r="217" spans="1:15" x14ac:dyDescent="0.2">
      <c r="A217" s="175"/>
      <c r="B217" s="242" t="s">
        <v>157</v>
      </c>
      <c r="C217" s="241"/>
      <c r="D217" s="241">
        <f>+L136+($D$171*L$80)</f>
        <v>52.554464028247054</v>
      </c>
      <c r="H217" s="199" t="s">
        <v>212</v>
      </c>
      <c r="I217" s="290">
        <f>+$D155/1000/12</f>
        <v>8.1593199999999992</v>
      </c>
      <c r="J217" s="290">
        <f>+$D155/1000/12</f>
        <v>8.1593199999999992</v>
      </c>
      <c r="K217" s="236" t="s">
        <v>213</v>
      </c>
    </row>
    <row r="218" spans="1:15" x14ac:dyDescent="0.2">
      <c r="A218" s="175"/>
      <c r="B218" s="242"/>
      <c r="C218" s="241"/>
      <c r="D218" s="241"/>
    </row>
    <row r="219" spans="1:15" x14ac:dyDescent="0.2">
      <c r="A219" s="175"/>
      <c r="B219" s="102" t="s">
        <v>214</v>
      </c>
      <c r="C219" s="241">
        <f>+K138+($D$171*K80)</f>
        <v>55.311961568992956</v>
      </c>
      <c r="D219" s="241">
        <f>+L138+($D$171*L$80)</f>
        <v>55.01015253820286</v>
      </c>
    </row>
    <row r="220" spans="1:15" x14ac:dyDescent="0.2">
      <c r="A220" s="175"/>
      <c r="C220" s="241"/>
      <c r="D220" s="241"/>
    </row>
    <row r="221" spans="1:15" x14ac:dyDescent="0.2">
      <c r="A221" s="175"/>
      <c r="B221" s="293" t="s">
        <v>215</v>
      </c>
      <c r="C221" s="241"/>
      <c r="D221" s="241"/>
    </row>
    <row r="222" spans="1:15" x14ac:dyDescent="0.2">
      <c r="A222" s="175"/>
      <c r="B222" s="181" t="s">
        <v>136</v>
      </c>
      <c r="C222" s="241">
        <f>(C211*W49+((I214*$H152)*K147*1000)+(I217*$H152*K149*1000))/W49</f>
        <v>93.875143184663685</v>
      </c>
      <c r="D222" s="241">
        <f>(D211*X49+((J214*$H152)*L147*1000)+(J217*$H152*L149*1000))/X49</f>
        <v>80.423697766647877</v>
      </c>
      <c r="F222" s="102" t="s">
        <v>216</v>
      </c>
    </row>
    <row r="223" spans="1:15" x14ac:dyDescent="0.2">
      <c r="A223" s="175"/>
      <c r="B223" s="242" t="s">
        <v>156</v>
      </c>
      <c r="C223" s="241"/>
      <c r="D223" s="241">
        <f>(D212*X50+((J214*$H152)*L147*1000)+(J217*$H152*L149*1000))/X50</f>
        <v>115.05345635859604</v>
      </c>
    </row>
    <row r="224" spans="1:15" x14ac:dyDescent="0.2">
      <c r="A224" s="175"/>
      <c r="B224" s="242" t="s">
        <v>157</v>
      </c>
      <c r="C224" s="241"/>
      <c r="D224" s="241">
        <f>+D213</f>
        <v>44.833721030017387</v>
      </c>
    </row>
    <row r="225" spans="1:7" x14ac:dyDescent="0.2">
      <c r="A225" s="175"/>
      <c r="C225" s="241"/>
      <c r="D225" s="241"/>
    </row>
    <row r="226" spans="1:7" x14ac:dyDescent="0.2">
      <c r="A226" s="175"/>
      <c r="B226" s="181" t="s">
        <v>139</v>
      </c>
      <c r="C226" s="241">
        <f>(C215*W45+((I214*$H153)*K147*1000)+(I217*$H153*K149*1000))/W45</f>
        <v>106.17858621903814</v>
      </c>
      <c r="D226" s="241">
        <f>(D215*X45+((J214*$H153)*L147*1000)+(J217*$H153*L149*1000))/X45</f>
        <v>88.385839005787574</v>
      </c>
    </row>
    <row r="227" spans="1:7" x14ac:dyDescent="0.2">
      <c r="A227" s="175"/>
      <c r="B227" s="242" t="s">
        <v>156</v>
      </c>
      <c r="C227" s="241"/>
      <c r="D227" s="241">
        <f>(D216*X46+((J214*$H153)*L147*1000)+(J217*$H153*L149*1000))/X46</f>
        <v>125.26103139035656</v>
      </c>
    </row>
    <row r="228" spans="1:7" x14ac:dyDescent="0.2">
      <c r="A228" s="175"/>
      <c r="B228" s="242" t="s">
        <v>157</v>
      </c>
      <c r="C228" s="241"/>
      <c r="D228" s="241">
        <f>+D217</f>
        <v>52.554464028247054</v>
      </c>
    </row>
    <row r="229" spans="1:7" x14ac:dyDescent="0.2">
      <c r="A229" s="175"/>
      <c r="B229" s="242"/>
      <c r="C229" s="241"/>
      <c r="D229" s="241"/>
    </row>
    <row r="230" spans="1:7" x14ac:dyDescent="0.2">
      <c r="A230" s="175"/>
      <c r="B230" s="102" t="s">
        <v>217</v>
      </c>
      <c r="C230" s="241">
        <f>(C219*K57+((I214*$H152+I214*$H153)*K147*1000)+(I217*$H154*K149*1000))/K57</f>
        <v>101.58407757788822</v>
      </c>
      <c r="D230" s="241">
        <f>(D219*L57+((J214*$H152+J214*$H153)*L147*1000)+(J217*$H154*L149*1000))/L57</f>
        <v>85.530270807968378</v>
      </c>
    </row>
    <row r="231" spans="1:7" x14ac:dyDescent="0.2">
      <c r="A231" s="175"/>
      <c r="C231" s="247"/>
      <c r="D231" s="247"/>
    </row>
    <row r="232" spans="1:7" x14ac:dyDescent="0.2">
      <c r="A232" s="175"/>
      <c r="B232" s="170" t="s">
        <v>218</v>
      </c>
      <c r="C232" s="241"/>
      <c r="D232" s="241"/>
    </row>
    <row r="233" spans="1:7" x14ac:dyDescent="0.2">
      <c r="A233" s="175"/>
      <c r="B233" s="199" t="s">
        <v>219</v>
      </c>
      <c r="C233" s="251">
        <f>(+SUMPRODUCT(C204:J204,C57:J57)+SUMPRODUCT(C230:D230,K57:L57))/1000</f>
        <v>2409692.3813987826</v>
      </c>
      <c r="G233" s="246"/>
    </row>
    <row r="234" spans="1:7" x14ac:dyDescent="0.2">
      <c r="A234" s="175"/>
      <c r="C234" s="199" t="s">
        <v>220</v>
      </c>
      <c r="D234" s="277">
        <f>+C233/SUM(C57:L57)*1000</f>
        <v>99.764369101308716</v>
      </c>
      <c r="E234" s="102" t="s">
        <v>221</v>
      </c>
    </row>
    <row r="235" spans="1:7" x14ac:dyDescent="0.2">
      <c r="A235" s="175"/>
      <c r="C235" s="199" t="s">
        <v>222</v>
      </c>
      <c r="D235" s="277">
        <f>+C233/SUMPRODUCT(C57:L57,C85:L85)*1000</f>
        <v>92.784212774298283</v>
      </c>
      <c r="E235" s="102" t="s">
        <v>223</v>
      </c>
    </row>
    <row r="236" spans="1:7" x14ac:dyDescent="0.2">
      <c r="A236" s="175"/>
    </row>
    <row r="237" spans="1:7" x14ac:dyDescent="0.2">
      <c r="A237" s="175"/>
      <c r="E237" s="292"/>
    </row>
    <row r="238" spans="1:7" x14ac:dyDescent="0.2">
      <c r="A238" s="172" t="s">
        <v>224</v>
      </c>
      <c r="B238" s="170" t="s">
        <v>225</v>
      </c>
    </row>
    <row r="239" spans="1:7" x14ac:dyDescent="0.2">
      <c r="A239" s="175"/>
      <c r="B239" s="170"/>
    </row>
    <row r="240" spans="1:7" x14ac:dyDescent="0.2">
      <c r="A240" s="175"/>
      <c r="B240" s="170" t="s">
        <v>199</v>
      </c>
    </row>
    <row r="241" spans="1:13" x14ac:dyDescent="0.2">
      <c r="A241" s="175"/>
      <c r="B241" s="171" t="s">
        <v>200</v>
      </c>
    </row>
    <row r="242" spans="1:13" x14ac:dyDescent="0.2">
      <c r="A242" s="175"/>
      <c r="B242" s="170"/>
    </row>
    <row r="243" spans="1:13" x14ac:dyDescent="0.2">
      <c r="A243" s="175"/>
      <c r="C243" s="167" t="str">
        <f t="shared" ref="C243:J243" si="51">+C7</f>
        <v>RS</v>
      </c>
      <c r="D243" s="167" t="str">
        <f t="shared" si="51"/>
        <v>RHS</v>
      </c>
      <c r="E243" s="167" t="str">
        <f t="shared" si="51"/>
        <v>RLM</v>
      </c>
      <c r="F243" s="167" t="str">
        <f t="shared" si="51"/>
        <v>WH</v>
      </c>
      <c r="G243" s="167" t="str">
        <f t="shared" si="51"/>
        <v>WHS</v>
      </c>
      <c r="H243" s="167" t="str">
        <f t="shared" si="51"/>
        <v>HS</v>
      </c>
      <c r="I243" s="167" t="str">
        <f t="shared" si="51"/>
        <v>PSAL</v>
      </c>
      <c r="J243" s="167" t="str">
        <f t="shared" si="51"/>
        <v>BPL</v>
      </c>
    </row>
    <row r="244" spans="1:13" x14ac:dyDescent="0.2">
      <c r="A244" s="175"/>
      <c r="C244" s="167"/>
      <c r="D244" s="167"/>
      <c r="E244" s="167"/>
      <c r="F244" s="167"/>
      <c r="G244" s="167"/>
    </row>
    <row r="245" spans="1:13" x14ac:dyDescent="0.2">
      <c r="A245" s="175"/>
      <c r="B245" s="181" t="s">
        <v>136</v>
      </c>
      <c r="E245" s="294"/>
      <c r="F245" s="295">
        <f>ROUND(+F194/$D$235,3)</f>
        <v>0.54900000000000004</v>
      </c>
      <c r="G245" s="295">
        <f>ROUND(+G194/$D$235,3)</f>
        <v>0.54600000000000004</v>
      </c>
      <c r="H245" s="295">
        <f>ROUND(+H194/$D$235,3)</f>
        <v>0.97299999999999998</v>
      </c>
      <c r="I245" s="294">
        <f>ROUND(+I194/$D$235,3)</f>
        <v>0.505</v>
      </c>
      <c r="J245" s="294">
        <f>ROUND(+J194/$D$235,3)</f>
        <v>0.504</v>
      </c>
      <c r="K245" s="296"/>
      <c r="L245" s="296"/>
      <c r="M245" s="296"/>
    </row>
    <row r="246" spans="1:13" x14ac:dyDescent="0.2">
      <c r="A246" s="175"/>
      <c r="B246" s="242" t="s">
        <v>156</v>
      </c>
      <c r="C246" s="297"/>
      <c r="D246" s="298"/>
      <c r="E246" s="295">
        <f>ROUND(+E195/$D$235,3)</f>
        <v>2.0019999999999998</v>
      </c>
      <c r="F246" s="294"/>
      <c r="G246" s="294"/>
      <c r="H246" s="294"/>
      <c r="I246" s="168"/>
      <c r="J246" s="299" t="s">
        <v>226</v>
      </c>
      <c r="K246" s="296"/>
      <c r="L246" s="296"/>
      <c r="M246" s="296"/>
    </row>
    <row r="247" spans="1:13" x14ac:dyDescent="0.2">
      <c r="A247" s="175"/>
      <c r="B247" s="242" t="s">
        <v>157</v>
      </c>
      <c r="C247" s="297"/>
      <c r="D247" s="298"/>
      <c r="E247" s="295">
        <f>ROUND(+E196/$D$235,3)</f>
        <v>0.48399999999999999</v>
      </c>
      <c r="F247" s="294"/>
      <c r="G247" s="294"/>
      <c r="H247" s="300"/>
      <c r="I247" s="168"/>
      <c r="J247" s="299" t="s">
        <v>227</v>
      </c>
      <c r="K247" s="301">
        <f>ROUND((I245*U49+J245*V49)/(U49+V49),3)</f>
        <v>0.504</v>
      </c>
      <c r="L247" s="296"/>
      <c r="M247" s="296"/>
    </row>
    <row r="248" spans="1:13" x14ac:dyDescent="0.2">
      <c r="A248" s="175"/>
      <c r="E248" s="297"/>
      <c r="F248" s="298"/>
      <c r="G248" s="298"/>
      <c r="L248" s="296"/>
      <c r="M248" s="296"/>
    </row>
    <row r="249" spans="1:13" x14ac:dyDescent="0.2">
      <c r="A249" s="175"/>
      <c r="B249" s="302" t="s">
        <v>228</v>
      </c>
      <c r="C249" s="295">
        <f>ROUND(+C194/$D$235,3)</f>
        <v>1.113</v>
      </c>
      <c r="D249" s="295">
        <f>ROUND(+D194/$D$235,3)</f>
        <v>0.89800000000000002</v>
      </c>
      <c r="E249" s="297"/>
      <c r="F249" s="298"/>
      <c r="G249" s="298"/>
      <c r="H249" s="298"/>
      <c r="I249" s="298"/>
      <c r="J249" s="298"/>
      <c r="K249" s="296"/>
      <c r="L249" s="296"/>
      <c r="M249" s="296"/>
    </row>
    <row r="250" spans="1:13" x14ac:dyDescent="0.2">
      <c r="A250" s="172"/>
      <c r="B250" s="302" t="s">
        <v>229</v>
      </c>
      <c r="C250" s="303">
        <f>ROUND(+C197-C194,3)</f>
        <v>-3.0539999999999998</v>
      </c>
      <c r="D250" s="303">
        <f>ROUND(D197-D194,3)</f>
        <v>-4.2460000000000004</v>
      </c>
      <c r="E250" s="283" t="s">
        <v>230</v>
      </c>
      <c r="F250" s="298"/>
      <c r="G250" s="298"/>
      <c r="H250" s="298"/>
      <c r="I250" s="298"/>
      <c r="J250" s="298"/>
      <c r="K250" s="296"/>
      <c r="L250" s="296"/>
      <c r="M250" s="296"/>
    </row>
    <row r="251" spans="1:13" x14ac:dyDescent="0.2">
      <c r="A251" s="172"/>
      <c r="B251" s="302" t="s">
        <v>229</v>
      </c>
      <c r="C251" s="303">
        <f>ROUND(+C198-C194,3)</f>
        <v>5.5979999999999999</v>
      </c>
      <c r="D251" s="303">
        <f>ROUND(D198-D194,3)</f>
        <v>7.3230000000000004</v>
      </c>
      <c r="E251" s="283" t="s">
        <v>231</v>
      </c>
      <c r="F251" s="298"/>
      <c r="G251" s="298"/>
      <c r="H251" s="298"/>
      <c r="I251" s="298"/>
      <c r="J251" s="298"/>
      <c r="K251" s="296"/>
      <c r="L251" s="296"/>
      <c r="M251" s="296"/>
    </row>
    <row r="252" spans="1:13" x14ac:dyDescent="0.2">
      <c r="A252" s="175"/>
      <c r="G252" s="298"/>
      <c r="H252" s="298"/>
      <c r="I252" s="298"/>
      <c r="J252" s="298"/>
      <c r="K252" s="296"/>
      <c r="L252" s="296"/>
      <c r="M252" s="296"/>
    </row>
    <row r="253" spans="1:13" x14ac:dyDescent="0.2">
      <c r="A253" s="175"/>
      <c r="H253" s="298"/>
      <c r="I253" s="298"/>
      <c r="J253" s="298"/>
      <c r="K253" s="296"/>
      <c r="L253" s="296"/>
      <c r="M253" s="296"/>
    </row>
    <row r="254" spans="1:13" x14ac:dyDescent="0.2">
      <c r="A254" s="175"/>
      <c r="C254" s="298"/>
      <c r="D254" s="298"/>
      <c r="E254" s="298"/>
      <c r="F254" s="298"/>
      <c r="G254" s="298"/>
      <c r="H254" s="298"/>
      <c r="I254" s="298"/>
      <c r="J254" s="298"/>
      <c r="K254" s="296"/>
      <c r="L254" s="296"/>
      <c r="M254" s="296"/>
    </row>
    <row r="255" spans="1:13" x14ac:dyDescent="0.2">
      <c r="A255" s="175"/>
      <c r="B255" s="181" t="s">
        <v>139</v>
      </c>
      <c r="C255" s="295">
        <f>ROUND(+C200/$D$235,3)</f>
        <v>1.1659999999999999</v>
      </c>
      <c r="D255" s="295">
        <f>ROUND(+D200/$D$235,3)</f>
        <v>0.96699999999999997</v>
      </c>
      <c r="E255" s="294"/>
      <c r="F255" s="295">
        <f>ROUND(+F200/$D$235,3)</f>
        <v>0.60799999999999998</v>
      </c>
      <c r="G255" s="295">
        <f>ROUND(+G200/$D$235,3)</f>
        <v>0.60899999999999999</v>
      </c>
      <c r="H255" s="295">
        <f>ROUND(+H200/$D$235,3)</f>
        <v>1.0289999999999999</v>
      </c>
      <c r="I255" s="294">
        <f>ROUND(+I200/$D$235,3)</f>
        <v>0.58899999999999997</v>
      </c>
      <c r="J255" s="294">
        <f>ROUND(+J200/$D$235,3)</f>
        <v>0.58899999999999997</v>
      </c>
      <c r="K255" s="296"/>
      <c r="L255" s="296"/>
      <c r="M255" s="296"/>
    </row>
    <row r="256" spans="1:13" x14ac:dyDescent="0.2">
      <c r="A256" s="175"/>
      <c r="B256" s="242" t="s">
        <v>156</v>
      </c>
      <c r="C256" s="298"/>
      <c r="D256" s="298"/>
      <c r="E256" s="295">
        <f>ROUND(+E201/$D$235,3)</f>
        <v>2.0270000000000001</v>
      </c>
      <c r="F256" s="298"/>
      <c r="G256" s="298"/>
      <c r="H256" s="298"/>
      <c r="J256" s="299" t="s">
        <v>226</v>
      </c>
      <c r="K256" s="296"/>
      <c r="L256" s="296"/>
      <c r="M256" s="296"/>
    </row>
    <row r="257" spans="1:13" x14ac:dyDescent="0.2">
      <c r="A257" s="175"/>
      <c r="B257" s="242" t="s">
        <v>157</v>
      </c>
      <c r="C257" s="298"/>
      <c r="D257" s="298"/>
      <c r="E257" s="295">
        <f>ROUND(+E202/$D$235,3)</f>
        <v>0.57199999999999995</v>
      </c>
      <c r="F257" s="298"/>
      <c r="G257" s="298"/>
      <c r="J257" s="299" t="s">
        <v>227</v>
      </c>
      <c r="K257" s="301">
        <f>ROUND((I255*U45+J255*V45)/(U45+V45),3)</f>
        <v>0.58899999999999997</v>
      </c>
      <c r="L257" s="296"/>
      <c r="M257" s="296"/>
    </row>
    <row r="258" spans="1:13" x14ac:dyDescent="0.2">
      <c r="A258" s="175"/>
      <c r="C258" s="304"/>
      <c r="D258" s="304"/>
      <c r="E258" s="304"/>
      <c r="F258" s="304"/>
      <c r="G258" s="304"/>
      <c r="K258" s="296"/>
      <c r="L258" s="296"/>
      <c r="M258" s="296"/>
    </row>
    <row r="259" spans="1:13" x14ac:dyDescent="0.2">
      <c r="A259" s="175"/>
      <c r="B259" s="102" t="s">
        <v>232</v>
      </c>
      <c r="C259" s="305">
        <f>ROUND(+C204/$D$235,3)</f>
        <v>1.143</v>
      </c>
      <c r="D259" s="305">
        <f t="shared" ref="D259:J259" si="52">ROUND(+D204/$D$235,3)</f>
        <v>0.95099999999999996</v>
      </c>
      <c r="E259" s="305">
        <f t="shared" si="52"/>
        <v>1.2050000000000001</v>
      </c>
      <c r="F259" s="305">
        <f t="shared" si="52"/>
        <v>0.59199999999999997</v>
      </c>
      <c r="G259" s="305">
        <f t="shared" si="52"/>
        <v>0.59299999999999997</v>
      </c>
      <c r="H259" s="305">
        <f t="shared" si="52"/>
        <v>1.0169999999999999</v>
      </c>
      <c r="I259" s="305">
        <f t="shared" si="52"/>
        <v>0.56599999999999995</v>
      </c>
      <c r="J259" s="305">
        <f t="shared" si="52"/>
        <v>0.56699999999999995</v>
      </c>
      <c r="K259" s="296"/>
      <c r="L259" s="296"/>
      <c r="M259" s="296"/>
    </row>
    <row r="260" spans="1:13" x14ac:dyDescent="0.2">
      <c r="A260" s="175"/>
    </row>
    <row r="261" spans="1:13" x14ac:dyDescent="0.2">
      <c r="A261" s="175"/>
    </row>
    <row r="262" spans="1:13" x14ac:dyDescent="0.2">
      <c r="A262" s="175"/>
      <c r="B262" s="170" t="s">
        <v>203</v>
      </c>
    </row>
    <row r="263" spans="1:13" x14ac:dyDescent="0.2">
      <c r="A263" s="175"/>
      <c r="B263" s="171" t="s">
        <v>204</v>
      </c>
    </row>
    <row r="264" spans="1:13" x14ac:dyDescent="0.2">
      <c r="A264" s="175"/>
      <c r="B264" s="168"/>
    </row>
    <row r="265" spans="1:13" x14ac:dyDescent="0.2">
      <c r="A265" s="175"/>
      <c r="C265" s="167" t="str">
        <f>+K7</f>
        <v>GLP</v>
      </c>
      <c r="D265" s="167" t="str">
        <f>+C265</f>
        <v>GLP</v>
      </c>
      <c r="E265" s="167" t="str">
        <f>+L7</f>
        <v>LPL-S</v>
      </c>
      <c r="F265" s="167" t="str">
        <f>+E265</f>
        <v>LPL-S</v>
      </c>
      <c r="H265" s="170" t="s">
        <v>205</v>
      </c>
    </row>
    <row r="266" spans="1:13" ht="25.5" x14ac:dyDescent="0.2">
      <c r="A266" s="175"/>
      <c r="C266" s="167" t="s">
        <v>233</v>
      </c>
      <c r="D266" s="306" t="s">
        <v>229</v>
      </c>
      <c r="E266" s="167" t="s">
        <v>233</v>
      </c>
      <c r="F266" s="306" t="s">
        <v>229</v>
      </c>
    </row>
    <row r="267" spans="1:13" x14ac:dyDescent="0.2">
      <c r="A267" s="175"/>
      <c r="B267" s="181" t="s">
        <v>136</v>
      </c>
      <c r="C267" s="295">
        <f>ROUND(+C222/$D$235,3)</f>
        <v>1.012</v>
      </c>
      <c r="D267" s="301">
        <f>ROUND(+C211-C222,3)</f>
        <v>-41.302999999999997</v>
      </c>
      <c r="E267" s="300"/>
      <c r="F267" s="300"/>
      <c r="H267" s="289" t="s">
        <v>206</v>
      </c>
    </row>
    <row r="268" spans="1:13" x14ac:dyDescent="0.2">
      <c r="A268" s="175"/>
      <c r="B268" s="242" t="s">
        <v>156</v>
      </c>
      <c r="C268" s="294"/>
      <c r="D268" s="301"/>
      <c r="E268" s="295">
        <f>ROUND(D223/$D$235,3)</f>
        <v>1.24</v>
      </c>
      <c r="F268" s="301">
        <f>ROUND(+D212-D223,3)</f>
        <v>-55.966999999999999</v>
      </c>
      <c r="H268" s="199" t="s">
        <v>207</v>
      </c>
      <c r="I268" s="307">
        <f t="shared" ref="I268:J270" si="53">ROUND(+I212,4)</f>
        <v>4.8219000000000003</v>
      </c>
      <c r="J268" s="307">
        <f t="shared" si="53"/>
        <v>4.8219000000000003</v>
      </c>
      <c r="K268" s="236" t="s">
        <v>208</v>
      </c>
    </row>
    <row r="269" spans="1:13" x14ac:dyDescent="0.2">
      <c r="A269" s="175"/>
      <c r="B269" s="242" t="s">
        <v>157</v>
      </c>
      <c r="C269" s="294"/>
      <c r="D269" s="301"/>
      <c r="E269" s="295">
        <f>ROUND(D224/$D$235,3)</f>
        <v>0.48299999999999998</v>
      </c>
      <c r="F269" s="301">
        <f>ROUND(+D213-D224,3)</f>
        <v>0</v>
      </c>
      <c r="H269" s="199" t="s">
        <v>209</v>
      </c>
      <c r="I269" s="307">
        <f t="shared" si="53"/>
        <v>4.8021000000000003</v>
      </c>
      <c r="J269" s="307">
        <f t="shared" si="53"/>
        <v>4.8021000000000003</v>
      </c>
      <c r="K269" s="236" t="s">
        <v>208</v>
      </c>
    </row>
    <row r="270" spans="1:13" x14ac:dyDescent="0.2">
      <c r="A270" s="175"/>
      <c r="C270" s="294"/>
      <c r="D270" s="301"/>
      <c r="E270" s="294"/>
      <c r="F270" s="301"/>
      <c r="H270" s="199" t="s">
        <v>210</v>
      </c>
      <c r="I270" s="307">
        <f t="shared" si="53"/>
        <v>4.8087</v>
      </c>
      <c r="J270" s="307">
        <f t="shared" si="53"/>
        <v>4.8087</v>
      </c>
      <c r="K270" s="236" t="s">
        <v>208</v>
      </c>
    </row>
    <row r="271" spans="1:13" x14ac:dyDescent="0.2">
      <c r="A271" s="175"/>
      <c r="B271" s="181" t="s">
        <v>139</v>
      </c>
      <c r="C271" s="295">
        <f>ROUND(+C226/$D$235,3)</f>
        <v>1.1439999999999999</v>
      </c>
      <c r="D271" s="301">
        <f>ROUND(+C215-C226,3)</f>
        <v>-49.232999999999997</v>
      </c>
      <c r="E271" s="295"/>
      <c r="F271" s="301"/>
    </row>
    <row r="272" spans="1:13" x14ac:dyDescent="0.2">
      <c r="A272" s="175"/>
      <c r="B272" s="242" t="s">
        <v>156</v>
      </c>
      <c r="C272" s="294"/>
      <c r="D272" s="300"/>
      <c r="E272" s="295">
        <f>ROUND(D227/$D$235,3)</f>
        <v>1.35</v>
      </c>
      <c r="F272" s="301">
        <f>ROUND(+D216-D227,3)</f>
        <v>-64.373000000000005</v>
      </c>
      <c r="H272" s="289" t="s">
        <v>211</v>
      </c>
      <c r="I272" s="292"/>
      <c r="J272" s="292"/>
    </row>
    <row r="273" spans="1:11" x14ac:dyDescent="0.2">
      <c r="A273" s="175"/>
      <c r="B273" s="242" t="s">
        <v>157</v>
      </c>
      <c r="C273" s="294"/>
      <c r="D273" s="300"/>
      <c r="E273" s="295">
        <f>ROUND(D228/$D$235,3)</f>
        <v>0.56599999999999995</v>
      </c>
      <c r="F273" s="301">
        <f>ROUND(+D217-D228,3)</f>
        <v>0</v>
      </c>
      <c r="H273" s="199" t="s">
        <v>212</v>
      </c>
      <c r="I273" s="307">
        <f>ROUND(+I217,4)</f>
        <v>8.1593</v>
      </c>
      <c r="J273" s="307">
        <f>ROUND(+J217,4)</f>
        <v>8.1593</v>
      </c>
      <c r="K273" s="236" t="s">
        <v>213</v>
      </c>
    </row>
    <row r="274" spans="1:11" x14ac:dyDescent="0.2">
      <c r="A274" s="175"/>
      <c r="C274" s="305"/>
      <c r="D274" s="300"/>
      <c r="E274" s="305"/>
      <c r="F274" s="300"/>
    </row>
    <row r="275" spans="1:11" x14ac:dyDescent="0.2">
      <c r="A275" s="175"/>
      <c r="B275" s="102" t="s">
        <v>217</v>
      </c>
      <c r="C275" s="305">
        <f>ROUND(+C230/$D$235,3)</f>
        <v>1.095</v>
      </c>
      <c r="D275" s="300"/>
      <c r="E275" s="305">
        <f>ROUND(+D230/$D$235,3)</f>
        <v>0.92200000000000004</v>
      </c>
      <c r="F275" s="300"/>
    </row>
    <row r="276" spans="1:11" x14ac:dyDescent="0.2">
      <c r="A276" s="175"/>
      <c r="C276" s="296"/>
      <c r="E276" s="296"/>
    </row>
    <row r="277" spans="1:11" x14ac:dyDescent="0.2">
      <c r="A277" s="175"/>
      <c r="C277" s="296"/>
      <c r="E277" s="296"/>
    </row>
    <row r="279" spans="1:11" x14ac:dyDescent="0.2">
      <c r="A279" s="170" t="s">
        <v>234</v>
      </c>
      <c r="E279" s="243"/>
    </row>
    <row r="280" spans="1:11" x14ac:dyDescent="0.2">
      <c r="A280" s="175"/>
      <c r="B280" s="199" t="s">
        <v>235</v>
      </c>
      <c r="C280" s="276">
        <f>+E158</f>
        <v>158.09396162228384</v>
      </c>
      <c r="D280" s="236" t="s">
        <v>236</v>
      </c>
      <c r="E280" s="166" t="s">
        <v>207</v>
      </c>
    </row>
    <row r="281" spans="1:11" x14ac:dyDescent="0.2">
      <c r="A281" s="175"/>
      <c r="B281" s="199"/>
      <c r="C281" s="276">
        <f>+E159</f>
        <v>158.09396162228384</v>
      </c>
      <c r="D281" s="236" t="s">
        <v>236</v>
      </c>
      <c r="E281" s="166" t="s">
        <v>209</v>
      </c>
    </row>
    <row r="282" spans="1:11" x14ac:dyDescent="0.2">
      <c r="A282" s="175"/>
      <c r="B282" s="199"/>
    </row>
    <row r="283" spans="1:11" x14ac:dyDescent="0.2">
      <c r="A283" s="175"/>
      <c r="B283" s="199" t="s">
        <v>237</v>
      </c>
      <c r="C283" s="276">
        <f>+D155</f>
        <v>97911.84</v>
      </c>
      <c r="D283" s="236" t="s">
        <v>174</v>
      </c>
      <c r="E283" s="285"/>
    </row>
    <row r="284" spans="1:11" x14ac:dyDescent="0.2">
      <c r="A284" s="175"/>
      <c r="B284" s="199" t="s">
        <v>238</v>
      </c>
      <c r="C284" s="308">
        <f>+H152</f>
        <v>4</v>
      </c>
      <c r="D284" s="102" t="s">
        <v>239</v>
      </c>
      <c r="E284" s="285"/>
    </row>
    <row r="285" spans="1:11" x14ac:dyDescent="0.2">
      <c r="A285" s="175"/>
      <c r="B285" s="199"/>
      <c r="C285" s="308">
        <f>+H153</f>
        <v>8</v>
      </c>
      <c r="D285" s="102" t="s">
        <v>240</v>
      </c>
      <c r="E285" s="285"/>
    </row>
    <row r="286" spans="1:11" x14ac:dyDescent="0.2">
      <c r="A286" s="175"/>
      <c r="B286" s="253" t="s">
        <v>241</v>
      </c>
      <c r="C286" s="274">
        <f>+D171</f>
        <v>21.169999999999998</v>
      </c>
      <c r="D286" s="102" t="s">
        <v>87</v>
      </c>
    </row>
    <row r="287" spans="1:11" x14ac:dyDescent="0.2">
      <c r="A287" s="175"/>
      <c r="B287" s="199" t="s">
        <v>242</v>
      </c>
      <c r="C287" s="168" t="s">
        <v>243</v>
      </c>
    </row>
    <row r="288" spans="1:11" x14ac:dyDescent="0.2">
      <c r="A288" s="175"/>
      <c r="B288" s="199" t="s">
        <v>244</v>
      </c>
      <c r="C288" s="283" t="s">
        <v>245</v>
      </c>
    </row>
    <row r="289" spans="1:13" x14ac:dyDescent="0.2">
      <c r="A289" s="175"/>
      <c r="B289" s="199"/>
      <c r="C289" s="166"/>
    </row>
    <row r="290" spans="1:13" x14ac:dyDescent="0.2">
      <c r="A290" s="175"/>
      <c r="B290" s="199" t="s">
        <v>246</v>
      </c>
      <c r="C290" s="102" t="s">
        <v>247</v>
      </c>
    </row>
    <row r="291" spans="1:13" x14ac:dyDescent="0.2">
      <c r="A291" s="175"/>
      <c r="B291" s="199" t="s">
        <v>248</v>
      </c>
      <c r="C291" s="102" t="s">
        <v>249</v>
      </c>
    </row>
    <row r="292" spans="1:13" x14ac:dyDescent="0.2">
      <c r="A292" s="175"/>
      <c r="B292" s="199" t="s">
        <v>250</v>
      </c>
      <c r="C292" s="102" t="s">
        <v>251</v>
      </c>
    </row>
    <row r="293" spans="1:13" x14ac:dyDescent="0.2">
      <c r="C293" s="102" t="s">
        <v>252</v>
      </c>
    </row>
    <row r="294" spans="1:13" x14ac:dyDescent="0.2">
      <c r="B294" s="199" t="s">
        <v>253</v>
      </c>
      <c r="C294" s="102" t="s">
        <v>254</v>
      </c>
    </row>
    <row r="295" spans="1:13" x14ac:dyDescent="0.2">
      <c r="A295" s="175"/>
      <c r="B295" s="253" t="s">
        <v>255</v>
      </c>
      <c r="C295" s="296" t="s">
        <v>256</v>
      </c>
      <c r="E295" s="296"/>
    </row>
    <row r="296" spans="1:13" x14ac:dyDescent="0.2">
      <c r="A296" s="175"/>
      <c r="C296" s="296"/>
      <c r="E296" s="296"/>
    </row>
    <row r="297" spans="1:13" x14ac:dyDescent="0.2">
      <c r="A297" s="175"/>
      <c r="C297" s="296"/>
      <c r="E297" s="296"/>
    </row>
    <row r="298" spans="1:13" x14ac:dyDescent="0.2">
      <c r="A298" s="172" t="s">
        <v>257</v>
      </c>
      <c r="B298" s="170" t="s">
        <v>258</v>
      </c>
    </row>
    <row r="299" spans="1:13" x14ac:dyDescent="0.2">
      <c r="A299" s="175"/>
      <c r="B299" s="170"/>
    </row>
    <row r="300" spans="1:13" x14ac:dyDescent="0.2">
      <c r="A300" s="175"/>
      <c r="C300" s="167" t="s">
        <v>8</v>
      </c>
      <c r="D300" s="167" t="s">
        <v>9</v>
      </c>
      <c r="E300" s="167" t="s">
        <v>10</v>
      </c>
      <c r="F300" s="167" t="s">
        <v>11</v>
      </c>
      <c r="G300" s="167" t="s">
        <v>12</v>
      </c>
      <c r="H300" s="167" t="s">
        <v>13</v>
      </c>
      <c r="I300" s="167" t="s">
        <v>14</v>
      </c>
      <c r="J300" s="167" t="s">
        <v>15</v>
      </c>
      <c r="K300" s="167" t="s">
        <v>16</v>
      </c>
      <c r="L300" s="167" t="s">
        <v>17</v>
      </c>
      <c r="M300" s="167"/>
    </row>
    <row r="301" spans="1:13" x14ac:dyDescent="0.2">
      <c r="A301" s="175"/>
      <c r="B301" s="102" t="s">
        <v>259</v>
      </c>
    </row>
    <row r="302" spans="1:13" x14ac:dyDescent="0.2">
      <c r="A302" s="175"/>
      <c r="B302" s="193" t="s">
        <v>47</v>
      </c>
      <c r="C302" s="248">
        <f>(+C197*SUM(C50:C53)*C163+C198*SUM(C50:C53)*C164)/1000</f>
        <v>552080.46619662852</v>
      </c>
      <c r="D302" s="248">
        <f>(+D197*SUM(D50:D53)*D163+D198*SUM(D50:D53)*D164)/1000</f>
        <v>2262.8064146231368</v>
      </c>
      <c r="E302" s="251">
        <f>(E195*SUMPRODUCT(E32:E35,E50:E53)+E196*SUMPRODUCT(Q32:Q35,E50:E53))/1000</f>
        <v>10563.684240943605</v>
      </c>
      <c r="F302" s="251">
        <f>+F194*SUM(F50:F53)/1000</f>
        <v>15.14085645023936</v>
      </c>
      <c r="G302" s="251">
        <f>+G194*SUM(G50:G53)/1000</f>
        <v>0.25346666508640636</v>
      </c>
      <c r="H302" s="251">
        <f>+H194*SUM(H50:H53)/1000</f>
        <v>246.50823668189156</v>
      </c>
      <c r="I302" s="251">
        <f>+I194*SUM(I50:I53)/1000</f>
        <v>2018.5573285837311</v>
      </c>
      <c r="J302" s="251">
        <f>+J194*SUM(J50:J53)/1000</f>
        <v>3682.4777455731864</v>
      </c>
      <c r="K302" s="251">
        <f>(C211*SUM(K50:K53)/1000)+(I212*$H152*K147)+(I217*$H152*K149)</f>
        <v>225374.87957920897</v>
      </c>
      <c r="L302" s="251">
        <f>(D211*SUM(L50:L53)/1000)+(J212*$H152*L147)+(J217*$H152*L149)</f>
        <v>137374.00103849443</v>
      </c>
      <c r="M302" s="251"/>
    </row>
    <row r="303" spans="1:13" x14ac:dyDescent="0.2">
      <c r="A303" s="175"/>
      <c r="B303" s="193" t="s">
        <v>48</v>
      </c>
      <c r="C303" s="251">
        <f>+C200*SUM(C45:C49,C54:C56)/1000</f>
        <v>739197.91680527211</v>
      </c>
      <c r="D303" s="251">
        <f>+D200*SUM(D45:D49,D54:D56)/1000</f>
        <v>7834.9119891001019</v>
      </c>
      <c r="E303" s="251">
        <f>(E201*(SUMPRODUCT(E27:E31,E45:E49)+SUMPRODUCT(E36:E38,E54:E56))+E202*(SUMPRODUCT(Q27:Q31,E45:E49)+SUMPRODUCT(Q36:Q38,E54:E56)))/1000</f>
        <v>12865.67752292775</v>
      </c>
      <c r="F303" s="251">
        <f>+F200*SUM(F45:F49,F54:F56)/1000</f>
        <v>43.041159808478092</v>
      </c>
      <c r="G303" s="251">
        <f>+G200*SUM(G45:G49,G54:G56)/1000</f>
        <v>0.7912789450897515</v>
      </c>
      <c r="H303" s="251">
        <f>+H200*SUM(H45:H49,H54:H56)/1000</f>
        <v>926.08667693678694</v>
      </c>
      <c r="I303" s="251">
        <f>+I200*SUM(I45:I49,I54:I56)/1000</f>
        <v>6161.7411914171034</v>
      </c>
      <c r="J303" s="251">
        <f>+J200*SUM(J45:J49,J54:J56)/1000</f>
        <v>11828.788745830007</v>
      </c>
      <c r="K303" s="251">
        <f>(C215*SUM(K45:K49,K54:K56)/1000)+(I213*$H153*K147)+(I217*$H153*K149)</f>
        <v>427389.60822734877</v>
      </c>
      <c r="L303" s="251">
        <f>(D215*SUM(L45:L49,L54:L56)/1000)+(J213*$H153*L147)+(J217*$H153*L149)</f>
        <v>269825.04269734339</v>
      </c>
      <c r="M303" s="251"/>
    </row>
    <row r="304" spans="1:13" x14ac:dyDescent="0.2">
      <c r="A304" s="175"/>
      <c r="B304" s="193" t="s">
        <v>106</v>
      </c>
      <c r="C304" s="246">
        <f>+C303+C302</f>
        <v>1291278.3830019007</v>
      </c>
      <c r="D304" s="246">
        <f t="shared" ref="D304:J304" si="54">+D303+D302</f>
        <v>10097.718403723238</v>
      </c>
      <c r="E304" s="246">
        <f t="shared" si="54"/>
        <v>23429.361763871355</v>
      </c>
      <c r="F304" s="246">
        <f t="shared" si="54"/>
        <v>58.182016258717454</v>
      </c>
      <c r="G304" s="246">
        <f t="shared" si="54"/>
        <v>1.0447456101761579</v>
      </c>
      <c r="H304" s="246">
        <f t="shared" si="54"/>
        <v>1172.5949136186784</v>
      </c>
      <c r="I304" s="246">
        <f t="shared" si="54"/>
        <v>8180.2985200008343</v>
      </c>
      <c r="J304" s="251">
        <f t="shared" si="54"/>
        <v>15511.266491403192</v>
      </c>
      <c r="K304" s="251">
        <f>+K303+K302</f>
        <v>652764.48780655768</v>
      </c>
      <c r="L304" s="251">
        <f>+L303+L302</f>
        <v>407199.0437358378</v>
      </c>
      <c r="M304" s="251"/>
    </row>
    <row r="305" spans="1:13" x14ac:dyDescent="0.2">
      <c r="A305" s="175"/>
      <c r="B305" s="193"/>
    </row>
    <row r="306" spans="1:13" x14ac:dyDescent="0.2">
      <c r="A306" s="175"/>
      <c r="B306" s="102" t="s">
        <v>260</v>
      </c>
    </row>
    <row r="307" spans="1:13" x14ac:dyDescent="0.2">
      <c r="A307" s="175"/>
      <c r="B307" s="193" t="s">
        <v>47</v>
      </c>
      <c r="C307" s="211">
        <f>+C302/C304</f>
        <v>0.42754565821289359</v>
      </c>
      <c r="D307" s="211">
        <f t="shared" ref="D307:I307" si="55">+D302/D304</f>
        <v>0.22409086133643746</v>
      </c>
      <c r="E307" s="211">
        <f t="shared" si="55"/>
        <v>0.45087375180800116</v>
      </c>
      <c r="F307" s="211">
        <f t="shared" si="55"/>
        <v>0.26023258429052454</v>
      </c>
      <c r="G307" s="211">
        <f t="shared" si="55"/>
        <v>0.24261089265899718</v>
      </c>
      <c r="H307" s="211">
        <f t="shared" si="55"/>
        <v>0.21022454883516126</v>
      </c>
      <c r="I307" s="211">
        <f t="shared" si="55"/>
        <v>0.24675839440924524</v>
      </c>
      <c r="J307" s="211">
        <f>+J302/J304</f>
        <v>0.23740664552531063</v>
      </c>
      <c r="K307" s="211">
        <f>+K302/K304</f>
        <v>0.34526216390312775</v>
      </c>
      <c r="L307" s="211">
        <f>+L302/L304</f>
        <v>0.33736327025269996</v>
      </c>
      <c r="M307" s="211"/>
    </row>
    <row r="308" spans="1:13" x14ac:dyDescent="0.2">
      <c r="A308" s="175"/>
      <c r="B308" s="193" t="s">
        <v>48</v>
      </c>
      <c r="C308" s="211">
        <f>+C303/C304</f>
        <v>0.5724543417871063</v>
      </c>
      <c r="D308" s="211">
        <f t="shared" ref="D308:I308" si="56">+D303/D304</f>
        <v>0.77590913866356259</v>
      </c>
      <c r="E308" s="211">
        <f t="shared" si="56"/>
        <v>0.54912624819199884</v>
      </c>
      <c r="F308" s="211">
        <f t="shared" si="56"/>
        <v>0.73976741570947546</v>
      </c>
      <c r="G308" s="211">
        <f t="shared" si="56"/>
        <v>0.75738910734100284</v>
      </c>
      <c r="H308" s="211">
        <f t="shared" si="56"/>
        <v>0.78977545116483883</v>
      </c>
      <c r="I308" s="211">
        <f t="shared" si="56"/>
        <v>0.75324160559075481</v>
      </c>
      <c r="J308" s="211">
        <f>+J303/J304</f>
        <v>0.76259335447468946</v>
      </c>
      <c r="K308" s="211">
        <f>+K303/K304</f>
        <v>0.65473783609687231</v>
      </c>
      <c r="L308" s="211">
        <f>+L303/L304</f>
        <v>0.66263672974730015</v>
      </c>
      <c r="M308" s="211"/>
    </row>
    <row r="309" spans="1:13" x14ac:dyDescent="0.2">
      <c r="A309" s="175"/>
    </row>
    <row r="310" spans="1:13" x14ac:dyDescent="0.2">
      <c r="A310" s="175"/>
      <c r="B310" s="102" t="s">
        <v>261</v>
      </c>
    </row>
    <row r="311" spans="1:13" x14ac:dyDescent="0.2">
      <c r="A311" s="175"/>
      <c r="B311" s="193" t="s">
        <v>47</v>
      </c>
      <c r="C311" s="309">
        <f>+SUM(C302:L302)</f>
        <v>933618.77510385273</v>
      </c>
    </row>
    <row r="312" spans="1:13" x14ac:dyDescent="0.2">
      <c r="A312" s="175"/>
      <c r="B312" s="193" t="s">
        <v>48</v>
      </c>
      <c r="C312" s="309">
        <f>+SUM(C303:L303)</f>
        <v>1476073.6062949295</v>
      </c>
    </row>
    <row r="313" spans="1:13" x14ac:dyDescent="0.2">
      <c r="A313" s="175"/>
      <c r="B313" s="193" t="s">
        <v>106</v>
      </c>
      <c r="C313" s="246">
        <f>+C312+C311</f>
        <v>2409692.3813987821</v>
      </c>
      <c r="D313" s="291"/>
    </row>
    <row r="314" spans="1:13" x14ac:dyDescent="0.2">
      <c r="A314" s="175"/>
      <c r="L314" s="310" t="s">
        <v>262</v>
      </c>
    </row>
    <row r="315" spans="1:13" x14ac:dyDescent="0.2">
      <c r="A315" s="175"/>
      <c r="B315" s="102" t="s">
        <v>263</v>
      </c>
      <c r="D315" s="102" t="s">
        <v>264</v>
      </c>
      <c r="K315" s="193" t="s">
        <v>0</v>
      </c>
    </row>
    <row r="316" spans="1:13" x14ac:dyDescent="0.2">
      <c r="A316" s="175"/>
      <c r="B316" s="193" t="s">
        <v>47</v>
      </c>
      <c r="C316" s="211">
        <f>+C311/C313</f>
        <v>0.38744313685463211</v>
      </c>
      <c r="E316" s="243">
        <f>+C311/SUMPRODUCT(O49:X49,C85:L85)*1000</f>
        <v>89.510798386422081</v>
      </c>
      <c r="F316" s="102" t="s">
        <v>265</v>
      </c>
      <c r="I316" s="102" t="s">
        <v>266</v>
      </c>
      <c r="K316" s="193" t="s">
        <v>47</v>
      </c>
      <c r="L316" s="228">
        <f>IF(ROUND(E316/$D$235,4)&lt;ROUND(E317/$D$235,4),1,ROUND(E316/$D$235,4))</f>
        <v>1</v>
      </c>
      <c r="M316" s="311"/>
    </row>
    <row r="317" spans="1:13" x14ac:dyDescent="0.2">
      <c r="A317" s="175"/>
      <c r="B317" s="193" t="s">
        <v>48</v>
      </c>
      <c r="C317" s="211">
        <f>+C312/C313</f>
        <v>0.61255686314536795</v>
      </c>
      <c r="E317" s="243">
        <f>+C312/SUMPRODUCT(O45:X45,C85:L85)*1000</f>
        <v>94.98118570075188</v>
      </c>
      <c r="F317" s="102" t="s">
        <v>265</v>
      </c>
      <c r="K317" s="193" t="s">
        <v>48</v>
      </c>
      <c r="L317" s="228">
        <f>IF(ROUND(E316/$D$235,4)&lt;ROUND(E317/$D$235,4),1,ROUND(E317/$D$235,4))</f>
        <v>1</v>
      </c>
      <c r="M317" s="311"/>
    </row>
    <row r="318" spans="1:13" x14ac:dyDescent="0.2">
      <c r="A318" s="175"/>
    </row>
    <row r="319" spans="1:13" x14ac:dyDescent="0.2">
      <c r="A319" s="175"/>
      <c r="C319" s="296"/>
      <c r="E319" s="296"/>
    </row>
    <row r="320" spans="1:13" x14ac:dyDescent="0.2">
      <c r="A320" s="172" t="s">
        <v>267</v>
      </c>
      <c r="B320" s="170" t="s">
        <v>268</v>
      </c>
      <c r="C320" s="296"/>
      <c r="E320" s="296"/>
    </row>
    <row r="321" spans="1:12" x14ac:dyDescent="0.2">
      <c r="A321" s="175"/>
      <c r="C321" s="296"/>
      <c r="E321" s="296"/>
    </row>
    <row r="322" spans="1:12" x14ac:dyDescent="0.2">
      <c r="A322" s="175"/>
      <c r="B322" s="199" t="s">
        <v>269</v>
      </c>
      <c r="C322" s="241">
        <f>D235</f>
        <v>92.784212774298283</v>
      </c>
      <c r="E322" s="312" t="s">
        <v>270</v>
      </c>
    </row>
    <row r="323" spans="1:12" x14ac:dyDescent="0.2">
      <c r="A323" s="175"/>
      <c r="B323" s="199" t="s">
        <v>271</v>
      </c>
      <c r="C323" s="313">
        <f>+L316</f>
        <v>1</v>
      </c>
      <c r="E323" s="296"/>
    </row>
    <row r="324" spans="1:12" x14ac:dyDescent="0.2">
      <c r="A324" s="175"/>
      <c r="B324" s="199" t="s">
        <v>272</v>
      </c>
      <c r="C324" s="313">
        <f>+L317</f>
        <v>1</v>
      </c>
      <c r="E324" s="296"/>
    </row>
    <row r="325" spans="1:12" x14ac:dyDescent="0.2">
      <c r="A325" s="175"/>
      <c r="C325" s="296"/>
      <c r="E325" s="296"/>
    </row>
    <row r="326" spans="1:12" x14ac:dyDescent="0.2">
      <c r="A326" s="175"/>
      <c r="C326" s="167" t="s">
        <v>8</v>
      </c>
      <c r="D326" s="167" t="s">
        <v>9</v>
      </c>
      <c r="E326" s="167" t="s">
        <v>10</v>
      </c>
      <c r="F326" s="167" t="s">
        <v>11</v>
      </c>
      <c r="G326" s="167" t="s">
        <v>12</v>
      </c>
      <c r="H326" s="167" t="s">
        <v>13</v>
      </c>
      <c r="I326" s="167" t="s">
        <v>14</v>
      </c>
      <c r="J326" s="167" t="s">
        <v>15</v>
      </c>
      <c r="K326" s="167" t="s">
        <v>16</v>
      </c>
      <c r="L326" s="167" t="s">
        <v>17</v>
      </c>
    </row>
    <row r="327" spans="1:12" x14ac:dyDescent="0.2">
      <c r="A327" s="175"/>
      <c r="B327" s="102" t="s">
        <v>273</v>
      </c>
    </row>
    <row r="328" spans="1:12" x14ac:dyDescent="0.2">
      <c r="A328" s="175"/>
      <c r="B328" s="193" t="s">
        <v>47</v>
      </c>
      <c r="C328" s="251">
        <f>+($C$322*C249*O49+C250*O53+C251*O54)/1000</f>
        <v>552221.57423270715</v>
      </c>
      <c r="D328" s="251">
        <f>+($C$322*D249*P49+D250*P53+D251*P54)/1000</f>
        <v>2261.7325076653269</v>
      </c>
      <c r="E328" s="314">
        <f>(($C$322*E246*Q50)+(C322*E247*Q51))/1000</f>
        <v>10563.680589408643</v>
      </c>
      <c r="F328" s="251">
        <f>+$C$322*F245*R49/1000</f>
        <v>15.128744245487658</v>
      </c>
      <c r="G328" s="251">
        <f>+$C$322*G245*S49/1000</f>
        <v>0.25330090087383433</v>
      </c>
      <c r="H328" s="251">
        <f>+$C$322*H245*T49/1000</f>
        <v>246.56185395800438</v>
      </c>
      <c r="I328" s="251">
        <f>+$C$322*K247*U49/1000</f>
        <v>2014.7008084333668</v>
      </c>
      <c r="J328" s="251">
        <f>+$C$322*K247*V49/1000</f>
        <v>3679.8463736608419</v>
      </c>
      <c r="K328" s="314">
        <f>+($C$322*C267+D267)*W49/1000+(I268*H152*K147)+(I273*H152*K149)</f>
        <v>225429.89877314225</v>
      </c>
      <c r="L328" s="314">
        <f>(($C$322*E268+F268)*X50+(C322*E269*X51))/1000+(J268*$H$152*L147)+(J273*$H$152*L149)</f>
        <v>137357.419221041</v>
      </c>
    </row>
    <row r="329" spans="1:12" x14ac:dyDescent="0.2">
      <c r="A329" s="175"/>
      <c r="B329" s="193" t="s">
        <v>48</v>
      </c>
      <c r="C329" s="251">
        <f>+$C$322*C255*O45/1000</f>
        <v>739044.62446328311</v>
      </c>
      <c r="D329" s="251">
        <f>+$C$322*D255*P45/1000</f>
        <v>7837.3903910289619</v>
      </c>
      <c r="E329" s="314">
        <f>(($C$322*E256*Q46)+(C322*E257*Q47))/1000</f>
        <v>12869.313843376212</v>
      </c>
      <c r="F329" s="251">
        <f>+$C$322*F255*R45/1000</f>
        <v>43.042967442848067</v>
      </c>
      <c r="G329" s="251">
        <f>+$C$322*G255*S45/1000</f>
        <v>0.7910781981136672</v>
      </c>
      <c r="H329" s="251">
        <f>+$C$322*H255*T45/1000</f>
        <v>925.93900341004837</v>
      </c>
      <c r="I329" s="251">
        <f>+$C$322*K257*U45/1000</f>
        <v>6162.5961228078168</v>
      </c>
      <c r="J329" s="251">
        <f>+$C$322*K257*V45/1000</f>
        <v>11826.402596230922</v>
      </c>
      <c r="K329" s="314">
        <f>+($C$322*C271+D271)*W45/1000+(I269*H153*K147)+(I273*H153*K149)</f>
        <v>427256.46393871406</v>
      </c>
      <c r="L329" s="314">
        <f>(($C$322*E272+F272)*X46+C322*E273*X47)/1000+(J269*$H$153*L147)+(J273*$H$153*L149)</f>
        <v>269761.94381779537</v>
      </c>
    </row>
    <row r="330" spans="1:12" x14ac:dyDescent="0.2">
      <c r="A330" s="175"/>
      <c r="B330" s="193" t="s">
        <v>106</v>
      </c>
      <c r="C330" s="246">
        <f>+C329+C328</f>
        <v>1291266.1986959903</v>
      </c>
      <c r="D330" s="246">
        <f t="shared" ref="D330:L330" si="57">+D329+D328</f>
        <v>10099.122898694288</v>
      </c>
      <c r="E330" s="246">
        <f t="shared" si="57"/>
        <v>23432.994432784857</v>
      </c>
      <c r="F330" s="246">
        <f t="shared" si="57"/>
        <v>58.171711688335726</v>
      </c>
      <c r="G330" s="246">
        <f t="shared" si="57"/>
        <v>1.0443790989875015</v>
      </c>
      <c r="H330" s="246">
        <f t="shared" si="57"/>
        <v>1172.5008573680527</v>
      </c>
      <c r="I330" s="246">
        <f t="shared" si="57"/>
        <v>8177.2969312411833</v>
      </c>
      <c r="J330" s="246">
        <f t="shared" si="57"/>
        <v>15506.248969891763</v>
      </c>
      <c r="K330" s="246">
        <f t="shared" si="57"/>
        <v>652686.36271185637</v>
      </c>
      <c r="L330" s="246">
        <f t="shared" si="57"/>
        <v>407119.3630388364</v>
      </c>
    </row>
    <row r="331" spans="1:12" x14ac:dyDescent="0.2">
      <c r="A331" s="175"/>
      <c r="B331" s="193"/>
      <c r="C331" s="246"/>
      <c r="D331" s="246"/>
      <c r="E331" s="246"/>
      <c r="F331" s="246"/>
      <c r="G331" s="246"/>
      <c r="H331" s="246"/>
      <c r="I331" s="246"/>
      <c r="J331" s="246"/>
      <c r="K331" s="246"/>
      <c r="L331" s="246"/>
    </row>
    <row r="332" spans="1:12" x14ac:dyDescent="0.2">
      <c r="A332" s="175"/>
      <c r="B332" s="193" t="s">
        <v>274</v>
      </c>
      <c r="C332" s="246">
        <f>SUM(C328:L328)</f>
        <v>933790.79640516301</v>
      </c>
      <c r="D332" s="246"/>
      <c r="E332" s="246"/>
      <c r="F332" s="246"/>
      <c r="G332" s="246"/>
      <c r="H332" s="246"/>
      <c r="I332" s="246"/>
      <c r="J332" s="246"/>
      <c r="K332" s="246"/>
      <c r="L332" s="246"/>
    </row>
    <row r="333" spans="1:12" x14ac:dyDescent="0.2">
      <c r="A333" s="175"/>
      <c r="B333" s="193" t="s">
        <v>275</v>
      </c>
      <c r="C333" s="246">
        <f>SUM(C329:L329)</f>
        <v>1475728.5082222875</v>
      </c>
      <c r="E333" s="296"/>
    </row>
    <row r="334" spans="1:12" x14ac:dyDescent="0.2">
      <c r="A334" s="175"/>
      <c r="B334" s="193" t="s">
        <v>276</v>
      </c>
      <c r="C334" s="246">
        <f>+C333+C332</f>
        <v>2409519.3046274506</v>
      </c>
      <c r="E334" s="296"/>
    </row>
    <row r="335" spans="1:12" x14ac:dyDescent="0.2">
      <c r="A335" s="175"/>
      <c r="B335" s="193"/>
      <c r="C335" s="296"/>
      <c r="E335" s="296"/>
    </row>
    <row r="336" spans="1:12" x14ac:dyDescent="0.2">
      <c r="A336" s="175"/>
      <c r="C336" s="167" t="s">
        <v>8</v>
      </c>
      <c r="D336" s="167" t="s">
        <v>9</v>
      </c>
      <c r="E336" s="167" t="s">
        <v>10</v>
      </c>
      <c r="F336" s="167" t="s">
        <v>11</v>
      </c>
      <c r="G336" s="167" t="s">
        <v>12</v>
      </c>
      <c r="H336" s="167" t="s">
        <v>13</v>
      </c>
      <c r="I336" s="167" t="s">
        <v>14</v>
      </c>
      <c r="J336" s="167" t="s">
        <v>15</v>
      </c>
      <c r="K336" s="167" t="s">
        <v>16</v>
      </c>
      <c r="L336" s="167" t="s">
        <v>17</v>
      </c>
    </row>
    <row r="337" spans="1:12" x14ac:dyDescent="0.2">
      <c r="A337" s="175"/>
      <c r="B337" s="102" t="s">
        <v>277</v>
      </c>
    </row>
    <row r="338" spans="1:12" x14ac:dyDescent="0.2">
      <c r="A338" s="175"/>
      <c r="B338" s="193" t="s">
        <v>47</v>
      </c>
      <c r="C338" s="251">
        <f t="shared" ref="C338:L338" si="58">+$C$322*$C$323*O49*C85/1000</f>
        <v>533480.95805009594</v>
      </c>
      <c r="D338" s="251">
        <f t="shared" si="58"/>
        <v>2708.1156017365843</v>
      </c>
      <c r="E338" s="251">
        <f t="shared" si="58"/>
        <v>9380.5731919997179</v>
      </c>
      <c r="F338" s="251">
        <f t="shared" si="58"/>
        <v>29.630017623088694</v>
      </c>
      <c r="G338" s="251">
        <f t="shared" si="58"/>
        <v>0.49882184550654368</v>
      </c>
      <c r="H338" s="251">
        <f t="shared" si="58"/>
        <v>272.46731986769277</v>
      </c>
      <c r="I338" s="251">
        <f t="shared" si="58"/>
        <v>4298.1483139916845</v>
      </c>
      <c r="J338" s="251">
        <f t="shared" si="58"/>
        <v>7850.557968951086</v>
      </c>
      <c r="K338" s="251">
        <f t="shared" si="58"/>
        <v>239397.02467912569</v>
      </c>
      <c r="L338" s="251">
        <f t="shared" si="58"/>
        <v>170343.28658515264</v>
      </c>
    </row>
    <row r="339" spans="1:12" x14ac:dyDescent="0.2">
      <c r="A339" s="175"/>
      <c r="B339" s="193" t="s">
        <v>48</v>
      </c>
      <c r="C339" s="251">
        <f t="shared" ref="C339:L339" si="59">+$C$322*$C$324*O45*C85/1000</f>
        <v>681511.9653187443</v>
      </c>
      <c r="D339" s="251">
        <f t="shared" si="59"/>
        <v>8714.578355890455</v>
      </c>
      <c r="E339" s="251">
        <f t="shared" si="59"/>
        <v>11523.463042503641</v>
      </c>
      <c r="F339" s="251">
        <f t="shared" si="59"/>
        <v>76.120213624298572</v>
      </c>
      <c r="G339" s="251">
        <f t="shared" si="59"/>
        <v>1.3967011674183223</v>
      </c>
      <c r="H339" s="251">
        <f t="shared" si="59"/>
        <v>967.5387702979458</v>
      </c>
      <c r="I339" s="251">
        <f t="shared" si="59"/>
        <v>11249.929081709079</v>
      </c>
      <c r="J339" s="251">
        <f t="shared" si="59"/>
        <v>21589.308766630511</v>
      </c>
      <c r="K339" s="251">
        <f t="shared" si="59"/>
        <v>401674.28147934459</v>
      </c>
      <c r="L339" s="251">
        <f t="shared" si="59"/>
        <v>304622.53911848099</v>
      </c>
    </row>
    <row r="340" spans="1:12" x14ac:dyDescent="0.2">
      <c r="A340" s="175"/>
      <c r="B340" s="193" t="s">
        <v>106</v>
      </c>
      <c r="C340" s="246">
        <f t="shared" ref="C340:L340" si="60">+C339+C338</f>
        <v>1214992.9233688402</v>
      </c>
      <c r="D340" s="246">
        <f t="shared" si="60"/>
        <v>11422.69395762704</v>
      </c>
      <c r="E340" s="246">
        <f t="shared" si="60"/>
        <v>20904.036234503357</v>
      </c>
      <c r="F340" s="246">
        <f t="shared" si="60"/>
        <v>105.75023124738726</v>
      </c>
      <c r="G340" s="246">
        <f t="shared" si="60"/>
        <v>1.8955230129248659</v>
      </c>
      <c r="H340" s="246">
        <f t="shared" si="60"/>
        <v>1240.0060901656386</v>
      </c>
      <c r="I340" s="246">
        <f t="shared" si="60"/>
        <v>15548.077395700762</v>
      </c>
      <c r="J340" s="251">
        <f t="shared" si="60"/>
        <v>29439.866735581596</v>
      </c>
      <c r="K340" s="251">
        <f t="shared" si="60"/>
        <v>641071.30615847022</v>
      </c>
      <c r="L340" s="251">
        <f t="shared" si="60"/>
        <v>474965.8257036336</v>
      </c>
    </row>
    <row r="341" spans="1:12" x14ac:dyDescent="0.2">
      <c r="A341" s="175"/>
      <c r="C341" s="296"/>
      <c r="D341" s="296"/>
      <c r="E341" s="296"/>
      <c r="F341" s="296"/>
      <c r="G341" s="296"/>
      <c r="H341" s="296"/>
      <c r="I341" s="296"/>
      <c r="J341" s="296"/>
      <c r="K341" s="296"/>
      <c r="L341" s="296"/>
    </row>
    <row r="342" spans="1:12" x14ac:dyDescent="0.2">
      <c r="A342" s="175"/>
      <c r="B342" s="193" t="s">
        <v>274</v>
      </c>
      <c r="C342" s="246">
        <f>SUM(C338:L338)</f>
        <v>967761.26055038953</v>
      </c>
    </row>
    <row r="343" spans="1:12" x14ac:dyDescent="0.2">
      <c r="A343" s="175"/>
      <c r="B343" s="193" t="s">
        <v>275</v>
      </c>
      <c r="C343" s="246">
        <f>SUM(C339:L339)</f>
        <v>1441931.1208483931</v>
      </c>
    </row>
    <row r="344" spans="1:12" x14ac:dyDescent="0.2">
      <c r="A344" s="175"/>
      <c r="B344" s="193" t="s">
        <v>276</v>
      </c>
      <c r="C344" s="246">
        <f>+C343+C342</f>
        <v>2409692.3813987826</v>
      </c>
    </row>
    <row r="345" spans="1:12" x14ac:dyDescent="0.2">
      <c r="A345" s="175"/>
      <c r="C345" s="296"/>
      <c r="E345" s="296"/>
    </row>
    <row r="346" spans="1:12" x14ac:dyDescent="0.2">
      <c r="B346" s="199" t="s">
        <v>278</v>
      </c>
      <c r="C346" s="246">
        <f>+C334-C344</f>
        <v>-173.07677133195102</v>
      </c>
    </row>
    <row r="347" spans="1:12" x14ac:dyDescent="0.2">
      <c r="C347" s="102" t="s">
        <v>279</v>
      </c>
    </row>
    <row r="350" spans="1:12" x14ac:dyDescent="0.2">
      <c r="A350" s="172" t="s">
        <v>280</v>
      </c>
      <c r="B350" s="170" t="s">
        <v>281</v>
      </c>
      <c r="C350" s="178" t="s">
        <v>282</v>
      </c>
    </row>
    <row r="351" spans="1:12" x14ac:dyDescent="0.2">
      <c r="B351" s="171" t="s">
        <v>34</v>
      </c>
    </row>
    <row r="352" spans="1:12" x14ac:dyDescent="0.2">
      <c r="B352" s="193" t="s">
        <v>47</v>
      </c>
      <c r="C352" s="201">
        <f>SUMPRODUCT(O49:X49,C85:L85)</f>
        <v>10430236.261253968</v>
      </c>
    </row>
    <row r="353" spans="2:3" x14ac:dyDescent="0.2">
      <c r="B353" s="193" t="s">
        <v>48</v>
      </c>
      <c r="C353" s="315">
        <f>SUMPRODUCT(O45:X45,C85:L85)</f>
        <v>15540694.669210102</v>
      </c>
    </row>
    <row r="354" spans="2:3" x14ac:dyDescent="0.2">
      <c r="B354" s="193" t="s">
        <v>106</v>
      </c>
      <c r="C354" s="201">
        <f>+C353+C352</f>
        <v>25970930.93046407</v>
      </c>
    </row>
  </sheetData>
  <mergeCells count="1">
    <mergeCell ref="R145:V145"/>
  </mergeCells>
  <pageMargins left="0.75" right="0.75" top="1" bottom="1" header="0.5" footer="0.5"/>
  <pageSetup scale="62" fitToHeight="7" orientation="landscape" r:id="rId1"/>
  <headerFooter alignWithMargins="0">
    <oddHeader>&amp;C&amp;"Arial,Bold"Public Service Electric and Gas Company Specific Addendum
Attachment 2</oddHeader>
    <oddFooter>&amp;CPage &amp;P of &amp;N</oddFooter>
  </headerFooter>
  <rowBreaks count="6" manualBreakCount="6">
    <brk id="39" max="11" man="1"/>
    <brk id="88" max="11" man="1"/>
    <brk id="140" max="11" man="1"/>
    <brk id="185" max="11" man="1"/>
    <brk id="237" max="11" man="1"/>
    <brk id="29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12"/>
  <sheetViews>
    <sheetView view="pageBreakPreview" zoomScaleNormal="100" zoomScaleSheetLayoutView="100" workbookViewId="0">
      <selection activeCell="E8" sqref="E8"/>
    </sheetView>
  </sheetViews>
  <sheetFormatPr defaultColWidth="9.140625" defaultRowHeight="12.75" x14ac:dyDescent="0.2"/>
  <cols>
    <col min="1" max="1" width="12.5703125" style="102" customWidth="1"/>
    <col min="2" max="2" width="34.7109375" style="102" customWidth="1"/>
    <col min="3" max="3" width="26.42578125" style="102" customWidth="1"/>
    <col min="4" max="5" width="13.140625" style="102" customWidth="1"/>
    <col min="6" max="7" width="12.140625" style="102" customWidth="1"/>
    <col min="8" max="8" width="11.85546875" style="102" customWidth="1"/>
    <col min="9" max="9" width="11" style="102" customWidth="1"/>
    <col min="10" max="10" width="13.140625" style="102" customWidth="1"/>
    <col min="11" max="11" width="12.5703125" style="102" customWidth="1"/>
    <col min="12" max="12" width="12.5703125" style="102" bestFit="1" customWidth="1"/>
    <col min="13" max="13" width="14.28515625" style="102" bestFit="1" customWidth="1"/>
    <col min="14" max="14" width="24.140625" style="102" bestFit="1" customWidth="1"/>
    <col min="15" max="16" width="10.85546875" style="102" bestFit="1" customWidth="1"/>
    <col min="17" max="17" width="14.42578125" style="102" bestFit="1" customWidth="1"/>
    <col min="18" max="16384" width="9.140625" style="102"/>
  </cols>
  <sheetData>
    <row r="1" spans="1:17" ht="15.75" x14ac:dyDescent="0.25">
      <c r="B1" s="7" t="s">
        <v>283</v>
      </c>
    </row>
    <row r="2" spans="1:17" x14ac:dyDescent="0.2">
      <c r="B2" s="316" t="s">
        <v>284</v>
      </c>
    </row>
    <row r="3" spans="1:17" x14ac:dyDescent="0.2">
      <c r="B3" s="171" t="s">
        <v>285</v>
      </c>
    </row>
    <row r="4" spans="1:17" x14ac:dyDescent="0.2">
      <c r="M4" s="214"/>
      <c r="N4" s="214"/>
      <c r="O4" s="214"/>
      <c r="P4" s="214"/>
      <c r="Q4" s="214"/>
    </row>
    <row r="5" spans="1:17" x14ac:dyDescent="0.2">
      <c r="A5" s="172" t="s">
        <v>286</v>
      </c>
      <c r="B5" s="170" t="s">
        <v>287</v>
      </c>
      <c r="M5" s="214"/>
      <c r="N5" s="214"/>
      <c r="O5" s="214"/>
      <c r="P5" s="214"/>
      <c r="Q5" s="214"/>
    </row>
    <row r="6" spans="1:17" ht="51" customHeight="1" x14ac:dyDescent="0.2">
      <c r="A6" s="193" t="s">
        <v>288</v>
      </c>
      <c r="B6" s="170" t="s">
        <v>89</v>
      </c>
      <c r="C6" s="176" t="s">
        <v>90</v>
      </c>
      <c r="D6" s="176" t="s">
        <v>91</v>
      </c>
      <c r="E6" s="176" t="s">
        <v>289</v>
      </c>
      <c r="G6" s="176" t="s">
        <v>290</v>
      </c>
      <c r="M6" s="214"/>
      <c r="N6" s="214"/>
      <c r="O6" s="214"/>
      <c r="P6" s="214"/>
      <c r="Q6" s="214"/>
    </row>
    <row r="7" spans="1:17" x14ac:dyDescent="0.2">
      <c r="M7" s="214"/>
      <c r="N7" s="214"/>
      <c r="O7" s="214"/>
      <c r="P7" s="214"/>
      <c r="Q7" s="214"/>
    </row>
    <row r="8" spans="1:17" x14ac:dyDescent="0.2">
      <c r="A8" s="193">
        <v>1</v>
      </c>
      <c r="B8" s="170" t="s">
        <v>93</v>
      </c>
      <c r="C8" s="267">
        <f>Input!C136</f>
        <v>90.78</v>
      </c>
      <c r="D8" s="267">
        <f>Input!D136</f>
        <v>91.77</v>
      </c>
      <c r="E8" s="267">
        <v>91.77</v>
      </c>
      <c r="G8" s="168" t="s">
        <v>291</v>
      </c>
      <c r="M8" s="214"/>
      <c r="N8" s="214"/>
      <c r="O8" s="214"/>
      <c r="P8" s="214"/>
      <c r="Q8" s="214"/>
    </row>
    <row r="9" spans="1:17" x14ac:dyDescent="0.2">
      <c r="A9" s="194"/>
      <c r="B9" s="170"/>
      <c r="C9" s="170"/>
      <c r="D9" s="170"/>
      <c r="E9" s="170"/>
      <c r="F9" s="170"/>
      <c r="G9" s="170"/>
      <c r="M9" s="214"/>
      <c r="N9" s="214"/>
      <c r="O9" s="214"/>
      <c r="P9" s="214"/>
      <c r="Q9" s="214"/>
    </row>
    <row r="10" spans="1:17" x14ac:dyDescent="0.2">
      <c r="A10" s="193"/>
      <c r="B10" s="170" t="s">
        <v>292</v>
      </c>
      <c r="C10" s="317">
        <f>+C8+C9</f>
        <v>90.78</v>
      </c>
      <c r="D10" s="317">
        <f>+D8+D9</f>
        <v>91.77</v>
      </c>
      <c r="E10" s="317">
        <f>+E8+E9</f>
        <v>91.77</v>
      </c>
      <c r="G10" s="208"/>
      <c r="M10" s="214"/>
      <c r="N10" s="214"/>
      <c r="O10" s="214"/>
      <c r="P10" s="214"/>
      <c r="Q10" s="214"/>
    </row>
    <row r="11" spans="1:17" x14ac:dyDescent="0.2">
      <c r="A11" s="193"/>
      <c r="B11" s="170"/>
      <c r="C11" s="317"/>
      <c r="D11" s="317"/>
      <c r="E11" s="317"/>
      <c r="G11" s="208"/>
      <c r="M11" s="214"/>
      <c r="N11" s="214"/>
      <c r="O11" s="214"/>
      <c r="P11" s="214"/>
      <c r="Q11" s="214"/>
    </row>
    <row r="12" spans="1:17" x14ac:dyDescent="0.2">
      <c r="B12" s="171" t="s">
        <v>293</v>
      </c>
      <c r="M12" s="214"/>
      <c r="N12" s="214"/>
      <c r="O12" s="214"/>
      <c r="P12" s="214"/>
      <c r="Q12" s="214"/>
    </row>
    <row r="13" spans="1:17" x14ac:dyDescent="0.2">
      <c r="A13" s="193">
        <v>2</v>
      </c>
      <c r="B13" s="170" t="s">
        <v>94</v>
      </c>
      <c r="C13" s="258">
        <f>Input!C137</f>
        <v>28</v>
      </c>
      <c r="D13" s="258">
        <f>Input!D137</f>
        <v>29</v>
      </c>
      <c r="E13" s="258">
        <f>Input!E137</f>
        <v>28</v>
      </c>
      <c r="G13" s="102" t="s">
        <v>294</v>
      </c>
      <c r="M13" s="214"/>
      <c r="N13" s="214"/>
      <c r="O13" s="214"/>
      <c r="P13" s="214"/>
      <c r="Q13" s="214"/>
    </row>
    <row r="14" spans="1:17" x14ac:dyDescent="0.2">
      <c r="A14" s="193">
        <v>3</v>
      </c>
      <c r="B14" s="170" t="s">
        <v>295</v>
      </c>
      <c r="C14" s="258">
        <v>85</v>
      </c>
      <c r="D14" s="258">
        <v>85</v>
      </c>
      <c r="E14" s="258">
        <v>85</v>
      </c>
      <c r="G14" s="102" t="s">
        <v>294</v>
      </c>
      <c r="M14" s="214"/>
      <c r="N14" s="214"/>
      <c r="O14" s="214"/>
      <c r="P14" s="214"/>
      <c r="Q14" s="214"/>
    </row>
    <row r="15" spans="1:17" x14ac:dyDescent="0.2">
      <c r="A15" s="193"/>
      <c r="B15" s="170" t="s">
        <v>97</v>
      </c>
      <c r="M15" s="214"/>
      <c r="N15" s="214"/>
      <c r="O15" s="214"/>
      <c r="P15" s="214"/>
      <c r="Q15" s="214"/>
    </row>
    <row r="16" spans="1:17" x14ac:dyDescent="0.2">
      <c r="A16" s="193">
        <v>4</v>
      </c>
      <c r="B16" s="211" t="s">
        <v>98</v>
      </c>
      <c r="C16" s="216">
        <f>Input!C140</f>
        <v>1</v>
      </c>
      <c r="D16" s="216">
        <f>Input!D140</f>
        <v>1</v>
      </c>
      <c r="E16" s="216">
        <f>IF(LEFT(Input!$B$2,6)="rebase",Input!E140,bid_factors!L316)</f>
        <v>1</v>
      </c>
      <c r="K16" s="216"/>
      <c r="M16" s="214"/>
      <c r="N16" s="214"/>
      <c r="O16" s="214"/>
      <c r="P16" s="214"/>
      <c r="Q16" s="214"/>
    </row>
    <row r="17" spans="1:17" ht="12.75" customHeight="1" x14ac:dyDescent="0.2">
      <c r="A17" s="193">
        <v>5</v>
      </c>
      <c r="B17" s="211" t="s">
        <v>99</v>
      </c>
      <c r="C17" s="216">
        <f>Input!C141</f>
        <v>1</v>
      </c>
      <c r="D17" s="216">
        <f>Input!D141</f>
        <v>1</v>
      </c>
      <c r="E17" s="216">
        <f>IF(LEFT(Input!$B$2,6)="rebase",Input!E141,bid_factors!L317)</f>
        <v>1</v>
      </c>
      <c r="K17" s="216"/>
      <c r="M17" s="214"/>
      <c r="N17" s="214"/>
      <c r="O17" s="214"/>
      <c r="P17" s="214"/>
      <c r="Q17" s="214"/>
    </row>
    <row r="18" spans="1:17" x14ac:dyDescent="0.2">
      <c r="A18" s="193"/>
    </row>
    <row r="19" spans="1:17" x14ac:dyDescent="0.2">
      <c r="A19" s="193"/>
      <c r="B19" s="170" t="s">
        <v>296</v>
      </c>
    </row>
    <row r="20" spans="1:17" x14ac:dyDescent="0.2">
      <c r="A20" s="193">
        <v>6</v>
      </c>
      <c r="B20" s="102" t="s">
        <v>297</v>
      </c>
      <c r="C20" s="266">
        <f>+bid_factors!C352</f>
        <v>10430236.261253968</v>
      </c>
      <c r="D20" s="207"/>
      <c r="E20" s="207"/>
      <c r="G20" s="102" t="s">
        <v>298</v>
      </c>
    </row>
    <row r="21" spans="1:17" x14ac:dyDescent="0.2">
      <c r="A21" s="193">
        <v>7</v>
      </c>
      <c r="B21" s="102" t="s">
        <v>299</v>
      </c>
      <c r="C21" s="266">
        <f>+bid_factors!C353</f>
        <v>15540694.669210102</v>
      </c>
      <c r="D21" s="207"/>
      <c r="E21" s="207"/>
    </row>
    <row r="22" spans="1:17" x14ac:dyDescent="0.2">
      <c r="A22" s="193"/>
    </row>
    <row r="23" spans="1:17" x14ac:dyDescent="0.2">
      <c r="A23" s="193"/>
      <c r="B23" s="170" t="s">
        <v>300</v>
      </c>
    </row>
    <row r="24" spans="1:17" x14ac:dyDescent="0.2">
      <c r="A24" s="193">
        <v>8</v>
      </c>
      <c r="B24" s="211" t="s">
        <v>98</v>
      </c>
      <c r="C24" s="318">
        <f>+C$8*C$13/C$14*C16*$C20/1000+C$9*C$13/C$14*$C20/1000</f>
        <v>311905.78515653865</v>
      </c>
      <c r="D24" s="318">
        <f t="shared" ref="D24:E25" si="0">+D$8*D$13/D$14*D16*$C20/1000+D$9*D$13/D$14*$C20/1000</f>
        <v>326568.24316662375</v>
      </c>
      <c r="E24" s="318">
        <f t="shared" si="0"/>
        <v>315307.26926432637</v>
      </c>
      <c r="F24" s="319"/>
      <c r="G24" s="320" t="s">
        <v>301</v>
      </c>
      <c r="J24" s="246"/>
      <c r="L24" s="246"/>
    </row>
    <row r="25" spans="1:17" ht="15" x14ac:dyDescent="0.35">
      <c r="A25" s="193">
        <v>9</v>
      </c>
      <c r="B25" s="211" t="s">
        <v>99</v>
      </c>
      <c r="C25" s="321">
        <f>+C$8*C$13/C$14*C17*$C21/1000+C$9*C$13/C$14*$C21/1000</f>
        <v>464728.93338805897</v>
      </c>
      <c r="D25" s="321">
        <f t="shared" si="0"/>
        <v>486575.49345892848</v>
      </c>
      <c r="E25" s="321">
        <f t="shared" si="0"/>
        <v>469797.02816724125</v>
      </c>
      <c r="F25" s="319"/>
      <c r="G25" s="320" t="s">
        <v>302</v>
      </c>
    </row>
    <row r="26" spans="1:17" x14ac:dyDescent="0.2">
      <c r="A26" s="193">
        <v>10</v>
      </c>
      <c r="B26" s="102" t="s">
        <v>303</v>
      </c>
      <c r="C26" s="246">
        <f>+C25+C24</f>
        <v>776634.71854459762</v>
      </c>
      <c r="D26" s="246">
        <f>+D25+D24</f>
        <v>813143.73662555218</v>
      </c>
      <c r="E26" s="246">
        <f>+E25+E24</f>
        <v>785104.29743156768</v>
      </c>
      <c r="G26" s="102" t="s">
        <v>304</v>
      </c>
      <c r="J26" s="246"/>
      <c r="L26" s="246"/>
    </row>
    <row r="27" spans="1:17" x14ac:dyDescent="0.2">
      <c r="A27" s="193"/>
    </row>
    <row r="28" spans="1:17" x14ac:dyDescent="0.2">
      <c r="A28" s="193"/>
      <c r="B28" s="170" t="s">
        <v>305</v>
      </c>
    </row>
    <row r="29" spans="1:17" x14ac:dyDescent="0.2">
      <c r="A29" s="193">
        <v>11</v>
      </c>
      <c r="B29" s="211" t="s">
        <v>98</v>
      </c>
      <c r="C29" s="322">
        <f>ROUND(+SUM(C24:E24)/C20*1000,3)</f>
        <v>91.444000000000003</v>
      </c>
      <c r="D29" s="292"/>
      <c r="G29" s="236" t="s">
        <v>306</v>
      </c>
    </row>
    <row r="30" spans="1:17" x14ac:dyDescent="0.2">
      <c r="A30" s="193">
        <v>12</v>
      </c>
      <c r="B30" s="211" t="s">
        <v>99</v>
      </c>
      <c r="C30" s="323">
        <f>ROUND(+SUM(C25:E25)/C21*1000,3)</f>
        <v>91.444000000000003</v>
      </c>
      <c r="G30" s="236" t="s">
        <v>307</v>
      </c>
    </row>
    <row r="31" spans="1:17" x14ac:dyDescent="0.2">
      <c r="A31" s="193"/>
      <c r="B31" s="211"/>
      <c r="C31" s="290"/>
      <c r="G31" s="236"/>
    </row>
    <row r="32" spans="1:17" x14ac:dyDescent="0.2">
      <c r="A32" s="193">
        <v>13</v>
      </c>
      <c r="B32" s="102" t="s">
        <v>308</v>
      </c>
      <c r="C32" s="324">
        <f>ROUND(+SUM(C26:E26)/(C20+C21)*1000,3)</f>
        <v>91.444000000000003</v>
      </c>
      <c r="D32" s="102" t="s">
        <v>309</v>
      </c>
      <c r="G32" s="236" t="s">
        <v>310</v>
      </c>
    </row>
    <row r="33" spans="1:13" x14ac:dyDescent="0.2">
      <c r="D33" s="102" t="s">
        <v>311</v>
      </c>
      <c r="G33" s="102" t="s">
        <v>312</v>
      </c>
    </row>
    <row r="34" spans="1:13" x14ac:dyDescent="0.2">
      <c r="C34" s="292"/>
    </row>
    <row r="35" spans="1:13" x14ac:dyDescent="0.2">
      <c r="B35" s="325" t="s">
        <v>313</v>
      </c>
      <c r="D35" s="292"/>
    </row>
    <row r="36" spans="1:13" x14ac:dyDescent="0.2">
      <c r="A36" s="193">
        <v>14</v>
      </c>
      <c r="B36" s="199" t="s">
        <v>314</v>
      </c>
      <c r="C36" s="246">
        <f>(C32*(C21+C20))/1000</f>
        <v>2374885.8080053562</v>
      </c>
      <c r="D36" s="292"/>
      <c r="G36" s="236" t="s">
        <v>315</v>
      </c>
    </row>
    <row r="37" spans="1:13" ht="15" x14ac:dyDescent="0.35">
      <c r="A37" s="193">
        <v>15</v>
      </c>
      <c r="B37" s="199" t="s">
        <v>316</v>
      </c>
      <c r="C37" s="326">
        <f>SUM(C26:E26)</f>
        <v>2374882.7526017176</v>
      </c>
      <c r="D37" s="292"/>
      <c r="G37" s="236" t="s">
        <v>317</v>
      </c>
    </row>
    <row r="38" spans="1:13" x14ac:dyDescent="0.2">
      <c r="A38" s="193">
        <v>16</v>
      </c>
      <c r="B38" s="199" t="s">
        <v>318</v>
      </c>
      <c r="C38" s="251">
        <f>+C36-C37</f>
        <v>3.0554036386311054</v>
      </c>
      <c r="D38" s="292"/>
      <c r="G38" s="236" t="s">
        <v>319</v>
      </c>
    </row>
    <row r="39" spans="1:13" x14ac:dyDescent="0.2">
      <c r="B39" s="199"/>
      <c r="D39" s="292"/>
    </row>
    <row r="41" spans="1:13" x14ac:dyDescent="0.2">
      <c r="A41" s="172" t="s">
        <v>320</v>
      </c>
      <c r="B41" s="170" t="s">
        <v>321</v>
      </c>
      <c r="G41" s="171" t="s">
        <v>322</v>
      </c>
    </row>
    <row r="42" spans="1:13" x14ac:dyDescent="0.2">
      <c r="A42" s="172"/>
      <c r="B42" s="170"/>
      <c r="G42" s="171" t="s">
        <v>323</v>
      </c>
    </row>
    <row r="43" spans="1:13" x14ac:dyDescent="0.2">
      <c r="B43" s="170" t="s">
        <v>199</v>
      </c>
    </row>
    <row r="44" spans="1:13" x14ac:dyDescent="0.2">
      <c r="B44" s="171" t="s">
        <v>200</v>
      </c>
    </row>
    <row r="45" spans="1:13" x14ac:dyDescent="0.2">
      <c r="B45" s="170"/>
    </row>
    <row r="46" spans="1:13" x14ac:dyDescent="0.2">
      <c r="C46" s="167" t="str">
        <f>+bid_factors!C243</f>
        <v>RS</v>
      </c>
      <c r="D46" s="167" t="str">
        <f>+bid_factors!D243</f>
        <v>RHS</v>
      </c>
      <c r="E46" s="167" t="str">
        <f>+bid_factors!E243</f>
        <v>RLM</v>
      </c>
      <c r="F46" s="167" t="str">
        <f>+bid_factors!F243</f>
        <v>WH</v>
      </c>
      <c r="G46" s="167" t="str">
        <f>+bid_factors!G243</f>
        <v>WHS</v>
      </c>
      <c r="H46" s="167" t="str">
        <f>+bid_factors!H243</f>
        <v>HS</v>
      </c>
      <c r="I46" s="167" t="str">
        <f>+bid_factors!I243</f>
        <v>PSAL</v>
      </c>
      <c r="J46" s="167" t="str">
        <f>+bid_factors!J243</f>
        <v>BPL</v>
      </c>
    </row>
    <row r="47" spans="1:13" x14ac:dyDescent="0.2">
      <c r="C47" s="167"/>
      <c r="D47" s="167"/>
      <c r="E47" s="167"/>
      <c r="F47" s="167"/>
      <c r="G47" s="167"/>
    </row>
    <row r="48" spans="1:13" x14ac:dyDescent="0.2">
      <c r="B48" s="181" t="s">
        <v>136</v>
      </c>
      <c r="E48" s="294"/>
      <c r="F48" s="295">
        <f>+bid_factors!F245</f>
        <v>0.54900000000000004</v>
      </c>
      <c r="G48" s="295">
        <f>+bid_factors!G245</f>
        <v>0.54600000000000004</v>
      </c>
      <c r="H48" s="295">
        <f>+bid_factors!H245</f>
        <v>0.97299999999999998</v>
      </c>
      <c r="I48" s="294">
        <f>+bid_factors!I245</f>
        <v>0.505</v>
      </c>
      <c r="J48" s="294">
        <f>+bid_factors!J245</f>
        <v>0.504</v>
      </c>
      <c r="K48" s="296"/>
      <c r="L48" s="296"/>
      <c r="M48" s="296"/>
    </row>
    <row r="49" spans="2:13" x14ac:dyDescent="0.2">
      <c r="B49" s="242" t="s">
        <v>156</v>
      </c>
      <c r="C49" s="297"/>
      <c r="D49" s="298"/>
      <c r="E49" s="295">
        <f>+bid_factors!E246</f>
        <v>2.0019999999999998</v>
      </c>
      <c r="F49" s="294"/>
      <c r="G49" s="294"/>
      <c r="H49" s="294"/>
      <c r="I49" s="168"/>
      <c r="J49" s="299" t="s">
        <v>226</v>
      </c>
      <c r="K49" s="296"/>
      <c r="L49" s="296"/>
      <c r="M49" s="296"/>
    </row>
    <row r="50" spans="2:13" x14ac:dyDescent="0.2">
      <c r="B50" s="242" t="s">
        <v>157</v>
      </c>
      <c r="C50" s="297"/>
      <c r="D50" s="298"/>
      <c r="E50" s="295">
        <f>+bid_factors!E247</f>
        <v>0.48399999999999999</v>
      </c>
      <c r="F50" s="294"/>
      <c r="G50" s="294"/>
      <c r="H50" s="300"/>
      <c r="I50" s="168"/>
      <c r="J50" s="299" t="s">
        <v>227</v>
      </c>
      <c r="K50" s="301">
        <f>+bid_factors!K247</f>
        <v>0.504</v>
      </c>
      <c r="L50" s="296"/>
      <c r="M50" s="296"/>
    </row>
    <row r="51" spans="2:13" x14ac:dyDescent="0.2">
      <c r="E51" s="297"/>
      <c r="F51" s="298"/>
      <c r="G51" s="298"/>
      <c r="L51" s="296"/>
      <c r="M51" s="296"/>
    </row>
    <row r="52" spans="2:13" x14ac:dyDescent="0.2">
      <c r="B52" s="302" t="s">
        <v>228</v>
      </c>
      <c r="C52" s="295">
        <f>+bid_factors!C249</f>
        <v>1.113</v>
      </c>
      <c r="D52" s="295">
        <f>+bid_factors!D249</f>
        <v>0.89800000000000002</v>
      </c>
      <c r="E52" s="297"/>
      <c r="F52" s="298"/>
      <c r="G52" s="298"/>
      <c r="H52" s="298"/>
      <c r="I52" s="298"/>
      <c r="J52" s="298"/>
      <c r="K52" s="296"/>
      <c r="L52" s="296"/>
      <c r="M52" s="296"/>
    </row>
    <row r="53" spans="2:13" x14ac:dyDescent="0.2">
      <c r="B53" s="302" t="s">
        <v>229</v>
      </c>
      <c r="C53" s="303">
        <f>+bid_factors!C250</f>
        <v>-3.0539999999999998</v>
      </c>
      <c r="D53" s="303">
        <f>+bid_factors!D250</f>
        <v>-4.2460000000000004</v>
      </c>
      <c r="E53" s="283" t="s">
        <v>230</v>
      </c>
      <c r="F53" s="298"/>
      <c r="G53" s="298"/>
      <c r="H53" s="298"/>
      <c r="I53" s="298"/>
      <c r="J53" s="298"/>
      <c r="K53" s="296"/>
      <c r="L53" s="296"/>
      <c r="M53" s="296"/>
    </row>
    <row r="54" spans="2:13" x14ac:dyDescent="0.2">
      <c r="B54" s="302" t="s">
        <v>229</v>
      </c>
      <c r="C54" s="303">
        <f>+bid_factors!C251</f>
        <v>5.5979999999999999</v>
      </c>
      <c r="D54" s="303">
        <f>+bid_factors!D251</f>
        <v>7.3230000000000004</v>
      </c>
      <c r="E54" s="283" t="s">
        <v>231</v>
      </c>
      <c r="F54" s="298"/>
      <c r="G54" s="298"/>
      <c r="H54" s="298"/>
      <c r="I54" s="298"/>
      <c r="J54" s="298"/>
      <c r="K54" s="296"/>
      <c r="L54" s="296"/>
      <c r="M54" s="296"/>
    </row>
    <row r="55" spans="2:13" x14ac:dyDescent="0.2">
      <c r="G55" s="298"/>
      <c r="H55" s="298"/>
      <c r="I55" s="298"/>
      <c r="J55" s="298"/>
      <c r="K55" s="296"/>
      <c r="L55" s="296"/>
      <c r="M55" s="296"/>
    </row>
    <row r="56" spans="2:13" x14ac:dyDescent="0.2">
      <c r="H56" s="298"/>
      <c r="I56" s="298"/>
      <c r="J56" s="298"/>
      <c r="K56" s="296"/>
      <c r="L56" s="296"/>
      <c r="M56" s="296"/>
    </row>
    <row r="57" spans="2:13" x14ac:dyDescent="0.2">
      <c r="C57" s="298"/>
      <c r="D57" s="298"/>
      <c r="E57" s="298"/>
      <c r="F57" s="298"/>
      <c r="G57" s="298"/>
      <c r="H57" s="298"/>
      <c r="I57" s="298"/>
      <c r="J57" s="298"/>
      <c r="K57" s="296"/>
      <c r="L57" s="296"/>
      <c r="M57" s="296"/>
    </row>
    <row r="58" spans="2:13" x14ac:dyDescent="0.2">
      <c r="B58" s="181" t="s">
        <v>139</v>
      </c>
      <c r="C58" s="295">
        <f>+bid_factors!C255</f>
        <v>1.1659999999999999</v>
      </c>
      <c r="D58" s="295">
        <f>+bid_factors!D255</f>
        <v>0.96699999999999997</v>
      </c>
      <c r="E58" s="294"/>
      <c r="F58" s="295">
        <f>+bid_factors!F255</f>
        <v>0.60799999999999998</v>
      </c>
      <c r="G58" s="295">
        <f>+bid_factors!G255</f>
        <v>0.60899999999999999</v>
      </c>
      <c r="H58" s="295">
        <f>+bid_factors!H255</f>
        <v>1.0289999999999999</v>
      </c>
      <c r="I58" s="294">
        <f>+bid_factors!I255</f>
        <v>0.58899999999999997</v>
      </c>
      <c r="J58" s="294">
        <f>+bid_factors!J255</f>
        <v>0.58899999999999997</v>
      </c>
      <c r="K58" s="296"/>
      <c r="L58" s="296"/>
      <c r="M58" s="296"/>
    </row>
    <row r="59" spans="2:13" x14ac:dyDescent="0.2">
      <c r="B59" s="242" t="s">
        <v>156</v>
      </c>
      <c r="C59" s="298"/>
      <c r="D59" s="298"/>
      <c r="E59" s="295">
        <f>+bid_factors!E256</f>
        <v>2.0270000000000001</v>
      </c>
      <c r="F59" s="298"/>
      <c r="G59" s="298"/>
      <c r="H59" s="298"/>
      <c r="J59" s="299" t="s">
        <v>226</v>
      </c>
      <c r="K59" s="296"/>
      <c r="L59" s="296"/>
      <c r="M59" s="296"/>
    </row>
    <row r="60" spans="2:13" x14ac:dyDescent="0.2">
      <c r="B60" s="242" t="s">
        <v>157</v>
      </c>
      <c r="C60" s="298"/>
      <c r="D60" s="298"/>
      <c r="E60" s="295">
        <f>+bid_factors!E257</f>
        <v>0.57199999999999995</v>
      </c>
      <c r="F60" s="298"/>
      <c r="G60" s="298"/>
      <c r="J60" s="299" t="s">
        <v>227</v>
      </c>
      <c r="K60" s="301">
        <f>+bid_factors!K257</f>
        <v>0.58899999999999997</v>
      </c>
      <c r="L60" s="296"/>
      <c r="M60" s="296"/>
    </row>
    <row r="61" spans="2:13" x14ac:dyDescent="0.2">
      <c r="C61" s="304"/>
      <c r="D61" s="304"/>
      <c r="E61" s="304"/>
      <c r="F61" s="304"/>
      <c r="G61" s="304"/>
      <c r="K61" s="296"/>
      <c r="L61" s="296"/>
      <c r="M61" s="296"/>
    </row>
    <row r="62" spans="2:13" x14ac:dyDescent="0.2">
      <c r="B62" s="102" t="s">
        <v>232</v>
      </c>
      <c r="C62" s="305">
        <f>+bid_factors!C259</f>
        <v>1.143</v>
      </c>
      <c r="D62" s="305">
        <f>+bid_factors!D259</f>
        <v>0.95099999999999996</v>
      </c>
      <c r="E62" s="305">
        <f>+bid_factors!E259</f>
        <v>1.2050000000000001</v>
      </c>
      <c r="F62" s="305">
        <f>+bid_factors!F259</f>
        <v>0.59199999999999997</v>
      </c>
      <c r="G62" s="305">
        <f>+bid_factors!G259</f>
        <v>0.59299999999999997</v>
      </c>
      <c r="H62" s="305">
        <f>+bid_factors!H259</f>
        <v>1.0169999999999999</v>
      </c>
      <c r="I62" s="305">
        <f>+bid_factors!I259</f>
        <v>0.56599999999999995</v>
      </c>
      <c r="J62" s="305">
        <f>+bid_factors!J259</f>
        <v>0.56699999999999995</v>
      </c>
      <c r="K62" s="296"/>
      <c r="L62" s="296"/>
      <c r="M62" s="296"/>
    </row>
    <row r="65" spans="2:11" x14ac:dyDescent="0.2">
      <c r="B65" s="170" t="s">
        <v>203</v>
      </c>
    </row>
    <row r="66" spans="2:11" x14ac:dyDescent="0.2">
      <c r="B66" s="171" t="s">
        <v>204</v>
      </c>
    </row>
    <row r="67" spans="2:11" x14ac:dyDescent="0.2">
      <c r="B67" s="168"/>
    </row>
    <row r="68" spans="2:11" x14ac:dyDescent="0.2">
      <c r="C68" s="167" t="str">
        <f>+bid_factors!C265</f>
        <v>GLP</v>
      </c>
      <c r="D68" s="167" t="str">
        <f>+bid_factors!D265</f>
        <v>GLP</v>
      </c>
      <c r="E68" s="167" t="str">
        <f>+bid_factors!E265</f>
        <v>LPL-S</v>
      </c>
      <c r="F68" s="167" t="str">
        <f>+bid_factors!F265</f>
        <v>LPL-S</v>
      </c>
      <c r="H68" s="170" t="s">
        <v>205</v>
      </c>
      <c r="I68" s="167" t="str">
        <f>+C68</f>
        <v>GLP</v>
      </c>
      <c r="J68" s="167" t="str">
        <f>+E68</f>
        <v>LPL-S</v>
      </c>
    </row>
    <row r="69" spans="2:11" ht="25.5" x14ac:dyDescent="0.2">
      <c r="C69" s="167" t="s">
        <v>233</v>
      </c>
      <c r="D69" s="306" t="s">
        <v>229</v>
      </c>
      <c r="E69" s="167" t="s">
        <v>233</v>
      </c>
      <c r="F69" s="306" t="s">
        <v>229</v>
      </c>
    </row>
    <row r="70" spans="2:11" x14ac:dyDescent="0.2">
      <c r="B70" s="181" t="s">
        <v>136</v>
      </c>
      <c r="C70" s="295">
        <f>+bid_factors!C267</f>
        <v>1.012</v>
      </c>
      <c r="D70" s="301">
        <f>+bid_factors!D267</f>
        <v>-41.302999999999997</v>
      </c>
      <c r="E70" s="300"/>
      <c r="F70" s="300"/>
      <c r="H70" s="289" t="s">
        <v>206</v>
      </c>
    </row>
    <row r="71" spans="2:11" x14ac:dyDescent="0.2">
      <c r="B71" s="242" t="s">
        <v>156</v>
      </c>
      <c r="C71" s="294"/>
      <c r="D71" s="301"/>
      <c r="E71" s="295">
        <f>+bid_factors!E268</f>
        <v>1.24</v>
      </c>
      <c r="F71" s="301">
        <f>+bid_factors!F268</f>
        <v>-55.966999999999999</v>
      </c>
      <c r="H71" s="199" t="s">
        <v>207</v>
      </c>
      <c r="I71" s="307">
        <f>+bid_factors!I$270</f>
        <v>4.8087</v>
      </c>
      <c r="J71" s="307">
        <f>+bid_factors!J$270</f>
        <v>4.8087</v>
      </c>
      <c r="K71" s="236" t="s">
        <v>208</v>
      </c>
    </row>
    <row r="72" spans="2:11" x14ac:dyDescent="0.2">
      <c r="B72" s="242" t="s">
        <v>157</v>
      </c>
      <c r="C72" s="294"/>
      <c r="D72" s="301"/>
      <c r="E72" s="295">
        <f>+bid_factors!E269</f>
        <v>0.48299999999999998</v>
      </c>
      <c r="F72" s="301">
        <f>+bid_factors!F269</f>
        <v>0</v>
      </c>
      <c r="H72" s="199" t="s">
        <v>209</v>
      </c>
      <c r="I72" s="307">
        <f>+bid_factors!I$270</f>
        <v>4.8087</v>
      </c>
      <c r="J72" s="307">
        <f>+bid_factors!J$270</f>
        <v>4.8087</v>
      </c>
      <c r="K72" s="236" t="s">
        <v>208</v>
      </c>
    </row>
    <row r="73" spans="2:11" x14ac:dyDescent="0.2">
      <c r="C73" s="294"/>
      <c r="D73" s="301"/>
      <c r="E73" s="294"/>
      <c r="F73" s="301"/>
      <c r="H73" s="199"/>
      <c r="I73" s="307"/>
      <c r="J73" s="307"/>
      <c r="K73" s="236"/>
    </row>
    <row r="74" spans="2:11" x14ac:dyDescent="0.2">
      <c r="B74" s="181" t="s">
        <v>139</v>
      </c>
      <c r="C74" s="295">
        <f>+bid_factors!C271</f>
        <v>1.1439999999999999</v>
      </c>
      <c r="D74" s="301">
        <f>+bid_factors!D271</f>
        <v>-49.232999999999997</v>
      </c>
      <c r="E74" s="295"/>
      <c r="F74" s="301"/>
      <c r="H74" s="289" t="s">
        <v>211</v>
      </c>
      <c r="I74" s="292"/>
      <c r="J74" s="292"/>
    </row>
    <row r="75" spans="2:11" x14ac:dyDescent="0.2">
      <c r="B75" s="242" t="s">
        <v>156</v>
      </c>
      <c r="C75" s="294"/>
      <c r="D75" s="300"/>
      <c r="E75" s="295">
        <f>+bid_factors!E272</f>
        <v>1.35</v>
      </c>
      <c r="F75" s="301">
        <f>+bid_factors!F272</f>
        <v>-64.373000000000005</v>
      </c>
      <c r="H75" s="199" t="s">
        <v>212</v>
      </c>
      <c r="I75" s="307">
        <f>+bid_factors!I273</f>
        <v>8.1593</v>
      </c>
      <c r="J75" s="307">
        <f>+bid_factors!J273</f>
        <v>8.1593</v>
      </c>
      <c r="K75" s="236" t="s">
        <v>213</v>
      </c>
    </row>
    <row r="76" spans="2:11" x14ac:dyDescent="0.2">
      <c r="B76" s="242" t="s">
        <v>157</v>
      </c>
      <c r="C76" s="294"/>
      <c r="D76" s="300"/>
      <c r="E76" s="295">
        <f>+bid_factors!E273</f>
        <v>0.56599999999999995</v>
      </c>
      <c r="F76" s="301">
        <f>+bid_factors!F273</f>
        <v>0</v>
      </c>
    </row>
    <row r="77" spans="2:11" x14ac:dyDescent="0.2">
      <c r="C77" s="305"/>
      <c r="D77" s="300"/>
      <c r="E77" s="305"/>
      <c r="F77" s="300"/>
    </row>
    <row r="78" spans="2:11" x14ac:dyDescent="0.2">
      <c r="B78" s="102" t="s">
        <v>217</v>
      </c>
      <c r="C78" s="305">
        <f>+bid_factors!C275</f>
        <v>1.095</v>
      </c>
      <c r="D78" s="300"/>
      <c r="E78" s="305">
        <f>+bid_factors!E275</f>
        <v>0.92200000000000004</v>
      </c>
      <c r="F78" s="300"/>
    </row>
    <row r="79" spans="2:11" x14ac:dyDescent="0.2">
      <c r="C79" s="305"/>
      <c r="D79" s="300"/>
      <c r="E79" s="305"/>
      <c r="F79" s="300"/>
    </row>
    <row r="80" spans="2:11" x14ac:dyDescent="0.2">
      <c r="C80" s="296"/>
      <c r="E80" s="296"/>
    </row>
    <row r="81" spans="1:13" x14ac:dyDescent="0.2">
      <c r="A81" s="327" t="s">
        <v>324</v>
      </c>
      <c r="B81" s="325" t="s">
        <v>325</v>
      </c>
      <c r="C81" s="296"/>
      <c r="E81" s="296"/>
    </row>
    <row r="82" spans="1:13" x14ac:dyDescent="0.2">
      <c r="A82" s="327"/>
      <c r="B82" s="171" t="s">
        <v>326</v>
      </c>
    </row>
    <row r="84" spans="1:13" x14ac:dyDescent="0.2">
      <c r="B84" s="170" t="s">
        <v>327</v>
      </c>
    </row>
    <row r="85" spans="1:13" x14ac:dyDescent="0.2">
      <c r="B85" s="171" t="s">
        <v>200</v>
      </c>
    </row>
    <row r="86" spans="1:13" x14ac:dyDescent="0.2">
      <c r="B86" s="170"/>
    </row>
    <row r="87" spans="1:13" x14ac:dyDescent="0.2">
      <c r="C87" s="167" t="str">
        <f>+C46</f>
        <v>RS</v>
      </c>
      <c r="D87" s="167" t="str">
        <f t="shared" ref="D87:J87" si="1">+D46</f>
        <v>RHS</v>
      </c>
      <c r="E87" s="167" t="str">
        <f t="shared" si="1"/>
        <v>RLM</v>
      </c>
      <c r="F87" s="167" t="str">
        <f t="shared" si="1"/>
        <v>WH</v>
      </c>
      <c r="G87" s="167" t="str">
        <f t="shared" si="1"/>
        <v>WHS</v>
      </c>
      <c r="H87" s="167" t="str">
        <f t="shared" si="1"/>
        <v>HS</v>
      </c>
      <c r="I87" s="167" t="str">
        <f t="shared" si="1"/>
        <v>PSAL</v>
      </c>
      <c r="J87" s="167" t="str">
        <f t="shared" si="1"/>
        <v>BPL</v>
      </c>
    </row>
    <row r="88" spans="1:13" x14ac:dyDescent="0.2">
      <c r="C88" s="327"/>
      <c r="D88" s="327"/>
      <c r="E88" s="327"/>
      <c r="F88" s="328"/>
      <c r="G88" s="328"/>
      <c r="H88" s="328"/>
      <c r="I88" s="328"/>
      <c r="J88" s="328"/>
    </row>
    <row r="89" spans="1:13" x14ac:dyDescent="0.2">
      <c r="B89" s="181" t="s">
        <v>136</v>
      </c>
      <c r="C89" s="327"/>
      <c r="D89" s="327"/>
      <c r="E89" s="327"/>
      <c r="F89" s="328">
        <f>ROUND(($C$32*F48)/10,4)</f>
        <v>5.0202999999999998</v>
      </c>
      <c r="G89" s="328">
        <f>ROUND(($C$32*G48)/10,4)</f>
        <v>4.9927999999999999</v>
      </c>
      <c r="H89" s="328">
        <f>ROUND(($C$32*H48)/10,4)</f>
        <v>8.8975000000000009</v>
      </c>
      <c r="I89" s="328">
        <f>ROUND(($C$32*K50)/10,4)</f>
        <v>4.6087999999999996</v>
      </c>
      <c r="J89" s="328">
        <f>+I89</f>
        <v>4.6087999999999996</v>
      </c>
      <c r="L89" s="296"/>
      <c r="M89" s="296"/>
    </row>
    <row r="90" spans="1:13" x14ac:dyDescent="0.2">
      <c r="B90" s="242" t="s">
        <v>156</v>
      </c>
      <c r="C90" s="327"/>
      <c r="D90" s="327"/>
      <c r="E90" s="328">
        <f>ROUND(($C$32*E49)/10,4)</f>
        <v>18.307099999999998</v>
      </c>
      <c r="F90" s="327"/>
      <c r="G90" s="328"/>
      <c r="H90" s="328"/>
      <c r="I90" s="328"/>
      <c r="J90" s="327"/>
      <c r="L90" s="296"/>
      <c r="M90" s="296"/>
    </row>
    <row r="91" spans="1:13" x14ac:dyDescent="0.2">
      <c r="B91" s="242" t="s">
        <v>157</v>
      </c>
      <c r="C91" s="327"/>
      <c r="D91" s="327"/>
      <c r="E91" s="328">
        <f>ROUND(($C$32*E50/10),4)</f>
        <v>4.4259000000000004</v>
      </c>
      <c r="F91" s="327"/>
      <c r="G91" s="327"/>
      <c r="H91" s="327"/>
      <c r="I91" s="327"/>
      <c r="J91" s="327"/>
      <c r="L91" s="296"/>
      <c r="M91" s="296"/>
    </row>
    <row r="92" spans="1:13" x14ac:dyDescent="0.2">
      <c r="B92" s="302"/>
      <c r="C92" s="327"/>
      <c r="D92" s="327"/>
      <c r="E92" s="327"/>
      <c r="F92" s="327"/>
      <c r="G92" s="327"/>
      <c r="H92" s="327"/>
      <c r="I92" s="327"/>
      <c r="J92" s="327"/>
      <c r="L92" s="296"/>
      <c r="M92" s="296"/>
    </row>
    <row r="93" spans="1:13" x14ac:dyDescent="0.2">
      <c r="B93" s="283" t="s">
        <v>230</v>
      </c>
      <c r="C93" s="328">
        <f>ROUND((+$C$32*C52+C53)/10,4)</f>
        <v>9.8722999999999992</v>
      </c>
      <c r="D93" s="328">
        <f>ROUND((+$C$32*D52+D53)/10,4)</f>
        <v>7.7870999999999997</v>
      </c>
      <c r="E93" s="327"/>
      <c r="F93" s="327"/>
      <c r="G93" s="327"/>
      <c r="H93" s="327"/>
      <c r="I93" s="327"/>
      <c r="J93" s="327"/>
      <c r="L93" s="296"/>
      <c r="M93" s="296"/>
    </row>
    <row r="94" spans="1:13" x14ac:dyDescent="0.2">
      <c r="B94" s="283" t="s">
        <v>231</v>
      </c>
      <c r="C94" s="328">
        <f>ROUND((+$C$32*C52+C54)/10,4)</f>
        <v>10.737500000000001</v>
      </c>
      <c r="D94" s="328">
        <f>ROUND((+$C$32*D52+D54)/10,4)</f>
        <v>8.9440000000000008</v>
      </c>
      <c r="E94" s="327"/>
      <c r="F94" s="327"/>
      <c r="G94" s="327"/>
      <c r="H94" s="327"/>
      <c r="I94" s="327"/>
      <c r="J94" s="327"/>
      <c r="L94" s="296"/>
      <c r="M94" s="296"/>
    </row>
    <row r="95" spans="1:13" x14ac:dyDescent="0.2">
      <c r="C95" s="328"/>
      <c r="D95" s="328"/>
      <c r="E95" s="327"/>
      <c r="F95" s="327"/>
      <c r="G95" s="327"/>
      <c r="H95" s="327"/>
      <c r="I95" s="327"/>
      <c r="J95" s="327"/>
      <c r="L95" s="296"/>
      <c r="M95" s="296"/>
    </row>
    <row r="96" spans="1:13" x14ac:dyDescent="0.2">
      <c r="B96" s="181" t="s">
        <v>139</v>
      </c>
      <c r="C96" s="328">
        <f>ROUND(($C$32*C58)/10,4)</f>
        <v>10.6624</v>
      </c>
      <c r="D96" s="328">
        <f>ROUND(($C$32*D58)/10,4)</f>
        <v>8.8425999999999991</v>
      </c>
      <c r="E96" s="327"/>
      <c r="F96" s="328">
        <f>ROUND(($C$32*F58)/10,4)</f>
        <v>5.5598000000000001</v>
      </c>
      <c r="G96" s="328">
        <f>ROUND(($C$32*G58)/10,4)</f>
        <v>5.5689000000000002</v>
      </c>
      <c r="H96" s="328">
        <f>ROUND(($C$32*H58)/10,4)</f>
        <v>9.4095999999999993</v>
      </c>
      <c r="I96" s="328">
        <f>ROUND(($C$32*K60)/10,4)</f>
        <v>5.3860999999999999</v>
      </c>
      <c r="J96" s="328">
        <f>+I96</f>
        <v>5.3860999999999999</v>
      </c>
      <c r="L96" s="296"/>
      <c r="M96" s="296"/>
    </row>
    <row r="97" spans="2:13" x14ac:dyDescent="0.2">
      <c r="B97" s="242" t="s">
        <v>156</v>
      </c>
      <c r="C97" s="327"/>
      <c r="D97" s="327"/>
      <c r="E97" s="328">
        <f>ROUND(($C$32*E59)/10,4)</f>
        <v>18.535699999999999</v>
      </c>
      <c r="F97" s="327"/>
      <c r="G97" s="327"/>
      <c r="H97" s="327"/>
      <c r="I97" s="327"/>
      <c r="J97" s="327"/>
      <c r="L97" s="296"/>
      <c r="M97" s="296"/>
    </row>
    <row r="98" spans="2:13" x14ac:dyDescent="0.2">
      <c r="B98" s="242" t="s">
        <v>157</v>
      </c>
      <c r="C98" s="327"/>
      <c r="D98" s="327"/>
      <c r="E98" s="328">
        <f>ROUND(($C$32*E60)/10,4)</f>
        <v>5.2305999999999999</v>
      </c>
      <c r="F98" s="327"/>
      <c r="G98" s="327"/>
      <c r="H98" s="327"/>
      <c r="I98" s="327"/>
      <c r="J98" s="327"/>
      <c r="L98" s="296"/>
      <c r="M98" s="296"/>
    </row>
    <row r="99" spans="2:13" x14ac:dyDescent="0.2">
      <c r="C99" s="327"/>
      <c r="D99" s="327"/>
      <c r="E99" s="328"/>
      <c r="F99" s="327"/>
      <c r="G99" s="327"/>
      <c r="H99" s="327"/>
      <c r="I99" s="327"/>
      <c r="J99" s="327"/>
      <c r="L99" s="296"/>
      <c r="M99" s="296"/>
    </row>
    <row r="102" spans="2:13" x14ac:dyDescent="0.2">
      <c r="B102" s="170" t="s">
        <v>328</v>
      </c>
    </row>
    <row r="103" spans="2:13" x14ac:dyDescent="0.2">
      <c r="B103" s="171" t="s">
        <v>204</v>
      </c>
    </row>
    <row r="104" spans="2:13" x14ac:dyDescent="0.2">
      <c r="B104" s="168"/>
    </row>
    <row r="105" spans="2:13" x14ac:dyDescent="0.2">
      <c r="C105" s="167" t="str">
        <f>+C68</f>
        <v>GLP</v>
      </c>
      <c r="D105" s="167"/>
      <c r="E105" s="167" t="str">
        <f>+E68</f>
        <v>LPL-S</v>
      </c>
      <c r="F105" s="167"/>
      <c r="H105" s="170" t="s">
        <v>205</v>
      </c>
      <c r="I105" s="167" t="str">
        <f>+C105</f>
        <v>GLP</v>
      </c>
      <c r="J105" s="167" t="str">
        <f>+E105</f>
        <v>LPL-S</v>
      </c>
    </row>
    <row r="106" spans="2:13" x14ac:dyDescent="0.2">
      <c r="F106" s="306"/>
    </row>
    <row r="107" spans="2:13" x14ac:dyDescent="0.2">
      <c r="B107" s="181" t="s">
        <v>136</v>
      </c>
      <c r="C107" s="328">
        <f>ROUND(($C$32*C70+D70)/10,4)</f>
        <v>5.1238000000000001</v>
      </c>
      <c r="D107" s="328"/>
      <c r="E107" s="328"/>
      <c r="F107" s="300"/>
      <c r="H107" s="289" t="s">
        <v>206</v>
      </c>
    </row>
    <row r="108" spans="2:13" x14ac:dyDescent="0.2">
      <c r="B108" s="242" t="s">
        <v>156</v>
      </c>
      <c r="C108" s="328"/>
      <c r="D108" s="328"/>
      <c r="E108" s="328">
        <f>ROUND(($C$32*E71+F71)/10,4)</f>
        <v>5.7423999999999999</v>
      </c>
      <c r="F108" s="301"/>
      <c r="H108" s="199" t="s">
        <v>207</v>
      </c>
      <c r="I108" s="329">
        <f>+I71</f>
        <v>4.8087</v>
      </c>
      <c r="J108" s="329">
        <f>+J71</f>
        <v>4.8087</v>
      </c>
      <c r="K108" s="236" t="s">
        <v>208</v>
      </c>
    </row>
    <row r="109" spans="2:13" x14ac:dyDescent="0.2">
      <c r="B109" s="242" t="s">
        <v>157</v>
      </c>
      <c r="C109" s="328"/>
      <c r="D109" s="328"/>
      <c r="E109" s="328">
        <f>ROUND(($C$32*E72+F72)/10,4)</f>
        <v>4.4166999999999996</v>
      </c>
      <c r="F109" s="301"/>
      <c r="H109" s="199" t="s">
        <v>209</v>
      </c>
      <c r="I109" s="329">
        <f>+I72</f>
        <v>4.8087</v>
      </c>
      <c r="J109" s="329">
        <f>+J72</f>
        <v>4.8087</v>
      </c>
      <c r="K109" s="236" t="s">
        <v>208</v>
      </c>
    </row>
    <row r="110" spans="2:13" x14ac:dyDescent="0.2">
      <c r="C110" s="328"/>
      <c r="D110" s="328"/>
      <c r="E110" s="328"/>
      <c r="F110" s="301"/>
      <c r="H110" s="199"/>
      <c r="I110" s="307"/>
      <c r="J110" s="307"/>
      <c r="K110" s="236"/>
    </row>
    <row r="111" spans="2:13" x14ac:dyDescent="0.2">
      <c r="B111" s="181" t="s">
        <v>139</v>
      </c>
      <c r="C111" s="328">
        <f>ROUND(($C$32*C74+D74)/10,4)</f>
        <v>5.5378999999999996</v>
      </c>
      <c r="D111" s="328"/>
      <c r="E111" s="328"/>
      <c r="F111" s="301"/>
      <c r="H111" s="289" t="s">
        <v>211</v>
      </c>
      <c r="I111" s="292"/>
      <c r="J111" s="292"/>
    </row>
    <row r="112" spans="2:13" x14ac:dyDescent="0.2">
      <c r="B112" s="242" t="s">
        <v>156</v>
      </c>
      <c r="C112" s="328"/>
      <c r="D112" s="328"/>
      <c r="E112" s="328">
        <f>ROUND(($C$32*E75+F75)/10,4)</f>
        <v>5.9076000000000004</v>
      </c>
      <c r="F112" s="301"/>
      <c r="H112" s="199" t="s">
        <v>212</v>
      </c>
      <c r="I112" s="329">
        <f>+I75</f>
        <v>8.1593</v>
      </c>
      <c r="J112" s="329">
        <f>+J75</f>
        <v>8.1593</v>
      </c>
      <c r="K112" s="236" t="s">
        <v>213</v>
      </c>
    </row>
    <row r="113" spans="1:12" x14ac:dyDescent="0.2">
      <c r="B113" s="242" t="s">
        <v>157</v>
      </c>
      <c r="C113" s="328"/>
      <c r="D113" s="328"/>
      <c r="E113" s="328">
        <f>ROUND(($C$32*E76+F76)/10,4)</f>
        <v>5.1757</v>
      </c>
      <c r="F113" s="301"/>
    </row>
    <row r="114" spans="1:12" x14ac:dyDescent="0.2">
      <c r="C114" s="305"/>
      <c r="D114" s="300"/>
      <c r="E114" s="305"/>
      <c r="F114" s="300"/>
    </row>
    <row r="115" spans="1:12" x14ac:dyDescent="0.2">
      <c r="C115" s="305"/>
      <c r="D115" s="300"/>
      <c r="E115" s="305"/>
      <c r="F115" s="300"/>
    </row>
    <row r="117" spans="1:12" x14ac:dyDescent="0.2">
      <c r="A117" s="327" t="s">
        <v>329</v>
      </c>
      <c r="B117" s="170" t="s">
        <v>330</v>
      </c>
      <c r="C117" s="296"/>
      <c r="E117" s="296"/>
    </row>
    <row r="118" spans="1:12" x14ac:dyDescent="0.2">
      <c r="C118" s="296"/>
      <c r="E118" s="296"/>
    </row>
    <row r="119" spans="1:12" x14ac:dyDescent="0.2">
      <c r="C119" s="167" t="s">
        <v>8</v>
      </c>
      <c r="D119" s="167" t="s">
        <v>9</v>
      </c>
      <c r="E119" s="167" t="s">
        <v>10</v>
      </c>
      <c r="F119" s="167" t="s">
        <v>11</v>
      </c>
      <c r="G119" s="167" t="s">
        <v>12</v>
      </c>
      <c r="H119" s="167" t="s">
        <v>13</v>
      </c>
      <c r="I119" s="167" t="s">
        <v>14</v>
      </c>
      <c r="J119" s="167" t="s">
        <v>15</v>
      </c>
    </row>
    <row r="120" spans="1:12" x14ac:dyDescent="0.2">
      <c r="B120" s="102" t="s">
        <v>331</v>
      </c>
    </row>
    <row r="121" spans="1:12" x14ac:dyDescent="0.2">
      <c r="B121" s="193" t="s">
        <v>47</v>
      </c>
      <c r="C121" s="251">
        <f>+C93/100*bid_factors!O53+auction_results_and_rates!C94/100*bid_factors!O54</f>
        <v>544244.15429678489</v>
      </c>
      <c r="D121" s="251">
        <f>+D93/100*bid_factors!P53+auction_results_and_rates!D94/100*bid_factors!P54</f>
        <v>2229.0708750487584</v>
      </c>
      <c r="E121" s="314">
        <f>+E90/100*bid_factors!Q50+E91/100*bid_factors!Q51</f>
        <v>10411.104644578903</v>
      </c>
      <c r="F121" s="251">
        <f>+F89/100*bid_factors!R49</f>
        <v>14.910290999999999</v>
      </c>
      <c r="G121" s="251">
        <f>+G89/100*bid_factors!S49</f>
        <v>0.24964</v>
      </c>
      <c r="H121" s="251">
        <f>+H89/100*bid_factors!T49</f>
        <v>243.00038183582262</v>
      </c>
      <c r="I121" s="251">
        <f>+I89/100*bid_factors!U49</f>
        <v>1985.6093039999998</v>
      </c>
      <c r="J121" s="251">
        <f>+J89/100*bid_factors!V49</f>
        <v>3626.7108079999998</v>
      </c>
    </row>
    <row r="122" spans="1:12" ht="15" x14ac:dyDescent="0.35">
      <c r="B122" s="193" t="s">
        <v>48</v>
      </c>
      <c r="C122" s="252">
        <f>+C96/100*bid_factors!O45</f>
        <v>728371.58641634253</v>
      </c>
      <c r="D122" s="252">
        <f>+D96/100*bid_factors!P45</f>
        <v>7724.1535494044483</v>
      </c>
      <c r="E122" s="252">
        <f>+E97/100*bid_factors!Q46+auction_results_and_rates!E98/100*bid_factors!Q47</f>
        <v>12683.426956197018</v>
      </c>
      <c r="F122" s="252">
        <f>+F96/100*bid_factors!R45</f>
        <v>42.421274000000004</v>
      </c>
      <c r="G122" s="252">
        <f>+G96/100*bid_factors!S45</f>
        <v>0.77964600000000006</v>
      </c>
      <c r="H122" s="252">
        <f>+H96/100*bid_factors!T45</f>
        <v>912.56556774798673</v>
      </c>
      <c r="I122" s="252">
        <f>+I96/100*bid_factors!U45</f>
        <v>6073.6356649999998</v>
      </c>
      <c r="J122" s="252">
        <f>+J96/100*bid_factors!V45</f>
        <v>11655.681983</v>
      </c>
    </row>
    <row r="123" spans="1:12" x14ac:dyDescent="0.2">
      <c r="B123" s="193" t="s">
        <v>106</v>
      </c>
      <c r="C123" s="246">
        <f>+C122+C121</f>
        <v>1272615.7407131274</v>
      </c>
      <c r="D123" s="246">
        <f t="shared" ref="D123:J123" si="2">+D122+D121</f>
        <v>9953.2244244532067</v>
      </c>
      <c r="E123" s="246">
        <f t="shared" si="2"/>
        <v>23094.531600775921</v>
      </c>
      <c r="F123" s="246">
        <f t="shared" si="2"/>
        <v>57.331565000000005</v>
      </c>
      <c r="G123" s="246">
        <f t="shared" si="2"/>
        <v>1.0292860000000001</v>
      </c>
      <c r="H123" s="246">
        <f t="shared" si="2"/>
        <v>1155.5659495838095</v>
      </c>
      <c r="I123" s="246">
        <f t="shared" si="2"/>
        <v>8059.2449689999994</v>
      </c>
      <c r="J123" s="246">
        <f t="shared" si="2"/>
        <v>15282.392791</v>
      </c>
    </row>
    <row r="124" spans="1:12" x14ac:dyDescent="0.2">
      <c r="B124" s="193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</row>
    <row r="125" spans="1:12" x14ac:dyDescent="0.2">
      <c r="B125" s="193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</row>
    <row r="126" spans="1:12" x14ac:dyDescent="0.2">
      <c r="B126" s="193"/>
      <c r="C126" s="167" t="s">
        <v>16</v>
      </c>
      <c r="D126" s="167" t="s">
        <v>16</v>
      </c>
      <c r="F126" s="167" t="s">
        <v>17</v>
      </c>
      <c r="G126" s="167" t="s">
        <v>17</v>
      </c>
      <c r="H126" s="246"/>
      <c r="I126" s="246"/>
      <c r="J126" s="246"/>
      <c r="K126" s="246"/>
      <c r="L126" s="246"/>
    </row>
    <row r="127" spans="1:12" x14ac:dyDescent="0.2">
      <c r="B127" s="193"/>
      <c r="C127" s="167" t="s">
        <v>332</v>
      </c>
      <c r="D127" s="167" t="s">
        <v>333</v>
      </c>
      <c r="F127" s="167" t="s">
        <v>332</v>
      </c>
      <c r="G127" s="167" t="s">
        <v>333</v>
      </c>
      <c r="H127" s="246"/>
      <c r="I127" s="246"/>
      <c r="J127" s="246"/>
      <c r="K127" s="246"/>
      <c r="L127" s="246"/>
    </row>
    <row r="128" spans="1:12" x14ac:dyDescent="0.2">
      <c r="B128" s="193"/>
      <c r="G128" s="246"/>
      <c r="H128" s="246"/>
      <c r="I128" s="246"/>
      <c r="J128" s="246"/>
      <c r="K128" s="246"/>
      <c r="L128" s="246"/>
    </row>
    <row r="129" spans="2:12" x14ac:dyDescent="0.2">
      <c r="B129" s="193" t="s">
        <v>47</v>
      </c>
      <c r="C129" s="314">
        <f>+C107/100*bid_factors!W49</f>
        <v>122951.96031413715</v>
      </c>
      <c r="D129" s="314">
        <f>I108*bid_factors!K147*4+auction_results_and_rates!I112*bid_factors!K149*4</f>
        <v>99112.553639999998</v>
      </c>
      <c r="F129" s="314">
        <f>+E108/100*bid_factors!X50+auction_results_and_rates!E109/100*bid_factors!X51</f>
        <v>86885.855377124739</v>
      </c>
      <c r="G129" s="314">
        <f>auction_results_and_rates!J108*bid_factors!L147*4+auction_results_and_rates!J112*bid_factors!L149*4</f>
        <v>48434.135000000002</v>
      </c>
      <c r="H129" s="246"/>
      <c r="I129" s="246"/>
      <c r="J129" s="246"/>
      <c r="K129" s="246"/>
      <c r="L129" s="246"/>
    </row>
    <row r="130" spans="2:12" ht="15" x14ac:dyDescent="0.35">
      <c r="B130" s="193" t="s">
        <v>48</v>
      </c>
      <c r="C130" s="330">
        <f>+C111/100*bid_factors!W45</f>
        <v>222968.58321687934</v>
      </c>
      <c r="D130" s="330">
        <f>auction_results_and_rates!I109*bid_factors!K147*8+auction_results_and_rates!I112*bid_factors!K149*8</f>
        <v>198225.10728</v>
      </c>
      <c r="F130" s="330">
        <f>+E112/100*bid_factors!X46+auction_results_and_rates!E113/100*bid_factors!X47</f>
        <v>169049.43984359619</v>
      </c>
      <c r="G130" s="330">
        <f>auction_results_and_rates!J109*bid_factors!L147*8+auction_results_and_rates!J112*bid_factors!L149*8</f>
        <v>96868.27</v>
      </c>
      <c r="H130" s="246"/>
      <c r="I130" s="246"/>
      <c r="J130" s="246"/>
      <c r="K130" s="246"/>
      <c r="L130" s="246"/>
    </row>
    <row r="131" spans="2:12" x14ac:dyDescent="0.2">
      <c r="B131" s="193" t="s">
        <v>106</v>
      </c>
      <c r="C131" s="246">
        <f>+C130+C129</f>
        <v>345920.5435310165</v>
      </c>
      <c r="D131" s="246">
        <f>+D130+D129</f>
        <v>297337.66091999999</v>
      </c>
      <c r="F131" s="246">
        <f>+F130+F129</f>
        <v>255935.29522072093</v>
      </c>
      <c r="G131" s="246">
        <f>+G130+G129</f>
        <v>145302.405</v>
      </c>
      <c r="H131" s="246"/>
      <c r="I131" s="246"/>
      <c r="J131" s="246"/>
      <c r="K131" s="246"/>
      <c r="L131" s="246"/>
    </row>
    <row r="132" spans="2:12" x14ac:dyDescent="0.2">
      <c r="B132" s="193"/>
      <c r="C132" s="246"/>
      <c r="F132" s="246"/>
      <c r="G132" s="246"/>
      <c r="H132" s="246"/>
      <c r="I132" s="246"/>
      <c r="J132" s="246"/>
      <c r="K132" s="246"/>
      <c r="L132" s="246"/>
    </row>
    <row r="133" spans="2:12" x14ac:dyDescent="0.2">
      <c r="B133" s="193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</row>
    <row r="134" spans="2:12" x14ac:dyDescent="0.2">
      <c r="B134" s="193"/>
      <c r="C134" s="167" t="s">
        <v>332</v>
      </c>
      <c r="D134" s="167" t="s">
        <v>333</v>
      </c>
      <c r="E134" s="167" t="s">
        <v>334</v>
      </c>
      <c r="F134" s="246"/>
      <c r="G134" s="246"/>
      <c r="H134" s="246"/>
      <c r="I134" s="246"/>
      <c r="J134" s="246"/>
      <c r="K134" s="246"/>
      <c r="L134" s="246"/>
    </row>
    <row r="135" spans="2:12" x14ac:dyDescent="0.2">
      <c r="B135" s="193" t="s">
        <v>274</v>
      </c>
      <c r="C135" s="246">
        <f>SUM(C121:J121)+C129+F129</f>
        <v>772592.62593251036</v>
      </c>
      <c r="D135" s="246">
        <f>+D129+G129</f>
        <v>147546.68864000001</v>
      </c>
      <c r="E135" s="246">
        <f>+C135+D135</f>
        <v>920139.31457251031</v>
      </c>
      <c r="F135" s="246"/>
      <c r="G135" s="246"/>
      <c r="H135" s="246"/>
      <c r="I135" s="246"/>
      <c r="J135" s="246"/>
      <c r="K135" s="246"/>
      <c r="L135" s="246"/>
    </row>
    <row r="136" spans="2:12" ht="15" x14ac:dyDescent="0.35">
      <c r="B136" s="193" t="s">
        <v>275</v>
      </c>
      <c r="C136" s="326">
        <f>SUM(C122:J122)+C130+F130</f>
        <v>1159482.2741181676</v>
      </c>
      <c r="D136" s="326">
        <f>+D130+G130</f>
        <v>295093.37728000002</v>
      </c>
      <c r="E136" s="326">
        <f>+C136+D136</f>
        <v>1454575.6513981675</v>
      </c>
    </row>
    <row r="137" spans="2:12" x14ac:dyDescent="0.2">
      <c r="B137" s="193" t="s">
        <v>276</v>
      </c>
      <c r="C137" s="246">
        <f>+C136+C135</f>
        <v>1932074.9000506778</v>
      </c>
      <c r="D137" s="246">
        <f>+D131+G131</f>
        <v>442640.06591999996</v>
      </c>
      <c r="E137" s="331">
        <f>+C137+D137</f>
        <v>2374714.9659706778</v>
      </c>
    </row>
    <row r="138" spans="2:12" x14ac:dyDescent="0.2">
      <c r="B138" s="193"/>
      <c r="C138" s="296"/>
      <c r="E138" s="296"/>
    </row>
    <row r="139" spans="2:12" x14ac:dyDescent="0.2"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</row>
    <row r="140" spans="2:12" x14ac:dyDescent="0.2">
      <c r="B140" s="102" t="s">
        <v>277</v>
      </c>
    </row>
    <row r="141" spans="2:12" x14ac:dyDescent="0.2">
      <c r="B141" s="193" t="s">
        <v>47</v>
      </c>
      <c r="C141" s="246">
        <f>+C24+D24+E24</f>
        <v>953781.29758748878</v>
      </c>
    </row>
    <row r="142" spans="2:12" ht="15" x14ac:dyDescent="0.35">
      <c r="B142" s="193" t="s">
        <v>48</v>
      </c>
      <c r="C142" s="326">
        <f>+C25+D25+E25</f>
        <v>1421101.4550142288</v>
      </c>
      <c r="E142" s="332"/>
      <c r="F142" s="333"/>
      <c r="G142" s="333"/>
      <c r="H142" s="334"/>
    </row>
    <row r="143" spans="2:12" x14ac:dyDescent="0.2">
      <c r="B143" s="193" t="s">
        <v>106</v>
      </c>
      <c r="C143" s="246">
        <f>+C142+C141</f>
        <v>2374882.7526017176</v>
      </c>
      <c r="E143" s="335" t="s">
        <v>335</v>
      </c>
      <c r="F143" s="40"/>
      <c r="G143" s="40"/>
      <c r="H143" s="336"/>
    </row>
    <row r="144" spans="2:12" x14ac:dyDescent="0.2">
      <c r="C144" s="296"/>
      <c r="E144" s="335" t="s">
        <v>336</v>
      </c>
      <c r="F144" s="337" t="s">
        <v>337</v>
      </c>
      <c r="G144" s="40"/>
      <c r="H144" s="336"/>
    </row>
    <row r="145" spans="1:10" x14ac:dyDescent="0.2">
      <c r="B145" s="166" t="s">
        <v>338</v>
      </c>
      <c r="C145" s="194"/>
      <c r="D145" s="194"/>
      <c r="E145" s="338" t="s">
        <v>339</v>
      </c>
      <c r="F145" s="40"/>
      <c r="G145" s="40"/>
      <c r="H145" s="336"/>
    </row>
    <row r="146" spans="1:10" x14ac:dyDescent="0.2">
      <c r="B146" s="193" t="s">
        <v>47</v>
      </c>
      <c r="C146" s="246">
        <f>+C141-E135</f>
        <v>33641.983014978468</v>
      </c>
      <c r="D146" s="339"/>
      <c r="E146" s="340">
        <f>ROUND(1+(C146/C135),5)</f>
        <v>1.0435399999999999</v>
      </c>
      <c r="F146" s="40"/>
      <c r="G146" s="40"/>
      <c r="H146" s="336"/>
    </row>
    <row r="147" spans="1:10" ht="15" x14ac:dyDescent="0.35">
      <c r="B147" s="193" t="s">
        <v>48</v>
      </c>
      <c r="C147" s="326">
        <f>+C142-E136</f>
        <v>-33474.196383938659</v>
      </c>
      <c r="D147" s="339"/>
      <c r="E147" s="340">
        <f>ROUND(1+(C147/C136),5)</f>
        <v>0.97113000000000005</v>
      </c>
      <c r="F147" s="40"/>
      <c r="G147" s="40"/>
      <c r="H147" s="336"/>
    </row>
    <row r="148" spans="1:10" x14ac:dyDescent="0.2">
      <c r="B148" s="193" t="s">
        <v>106</v>
      </c>
      <c r="C148" s="246">
        <f>+C143-E137</f>
        <v>167.78663103980944</v>
      </c>
      <c r="D148" s="339"/>
      <c r="E148" s="341"/>
      <c r="F148" s="232"/>
      <c r="G148" s="232"/>
      <c r="H148" s="342"/>
    </row>
    <row r="150" spans="1:10" x14ac:dyDescent="0.2">
      <c r="C150" s="102" t="s">
        <v>340</v>
      </c>
    </row>
    <row r="151" spans="1:10" x14ac:dyDescent="0.2">
      <c r="C151" s="102" t="s">
        <v>341</v>
      </c>
    </row>
    <row r="153" spans="1:10" x14ac:dyDescent="0.2">
      <c r="A153" s="327" t="s">
        <v>342</v>
      </c>
      <c r="B153" s="325" t="s">
        <v>343</v>
      </c>
      <c r="C153" s="296"/>
      <c r="E153" s="296"/>
    </row>
    <row r="154" spans="1:10" x14ac:dyDescent="0.2">
      <c r="B154" s="171" t="s">
        <v>326</v>
      </c>
    </row>
    <row r="156" spans="1:10" x14ac:dyDescent="0.2">
      <c r="B156" s="170" t="s">
        <v>327</v>
      </c>
    </row>
    <row r="157" spans="1:10" x14ac:dyDescent="0.2">
      <c r="B157" s="171" t="s">
        <v>344</v>
      </c>
    </row>
    <row r="158" spans="1:10" x14ac:dyDescent="0.2">
      <c r="B158" s="170"/>
    </row>
    <row r="159" spans="1:10" x14ac:dyDescent="0.2">
      <c r="C159" s="167" t="str">
        <f>+C119</f>
        <v>RS</v>
      </c>
      <c r="D159" s="167" t="str">
        <f t="shared" ref="D159:J159" si="3">+D119</f>
        <v>RHS</v>
      </c>
      <c r="E159" s="167" t="str">
        <f t="shared" si="3"/>
        <v>RLM</v>
      </c>
      <c r="F159" s="167" t="str">
        <f t="shared" si="3"/>
        <v>WH</v>
      </c>
      <c r="G159" s="167" t="str">
        <f t="shared" si="3"/>
        <v>WHS</v>
      </c>
      <c r="H159" s="167" t="str">
        <f t="shared" si="3"/>
        <v>HS</v>
      </c>
      <c r="I159" s="167" t="str">
        <f t="shared" si="3"/>
        <v>PSAL</v>
      </c>
      <c r="J159" s="167" t="str">
        <f t="shared" si="3"/>
        <v>BPL</v>
      </c>
    </row>
    <row r="160" spans="1:10" x14ac:dyDescent="0.2">
      <c r="C160" s="327"/>
      <c r="D160" s="327"/>
      <c r="E160" s="327"/>
      <c r="F160" s="328"/>
      <c r="G160" s="328"/>
      <c r="H160" s="328"/>
      <c r="I160" s="328"/>
      <c r="J160" s="328"/>
    </row>
    <row r="161" spans="2:10" x14ac:dyDescent="0.2">
      <c r="B161" s="181" t="s">
        <v>136</v>
      </c>
      <c r="C161" s="327"/>
      <c r="D161" s="327"/>
      <c r="E161" s="327"/>
      <c r="F161" s="328">
        <f>ROUND(+F89*$E$146,4)</f>
        <v>5.2389000000000001</v>
      </c>
      <c r="G161" s="328">
        <f>ROUND(+G89*$E$146,4)</f>
        <v>5.2102000000000004</v>
      </c>
      <c r="H161" s="328">
        <f>ROUND(+H89*$E$146,4)</f>
        <v>9.2849000000000004</v>
      </c>
      <c r="I161" s="328">
        <f>ROUND(+I89*$E$146,4)</f>
        <v>4.8094999999999999</v>
      </c>
      <c r="J161" s="328">
        <f>ROUND(+J89*$E$146,4)</f>
        <v>4.8094999999999999</v>
      </c>
    </row>
    <row r="162" spans="2:10" x14ac:dyDescent="0.2">
      <c r="B162" s="242" t="s">
        <v>156</v>
      </c>
      <c r="C162" s="327"/>
      <c r="D162" s="327"/>
      <c r="E162" s="328">
        <f>ROUND(+E90*$E$146,4)</f>
        <v>19.104199999999999</v>
      </c>
      <c r="G162" s="328"/>
      <c r="H162" s="328"/>
      <c r="I162" s="328"/>
      <c r="J162" s="327"/>
    </row>
    <row r="163" spans="2:10" x14ac:dyDescent="0.2">
      <c r="B163" s="242" t="s">
        <v>157</v>
      </c>
      <c r="C163" s="327"/>
      <c r="D163" s="327"/>
      <c r="E163" s="328">
        <f>ROUND(+E91*$E$146,4)</f>
        <v>4.6185999999999998</v>
      </c>
      <c r="F163" s="327"/>
      <c r="G163" s="327"/>
      <c r="H163" s="327"/>
      <c r="I163" s="327"/>
      <c r="J163" s="327"/>
    </row>
    <row r="164" spans="2:10" x14ac:dyDescent="0.2">
      <c r="B164" s="302"/>
      <c r="C164" s="327"/>
      <c r="D164" s="327"/>
      <c r="E164" s="327"/>
      <c r="F164" s="327"/>
      <c r="G164" s="327"/>
      <c r="H164" s="327"/>
      <c r="I164" s="327"/>
      <c r="J164" s="327"/>
    </row>
    <row r="165" spans="2:10" x14ac:dyDescent="0.2">
      <c r="B165" s="283" t="s">
        <v>230</v>
      </c>
      <c r="C165" s="328">
        <f>ROUND(+C93*$E$146,4)</f>
        <v>10.302099999999999</v>
      </c>
      <c r="D165" s="328">
        <f>ROUND(+D93*$E$146,4)</f>
        <v>8.1262000000000008</v>
      </c>
      <c r="E165" s="327"/>
      <c r="F165" s="327"/>
      <c r="G165" s="327"/>
      <c r="H165" s="327"/>
      <c r="I165" s="327"/>
      <c r="J165" s="327"/>
    </row>
    <row r="166" spans="2:10" x14ac:dyDescent="0.2">
      <c r="B166" s="283" t="s">
        <v>231</v>
      </c>
      <c r="C166" s="328">
        <f>ROUND(+C94*$E$146,4)</f>
        <v>11.205</v>
      </c>
      <c r="D166" s="328">
        <f>ROUND(+D94*$E$146,4)</f>
        <v>9.3333999999999993</v>
      </c>
      <c r="E166" s="327"/>
      <c r="F166" s="327"/>
      <c r="G166" s="327"/>
      <c r="H166" s="327"/>
      <c r="I166" s="327"/>
      <c r="J166" s="327"/>
    </row>
    <row r="167" spans="2:10" x14ac:dyDescent="0.2">
      <c r="C167" s="328"/>
      <c r="D167" s="328"/>
      <c r="E167" s="327"/>
      <c r="F167" s="327"/>
      <c r="G167" s="327"/>
      <c r="H167" s="327"/>
      <c r="I167" s="327"/>
      <c r="J167" s="327"/>
    </row>
    <row r="168" spans="2:10" x14ac:dyDescent="0.2">
      <c r="B168" s="181" t="s">
        <v>139</v>
      </c>
      <c r="C168" s="328">
        <f>ROUND(+C96*$E$147,4)</f>
        <v>10.3546</v>
      </c>
      <c r="D168" s="328">
        <f>ROUND(+D96*$E$147,4)</f>
        <v>8.5873000000000008</v>
      </c>
      <c r="E168" s="327"/>
      <c r="F168" s="328">
        <f>ROUND(+F96*$E$147,4)</f>
        <v>5.3993000000000002</v>
      </c>
      <c r="G168" s="328">
        <f>ROUND(+G96*$E$147,4)</f>
        <v>5.4081000000000001</v>
      </c>
      <c r="H168" s="328">
        <f>ROUND(+H96*$E$147,4)</f>
        <v>9.1379000000000001</v>
      </c>
      <c r="I168" s="328">
        <f>ROUND(+I96*$E$147,4)</f>
        <v>5.2305999999999999</v>
      </c>
      <c r="J168" s="328">
        <f>ROUND(+J96*$E$147,4)</f>
        <v>5.2305999999999999</v>
      </c>
    </row>
    <row r="169" spans="2:10" x14ac:dyDescent="0.2">
      <c r="B169" s="242" t="s">
        <v>156</v>
      </c>
      <c r="C169" s="327"/>
      <c r="D169" s="327"/>
      <c r="E169" s="328">
        <f>ROUND(+E97*$E$147,4)</f>
        <v>18.000599999999999</v>
      </c>
      <c r="F169" s="327"/>
      <c r="G169" s="327"/>
      <c r="H169" s="327"/>
      <c r="I169" s="327"/>
      <c r="J169" s="327"/>
    </row>
    <row r="170" spans="2:10" x14ac:dyDescent="0.2">
      <c r="B170" s="242" t="s">
        <v>157</v>
      </c>
      <c r="C170" s="327"/>
      <c r="D170" s="327"/>
      <c r="E170" s="328">
        <f>ROUND(+E98*$E$147,4)</f>
        <v>5.0796000000000001</v>
      </c>
      <c r="F170" s="327"/>
      <c r="G170" s="327"/>
      <c r="H170" s="327"/>
      <c r="I170" s="327"/>
      <c r="J170" s="327"/>
    </row>
    <row r="171" spans="2:10" x14ac:dyDescent="0.2">
      <c r="C171" s="327"/>
      <c r="D171" s="327"/>
      <c r="E171" s="328"/>
      <c r="F171" s="327"/>
      <c r="G171" s="327"/>
      <c r="H171" s="327"/>
      <c r="I171" s="327"/>
      <c r="J171" s="327"/>
    </row>
    <row r="174" spans="2:10" x14ac:dyDescent="0.2">
      <c r="B174" s="170" t="s">
        <v>328</v>
      </c>
    </row>
    <row r="175" spans="2:10" x14ac:dyDescent="0.2">
      <c r="B175" s="171" t="s">
        <v>345</v>
      </c>
    </row>
    <row r="176" spans="2:10" x14ac:dyDescent="0.2">
      <c r="B176" s="168"/>
    </row>
    <row r="177" spans="1:12" x14ac:dyDescent="0.2">
      <c r="C177" s="167" t="str">
        <f>+C105</f>
        <v>GLP</v>
      </c>
      <c r="D177" s="167"/>
      <c r="E177" s="167" t="str">
        <f>+E105</f>
        <v>LPL-S</v>
      </c>
      <c r="F177" s="167"/>
      <c r="H177" s="170" t="s">
        <v>205</v>
      </c>
      <c r="I177" s="167" t="str">
        <f>+C177</f>
        <v>GLP</v>
      </c>
      <c r="J177" s="167" t="str">
        <f>+E177</f>
        <v>LPL-S</v>
      </c>
    </row>
    <row r="178" spans="1:12" x14ac:dyDescent="0.2">
      <c r="F178" s="306"/>
    </row>
    <row r="179" spans="1:12" x14ac:dyDescent="0.2">
      <c r="B179" s="181" t="s">
        <v>136</v>
      </c>
      <c r="C179" s="328">
        <f>ROUND(+C107*$E$146,4)</f>
        <v>5.3468999999999998</v>
      </c>
      <c r="D179" s="328"/>
      <c r="E179" s="328"/>
      <c r="F179" s="300"/>
      <c r="H179" s="289" t="s">
        <v>206</v>
      </c>
    </row>
    <row r="180" spans="1:12" x14ac:dyDescent="0.2">
      <c r="B180" s="242" t="s">
        <v>156</v>
      </c>
      <c r="C180" s="328"/>
      <c r="D180" s="328"/>
      <c r="E180" s="328">
        <f>ROUND(+E108*$E$146,4)</f>
        <v>5.9923999999999999</v>
      </c>
      <c r="F180" s="301"/>
      <c r="H180" s="199" t="s">
        <v>207</v>
      </c>
      <c r="I180" s="343">
        <f>+I108</f>
        <v>4.8087</v>
      </c>
      <c r="J180" s="343">
        <f>+J108</f>
        <v>4.8087</v>
      </c>
    </row>
    <row r="181" spans="1:12" x14ac:dyDescent="0.2">
      <c r="B181" s="242" t="s">
        <v>157</v>
      </c>
      <c r="C181" s="328"/>
      <c r="D181" s="328"/>
      <c r="E181" s="328">
        <f>ROUND(+E109*$E$146,4)</f>
        <v>4.609</v>
      </c>
      <c r="F181" s="301"/>
      <c r="H181" s="199" t="s">
        <v>209</v>
      </c>
      <c r="I181" s="343">
        <f>+I109</f>
        <v>4.8087</v>
      </c>
      <c r="J181" s="343">
        <f>+J109</f>
        <v>4.8087</v>
      </c>
    </row>
    <row r="182" spans="1:12" x14ac:dyDescent="0.2">
      <c r="C182" s="328"/>
      <c r="D182" s="328"/>
      <c r="E182" s="328"/>
      <c r="F182" s="301"/>
      <c r="H182" s="199"/>
      <c r="I182" s="307"/>
      <c r="J182" s="307"/>
    </row>
    <row r="183" spans="1:12" x14ac:dyDescent="0.2">
      <c r="B183" s="181" t="s">
        <v>139</v>
      </c>
      <c r="C183" s="328">
        <f>ROUND(+C111*$E$147,4)</f>
        <v>5.3780000000000001</v>
      </c>
      <c r="D183" s="328"/>
      <c r="E183" s="328"/>
      <c r="F183" s="301"/>
      <c r="H183" s="289" t="s">
        <v>211</v>
      </c>
      <c r="I183" s="292"/>
      <c r="J183" s="292"/>
    </row>
    <row r="184" spans="1:12" x14ac:dyDescent="0.2">
      <c r="B184" s="242" t="s">
        <v>156</v>
      </c>
      <c r="C184" s="328"/>
      <c r="D184" s="328"/>
      <c r="E184" s="328">
        <f>ROUND(+E112*$E$147,4)</f>
        <v>5.7370000000000001</v>
      </c>
      <c r="F184" s="301"/>
      <c r="H184" s="199" t="s">
        <v>212</v>
      </c>
      <c r="I184" s="343">
        <f>+I112</f>
        <v>8.1593</v>
      </c>
      <c r="J184" s="343">
        <f>+J112</f>
        <v>8.1593</v>
      </c>
    </row>
    <row r="185" spans="1:12" x14ac:dyDescent="0.2">
      <c r="B185" s="242" t="s">
        <v>157</v>
      </c>
      <c r="C185" s="328"/>
      <c r="D185" s="328"/>
      <c r="E185" s="328">
        <f>ROUND(+E113*$E$147,4)</f>
        <v>5.0263</v>
      </c>
      <c r="F185" s="301"/>
    </row>
    <row r="189" spans="1:12" x14ac:dyDescent="0.2">
      <c r="A189" s="327" t="s">
        <v>346</v>
      </c>
      <c r="B189" s="170" t="s">
        <v>347</v>
      </c>
      <c r="C189" s="296"/>
      <c r="E189" s="296"/>
    </row>
    <row r="190" spans="1:12" x14ac:dyDescent="0.2">
      <c r="C190" s="296"/>
      <c r="E190" s="296"/>
    </row>
    <row r="191" spans="1:12" x14ac:dyDescent="0.2">
      <c r="C191" s="167" t="s">
        <v>8</v>
      </c>
      <c r="D191" s="167" t="s">
        <v>9</v>
      </c>
      <c r="E191" s="167" t="s">
        <v>10</v>
      </c>
      <c r="F191" s="167" t="s">
        <v>11</v>
      </c>
      <c r="G191" s="167" t="s">
        <v>12</v>
      </c>
      <c r="H191" s="167" t="s">
        <v>13</v>
      </c>
      <c r="I191" s="167" t="s">
        <v>14</v>
      </c>
      <c r="J191" s="167" t="s">
        <v>15</v>
      </c>
      <c r="K191" s="167" t="s">
        <v>16</v>
      </c>
      <c r="L191" s="167" t="s">
        <v>17</v>
      </c>
    </row>
    <row r="192" spans="1:12" x14ac:dyDescent="0.2">
      <c r="B192" s="102" t="s">
        <v>273</v>
      </c>
    </row>
    <row r="193" spans="2:12" x14ac:dyDescent="0.2">
      <c r="B193" s="193" t="s">
        <v>47</v>
      </c>
      <c r="C193" s="251">
        <f>+C165/100*bid_factors!O53+auction_results_and_rates!C166/100*bid_factors!O54</f>
        <v>567938.95995106688</v>
      </c>
      <c r="D193" s="251">
        <f>+D165/100*bid_factors!P53+auction_results_and_rates!D166/100*bid_factors!P54</f>
        <v>2326.1309872001407</v>
      </c>
      <c r="E193" s="314">
        <f>+E162/100*bid_factors!Q50+E163/100*bid_factors!Q51</f>
        <v>10864.406326080531</v>
      </c>
      <c r="F193" s="251">
        <f>+F161/100*bid_factors!R49</f>
        <v>15.559533</v>
      </c>
      <c r="G193" s="251">
        <f>+G161/100*bid_factors!S49</f>
        <v>0.26051000000000002</v>
      </c>
      <c r="H193" s="251">
        <f>+H161/100*bid_factors!T49</f>
        <v>253.58069629754752</v>
      </c>
      <c r="I193" s="251">
        <f>+I161/100*bid_factors!U49</f>
        <v>2072.0768849999999</v>
      </c>
      <c r="J193" s="251">
        <f>+J161/100*bid_factors!V49</f>
        <v>3784.6436450000001</v>
      </c>
      <c r="K193" s="314">
        <f>+C179/100*bid_factors!W49+I180*bid_factors!K147*4+auction_results_and_rates!I184*bid_factors!K149*4</f>
        <v>227418.07622161129</v>
      </c>
      <c r="L193" s="314">
        <f>+E180/100*bid_factors!X50+auction_results_and_rates!E181/100*bid_factors!X51+auction_results_and_rates!J180*bid_factors!L147*4+auction_results_and_rates!J184*bid_factors!L149*4</f>
        <v>139102.76573765356</v>
      </c>
    </row>
    <row r="194" spans="2:12" ht="15" x14ac:dyDescent="0.35">
      <c r="B194" s="193" t="s">
        <v>48</v>
      </c>
      <c r="C194" s="252">
        <f>+C168/100*bid_factors!O45</f>
        <v>707345.1032325424</v>
      </c>
      <c r="D194" s="252">
        <f>+D168/100*bid_factors!P45</f>
        <v>7501.1448866623878</v>
      </c>
      <c r="E194" s="252">
        <f>+E169/100*bid_factors!Q46+auction_results_and_rates!E170/100*bid_factors!Q47</f>
        <v>12317.274096553214</v>
      </c>
      <c r="F194" s="252">
        <f>+F168/100*bid_factors!R45</f>
        <v>41.196658999999997</v>
      </c>
      <c r="G194" s="252">
        <f>+G168/100*bid_factors!S45</f>
        <v>0.75713400000000008</v>
      </c>
      <c r="H194" s="252">
        <f>+H168/100*bid_factors!T45</f>
        <v>886.21545034053815</v>
      </c>
      <c r="I194" s="252">
        <f>+I168/100*bid_factors!U45</f>
        <v>5898.2860899999996</v>
      </c>
      <c r="J194" s="252">
        <f>+J168/100*bid_factors!V45</f>
        <v>11319.175318</v>
      </c>
      <c r="K194" s="330">
        <f>+C183/100*bid_factors!W45+auction_results_and_rates!I181*bid_factors!K147*8+auction_results_and_rates!I184*bid_factors!K149*8</f>
        <v>414755.74895651586</v>
      </c>
      <c r="L194" s="330">
        <f>+E184/100*bid_factors!X46+auction_results_and_rates!E185/100*bid_factors!X47+auction_results_and_rates!J181*bid_factors!L147*8+auction_results_and_rates!J184*bid_factors!L149*8</f>
        <v>261036.88422146445</v>
      </c>
    </row>
    <row r="195" spans="2:12" x14ac:dyDescent="0.2">
      <c r="B195" s="193" t="s">
        <v>106</v>
      </c>
      <c r="C195" s="246">
        <f t="shared" ref="C195:L195" si="4">+C194+C193</f>
        <v>1275284.0631836094</v>
      </c>
      <c r="D195" s="246">
        <f t="shared" si="4"/>
        <v>9827.2758738625289</v>
      </c>
      <c r="E195" s="246">
        <f t="shared" si="4"/>
        <v>23181.680422633744</v>
      </c>
      <c r="F195" s="246">
        <f t="shared" si="4"/>
        <v>56.756191999999999</v>
      </c>
      <c r="G195" s="246">
        <f t="shared" si="4"/>
        <v>1.0176440000000002</v>
      </c>
      <c r="H195" s="246">
        <f t="shared" si="4"/>
        <v>1139.7961466380857</v>
      </c>
      <c r="I195" s="246">
        <f t="shared" si="4"/>
        <v>7970.362975</v>
      </c>
      <c r="J195" s="246">
        <f t="shared" si="4"/>
        <v>15103.818963</v>
      </c>
      <c r="K195" s="246">
        <f t="shared" si="4"/>
        <v>642173.82517812715</v>
      </c>
      <c r="L195" s="246">
        <f t="shared" si="4"/>
        <v>400139.64995911799</v>
      </c>
    </row>
    <row r="196" spans="2:12" x14ac:dyDescent="0.2">
      <c r="B196" s="193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</row>
    <row r="197" spans="2:12" x14ac:dyDescent="0.2">
      <c r="B197" s="193" t="s">
        <v>274</v>
      </c>
      <c r="C197" s="246">
        <f>SUM(C193:L193)</f>
        <v>953776.46049291</v>
      </c>
      <c r="D197" s="246"/>
      <c r="E197" s="246"/>
      <c r="F197" s="246"/>
      <c r="G197" s="246"/>
      <c r="H197" s="246"/>
      <c r="I197" s="246"/>
      <c r="J197" s="246"/>
      <c r="K197" s="246"/>
      <c r="L197" s="246"/>
    </row>
    <row r="198" spans="2:12" ht="15" x14ac:dyDescent="0.35">
      <c r="B198" s="193" t="s">
        <v>275</v>
      </c>
      <c r="C198" s="326">
        <f>SUM(C194:L194)</f>
        <v>1421101.7860450787</v>
      </c>
      <c r="E198" s="296"/>
    </row>
    <row r="199" spans="2:12" x14ac:dyDescent="0.2">
      <c r="B199" s="193" t="s">
        <v>276</v>
      </c>
      <c r="C199" s="246">
        <f>+C198+C197</f>
        <v>2374878.2465379885</v>
      </c>
      <c r="E199" s="296"/>
    </row>
    <row r="200" spans="2:12" x14ac:dyDescent="0.2">
      <c r="B200" s="193"/>
      <c r="C200" s="296"/>
      <c r="E200" s="296"/>
    </row>
    <row r="201" spans="2:12" x14ac:dyDescent="0.2"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</row>
    <row r="202" spans="2:12" x14ac:dyDescent="0.2">
      <c r="B202" s="102" t="s">
        <v>277</v>
      </c>
    </row>
    <row r="203" spans="2:12" x14ac:dyDescent="0.2">
      <c r="B203" s="193" t="s">
        <v>47</v>
      </c>
      <c r="C203" s="246">
        <f>+C24+D24+E24</f>
        <v>953781.29758748878</v>
      </c>
    </row>
    <row r="204" spans="2:12" ht="15" x14ac:dyDescent="0.35">
      <c r="B204" s="193" t="s">
        <v>48</v>
      </c>
      <c r="C204" s="326">
        <f>+C25+D25+E25</f>
        <v>1421101.4550142288</v>
      </c>
    </row>
    <row r="205" spans="2:12" x14ac:dyDescent="0.2">
      <c r="B205" s="193" t="s">
        <v>106</v>
      </c>
      <c r="C205" s="246">
        <f>+C204+C203</f>
        <v>2374882.7526017176</v>
      </c>
      <c r="D205" s="246"/>
      <c r="G205" s="193"/>
    </row>
    <row r="206" spans="2:12" x14ac:dyDescent="0.2">
      <c r="C206" s="296"/>
      <c r="E206" s="296"/>
      <c r="G206" s="193"/>
    </row>
    <row r="207" spans="2:12" x14ac:dyDescent="0.2">
      <c r="B207" s="166" t="s">
        <v>338</v>
      </c>
      <c r="C207" s="246"/>
      <c r="E207" s="278" t="s">
        <v>348</v>
      </c>
      <c r="G207" s="278"/>
    </row>
    <row r="208" spans="2:12" x14ac:dyDescent="0.2">
      <c r="B208" s="193" t="s">
        <v>47</v>
      </c>
      <c r="C208" s="246">
        <f>+C197-C203</f>
        <v>-4.8370945787755772</v>
      </c>
      <c r="E208" s="339">
        <f>+C208/C197</f>
        <v>-5.0715180958395381E-6</v>
      </c>
    </row>
    <row r="209" spans="2:5" ht="15" x14ac:dyDescent="0.35">
      <c r="B209" s="193" t="s">
        <v>48</v>
      </c>
      <c r="C209" s="326">
        <f>+C198-C204</f>
        <v>0.33103084983304143</v>
      </c>
      <c r="E209" s="344">
        <f>+C209/C198</f>
        <v>2.3293957764580618E-7</v>
      </c>
    </row>
    <row r="210" spans="2:5" x14ac:dyDescent="0.2">
      <c r="B210" s="193" t="s">
        <v>106</v>
      </c>
      <c r="C210" s="246">
        <f>+C199-C205</f>
        <v>-4.5060637290589511</v>
      </c>
      <c r="E210" s="339">
        <f>+C210/C199</f>
        <v>-1.8973872600112143E-6</v>
      </c>
    </row>
    <row r="212" spans="2:5" x14ac:dyDescent="0.2">
      <c r="C212" s="276"/>
    </row>
  </sheetData>
  <pageMargins left="0.75" right="0.75" top="1" bottom="1" header="0.5" footer="0.5"/>
  <pageSetup scale="66" fitToHeight="6" orientation="landscape" r:id="rId1"/>
  <headerFooter alignWithMargins="0">
    <oddHeader>&amp;CPublic Service Electric and Gas Company Specific Addendum
Attachment 3</oddHeader>
    <oddFooter>&amp;CPage &amp;P of &amp;N</oddFooter>
  </headerFooter>
  <rowBreaks count="5" manualBreakCount="5">
    <brk id="40" max="11" man="1"/>
    <brk id="80" max="11" man="1"/>
    <brk id="116" max="11" man="1"/>
    <brk id="152" max="11" man="1"/>
    <brk id="1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Input</vt:lpstr>
      <vt:lpstr>bid_factors</vt:lpstr>
      <vt:lpstr>auction_results_and_rates</vt:lpstr>
      <vt:lpstr>auction_results_and_rates!Print_Area</vt:lpstr>
      <vt:lpstr>bid_factors!Print_Area</vt:lpstr>
      <vt:lpstr>Input!Print_Area</vt:lpstr>
      <vt:lpstr>auction_results_and_rates!Print_Titles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Zarra</dc:creator>
  <cp:lastModifiedBy>Dave Zarra</cp:lastModifiedBy>
  <dcterms:created xsi:type="dcterms:W3CDTF">2018-06-21T12:29:17Z</dcterms:created>
  <dcterms:modified xsi:type="dcterms:W3CDTF">2018-06-21T12:44:24Z</dcterms:modified>
</cp:coreProperties>
</file>