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&amp;R Rate Engineering\RECOTAR\BGS Auction Feb 2018\2017-07-01 Filing\To NERA\"/>
    </mc:Choice>
  </mc:AlternateContent>
  <bookViews>
    <workbookView xWindow="0" yWindow="0" windowWidth="28800" windowHeight="11925"/>
  </bookViews>
  <sheets>
    <sheet name="BGS Cost &amp; Bid Factors" sheetId="1" r:id="rId1"/>
    <sheet name="Weighted Avg Price Calc" sheetId="2" r:id="rId2"/>
    <sheet name="Rate Calculations" sheetId="3" r:id="rId3"/>
    <sheet name="Incremental RPM Cost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3">#REF!</definedName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 localSheetId="3">#REF!</definedName>
    <definedName name="Co_letter">#REF!</definedName>
    <definedName name="Co_List" localSheetId="3">#REF!</definedName>
    <definedName name="Co_List">#REF!</definedName>
    <definedName name="Co_Name" localSheetId="3">#REF!</definedName>
    <definedName name="Co_Name">#REF!</definedName>
    <definedName name="Co_Picked" localSheetId="3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 localSheetId="3">#REF!</definedName>
    <definedName name="Get_Co">#REF!</definedName>
    <definedName name="Get_Mo" localSheetId="3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 localSheetId="3">#REF!</definedName>
    <definedName name="Mo_List">#REF!</definedName>
    <definedName name="Mo_Picked" localSheetId="3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Calc'!$A$1:$N$51</definedName>
    <definedName name="Print_Area_MI" localSheetId="3">#REF!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 localSheetId="3">#REF!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 localSheetId="3">#REF!</definedName>
    <definedName name="Year1">#REF!</definedName>
    <definedName name="Year4BGS">[1]Assumptions!#REF!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C14" i="4" s="1"/>
  <c r="C7" i="4"/>
  <c r="C5" i="4"/>
  <c r="D279" i="3"/>
  <c r="U271" i="3"/>
  <c r="O271" i="3"/>
  <c r="J271" i="3"/>
  <c r="K271" i="3"/>
  <c r="M271" i="3" s="1"/>
  <c r="U270" i="3"/>
  <c r="J270" i="3"/>
  <c r="K270" i="3"/>
  <c r="M270" i="3" s="1"/>
  <c r="U269" i="3"/>
  <c r="J269" i="3"/>
  <c r="K269" i="3"/>
  <c r="U268" i="3"/>
  <c r="J268" i="3"/>
  <c r="K268" i="3"/>
  <c r="M268" i="3" s="1"/>
  <c r="U267" i="3"/>
  <c r="J267" i="3"/>
  <c r="K267" i="3"/>
  <c r="O267" i="3" s="1"/>
  <c r="U266" i="3"/>
  <c r="O266" i="3"/>
  <c r="J266" i="3"/>
  <c r="K266" i="3"/>
  <c r="M266" i="3" s="1"/>
  <c r="U265" i="3"/>
  <c r="O265" i="3"/>
  <c r="K265" i="3"/>
  <c r="M265" i="3" s="1"/>
  <c r="J265" i="3"/>
  <c r="U264" i="3"/>
  <c r="J264" i="3"/>
  <c r="U263" i="3"/>
  <c r="O263" i="3"/>
  <c r="J263" i="3"/>
  <c r="K263" i="3"/>
  <c r="M263" i="3" s="1"/>
  <c r="U262" i="3"/>
  <c r="J262" i="3"/>
  <c r="K262" i="3"/>
  <c r="M262" i="3" s="1"/>
  <c r="B262" i="3"/>
  <c r="B263" i="3" s="1"/>
  <c r="B264" i="3" s="1"/>
  <c r="B265" i="3" s="1"/>
  <c r="B266" i="3" s="1"/>
  <c r="B267" i="3" s="1"/>
  <c r="B268" i="3" s="1"/>
  <c r="B269" i="3" s="1"/>
  <c r="B270" i="3" s="1"/>
  <c r="B271" i="3" s="1"/>
  <c r="U261" i="3"/>
  <c r="J261" i="3"/>
  <c r="K261" i="3"/>
  <c r="B261" i="3"/>
  <c r="U260" i="3"/>
  <c r="U273" i="3" s="1"/>
  <c r="D283" i="3" s="1"/>
  <c r="D253" i="3"/>
  <c r="F252" i="3"/>
  <c r="F251" i="3"/>
  <c r="E253" i="3"/>
  <c r="E246" i="3"/>
  <c r="F245" i="3"/>
  <c r="D246" i="3"/>
  <c r="H233" i="3"/>
  <c r="G233" i="3"/>
  <c r="F233" i="3"/>
  <c r="E233" i="3"/>
  <c r="D233" i="3"/>
  <c r="C233" i="3"/>
  <c r="I232" i="3"/>
  <c r="H232" i="3"/>
  <c r="G232" i="3"/>
  <c r="F232" i="3"/>
  <c r="E232" i="3"/>
  <c r="D232" i="3"/>
  <c r="C232" i="3"/>
  <c r="I231" i="3"/>
  <c r="H231" i="3"/>
  <c r="G231" i="3"/>
  <c r="F231" i="3"/>
  <c r="D231" i="3"/>
  <c r="C231" i="3"/>
  <c r="I230" i="3"/>
  <c r="H230" i="3"/>
  <c r="G230" i="3"/>
  <c r="F230" i="3"/>
  <c r="D230" i="3"/>
  <c r="C230" i="3"/>
  <c r="E229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I222" i="3"/>
  <c r="H222" i="3"/>
  <c r="G222" i="3"/>
  <c r="F222" i="3"/>
  <c r="E222" i="3"/>
  <c r="I221" i="3"/>
  <c r="H221" i="3"/>
  <c r="G221" i="3"/>
  <c r="F221" i="3"/>
  <c r="E221" i="3"/>
  <c r="I220" i="3"/>
  <c r="H220" i="3"/>
  <c r="G220" i="3"/>
  <c r="F220" i="3"/>
  <c r="D220" i="3"/>
  <c r="C220" i="3"/>
  <c r="I219" i="3"/>
  <c r="H219" i="3"/>
  <c r="G219" i="3"/>
  <c r="F219" i="3"/>
  <c r="D219" i="3"/>
  <c r="C219" i="3"/>
  <c r="E218" i="3"/>
  <c r="I211" i="3"/>
  <c r="I210" i="3"/>
  <c r="I209" i="3"/>
  <c r="H209" i="3"/>
  <c r="G209" i="3"/>
  <c r="F209" i="3"/>
  <c r="E209" i="3"/>
  <c r="D209" i="3"/>
  <c r="C209" i="3"/>
  <c r="E208" i="3"/>
  <c r="D190" i="3"/>
  <c r="I167" i="3"/>
  <c r="H167" i="3"/>
  <c r="G167" i="3"/>
  <c r="F167" i="3"/>
  <c r="E167" i="3"/>
  <c r="D167" i="3"/>
  <c r="C167" i="3"/>
  <c r="AE126" i="3"/>
  <c r="V126" i="3"/>
  <c r="I118" i="3"/>
  <c r="H118" i="3"/>
  <c r="G118" i="3"/>
  <c r="F118" i="3"/>
  <c r="E118" i="3"/>
  <c r="D118" i="3"/>
  <c r="C118" i="3"/>
  <c r="D100" i="3"/>
  <c r="I78" i="3"/>
  <c r="H78" i="3"/>
  <c r="G78" i="3"/>
  <c r="F78" i="3"/>
  <c r="E78" i="3"/>
  <c r="D78" i="3"/>
  <c r="C78" i="3"/>
  <c r="I55" i="3"/>
  <c r="I208" i="3" s="1"/>
  <c r="H55" i="3"/>
  <c r="H208" i="3" s="1"/>
  <c r="G55" i="3"/>
  <c r="G208" i="3" s="1"/>
  <c r="F55" i="3"/>
  <c r="F208" i="3" s="1"/>
  <c r="E55" i="3"/>
  <c r="D55" i="3"/>
  <c r="D208" i="3" s="1"/>
  <c r="C55" i="3"/>
  <c r="C208" i="3" s="1"/>
  <c r="L49" i="3"/>
  <c r="H40" i="3"/>
  <c r="H39" i="3"/>
  <c r="J37" i="3"/>
  <c r="I37" i="3"/>
  <c r="H37" i="3"/>
  <c r="C33" i="3"/>
  <c r="D33" i="3" s="1"/>
  <c r="H12" i="3"/>
  <c r="G12" i="3"/>
  <c r="F12" i="3"/>
  <c r="E12" i="3"/>
  <c r="D12" i="3"/>
  <c r="C12" i="3"/>
  <c r="A2" i="3"/>
  <c r="I42" i="2"/>
  <c r="D41" i="2"/>
  <c r="D25" i="2"/>
  <c r="D24" i="2"/>
  <c r="D26" i="2" s="1"/>
  <c r="C18" i="4" s="1"/>
  <c r="I12" i="2"/>
  <c r="F12" i="2"/>
  <c r="E12" i="2"/>
  <c r="I10" i="2"/>
  <c r="G9" i="2"/>
  <c r="D451" i="1" s="1"/>
  <c r="E6" i="2"/>
  <c r="D6" i="2"/>
  <c r="A2" i="2"/>
  <c r="I586" i="1"/>
  <c r="H586" i="1"/>
  <c r="G586" i="1"/>
  <c r="F586" i="1"/>
  <c r="E586" i="1"/>
  <c r="D586" i="1"/>
  <c r="C586" i="1"/>
  <c r="I575" i="1"/>
  <c r="H575" i="1"/>
  <c r="G575" i="1"/>
  <c r="F575" i="1"/>
  <c r="E575" i="1"/>
  <c r="D575" i="1"/>
  <c r="C575" i="1"/>
  <c r="H561" i="1"/>
  <c r="G561" i="1"/>
  <c r="F561" i="1"/>
  <c r="E561" i="1"/>
  <c r="D561" i="1"/>
  <c r="C561" i="1"/>
  <c r="I560" i="1"/>
  <c r="H560" i="1"/>
  <c r="G560" i="1"/>
  <c r="F560" i="1"/>
  <c r="E560" i="1"/>
  <c r="D560" i="1"/>
  <c r="C560" i="1"/>
  <c r="I559" i="1"/>
  <c r="H559" i="1"/>
  <c r="G559" i="1"/>
  <c r="F559" i="1"/>
  <c r="D559" i="1"/>
  <c r="C559" i="1"/>
  <c r="I558" i="1"/>
  <c r="H558" i="1"/>
  <c r="G558" i="1"/>
  <c r="F558" i="1"/>
  <c r="D558" i="1"/>
  <c r="C558" i="1"/>
  <c r="E557" i="1"/>
  <c r="H554" i="1"/>
  <c r="G554" i="1"/>
  <c r="F554" i="1"/>
  <c r="E554" i="1"/>
  <c r="D554" i="1"/>
  <c r="C554" i="1"/>
  <c r="I553" i="1"/>
  <c r="H553" i="1"/>
  <c r="G553" i="1"/>
  <c r="F553" i="1"/>
  <c r="E553" i="1"/>
  <c r="D553" i="1"/>
  <c r="C553" i="1"/>
  <c r="I552" i="1"/>
  <c r="H552" i="1"/>
  <c r="G552" i="1"/>
  <c r="F552" i="1"/>
  <c r="E552" i="1"/>
  <c r="I551" i="1"/>
  <c r="H551" i="1"/>
  <c r="G551" i="1"/>
  <c r="F551" i="1"/>
  <c r="E551" i="1"/>
  <c r="I550" i="1"/>
  <c r="H550" i="1"/>
  <c r="G550" i="1"/>
  <c r="F550" i="1"/>
  <c r="E550" i="1"/>
  <c r="I549" i="1"/>
  <c r="H549" i="1"/>
  <c r="G549" i="1"/>
  <c r="F549" i="1"/>
  <c r="D549" i="1"/>
  <c r="C549" i="1"/>
  <c r="I548" i="1"/>
  <c r="H548" i="1"/>
  <c r="G548" i="1"/>
  <c r="F548" i="1"/>
  <c r="D548" i="1"/>
  <c r="C548" i="1"/>
  <c r="E547" i="1"/>
  <c r="H537" i="1"/>
  <c r="F537" i="1"/>
  <c r="D537" i="1"/>
  <c r="I491" i="1"/>
  <c r="I537" i="1" s="1"/>
  <c r="H491" i="1"/>
  <c r="G491" i="1"/>
  <c r="G537" i="1" s="1"/>
  <c r="F491" i="1"/>
  <c r="E491" i="1"/>
  <c r="E537" i="1" s="1"/>
  <c r="D491" i="1"/>
  <c r="C491" i="1"/>
  <c r="C537" i="1" s="1"/>
  <c r="C474" i="1"/>
  <c r="C473" i="1"/>
  <c r="C472" i="1"/>
  <c r="C468" i="1"/>
  <c r="C467" i="1"/>
  <c r="C466" i="1"/>
  <c r="L48" i="3"/>
  <c r="G461" i="1"/>
  <c r="R457" i="1"/>
  <c r="P457" i="1"/>
  <c r="Q456" i="1"/>
  <c r="Q455" i="1"/>
  <c r="Q454" i="1"/>
  <c r="Q453" i="1"/>
  <c r="Q452" i="1"/>
  <c r="S451" i="1"/>
  <c r="S450" i="1"/>
  <c r="S449" i="1"/>
  <c r="D420" i="1"/>
  <c r="E419" i="1"/>
  <c r="D418" i="1"/>
  <c r="D416" i="1"/>
  <c r="E416" i="1" s="1"/>
  <c r="J416" i="1" s="1"/>
  <c r="G415" i="1"/>
  <c r="I414" i="1"/>
  <c r="G416" i="1"/>
  <c r="F415" i="1"/>
  <c r="E414" i="1"/>
  <c r="J414" i="1" s="1"/>
  <c r="G413" i="1"/>
  <c r="F412" i="1"/>
  <c r="I412" i="1" s="1"/>
  <c r="D412" i="1"/>
  <c r="E412" i="1" s="1"/>
  <c r="G411" i="1"/>
  <c r="E411" i="1"/>
  <c r="J411" i="1" s="1"/>
  <c r="D411" i="1"/>
  <c r="I410" i="1"/>
  <c r="F410" i="1"/>
  <c r="D410" i="1"/>
  <c r="F419" i="1"/>
  <c r="D419" i="1"/>
  <c r="I409" i="1"/>
  <c r="I383" i="1"/>
  <c r="H383" i="1"/>
  <c r="G383" i="1"/>
  <c r="F383" i="1"/>
  <c r="E383" i="1"/>
  <c r="D383" i="1"/>
  <c r="C383" i="1"/>
  <c r="I361" i="1"/>
  <c r="H361" i="1"/>
  <c r="G361" i="1"/>
  <c r="F361" i="1"/>
  <c r="E361" i="1"/>
  <c r="D361" i="1"/>
  <c r="C361" i="1"/>
  <c r="D346" i="1"/>
  <c r="C346" i="1"/>
  <c r="H325" i="1"/>
  <c r="G325" i="1"/>
  <c r="F325" i="1"/>
  <c r="E325" i="1"/>
  <c r="D325" i="1"/>
  <c r="C325" i="1"/>
  <c r="J296" i="1"/>
  <c r="J350" i="1" s="1"/>
  <c r="I296" i="1"/>
  <c r="I350" i="1" s="1"/>
  <c r="C292" i="1"/>
  <c r="H271" i="1"/>
  <c r="G271" i="1"/>
  <c r="F271" i="1"/>
  <c r="E271" i="1"/>
  <c r="D271" i="1"/>
  <c r="C271" i="1"/>
  <c r="H263" i="1"/>
  <c r="D253" i="1"/>
  <c r="C253" i="1"/>
  <c r="H231" i="1"/>
  <c r="G231" i="1"/>
  <c r="F231" i="1"/>
  <c r="E231" i="1"/>
  <c r="D231" i="1"/>
  <c r="C231" i="1"/>
  <c r="R214" i="1"/>
  <c r="T214" i="1" s="1"/>
  <c r="S214" i="1"/>
  <c r="M217" i="1"/>
  <c r="T213" i="1"/>
  <c r="S213" i="1"/>
  <c r="R213" i="1"/>
  <c r="M211" i="1"/>
  <c r="H206" i="1"/>
  <c r="C196" i="1"/>
  <c r="H179" i="1"/>
  <c r="G179" i="1"/>
  <c r="F179" i="1"/>
  <c r="E179" i="1"/>
  <c r="D179" i="1"/>
  <c r="C179" i="1"/>
  <c r="H165" i="1"/>
  <c r="G165" i="1"/>
  <c r="F165" i="1"/>
  <c r="E165" i="1"/>
  <c r="D165" i="1"/>
  <c r="C165" i="1"/>
  <c r="C158" i="1"/>
  <c r="I157" i="1"/>
  <c r="H154" i="1"/>
  <c r="C154" i="1"/>
  <c r="E147" i="1"/>
  <c r="H146" i="1"/>
  <c r="E145" i="1"/>
  <c r="E144" i="1"/>
  <c r="M137" i="1"/>
  <c r="I137" i="1"/>
  <c r="H137" i="1"/>
  <c r="G137" i="1"/>
  <c r="F137" i="1"/>
  <c r="E137" i="1"/>
  <c r="D137" i="1"/>
  <c r="C137" i="1"/>
  <c r="M136" i="1"/>
  <c r="M138" i="1" s="1"/>
  <c r="B136" i="1"/>
  <c r="I122" i="1"/>
  <c r="H122" i="1"/>
  <c r="G122" i="1"/>
  <c r="F122" i="1"/>
  <c r="E122" i="1"/>
  <c r="D122" i="1"/>
  <c r="C122" i="1"/>
  <c r="I104" i="1"/>
  <c r="H104" i="1"/>
  <c r="G104" i="1"/>
  <c r="F104" i="1"/>
  <c r="E104" i="1"/>
  <c r="D104" i="1"/>
  <c r="C104" i="1"/>
  <c r="I86" i="1"/>
  <c r="H86" i="1"/>
  <c r="G86" i="1"/>
  <c r="F86" i="1"/>
  <c r="E86" i="1"/>
  <c r="D86" i="1"/>
  <c r="C86" i="1"/>
  <c r="I76" i="1"/>
  <c r="H76" i="1"/>
  <c r="G76" i="1"/>
  <c r="F76" i="1"/>
  <c r="E76" i="1"/>
  <c r="D76" i="1"/>
  <c r="C76" i="1"/>
  <c r="S60" i="1"/>
  <c r="S84" i="1" s="1"/>
  <c r="J55" i="1"/>
  <c r="J54" i="1"/>
  <c r="J53" i="1"/>
  <c r="J52" i="1"/>
  <c r="J51" i="1"/>
  <c r="S77" i="1"/>
  <c r="J50" i="1"/>
  <c r="P48" i="1"/>
  <c r="S48" i="1"/>
  <c r="Q48" i="1"/>
  <c r="O48" i="1"/>
  <c r="M48" i="1"/>
  <c r="M52" i="1" s="1"/>
  <c r="J48" i="1"/>
  <c r="J47" i="1"/>
  <c r="J46" i="1"/>
  <c r="I56" i="1"/>
  <c r="G56" i="1"/>
  <c r="E56" i="1"/>
  <c r="J45" i="1"/>
  <c r="R44" i="1"/>
  <c r="D56" i="1"/>
  <c r="S42" i="1"/>
  <c r="R42" i="1"/>
  <c r="Q42" i="1"/>
  <c r="P42" i="1"/>
  <c r="O42" i="1"/>
  <c r="N42" i="1"/>
  <c r="M42" i="1"/>
  <c r="I42" i="1"/>
  <c r="H42" i="1"/>
  <c r="G42" i="1"/>
  <c r="F42" i="1"/>
  <c r="E42" i="1"/>
  <c r="D42" i="1"/>
  <c r="C42" i="1"/>
  <c r="B41" i="1"/>
  <c r="O37" i="1"/>
  <c r="O36" i="1"/>
  <c r="O35" i="1"/>
  <c r="O34" i="1"/>
  <c r="O33" i="1"/>
  <c r="O32" i="1"/>
  <c r="O31" i="1"/>
  <c r="S68" i="1" s="1"/>
  <c r="O30" i="1"/>
  <c r="O29" i="1"/>
  <c r="O28" i="1"/>
  <c r="O27" i="1"/>
  <c r="O26" i="1"/>
  <c r="S24" i="1"/>
  <c r="R24" i="1"/>
  <c r="Q24" i="1"/>
  <c r="P24" i="1"/>
  <c r="O24" i="1"/>
  <c r="N24" i="1"/>
  <c r="M24" i="1"/>
  <c r="I24" i="1"/>
  <c r="H24" i="1"/>
  <c r="G24" i="1"/>
  <c r="F24" i="1"/>
  <c r="E24" i="1"/>
  <c r="D24" i="1"/>
  <c r="C24" i="1"/>
  <c r="O23" i="1"/>
  <c r="S19" i="1"/>
  <c r="Q19" i="1"/>
  <c r="O19" i="1"/>
  <c r="N19" i="1"/>
  <c r="M19" i="1"/>
  <c r="H19" i="1"/>
  <c r="R19" i="1" s="1"/>
  <c r="P19" i="1"/>
  <c r="S18" i="1"/>
  <c r="Q18" i="1"/>
  <c r="P18" i="1"/>
  <c r="O18" i="1"/>
  <c r="M18" i="1"/>
  <c r="H18" i="1"/>
  <c r="R18" i="1" s="1"/>
  <c r="N18" i="1"/>
  <c r="S17" i="1"/>
  <c r="Q17" i="1"/>
  <c r="O17" i="1"/>
  <c r="N17" i="1"/>
  <c r="M17" i="1"/>
  <c r="H17" i="1"/>
  <c r="R17" i="1" s="1"/>
  <c r="P17" i="1"/>
  <c r="S16" i="1"/>
  <c r="Q16" i="1"/>
  <c r="P16" i="1"/>
  <c r="O16" i="1"/>
  <c r="M16" i="1"/>
  <c r="H16" i="1"/>
  <c r="R16" i="1" s="1"/>
  <c r="N16" i="1"/>
  <c r="S15" i="1"/>
  <c r="Q15" i="1"/>
  <c r="O15" i="1"/>
  <c r="N15" i="1"/>
  <c r="M15" i="1"/>
  <c r="H15" i="1"/>
  <c r="R15" i="1" s="1"/>
  <c r="P15" i="1"/>
  <c r="S14" i="1"/>
  <c r="Q14" i="1"/>
  <c r="P14" i="1"/>
  <c r="O14" i="1"/>
  <c r="M14" i="1"/>
  <c r="H14" i="1"/>
  <c r="R14" i="1" s="1"/>
  <c r="S78" i="1"/>
  <c r="N14" i="1"/>
  <c r="S13" i="1"/>
  <c r="Q13" i="1"/>
  <c r="O13" i="1"/>
  <c r="N13" i="1"/>
  <c r="M13" i="1"/>
  <c r="P13" i="1"/>
  <c r="S12" i="1"/>
  <c r="Q12" i="1"/>
  <c r="P12" i="1"/>
  <c r="O12" i="1"/>
  <c r="M12" i="1"/>
  <c r="H12" i="1"/>
  <c r="R12" i="1" s="1"/>
  <c r="N12" i="1"/>
  <c r="S11" i="1"/>
  <c r="Q11" i="1"/>
  <c r="O11" i="1"/>
  <c r="N11" i="1"/>
  <c r="M11" i="1"/>
  <c r="H11" i="1"/>
  <c r="R11" i="1" s="1"/>
  <c r="P11" i="1"/>
  <c r="S10" i="1"/>
  <c r="Q10" i="1"/>
  <c r="P10" i="1"/>
  <c r="O10" i="1"/>
  <c r="M10" i="1"/>
  <c r="H10" i="1"/>
  <c r="R10" i="1" s="1"/>
  <c r="N10" i="1"/>
  <c r="S9" i="1"/>
  <c r="Q9" i="1"/>
  <c r="O9" i="1"/>
  <c r="N9" i="1"/>
  <c r="M9" i="1"/>
  <c r="H9" i="1"/>
  <c r="R9" i="1" s="1"/>
  <c r="P9" i="1"/>
  <c r="S8" i="1"/>
  <c r="Q8" i="1"/>
  <c r="P8" i="1"/>
  <c r="O8" i="1"/>
  <c r="S75" i="1" s="1"/>
  <c r="M8" i="1"/>
  <c r="H8" i="1"/>
  <c r="S74" i="1"/>
  <c r="S6" i="1"/>
  <c r="R6" i="1"/>
  <c r="Q6" i="1"/>
  <c r="P6" i="1"/>
  <c r="O6" i="1"/>
  <c r="N6" i="1"/>
  <c r="M6" i="1"/>
  <c r="M4" i="1"/>
  <c r="E3" i="1"/>
  <c r="B1" i="1"/>
  <c r="T78" i="1" l="1"/>
  <c r="S64" i="1"/>
  <c r="D167" i="1"/>
  <c r="M44" i="1"/>
  <c r="Q44" i="1"/>
  <c r="O49" i="1"/>
  <c r="O50" i="1" s="1"/>
  <c r="M53" i="1"/>
  <c r="H56" i="1"/>
  <c r="H167" i="1" s="1"/>
  <c r="S67" i="1"/>
  <c r="S71" i="1"/>
  <c r="E167" i="1"/>
  <c r="G418" i="1"/>
  <c r="G420" i="1"/>
  <c r="G412" i="1"/>
  <c r="J412" i="1" s="1"/>
  <c r="G419" i="1"/>
  <c r="J419" i="1" s="1"/>
  <c r="G410" i="1"/>
  <c r="D417" i="1"/>
  <c r="D415" i="1"/>
  <c r="E415" i="1" s="1"/>
  <c r="J415" i="1" s="1"/>
  <c r="I415" i="1"/>
  <c r="E417" i="1"/>
  <c r="J417" i="1" s="1"/>
  <c r="O45" i="1"/>
  <c r="C56" i="1"/>
  <c r="E30" i="2"/>
  <c r="H13" i="1"/>
  <c r="S63" i="1"/>
  <c r="J139" i="1"/>
  <c r="C8" i="4" s="1"/>
  <c r="G167" i="1"/>
  <c r="F167" i="1"/>
  <c r="F417" i="1"/>
  <c r="I417" i="1" s="1"/>
  <c r="C451" i="1"/>
  <c r="E451" i="1" s="1"/>
  <c r="H273" i="3"/>
  <c r="J260" i="3"/>
  <c r="J273" i="3" s="1"/>
  <c r="D280" i="3" s="1"/>
  <c r="M267" i="3"/>
  <c r="O268" i="3"/>
  <c r="J44" i="1"/>
  <c r="P44" i="1"/>
  <c r="J49" i="1"/>
  <c r="E29" i="2"/>
  <c r="E31" i="2" s="1"/>
  <c r="D449" i="1"/>
  <c r="E449" i="1" s="1"/>
  <c r="N44" i="1"/>
  <c r="N8" i="1"/>
  <c r="R8" i="1"/>
  <c r="S73" i="1"/>
  <c r="T74" i="1" s="1"/>
  <c r="O44" i="1"/>
  <c r="O46" i="1" s="1"/>
  <c r="S44" i="1"/>
  <c r="N48" i="1"/>
  <c r="R48" i="1"/>
  <c r="F56" i="1"/>
  <c r="S62" i="1"/>
  <c r="S66" i="1"/>
  <c r="S79" i="1"/>
  <c r="M133" i="1"/>
  <c r="C167" i="1"/>
  <c r="J141" i="1"/>
  <c r="E409" i="1"/>
  <c r="J409" i="1" s="1"/>
  <c r="E410" i="1"/>
  <c r="J410" i="1" s="1"/>
  <c r="F416" i="1"/>
  <c r="I416" i="1" s="1"/>
  <c r="F413" i="1"/>
  <c r="I413" i="1" s="1"/>
  <c r="G417" i="1"/>
  <c r="F418" i="1"/>
  <c r="I418" i="1" s="1"/>
  <c r="F420" i="1"/>
  <c r="I420" i="1" s="1"/>
  <c r="F411" i="1"/>
  <c r="I411" i="1" s="1"/>
  <c r="D413" i="1"/>
  <c r="E413" i="1" s="1"/>
  <c r="J413" i="1" s="1"/>
  <c r="E418" i="1"/>
  <c r="J418" i="1" s="1"/>
  <c r="I419" i="1"/>
  <c r="E420" i="1"/>
  <c r="J420" i="1" s="1"/>
  <c r="Q457" i="1"/>
  <c r="S457" i="1" s="1"/>
  <c r="F461" i="1"/>
  <c r="L50" i="3"/>
  <c r="M466" i="1"/>
  <c r="C10" i="4"/>
  <c r="C16" i="4" s="1"/>
  <c r="F253" i="3"/>
  <c r="K260" i="3"/>
  <c r="O260" i="3"/>
  <c r="M261" i="3"/>
  <c r="O261" i="3"/>
  <c r="M269" i="3"/>
  <c r="O269" i="3"/>
  <c r="C19" i="4"/>
  <c r="O262" i="3"/>
  <c r="K264" i="3"/>
  <c r="M264" i="3" s="1"/>
  <c r="O270" i="3"/>
  <c r="D273" i="3"/>
  <c r="D285" i="3" s="1"/>
  <c r="F244" i="3"/>
  <c r="F246" i="3" s="1"/>
  <c r="K273" i="3" l="1"/>
  <c r="M260" i="3"/>
  <c r="M273" i="3" s="1"/>
  <c r="D281" i="3" s="1"/>
  <c r="E281" i="3" s="1"/>
  <c r="N54" i="1"/>
  <c r="N53" i="1"/>
  <c r="N52" i="1"/>
  <c r="E279" i="3"/>
  <c r="J56" i="1"/>
  <c r="E283" i="3"/>
  <c r="O273" i="3"/>
  <c r="E41" i="2"/>
  <c r="F447" i="1"/>
  <c r="G451" i="1" s="1"/>
  <c r="E447" i="1"/>
  <c r="O264" i="3"/>
  <c r="C21" i="4"/>
  <c r="C23" i="4" s="1"/>
  <c r="C25" i="4" s="1"/>
  <c r="D11" i="2" s="1"/>
  <c r="D12" i="2" s="1"/>
  <c r="E280" i="3"/>
  <c r="T63" i="1"/>
  <c r="R13" i="1"/>
  <c r="T67" i="1"/>
  <c r="S92" i="1"/>
  <c r="S87" i="1"/>
  <c r="C465" i="1" l="1"/>
  <c r="D150" i="1"/>
  <c r="D29" i="2"/>
  <c r="D30" i="2"/>
  <c r="N273" i="3"/>
  <c r="D282" i="3"/>
  <c r="E282" i="3" s="1"/>
  <c r="E284" i="3" s="1"/>
  <c r="G459" i="1"/>
  <c r="J429" i="1"/>
  <c r="D284" i="3"/>
  <c r="D286" i="3" s="1"/>
  <c r="E42" i="2" s="1"/>
  <c r="D183" i="3"/>
  <c r="D195" i="3" s="1"/>
  <c r="D182" i="3"/>
  <c r="D93" i="3"/>
  <c r="C599" i="1"/>
  <c r="J428" i="1"/>
  <c r="C598" i="1"/>
  <c r="C600" i="1" s="1"/>
  <c r="F425" i="1"/>
  <c r="F459" i="1"/>
  <c r="E47" i="2"/>
  <c r="G41" i="2"/>
  <c r="G449" i="1"/>
  <c r="D31" i="2" l="1"/>
  <c r="H439" i="1"/>
  <c r="D73" i="1" s="1"/>
  <c r="H438" i="1"/>
  <c r="D72" i="1" s="1"/>
  <c r="H437" i="1"/>
  <c r="D71" i="1" s="1"/>
  <c r="H436" i="1"/>
  <c r="D70" i="1" s="1"/>
  <c r="H435" i="1"/>
  <c r="D69" i="1" s="1"/>
  <c r="H434" i="1"/>
  <c r="D68" i="1" s="1"/>
  <c r="H433" i="1"/>
  <c r="G432" i="1"/>
  <c r="C66" i="1" s="1"/>
  <c r="G431" i="1"/>
  <c r="C65" i="1" s="1"/>
  <c r="H429" i="1"/>
  <c r="D63" i="1" s="1"/>
  <c r="G428" i="1"/>
  <c r="G430" i="1"/>
  <c r="C64" i="1" s="1"/>
  <c r="G436" i="1"/>
  <c r="C70" i="1" s="1"/>
  <c r="H431" i="1"/>
  <c r="D65" i="1" s="1"/>
  <c r="H430" i="1"/>
  <c r="D64" i="1" s="1"/>
  <c r="G438" i="1"/>
  <c r="C72" i="1" s="1"/>
  <c r="G434" i="1"/>
  <c r="C68" i="1" s="1"/>
  <c r="G435" i="1"/>
  <c r="C69" i="1" s="1"/>
  <c r="H432" i="1"/>
  <c r="D66" i="1" s="1"/>
  <c r="H428" i="1"/>
  <c r="G433" i="1"/>
  <c r="G429" i="1"/>
  <c r="C63" i="1" s="1"/>
  <c r="G437" i="1"/>
  <c r="C71" i="1" s="1"/>
  <c r="G439" i="1"/>
  <c r="C73" i="1" s="1"/>
  <c r="C189" i="3"/>
  <c r="C99" i="3"/>
  <c r="K42" i="2"/>
  <c r="C188" i="3"/>
  <c r="E188" i="3" s="1"/>
  <c r="E45" i="2"/>
  <c r="E46" i="2" s="1"/>
  <c r="C98" i="3"/>
  <c r="E98" i="3" s="1"/>
  <c r="I150" i="1"/>
  <c r="G172" i="1"/>
  <c r="F172" i="1"/>
  <c r="D172" i="1"/>
  <c r="H172" i="1"/>
  <c r="C172" i="1"/>
  <c r="V214" i="1"/>
  <c r="W214" i="1" s="1"/>
  <c r="M214" i="1"/>
  <c r="Q214" i="1"/>
  <c r="E172" i="1"/>
  <c r="D184" i="3"/>
  <c r="D194" i="3"/>
  <c r="D196" i="3" s="1"/>
  <c r="C464" i="1"/>
  <c r="D149" i="1"/>
  <c r="D94" i="3"/>
  <c r="D104" i="3" s="1"/>
  <c r="D105" i="3" s="1"/>
  <c r="H461" i="1"/>
  <c r="D161" i="1" s="1"/>
  <c r="C469" i="1" s="1"/>
  <c r="D103" i="3"/>
  <c r="E189" i="3" l="1"/>
  <c r="C190" i="3"/>
  <c r="Q428" i="1"/>
  <c r="C67" i="1"/>
  <c r="G171" i="1"/>
  <c r="E170" i="1"/>
  <c r="G170" i="1"/>
  <c r="C170" i="1"/>
  <c r="I149" i="1"/>
  <c r="D171" i="1"/>
  <c r="D170" i="1"/>
  <c r="H170" i="1"/>
  <c r="F171" i="1"/>
  <c r="H171" i="1"/>
  <c r="F170" i="1"/>
  <c r="E171" i="1"/>
  <c r="C171" i="1"/>
  <c r="Q213" i="1"/>
  <c r="V213" i="1"/>
  <c r="W213" i="1" s="1"/>
  <c r="M213" i="1"/>
  <c r="E190" i="3"/>
  <c r="R432" i="1"/>
  <c r="R429" i="1"/>
  <c r="D62" i="1"/>
  <c r="D95" i="3"/>
  <c r="Q432" i="1"/>
  <c r="S432" i="1" s="1"/>
  <c r="Q429" i="1"/>
  <c r="C62" i="1"/>
  <c r="R428" i="1"/>
  <c r="R430" i="1" s="1"/>
  <c r="D67" i="1"/>
  <c r="N214" i="1"/>
  <c r="E100" i="3"/>
  <c r="C100" i="3"/>
  <c r="E99" i="3"/>
  <c r="I93" i="1" l="1"/>
  <c r="I111" i="1" s="1"/>
  <c r="E92" i="1"/>
  <c r="E110" i="1" s="1"/>
  <c r="E128" i="1" s="1"/>
  <c r="E188" i="1" s="1"/>
  <c r="I92" i="1"/>
  <c r="I110" i="1" s="1"/>
  <c r="I128" i="1" s="1"/>
  <c r="C202" i="1" s="1"/>
  <c r="E93" i="1"/>
  <c r="G93" i="1"/>
  <c r="G111" i="1" s="1"/>
  <c r="C93" i="1"/>
  <c r="C111" i="1" s="1"/>
  <c r="G92" i="1"/>
  <c r="G110" i="1" s="1"/>
  <c r="G128" i="1" s="1"/>
  <c r="G188" i="1" s="1"/>
  <c r="D92" i="1"/>
  <c r="D110" i="1" s="1"/>
  <c r="D128" i="1" s="1"/>
  <c r="D188" i="1" s="1"/>
  <c r="F92" i="1"/>
  <c r="F110" i="1" s="1"/>
  <c r="F128" i="1" s="1"/>
  <c r="F188" i="1" s="1"/>
  <c r="H93" i="1"/>
  <c r="H111" i="1" s="1"/>
  <c r="F93" i="1"/>
  <c r="F111" i="1" s="1"/>
  <c r="H92" i="1"/>
  <c r="H110" i="1" s="1"/>
  <c r="H128" i="1" s="1"/>
  <c r="H188" i="1" s="1"/>
  <c r="C92" i="1"/>
  <c r="C110" i="1" s="1"/>
  <c r="C128" i="1" s="1"/>
  <c r="C188" i="1" s="1"/>
  <c r="D93" i="1"/>
  <c r="D111" i="1" s="1"/>
  <c r="E94" i="1"/>
  <c r="I94" i="1"/>
  <c r="I112" i="1" s="1"/>
  <c r="C94" i="1"/>
  <c r="C112" i="1" s="1"/>
  <c r="G94" i="1"/>
  <c r="G112" i="1" s="1"/>
  <c r="F94" i="1"/>
  <c r="F112" i="1" s="1"/>
  <c r="H94" i="1"/>
  <c r="H112" i="1" s="1"/>
  <c r="D94" i="1"/>
  <c r="D112" i="1" s="1"/>
  <c r="D89" i="1"/>
  <c r="D107" i="1" s="1"/>
  <c r="D88" i="1"/>
  <c r="C88" i="1"/>
  <c r="I88" i="1"/>
  <c r="F88" i="1"/>
  <c r="G89" i="1"/>
  <c r="G107" i="1" s="1"/>
  <c r="E88" i="1"/>
  <c r="F89" i="1"/>
  <c r="F107" i="1" s="1"/>
  <c r="C89" i="1"/>
  <c r="C107" i="1" s="1"/>
  <c r="E89" i="1"/>
  <c r="G88" i="1"/>
  <c r="I89" i="1"/>
  <c r="I107" i="1" s="1"/>
  <c r="H89" i="1"/>
  <c r="H107" i="1" s="1"/>
  <c r="H88" i="1"/>
  <c r="I260" i="1"/>
  <c r="I299" i="1" s="1"/>
  <c r="I353" i="1" s="1"/>
  <c r="H214" i="1"/>
  <c r="O214" i="1"/>
  <c r="Q430" i="1"/>
  <c r="D90" i="1"/>
  <c r="D108" i="1" s="1"/>
  <c r="G90" i="1"/>
  <c r="G108" i="1" s="1"/>
  <c r="C90" i="1"/>
  <c r="C108" i="1" s="1"/>
  <c r="I90" i="1"/>
  <c r="I108" i="1" s="1"/>
  <c r="F90" i="1"/>
  <c r="F108" i="1" s="1"/>
  <c r="E90" i="1"/>
  <c r="H90" i="1"/>
  <c r="H108" i="1" s="1"/>
  <c r="N213" i="1"/>
  <c r="Q217" i="1"/>
  <c r="D364" i="1" l="1"/>
  <c r="D280" i="1"/>
  <c r="H96" i="1"/>
  <c r="H106" i="1"/>
  <c r="E107" i="1"/>
  <c r="S93" i="1"/>
  <c r="S94" i="1" s="1"/>
  <c r="E125" i="1" s="1"/>
  <c r="E182" i="1" s="1"/>
  <c r="D96" i="1"/>
  <c r="D106" i="1"/>
  <c r="E130" i="1"/>
  <c r="E190" i="1" s="1"/>
  <c r="E112" i="1"/>
  <c r="G280" i="1"/>
  <c r="G364" i="1"/>
  <c r="I40" i="3"/>
  <c r="I508" i="1"/>
  <c r="E106" i="1"/>
  <c r="E96" i="1"/>
  <c r="E129" i="1"/>
  <c r="E189" i="1" s="1"/>
  <c r="E111" i="1"/>
  <c r="S88" i="1"/>
  <c r="S89" i="1" s="1"/>
  <c r="I259" i="1"/>
  <c r="I298" i="1" s="1"/>
  <c r="I352" i="1" s="1"/>
  <c r="AA213" i="1"/>
  <c r="AB213" i="1" s="1"/>
  <c r="O213" i="1"/>
  <c r="H213" i="1"/>
  <c r="C298" i="1"/>
  <c r="C214" i="1"/>
  <c r="I214" i="1"/>
  <c r="J260" i="1"/>
  <c r="J299" i="1" s="1"/>
  <c r="J353" i="1" s="1"/>
  <c r="F96" i="1"/>
  <c r="F106" i="1"/>
  <c r="E280" i="1"/>
  <c r="E386" i="1" s="1"/>
  <c r="E364" i="1"/>
  <c r="G106" i="1"/>
  <c r="G96" i="1"/>
  <c r="C106" i="1"/>
  <c r="C96" i="1"/>
  <c r="C98" i="1" s="1"/>
  <c r="H364" i="1"/>
  <c r="H280" i="1"/>
  <c r="E126" i="1"/>
  <c r="E183" i="1" s="1"/>
  <c r="E108" i="1"/>
  <c r="I72" i="3"/>
  <c r="I203" i="1"/>
  <c r="I106" i="1"/>
  <c r="I96" i="1"/>
  <c r="C280" i="1"/>
  <c r="C364" i="1"/>
  <c r="F364" i="1"/>
  <c r="F280" i="1"/>
  <c r="E274" i="1" l="1"/>
  <c r="J40" i="3"/>
  <c r="I509" i="1"/>
  <c r="I531" i="1" s="1"/>
  <c r="H386" i="1"/>
  <c r="C114" i="1"/>
  <c r="C124" i="1"/>
  <c r="I73" i="3"/>
  <c r="J203" i="1"/>
  <c r="I39" i="3"/>
  <c r="I500" i="1"/>
  <c r="D386" i="1"/>
  <c r="C386" i="1"/>
  <c r="F124" i="1"/>
  <c r="F114" i="1"/>
  <c r="I64" i="3"/>
  <c r="I202" i="1"/>
  <c r="E114" i="1"/>
  <c r="E124" i="1"/>
  <c r="D124" i="1"/>
  <c r="D114" i="1"/>
  <c r="I114" i="1"/>
  <c r="I124" i="1"/>
  <c r="E275" i="1"/>
  <c r="E281" i="1"/>
  <c r="F386" i="1"/>
  <c r="I386" i="1"/>
  <c r="C309" i="1"/>
  <c r="D352" i="1"/>
  <c r="D39" i="3" s="1"/>
  <c r="E282" i="1"/>
  <c r="G114" i="1"/>
  <c r="G124" i="1"/>
  <c r="D259" i="1"/>
  <c r="I213" i="1"/>
  <c r="J259" i="1"/>
  <c r="J298" i="1" s="1"/>
  <c r="J352" i="1" s="1"/>
  <c r="I561" i="1"/>
  <c r="I530" i="1"/>
  <c r="G386" i="1"/>
  <c r="H124" i="1"/>
  <c r="H114" i="1"/>
  <c r="C373" i="1" l="1"/>
  <c r="D132" i="1"/>
  <c r="D192" i="1" s="1"/>
  <c r="D181" i="1"/>
  <c r="H132" i="1"/>
  <c r="H192" i="1" s="1"/>
  <c r="H181" i="1"/>
  <c r="G181" i="1"/>
  <c r="G132" i="1"/>
  <c r="G192" i="1" s="1"/>
  <c r="C395" i="1"/>
  <c r="I132" i="1"/>
  <c r="C206" i="1" s="1"/>
  <c r="C198" i="1"/>
  <c r="C181" i="1"/>
  <c r="C132" i="1"/>
  <c r="C192" i="1" s="1"/>
  <c r="E181" i="1"/>
  <c r="E132" i="1"/>
  <c r="E192" i="1" s="1"/>
  <c r="J39" i="3"/>
  <c r="I501" i="1"/>
  <c r="I523" i="1" s="1"/>
  <c r="F132" i="1"/>
  <c r="F192" i="1" s="1"/>
  <c r="F181" i="1"/>
  <c r="I522" i="1"/>
  <c r="I554" i="1"/>
  <c r="I65" i="3"/>
  <c r="J202" i="1"/>
  <c r="C116" i="1"/>
  <c r="C133" i="1" s="1"/>
  <c r="E273" i="1" l="1"/>
  <c r="E385" i="1" s="1"/>
  <c r="E363" i="1"/>
  <c r="D284" i="1"/>
  <c r="F363" i="1"/>
  <c r="F273" i="1"/>
  <c r="E400" i="1"/>
  <c r="H273" i="1"/>
  <c r="H363" i="1"/>
  <c r="E378" i="1"/>
  <c r="C273" i="1"/>
  <c r="C184" i="1"/>
  <c r="F284" i="1"/>
  <c r="H284" i="1"/>
  <c r="C218" i="1"/>
  <c r="C302" i="1"/>
  <c r="C313" i="1" s="1"/>
  <c r="G363" i="1"/>
  <c r="G273" i="1"/>
  <c r="E284" i="1"/>
  <c r="C284" i="1"/>
  <c r="C221" i="1"/>
  <c r="C294" i="1"/>
  <c r="C210" i="1"/>
  <c r="G284" i="1"/>
  <c r="D184" i="1"/>
  <c r="D273" i="1"/>
  <c r="C316" i="1" l="1"/>
  <c r="G385" i="1"/>
  <c r="H385" i="1"/>
  <c r="D276" i="1"/>
  <c r="G365" i="1"/>
  <c r="G369" i="1" s="1"/>
  <c r="F385" i="1"/>
  <c r="C276" i="1"/>
  <c r="F365" i="1"/>
  <c r="F369" i="1" s="1"/>
  <c r="E365" i="1"/>
  <c r="E369" i="1" s="1"/>
  <c r="I385" i="1"/>
  <c r="C305" i="1"/>
  <c r="D348" i="1"/>
  <c r="D35" i="3" s="1"/>
  <c r="I365" i="1"/>
  <c r="I369" i="1" s="1"/>
  <c r="C185" i="1"/>
  <c r="C239" i="1" s="1"/>
  <c r="C238" i="1"/>
  <c r="D222" i="1"/>
  <c r="D223" i="1"/>
  <c r="D238" i="1"/>
  <c r="D185" i="1"/>
  <c r="D239" i="1" s="1"/>
  <c r="D363" i="1"/>
  <c r="D255" i="1"/>
  <c r="H365" i="1"/>
  <c r="H369" i="1" s="1"/>
  <c r="E387" i="1"/>
  <c r="E391" i="1" s="1"/>
  <c r="D484" i="1" l="1"/>
  <c r="F486" i="1"/>
  <c r="C568" i="1"/>
  <c r="C242" i="1"/>
  <c r="D242" i="1"/>
  <c r="G242" i="1"/>
  <c r="H242" i="1"/>
  <c r="F242" i="1"/>
  <c r="E244" i="1"/>
  <c r="E234" i="1"/>
  <c r="C259" i="1"/>
  <c r="E235" i="1"/>
  <c r="E243" i="1"/>
  <c r="F233" i="1"/>
  <c r="C233" i="1"/>
  <c r="F246" i="1"/>
  <c r="G233" i="1"/>
  <c r="C246" i="1"/>
  <c r="H233" i="1"/>
  <c r="D233" i="1"/>
  <c r="H246" i="1"/>
  <c r="E246" i="1"/>
  <c r="D246" i="1"/>
  <c r="G246" i="1"/>
  <c r="E368" i="1"/>
  <c r="J378" i="1"/>
  <c r="G387" i="1"/>
  <c r="G391" i="1" s="1"/>
  <c r="D332" i="1"/>
  <c r="D19" i="3" s="1"/>
  <c r="D277" i="1"/>
  <c r="D333" i="1" s="1"/>
  <c r="D20" i="3" s="1"/>
  <c r="C363" i="1"/>
  <c r="C263" i="1"/>
  <c r="C348" i="1"/>
  <c r="C277" i="1"/>
  <c r="C333" i="1" s="1"/>
  <c r="C20" i="3" s="1"/>
  <c r="C332" i="1"/>
  <c r="C19" i="3" s="1"/>
  <c r="C255" i="1"/>
  <c r="G368" i="1"/>
  <c r="H387" i="1"/>
  <c r="H391" i="1" s="1"/>
  <c r="D317" i="1"/>
  <c r="D318" i="1"/>
  <c r="D365" i="1"/>
  <c r="D369" i="1" s="1"/>
  <c r="H368" i="1"/>
  <c r="E390" i="1"/>
  <c r="I368" i="1"/>
  <c r="I387" i="1"/>
  <c r="I391" i="1" s="1"/>
  <c r="F368" i="1"/>
  <c r="F387" i="1"/>
  <c r="F391" i="1" s="1"/>
  <c r="F390" i="1" l="1"/>
  <c r="D368" i="1"/>
  <c r="H390" i="1"/>
  <c r="C372" i="1"/>
  <c r="C365" i="1"/>
  <c r="C369" i="1" s="1"/>
  <c r="C35" i="3"/>
  <c r="F21" i="2"/>
  <c r="F30" i="2" s="1"/>
  <c r="G30" i="2" s="1"/>
  <c r="C570" i="1"/>
  <c r="C572" i="1"/>
  <c r="I390" i="1"/>
  <c r="D336" i="1"/>
  <c r="F336" i="1"/>
  <c r="G336" i="1"/>
  <c r="C336" i="1"/>
  <c r="H336" i="1"/>
  <c r="E338" i="1"/>
  <c r="E329" i="1"/>
  <c r="E328" i="1"/>
  <c r="C352" i="1"/>
  <c r="E337" i="1"/>
  <c r="C340" i="1"/>
  <c r="C27" i="3" s="1"/>
  <c r="H327" i="1"/>
  <c r="G340" i="1"/>
  <c r="G27" i="3" s="1"/>
  <c r="C327" i="1"/>
  <c r="C14" i="3" s="1"/>
  <c r="E340" i="1"/>
  <c r="E27" i="3" s="1"/>
  <c r="D327" i="1"/>
  <c r="D14" i="3" s="1"/>
  <c r="G327" i="1"/>
  <c r="D340" i="1"/>
  <c r="D27" i="3" s="1"/>
  <c r="C356" i="1"/>
  <c r="C43" i="3" s="1"/>
  <c r="H340" i="1"/>
  <c r="H27" i="3" s="1"/>
  <c r="F327" i="1"/>
  <c r="F340" i="1"/>
  <c r="F27" i="3" s="1"/>
  <c r="J400" i="1"/>
  <c r="C385" i="1"/>
  <c r="D385" i="1"/>
  <c r="G390" i="1"/>
  <c r="M468" i="1"/>
  <c r="L52" i="3"/>
  <c r="E25" i="3" l="1"/>
  <c r="C377" i="1"/>
  <c r="E377" i="1"/>
  <c r="J377" i="1" s="1"/>
  <c r="C374" i="1"/>
  <c r="C378" i="1" s="1"/>
  <c r="G14" i="3"/>
  <c r="G493" i="1"/>
  <c r="H23" i="3"/>
  <c r="F50" i="3"/>
  <c r="L54" i="3"/>
  <c r="D49" i="3" s="1"/>
  <c r="I52" i="3"/>
  <c r="L53" i="3" s="1"/>
  <c r="F52" i="3"/>
  <c r="E15" i="3"/>
  <c r="E494" i="1"/>
  <c r="C183" i="3"/>
  <c r="C94" i="3"/>
  <c r="D35" i="2"/>
  <c r="E505" i="1"/>
  <c r="E24" i="3"/>
  <c r="F23" i="3"/>
  <c r="G589" i="1"/>
  <c r="C589" i="1"/>
  <c r="H589" i="1"/>
  <c r="E589" i="1"/>
  <c r="I589" i="1"/>
  <c r="D589" i="1"/>
  <c r="F589" i="1"/>
  <c r="D387" i="1"/>
  <c r="D391" i="1" s="1"/>
  <c r="F14" i="3"/>
  <c r="C39" i="3"/>
  <c r="I504" i="1"/>
  <c r="D23" i="3"/>
  <c r="C394" i="1"/>
  <c r="C390" i="1"/>
  <c r="C387" i="1"/>
  <c r="C391" i="1" s="1"/>
  <c r="H14" i="3"/>
  <c r="C23" i="3"/>
  <c r="F13" i="2"/>
  <c r="M470" i="1"/>
  <c r="D485" i="1" s="1"/>
  <c r="D486" i="1" s="1"/>
  <c r="E506" i="1" s="1"/>
  <c r="F488" i="1"/>
  <c r="M469" i="1"/>
  <c r="E16" i="3"/>
  <c r="G23" i="3"/>
  <c r="C368" i="1"/>
  <c r="E559" i="1" l="1"/>
  <c r="E528" i="1"/>
  <c r="I557" i="1"/>
  <c r="I526" i="1"/>
  <c r="E558" i="1"/>
  <c r="E527" i="1"/>
  <c r="E578" i="1"/>
  <c r="E495" i="1"/>
  <c r="D13" i="2"/>
  <c r="D44" i="2"/>
  <c r="D47" i="2" s="1"/>
  <c r="G47" i="2" s="1"/>
  <c r="E13" i="2"/>
  <c r="F14" i="2"/>
  <c r="F15" i="2" s="1"/>
  <c r="F16" i="2"/>
  <c r="H493" i="1"/>
  <c r="F493" i="1"/>
  <c r="E577" i="1"/>
  <c r="E548" i="1"/>
  <c r="E516" i="1"/>
  <c r="G577" i="1"/>
  <c r="G547" i="1"/>
  <c r="G515" i="1"/>
  <c r="C497" i="1"/>
  <c r="C496" i="1"/>
  <c r="C493" i="1"/>
  <c r="D496" i="1"/>
  <c r="D493" i="1"/>
  <c r="D497" i="1"/>
  <c r="I493" i="1"/>
  <c r="E399" i="1"/>
  <c r="J399" i="1" s="1"/>
  <c r="C396" i="1"/>
  <c r="C400" i="1" s="1"/>
  <c r="D390" i="1"/>
  <c r="F504" i="1"/>
  <c r="C104" i="3"/>
  <c r="E94" i="3"/>
  <c r="G504" i="1"/>
  <c r="C504" i="1"/>
  <c r="D504" i="1"/>
  <c r="C594" i="1"/>
  <c r="C195" i="3"/>
  <c r="E183" i="3"/>
  <c r="H504" i="1"/>
  <c r="F20" i="2"/>
  <c r="F29" i="2" s="1"/>
  <c r="C569" i="1"/>
  <c r="C571" i="1" s="1"/>
  <c r="H557" i="1" l="1"/>
  <c r="H526" i="1"/>
  <c r="H578" i="1"/>
  <c r="D518" i="1"/>
  <c r="D550" i="1"/>
  <c r="D16" i="2"/>
  <c r="D14" i="2"/>
  <c r="D15" i="2" s="1"/>
  <c r="D557" i="1"/>
  <c r="D578" i="1"/>
  <c r="D526" i="1"/>
  <c r="F578" i="1"/>
  <c r="F526" i="1"/>
  <c r="F557" i="1"/>
  <c r="I547" i="1"/>
  <c r="I515" i="1"/>
  <c r="E549" i="1"/>
  <c r="E517" i="1"/>
  <c r="F588" i="1"/>
  <c r="F590" i="1" s="1"/>
  <c r="I588" i="1"/>
  <c r="I590" i="1" s="1"/>
  <c r="D588" i="1"/>
  <c r="D590" i="1" s="1"/>
  <c r="G588" i="1"/>
  <c r="G590" i="1" s="1"/>
  <c r="E588" i="1"/>
  <c r="E590" i="1" s="1"/>
  <c r="H588" i="1"/>
  <c r="H590" i="1" s="1"/>
  <c r="C588" i="1"/>
  <c r="C604" i="1"/>
  <c r="C526" i="1"/>
  <c r="C578" i="1"/>
  <c r="C557" i="1"/>
  <c r="E104" i="3"/>
  <c r="D110" i="3" s="1"/>
  <c r="C399" i="1"/>
  <c r="D551" i="1"/>
  <c r="D519" i="1"/>
  <c r="C518" i="1"/>
  <c r="C550" i="1"/>
  <c r="F547" i="1"/>
  <c r="F577" i="1"/>
  <c r="F515" i="1"/>
  <c r="E14" i="2"/>
  <c r="E15" i="2" s="1"/>
  <c r="E16" i="2"/>
  <c r="E579" i="1"/>
  <c r="I579" i="1"/>
  <c r="C577" i="1"/>
  <c r="C547" i="1"/>
  <c r="F31" i="2"/>
  <c r="G29" i="2"/>
  <c r="E195" i="3"/>
  <c r="D202" i="3" s="1"/>
  <c r="G578" i="1"/>
  <c r="G579" i="1" s="1"/>
  <c r="G557" i="1"/>
  <c r="G526" i="1"/>
  <c r="D547" i="1"/>
  <c r="D577" i="1"/>
  <c r="C519" i="1"/>
  <c r="C551" i="1"/>
  <c r="H515" i="1"/>
  <c r="H577" i="1"/>
  <c r="H547" i="1"/>
  <c r="F579" i="1" l="1"/>
  <c r="G15" i="2"/>
  <c r="G17" i="2" s="1"/>
  <c r="H579" i="1"/>
  <c r="G16" i="2"/>
  <c r="D34" i="2"/>
  <c r="G31" i="2"/>
  <c r="D36" i="2" s="1"/>
  <c r="D42" i="2" s="1"/>
  <c r="D45" i="2" s="1"/>
  <c r="D46" i="2" s="1"/>
  <c r="G46" i="2" s="1"/>
  <c r="G48" i="2" s="1"/>
  <c r="D48" i="3" s="1"/>
  <c r="D50" i="3" s="1"/>
  <c r="C93" i="3"/>
  <c r="C182" i="3"/>
  <c r="C582" i="1"/>
  <c r="C583" i="1"/>
  <c r="C584" i="1" s="1"/>
  <c r="C579" i="1"/>
  <c r="C593" i="1"/>
  <c r="C590" i="1"/>
  <c r="D579" i="1"/>
  <c r="E93" i="3" l="1"/>
  <c r="E95" i="3" s="1"/>
  <c r="C103" i="3"/>
  <c r="C95" i="3"/>
  <c r="D61" i="3"/>
  <c r="C61" i="3"/>
  <c r="D60" i="3"/>
  <c r="D57" i="3"/>
  <c r="C60" i="3"/>
  <c r="C57" i="3"/>
  <c r="I57" i="3"/>
  <c r="C68" i="3"/>
  <c r="G57" i="3"/>
  <c r="F68" i="3"/>
  <c r="E58" i="3"/>
  <c r="F57" i="3"/>
  <c r="E59" i="3"/>
  <c r="G68" i="3"/>
  <c r="D68" i="3"/>
  <c r="E70" i="3"/>
  <c r="H68" i="3"/>
  <c r="H57" i="3"/>
  <c r="I68" i="3"/>
  <c r="E69" i="3"/>
  <c r="C603" i="1"/>
  <c r="C595" i="1"/>
  <c r="E182" i="3"/>
  <c r="E184" i="3" s="1"/>
  <c r="C194" i="3"/>
  <c r="C184" i="3"/>
  <c r="C609" i="1"/>
  <c r="C608" i="1" l="1"/>
  <c r="C610" i="1" s="1"/>
  <c r="C605" i="1"/>
  <c r="E81" i="3"/>
  <c r="F80" i="3"/>
  <c r="D80" i="3"/>
  <c r="I81" i="3"/>
  <c r="I82" i="3" s="1"/>
  <c r="D81" i="3"/>
  <c r="D82" i="3" s="1"/>
  <c r="E80" i="3"/>
  <c r="I80" i="3"/>
  <c r="E103" i="3"/>
  <c r="C105" i="3"/>
  <c r="H81" i="3"/>
  <c r="H82" i="3" s="1"/>
  <c r="G80" i="3"/>
  <c r="E194" i="3"/>
  <c r="C196" i="3"/>
  <c r="C81" i="3"/>
  <c r="H80" i="3"/>
  <c r="G81" i="3"/>
  <c r="G82" i="3" s="1"/>
  <c r="F81" i="3"/>
  <c r="C80" i="3"/>
  <c r="C85" i="3" s="1"/>
  <c r="C109" i="3" s="1"/>
  <c r="E105" i="3" l="1"/>
  <c r="D109" i="3"/>
  <c r="C86" i="3"/>
  <c r="C82" i="3"/>
  <c r="D201" i="3"/>
  <c r="E196" i="3"/>
  <c r="E82" i="3"/>
  <c r="F82" i="3"/>
  <c r="E109" i="3" l="1"/>
  <c r="G109" i="3" s="1"/>
  <c r="D111" i="3"/>
  <c r="D203" i="3"/>
  <c r="C110" i="3"/>
  <c r="C87" i="3"/>
  <c r="C111" i="3" l="1"/>
  <c r="E110" i="3"/>
  <c r="I128" i="3"/>
  <c r="I129" i="3"/>
  <c r="D121" i="3"/>
  <c r="I121" i="3"/>
  <c r="C124" i="3"/>
  <c r="C121" i="3"/>
  <c r="E123" i="3"/>
  <c r="D124" i="3"/>
  <c r="D125" i="3"/>
  <c r="F121" i="3"/>
  <c r="E122" i="3"/>
  <c r="G121" i="3"/>
  <c r="H121" i="3"/>
  <c r="C125" i="3"/>
  <c r="U125" i="3" l="1"/>
  <c r="AD125" i="3" s="1"/>
  <c r="C222" i="3"/>
  <c r="C147" i="3"/>
  <c r="C218" i="3"/>
  <c r="C169" i="3"/>
  <c r="U121" i="3"/>
  <c r="AD121" i="3" s="1"/>
  <c r="H218" i="3"/>
  <c r="H169" i="3"/>
  <c r="H143" i="3"/>
  <c r="Z121" i="3"/>
  <c r="AI121" i="3" s="1"/>
  <c r="C221" i="3"/>
  <c r="C146" i="3"/>
  <c r="U124" i="3"/>
  <c r="AD124" i="3" s="1"/>
  <c r="AA121" i="3"/>
  <c r="AJ121" i="3" s="1"/>
  <c r="I169" i="3"/>
  <c r="I218" i="3"/>
  <c r="I143" i="3"/>
  <c r="X121" i="3"/>
  <c r="AG121" i="3" s="1"/>
  <c r="F143" i="3"/>
  <c r="F169" i="3"/>
  <c r="F218" i="3"/>
  <c r="I151" i="3"/>
  <c r="I226" i="3"/>
  <c r="D222" i="3"/>
  <c r="D147" i="3"/>
  <c r="V125" i="3"/>
  <c r="AE125" i="3" s="1"/>
  <c r="I225" i="3"/>
  <c r="I150" i="3"/>
  <c r="AA128" i="3"/>
  <c r="AJ128" i="3" s="1"/>
  <c r="G218" i="3"/>
  <c r="G169" i="3"/>
  <c r="G143" i="3"/>
  <c r="Y121" i="3"/>
  <c r="AH121" i="3" s="1"/>
  <c r="V124" i="3"/>
  <c r="AE124" i="3" s="1"/>
  <c r="D221" i="3"/>
  <c r="D146" i="3"/>
  <c r="E111" i="3"/>
  <c r="G110" i="3"/>
  <c r="E219" i="3"/>
  <c r="W122" i="3"/>
  <c r="AF122" i="3" s="1"/>
  <c r="E144" i="3"/>
  <c r="E169" i="3"/>
  <c r="E220" i="3"/>
  <c r="E145" i="3"/>
  <c r="W123" i="3"/>
  <c r="AF123" i="3" s="1"/>
  <c r="D218" i="3"/>
  <c r="D169" i="3"/>
  <c r="V121" i="3"/>
  <c r="AE121" i="3" s="1"/>
  <c r="I136" i="3" l="1"/>
  <c r="I137" i="3"/>
  <c r="E133" i="3"/>
  <c r="D132" i="3"/>
  <c r="E134" i="3"/>
  <c r="H132" i="3"/>
  <c r="C132" i="3"/>
  <c r="I132" i="3"/>
  <c r="G132" i="3"/>
  <c r="F132" i="3"/>
  <c r="C174" i="3"/>
  <c r="C201" i="3" s="1"/>
  <c r="E201" i="3" s="1"/>
  <c r="D170" i="3" l="1"/>
  <c r="D171" i="3" s="1"/>
  <c r="D229" i="3"/>
  <c r="D154" i="3"/>
  <c r="V131" i="3"/>
  <c r="AE131" i="3" s="1"/>
  <c r="C170" i="3"/>
  <c r="C229" i="3"/>
  <c r="U131" i="3"/>
  <c r="AD131" i="3" s="1"/>
  <c r="C154" i="3"/>
  <c r="E155" i="3"/>
  <c r="W132" i="3"/>
  <c r="AF132" i="3" s="1"/>
  <c r="E230" i="3"/>
  <c r="E170" i="3"/>
  <c r="E171" i="3" s="1"/>
  <c r="F154" i="3"/>
  <c r="X131" i="3"/>
  <c r="AG131" i="3" s="1"/>
  <c r="F229" i="3"/>
  <c r="F170" i="3"/>
  <c r="F171" i="3" s="1"/>
  <c r="H170" i="3"/>
  <c r="H171" i="3" s="1"/>
  <c r="H229" i="3"/>
  <c r="H154" i="3"/>
  <c r="Z131" i="3"/>
  <c r="AI131" i="3" s="1"/>
  <c r="I159" i="3"/>
  <c r="I234" i="3"/>
  <c r="I229" i="3"/>
  <c r="I154" i="3"/>
  <c r="AA131" i="3"/>
  <c r="AJ131" i="3" s="1"/>
  <c r="I170" i="3"/>
  <c r="I171" i="3" s="1"/>
  <c r="G170" i="3"/>
  <c r="G171" i="3" s="1"/>
  <c r="G229" i="3"/>
  <c r="G154" i="3"/>
  <c r="Y131" i="3"/>
  <c r="AH131" i="3" s="1"/>
  <c r="W133" i="3"/>
  <c r="AF133" i="3" s="1"/>
  <c r="E231" i="3"/>
  <c r="E156" i="3"/>
  <c r="I233" i="3"/>
  <c r="I158" i="3"/>
  <c r="AA135" i="3"/>
  <c r="AJ135" i="3" s="1"/>
  <c r="C175" i="3" l="1"/>
  <c r="C171" i="3"/>
  <c r="C176" i="3" l="1"/>
  <c r="C202" i="3"/>
  <c r="C203" i="3" l="1"/>
  <c r="E202" i="3"/>
  <c r="E203" i="3" s="1"/>
</calcChain>
</file>

<file path=xl/comments1.xml><?xml version="1.0" encoding="utf-8"?>
<comments xmlns="http://schemas.openxmlformats.org/spreadsheetml/2006/main">
  <authors>
    <author>joer</author>
    <author>leroseg</author>
  </authors>
  <commentList>
    <comment ref="B78" authorId="0" shapeId="0">
      <text>
        <r>
          <rPr>
            <b/>
            <sz val="8"/>
            <color indexed="81"/>
            <rFont val="Tahoma"/>
            <family val="2"/>
          </rPr>
          <t>joer:</t>
        </r>
        <r>
          <rPr>
            <sz val="8"/>
            <color indexed="81"/>
            <rFont val="Tahoma"/>
            <family val="2"/>
          </rPr>
          <t xml:space="preserve">
Loss factors based on ratios in the 3rd party supplier agreement.  Calculations for 500kV losses and Inadvertent based on rolling average, "History-Interchange Mtr 500kV  Inadvertent.xls"</t>
        </r>
      </text>
    </comment>
    <comment ref="B139" authorId="1" shapeId="0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From Cap Obligations  incl NYISO
</t>
        </r>
      </text>
    </comment>
    <comment ref="B141" authorId="1" shapeId="0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From Cap Obligation
incl NYISO</t>
        </r>
      </text>
    </comment>
    <comment ref="A482" authorId="0" shapeId="0">
      <text>
        <r>
          <rPr>
            <b/>
            <sz val="8"/>
            <color indexed="81"/>
            <rFont val="Tahoma"/>
            <family val="2"/>
          </rPr>
          <t>joer:</t>
        </r>
        <r>
          <rPr>
            <sz val="8"/>
            <color indexed="81"/>
            <rFont val="Tahoma"/>
            <family val="2"/>
          </rPr>
          <t xml:space="preserve">
Not Used</t>
        </r>
      </text>
    </comment>
  </commentList>
</comments>
</file>

<file path=xl/sharedStrings.xml><?xml version="1.0" encoding="utf-8"?>
<sst xmlns="http://schemas.openxmlformats.org/spreadsheetml/2006/main" count="1193" uniqueCount="442">
  <si>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</si>
  <si>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</si>
  <si>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</si>
  <si>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</si>
  <si>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</si>
  <si>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</si>
  <si>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</si>
  <si>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</t>
  </si>
  <si>
    <t>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</si>
  <si>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</si>
  <si>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</si>
  <si>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</si>
  <si>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</si>
  <si>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</si>
  <si>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</si>
  <si>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</si>
  <si>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</si>
  <si>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</si>
  <si>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</si>
  <si>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</si>
  <si>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</si>
  <si>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</si>
  <si>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</si>
  <si>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</si>
  <si>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</si>
  <si>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</si>
  <si>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</si>
  <si>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</si>
  <si>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</si>
  <si>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</si>
  <si>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</si>
  <si>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</si>
  <si>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</si>
  <si>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</si>
  <si>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</si>
  <si>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</si>
  <si>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</si>
  <si>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</si>
  <si>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</si>
  <si>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</si>
  <si>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</si>
  <si>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</si>
  <si>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</si>
  <si>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</si>
  <si>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</si>
  <si>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</si>
  <si>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</si>
  <si>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</si>
  <si>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</si>
  <si>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</si>
  <si>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</si>
  <si>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</si>
  <si>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</si>
  <si>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</si>
  <si>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</si>
  <si>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</si>
  <si>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</si>
  <si>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</si>
  <si>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</si>
  <si>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</si>
  <si>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</si>
  <si>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</si>
  <si>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</si>
  <si>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</si>
  <si>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</si>
  <si>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</si>
  <si>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</si>
  <si>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</si>
  <si>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</si>
  <si>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</si>
  <si>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</si>
  <si>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</si>
  <si>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</si>
  <si>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</si>
  <si>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</si>
  <si>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</si>
  <si>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</si>
  <si>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</si>
  <si>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</si>
  <si>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</si>
  <si>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</si>
  <si>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</si>
  <si>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</si>
  <si>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</si>
  <si>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</si>
  <si>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</si>
  <si>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</si>
  <si>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</si>
  <si>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</si>
  <si>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</si>
  <si>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</si>
  <si>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</si>
  <si>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</si>
  <si>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</si>
  <si>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</si>
  <si>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</si>
  <si>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</si>
  <si>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*Reflects PJM OATT Rate (subject to change in future filings)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</si>
  <si>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</si>
  <si>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</si>
  <si>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</si>
  <si>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</si>
  <si>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</si>
  <si>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</si>
  <si>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</si>
  <si>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</si>
  <si>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</si>
  <si>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</si>
  <si>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</si>
  <si>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</si>
  <si>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</si>
  <si>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Chgs (¢/kWh)</t>
  </si>
  <si>
    <t>Differences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</si>
  <si>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</si>
  <si>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</si>
  <si>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</si>
  <si>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</si>
  <si>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</si>
  <si>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</si>
  <si>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</si>
  <si>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</si>
  <si>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</si>
  <si>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</si>
  <si>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</si>
  <si>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</si>
  <si>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</si>
  <si>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</si>
  <si>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</si>
  <si>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</si>
  <si>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</si>
  <si>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</si>
  <si>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</si>
  <si>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</si>
  <si>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</si>
  <si>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</si>
  <si>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</si>
  <si>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</si>
  <si>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</si>
  <si>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</si>
  <si>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</si>
  <si>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</si>
  <si>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</si>
  <si>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</si>
  <si>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</si>
  <si>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</si>
  <si>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</si>
  <si>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</si>
  <si>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</si>
  <si>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</si>
  <si>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</si>
  <si>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</si>
  <si>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</si>
  <si>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</si>
  <si>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</si>
  <si>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</si>
  <si>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</si>
  <si>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</si>
  <si>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</si>
  <si>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</si>
  <si>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</si>
  <si>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</si>
  <si>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</si>
  <si>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</si>
  <si>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</si>
  <si>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</si>
  <si>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</si>
  <si>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</si>
  <si>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</si>
  <si>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</si>
  <si>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</si>
  <si>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</si>
  <si>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</si>
  <si>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</si>
  <si>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</si>
  <si>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</si>
  <si>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</si>
  <si>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</si>
  <si>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</si>
  <si>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</si>
  <si>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</si>
  <si>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</si>
  <si>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</si>
  <si>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</si>
  <si>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</si>
  <si>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</si>
  <si>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</si>
  <si>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</si>
  <si>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</si>
  <si>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</si>
  <si>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</si>
  <si>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</si>
  <si>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</si>
  <si>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</si>
  <si>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</si>
  <si>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</si>
  <si>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</si>
  <si>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</si>
  <si>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</si>
  <si>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</si>
  <si>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</si>
  <si>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</si>
  <si>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</si>
  <si>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</si>
  <si>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</si>
  <si>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</si>
  <si>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</si>
  <si>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</si>
  <si>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</si>
  <si>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</si>
  <si>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</si>
  <si>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</si>
  <si>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</si>
  <si>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</si>
  <si>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</si>
  <si>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RPM</t>
  </si>
  <si>
    <t>Weighted</t>
  </si>
  <si>
    <t xml:space="preserve"> Capacity</t>
  </si>
  <si>
    <t>Cost*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</si>
  <si>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</si>
  <si>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</si>
  <si>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</si>
  <si>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</si>
  <si>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</si>
  <si>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</si>
  <si>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</si>
  <si>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</si>
  <si>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</si>
  <si>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</si>
  <si>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</si>
  <si>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</si>
  <si>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</si>
  <si>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</si>
  <si>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</si>
  <si>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</si>
  <si>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</si>
  <si>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</si>
  <si>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</si>
  <si>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</si>
  <si>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</si>
  <si>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</si>
  <si>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</si>
  <si>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</si>
  <si>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</si>
  <si>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</si>
  <si>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</si>
  <si>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</si>
  <si>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</si>
  <si>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</si>
  <si>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</si>
  <si>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</si>
  <si>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</si>
  <si>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</si>
  <si>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</si>
  <si>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</si>
  <si>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</si>
  <si>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</si>
  <si>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</si>
  <si>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</si>
  <si>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</si>
  <si>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</si>
  <si>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</si>
  <si>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</si>
  <si>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</si>
  <si>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</si>
  <si>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</si>
  <si>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</si>
  <si>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</si>
  <si>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</si>
  <si>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</si>
  <si>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</si>
  <si>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</si>
  <si>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</si>
  <si>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</si>
  <si>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</si>
  <si>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</si>
  <si>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</si>
  <si>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</si>
  <si>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</si>
  <si>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</si>
  <si>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</si>
  <si>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</si>
  <si>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</si>
  <si>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</si>
  <si>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</si>
  <si>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</si>
  <si>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</si>
  <si>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</si>
  <si>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</si>
  <si>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</si>
  <si>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</si>
  <si>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</si>
  <si>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</si>
  <si>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</si>
  <si>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</si>
  <si>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</si>
  <si>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</si>
  <si>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</si>
  <si>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</si>
  <si>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</si>
  <si>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</si>
  <si>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</si>
  <si>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</si>
  <si>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</si>
  <si>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</si>
  <si>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</si>
  <si>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</si>
  <si>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</si>
  <si>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</si>
  <si>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</si>
  <si>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Incremental RPM Cost - in (¢/kWh)</t>
  </si>
  <si>
    <t>2(c)</t>
  </si>
  <si>
    <t>Transmission (¢/kWh)</t>
  </si>
  <si>
    <t>Average transmission cost included in bid</t>
  </si>
  <si>
    <t>BGS (¢/kWh)</t>
  </si>
  <si>
    <t>=(2c)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</si>
  <si>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</si>
  <si>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</si>
  <si>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</si>
  <si>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</si>
  <si>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</si>
  <si>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</si>
  <si>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</si>
  <si>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</si>
  <si>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</si>
  <si>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</si>
  <si>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</si>
  <si>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</si>
  <si>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</si>
  <si>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</si>
  <si>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</si>
  <si>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(2c) / 100 * (8) * (10) * 1,000</t>
  </si>
  <si>
    <t>= (1) / Total Tranches * (2c)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</si>
  <si>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</si>
  <si>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</si>
  <si>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</si>
  <si>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</si>
  <si>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</si>
  <si>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</si>
  <si>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</si>
  <si>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</si>
  <si>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</si>
  <si>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</si>
  <si>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</si>
  <si>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</si>
  <si>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</si>
  <si>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</si>
  <si>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</si>
  <si>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</si>
  <si>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</si>
  <si>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</si>
  <si>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</si>
  <si>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</si>
  <si>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</si>
  <si>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</si>
  <si>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</si>
  <si>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</si>
  <si>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</si>
  <si>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</si>
  <si>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</si>
  <si>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</si>
  <si>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</si>
  <si>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</si>
  <si>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</si>
  <si>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</si>
  <si>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</si>
  <si>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</si>
  <si>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</si>
  <si>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</si>
  <si>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</si>
  <si>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</si>
  <si>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</si>
  <si>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</si>
  <si>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</si>
  <si>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</si>
  <si>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</si>
  <si>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</si>
  <si>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</si>
  <si>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</si>
  <si>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</si>
  <si>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</si>
  <si>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</si>
  <si>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</si>
  <si>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</si>
  <si>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</si>
  <si>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</si>
  <si>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</si>
  <si>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</si>
  <si>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</si>
  <si>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</si>
  <si>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</si>
  <si>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</si>
  <si>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</si>
  <si>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</si>
  <si>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</si>
  <si>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</si>
  <si>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</si>
  <si>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</si>
  <si>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</si>
  <si>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</si>
  <si>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</si>
  <si>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</si>
  <si>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</si>
  <si>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</si>
  <si>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</si>
  <si>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</si>
  <si>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</si>
  <si>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Attachment D</t>
  </si>
  <si>
    <t>2017/18
Delivery Year</t>
  </si>
  <si>
    <t>PJM Final Zonal Net Load Price ($/MW-day) - 3rd Incrementa Auction RECO Zone</t>
  </si>
  <si>
    <t>(1)</t>
  </si>
  <si>
    <r>
      <t xml:space="preserve">PJM Final Zonal Net Load Price - RECO Zone - </t>
    </r>
    <r>
      <rPr>
        <i/>
        <sz val="10"/>
        <color rgb="FFFF0000"/>
        <rFont val="Arial"/>
        <family val="2"/>
      </rPr>
      <t>2nd Incremental Results shown</t>
    </r>
  </si>
  <si>
    <t>Adjusted Zonal Net Load Price ($/MW-day) - 1st Incremental Auction - RECO Zone</t>
  </si>
  <si>
    <t>base Residual Auction - RECO Zone</t>
  </si>
  <si>
    <t>Incremental RPM Cost - $/MW-day</t>
  </si>
  <si>
    <t xml:space="preserve">= line 1 (-) line 2 </t>
  </si>
  <si>
    <t>BGS-RSCP Gen Obl - MW</t>
  </si>
  <si>
    <t>from Table #10 of the current Bid Factor Spreadsheet</t>
  </si>
  <si>
    <t>&lt; It should be 1/4th</t>
  </si>
  <si>
    <t>Days in Year</t>
  </si>
  <si>
    <t xml:space="preserve">Incremental Annual RPM Cost </t>
  </si>
  <si>
    <t>= line 3 * line 4 * line 5</t>
  </si>
  <si>
    <t>Eligible Tranches</t>
  </si>
  <si>
    <t>from Table A of the "auction and results" tab - 2015 auctions only</t>
  </si>
  <si>
    <t>Total Tranches</t>
  </si>
  <si>
    <t>from Table A of the "auction and results" tab</t>
  </si>
  <si>
    <t>% of tranches eligible for Incremental RPM Cost payment</t>
  </si>
  <si>
    <t>= line 7 ÷ line 8</t>
  </si>
  <si>
    <t xml:space="preserve">Eligible Incremental RPM Cost </t>
  </si>
  <si>
    <t>= line 6 * line 9</t>
  </si>
  <si>
    <r>
      <t xml:space="preserve">Total Applicable Customer Usage 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</si>
  <si>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t>from Table #A of the Weighted Avg Price Calc Spreadsheet</t>
  </si>
  <si>
    <r>
      <t xml:space="preserve">Eligible Customer Usage 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</si>
  <si>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t>= line 9 * line 11</t>
  </si>
  <si>
    <t>Incremental Annual RPM Cost - $/MWh</t>
  </si>
  <si>
    <t>= line 10/ line 12 - rounded to 2 decimal places</t>
  </si>
  <si>
    <t>Incremental RPM Cost - in ($/kWh)</t>
  </si>
  <si>
    <t>RPM Information Data Source:</t>
  </si>
  <si>
    <t>http://www.pjm.com/markets-and-operations/rpm.aspx</t>
  </si>
  <si>
    <t>Based on Jun  2018 to May 2019 Forwards @ PJM West as of June 01, 2017</t>
  </si>
  <si>
    <t>Based on Jul  2017 to Jun 2018 Forwards @ NYISO Zone G and Lower Hudson Valley (LHV) as of June 13, 2017</t>
  </si>
  <si>
    <t>Development of  2017/2018  Incremental RPM Cost - $/MWh</t>
  </si>
  <si>
    <t xml:space="preserve">The Incremental RPM Cost is not applicable for tranches from the 2016, 2017, or 2018 BGS-RSCP Auctions.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</si>
</sst>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&quot;$&quot;#,##0.00"/>
    <numFmt numFmtId="176" formatCode="0.000%"/>
    <numFmt numFmtId="177" formatCode="_(* #,##0.000000_);_(* \(#,##0.000000\);_(* &quot;-&quot;??_);_(@_)"/>
    <numFmt numFmtId="178" formatCode="0.0000"/>
    <numFmt numFmtId="179" formatCode="#,##0.000_);\(#,##0.000\)"/>
    <numFmt numFmtId="180" formatCode="0.0"/>
    <numFmt numFmtId="181" formatCode="0.00_);\(0.00\)"/>
    <numFmt numFmtId="182" formatCode="&quot;$&quot;#,##0"/>
    <numFmt numFmtId="183" formatCode="&quot;$&quot;#,##0.000000"/>
    <numFmt numFmtId="184" formatCode="#,##0.00000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b/>
      <i/>
      <sz val="8.699999999999999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0" xfId="0" applyAlignment="1">
      <alignment horizontal="left"/>
    </xf>
    <xf numFmtId="0" fontId="5" fillId="0" borderId="0" xfId="0" quotePrefix="1" applyFont="1" applyFill="1" applyAlignment="1">
      <alignment horizontal="left"/>
    </xf>
    <xf numFmtId="0" fontId="0" fillId="0" borderId="0" xfId="0" applyFill="1"/>
    <xf numFmtId="0" fontId="1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3" fontId="1" fillId="0" borderId="0" xfId="0" applyNumberFormat="1" applyFont="1"/>
    <xf numFmtId="3" fontId="0" fillId="0" borderId="0" xfId="0" applyNumberFormat="1"/>
    <xf numFmtId="3" fontId="10" fillId="0" borderId="0" xfId="0" applyNumberFormat="1" applyFont="1" applyFill="1"/>
    <xf numFmtId="0" fontId="6" fillId="0" borderId="0" xfId="0" quotePrefix="1" applyFont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quotePrefix="1" applyFont="1"/>
    <xf numFmtId="0" fontId="5" fillId="0" borderId="0" xfId="0" applyFont="1" applyFill="1"/>
    <xf numFmtId="0" fontId="7" fillId="0" borderId="0" xfId="0" applyFont="1" applyFill="1" applyAlignment="1">
      <alignment horizontal="centerContinuous"/>
    </xf>
    <xf numFmtId="0" fontId="1" fillId="0" borderId="0" xfId="0" applyFont="1" applyFill="1"/>
    <xf numFmtId="0" fontId="5" fillId="0" borderId="0" xfId="0" applyFont="1" applyFill="1" applyBorder="1"/>
    <xf numFmtId="44" fontId="0" fillId="0" borderId="0" xfId="2" quotePrefix="1" applyFont="1" applyFill="1"/>
    <xf numFmtId="166" fontId="0" fillId="0" borderId="0" xfId="2" quotePrefix="1" applyNumberFormat="1" applyFont="1" applyFill="1" applyAlignment="1">
      <alignment horizontal="left"/>
    </xf>
    <xf numFmtId="44" fontId="0" fillId="0" borderId="0" xfId="2" quotePrefix="1" applyFont="1" applyFill="1" applyAlignment="1">
      <alignment horizontal="left"/>
    </xf>
    <xf numFmtId="0" fontId="7" fillId="0" borderId="0" xfId="0" applyFont="1" applyFill="1"/>
    <xf numFmtId="173" fontId="7" fillId="0" borderId="0" xfId="1" quotePrefix="1" applyNumberFormat="1" applyFont="1" applyFill="1" applyBorder="1"/>
    <xf numFmtId="0" fontId="7" fillId="0" borderId="0" xfId="0" applyFont="1" applyFill="1" applyAlignment="1">
      <alignment horizontal="right"/>
    </xf>
    <xf numFmtId="0" fontId="7" fillId="0" borderId="0" xfId="0" quotePrefix="1" applyFont="1" applyFill="1" applyAlignment="1">
      <alignment horizontal="right"/>
    </xf>
    <xf numFmtId="44" fontId="7" fillId="0" borderId="0" xfId="2" quotePrefix="1" applyFont="1" applyFill="1" applyBorder="1"/>
    <xf numFmtId="0" fontId="7" fillId="0" borderId="0" xfId="0" quotePrefix="1" applyFont="1" applyFill="1" applyAlignment="1">
      <alignment horizontal="left"/>
    </xf>
    <xf numFmtId="166" fontId="0" fillId="0" borderId="0" xfId="2" applyNumberFormat="1" applyFont="1" applyFill="1"/>
    <xf numFmtId="9" fontId="0" fillId="0" borderId="0" xfId="3" applyFont="1" applyFill="1"/>
    <xf numFmtId="166" fontId="0" fillId="0" borderId="0" xfId="3" applyNumberFormat="1" applyFont="1" applyFill="1"/>
    <xf numFmtId="0" fontId="7" fillId="0" borderId="0" xfId="0" applyFont="1" applyAlignment="1">
      <alignment horizontal="left"/>
    </xf>
    <xf numFmtId="0" fontId="9" fillId="0" borderId="0" xfId="0" applyFont="1" applyFill="1" applyAlignment="1">
      <alignment horizontal="right"/>
    </xf>
    <xf numFmtId="7" fontId="0" fillId="0" borderId="0" xfId="3" applyNumberFormat="1" applyFont="1" applyFill="1"/>
    <xf numFmtId="44" fontId="6" fillId="0" borderId="0" xfId="0" quotePrefix="1" applyNumberFormat="1" applyFont="1" applyFill="1"/>
    <xf numFmtId="0" fontId="10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0" fillId="0" borderId="0" xfId="0" applyFont="1" applyFill="1"/>
    <xf numFmtId="166" fontId="10" fillId="0" borderId="0" xfId="2" applyNumberFormat="1" applyFont="1" applyFill="1"/>
    <xf numFmtId="166" fontId="10" fillId="0" borderId="0" xfId="0" applyNumberFormat="1" applyFont="1" applyFill="1"/>
    <xf numFmtId="166" fontId="7" fillId="0" borderId="0" xfId="0" applyNumberFormat="1" applyFont="1" applyFill="1"/>
    <xf numFmtId="176" fontId="6" fillId="0" borderId="0" xfId="3" applyNumberFormat="1" applyFont="1" applyFill="1"/>
    <xf numFmtId="166" fontId="10" fillId="0" borderId="0" xfId="0" quotePrefix="1" applyNumberFormat="1" applyFont="1" applyFill="1" applyAlignment="1">
      <alignment horizontal="lef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70" fontId="11" fillId="0" borderId="0" xfId="0" applyNumberFormat="1" applyFont="1" applyFill="1" applyBorder="1"/>
    <xf numFmtId="0" fontId="11" fillId="0" borderId="0" xfId="0" applyFont="1" applyFill="1"/>
    <xf numFmtId="178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9" fillId="0" borderId="0" xfId="0" applyFont="1" applyFill="1"/>
    <xf numFmtId="3" fontId="11" fillId="0" borderId="0" xfId="0" applyNumberFormat="1" applyFont="1" applyFill="1"/>
    <xf numFmtId="3" fontId="19" fillId="0" borderId="0" xfId="0" applyNumberFormat="1" applyFont="1" applyFill="1"/>
    <xf numFmtId="0" fontId="11" fillId="0" borderId="0" xfId="0" applyFont="1" applyFill="1" applyBorder="1"/>
    <xf numFmtId="170" fontId="20" fillId="0" borderId="15" xfId="0" applyNumberFormat="1" applyFont="1" applyFill="1" applyBorder="1"/>
    <xf numFmtId="44" fontId="7" fillId="0" borderId="0" xfId="2" quotePrefix="1" applyNumberFormat="1" applyFont="1" applyFill="1" applyBorder="1"/>
    <xf numFmtId="0" fontId="0" fillId="0" borderId="0" xfId="0" applyFill="1" applyAlignment="1">
      <alignment horizontal="left"/>
    </xf>
    <xf numFmtId="175" fontId="0" fillId="0" borderId="0" xfId="0" applyNumberFormat="1"/>
    <xf numFmtId="43" fontId="21" fillId="0" borderId="0" xfId="1" applyFont="1" applyFill="1" applyAlignment="1">
      <alignment horizontal="right"/>
    </xf>
    <xf numFmtId="166" fontId="21" fillId="0" borderId="0" xfId="0" applyNumberFormat="1" applyFont="1" applyFill="1"/>
    <xf numFmtId="0" fontId="0" fillId="3" borderId="0" xfId="0" applyFill="1"/>
    <xf numFmtId="0" fontId="9" fillId="3" borderId="0" xfId="0" applyFont="1" applyFill="1"/>
    <xf numFmtId="0" fontId="7" fillId="3" borderId="0" xfId="0" applyFont="1" applyFill="1"/>
    <xf numFmtId="0" fontId="9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10" fillId="3" borderId="0" xfId="0" applyFont="1" applyFill="1"/>
    <xf numFmtId="0" fontId="0" fillId="3" borderId="0" xfId="0" quotePrefix="1" applyFill="1" applyAlignment="1">
      <alignment horizontal="left"/>
    </xf>
    <xf numFmtId="179" fontId="0" fillId="3" borderId="0" xfId="0" quotePrefix="1" applyNumberFormat="1" applyFill="1" applyAlignment="1">
      <alignment horizontal="right"/>
    </xf>
    <xf numFmtId="179" fontId="0" fillId="3" borderId="0" xfId="0" applyNumberFormat="1" applyFill="1"/>
    <xf numFmtId="164" fontId="0" fillId="3" borderId="0" xfId="3" quotePrefix="1" applyNumberFormat="1" applyFont="1" applyFill="1" applyAlignment="1">
      <alignment horizontal="right"/>
    </xf>
    <xf numFmtId="0" fontId="1" fillId="3" borderId="0" xfId="0" applyFont="1" applyFill="1" applyAlignment="1">
      <alignment horizontal="left"/>
    </xf>
    <xf numFmtId="179" fontId="1" fillId="3" borderId="0" xfId="0" applyNumberFormat="1" applyFont="1" applyFill="1"/>
    <xf numFmtId="0" fontId="1" fillId="3" borderId="0" xfId="0" quotePrefix="1" applyFont="1" applyFill="1" applyAlignment="1">
      <alignment horizontal="left"/>
    </xf>
    <xf numFmtId="179" fontId="1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0" fontId="7" fillId="2" borderId="16" xfId="0" applyFont="1" applyFill="1" applyBorder="1" applyAlignment="1">
      <alignment horizontal="centerContinuous" vertic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175" fontId="1" fillId="0" borderId="0" xfId="0" applyNumberFormat="1" applyFont="1"/>
    <xf numFmtId="0" fontId="1" fillId="0" borderId="0" xfId="0" quotePrefix="1" applyFont="1" applyAlignment="1">
      <alignment horizontal="center"/>
    </xf>
    <xf numFmtId="175" fontId="1" fillId="0" borderId="14" xfId="0" applyNumberFormat="1" applyFont="1" applyBorder="1"/>
    <xf numFmtId="168" fontId="1" fillId="0" borderId="0" xfId="0" applyNumberFormat="1" applyFont="1"/>
    <xf numFmtId="0" fontId="8" fillId="0" borderId="0" xfId="0" applyFont="1"/>
    <xf numFmtId="3" fontId="1" fillId="0" borderId="14" xfId="0" applyNumberFormat="1" applyFont="1" applyBorder="1"/>
    <xf numFmtId="182" fontId="1" fillId="0" borderId="0" xfId="0" applyNumberFormat="1" applyFont="1"/>
    <xf numFmtId="169" fontId="1" fillId="0" borderId="0" xfId="1" applyNumberFormat="1" applyFont="1"/>
    <xf numFmtId="169" fontId="1" fillId="0" borderId="14" xfId="1" applyNumberFormat="1" applyFont="1" applyBorder="1"/>
    <xf numFmtId="10" fontId="1" fillId="0" borderId="0" xfId="3" applyNumberFormat="1" applyFont="1"/>
    <xf numFmtId="175" fontId="7" fillId="0" borderId="21" xfId="0" applyNumberFormat="1" applyFont="1" applyBorder="1"/>
    <xf numFmtId="0" fontId="7" fillId="0" borderId="0" xfId="0" quotePrefix="1" applyFont="1"/>
    <xf numFmtId="182" fontId="0" fillId="0" borderId="0" xfId="0" applyNumberFormat="1"/>
    <xf numFmtId="0" fontId="25" fillId="0" borderId="0" xfId="0" applyFont="1"/>
    <xf numFmtId="183" fontId="25" fillId="0" borderId="0" xfId="0" applyNumberFormat="1" applyFont="1"/>
    <xf numFmtId="183" fontId="0" fillId="0" borderId="0" xfId="0" applyNumberFormat="1"/>
    <xf numFmtId="184" fontId="25" fillId="0" borderId="0" xfId="0" applyNumberFormat="1" applyFont="1"/>
    <xf numFmtId="0" fontId="26" fillId="0" borderId="0" xfId="4" applyFill="1" applyAlignment="1">
      <alignment wrapText="1"/>
    </xf>
    <xf numFmtId="0" fontId="0" fillId="0" borderId="0" xfId="0" applyFont="1" applyFill="1"/>
    <xf numFmtId="10" fontId="0" fillId="0" borderId="0" xfId="3" quotePrefix="1" applyNumberFormat="1" applyFont="1" applyFill="1"/>
    <xf numFmtId="10" fontId="0" fillId="0" borderId="0" xfId="3" applyNumberFormat="1" applyFont="1" applyFill="1"/>
    <xf numFmtId="164" fontId="0" fillId="0" borderId="0" xfId="3" quotePrefix="1" applyNumberFormat="1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Font="1" applyFill="1" applyAlignment="1">
      <alignment horizontal="right"/>
    </xf>
    <xf numFmtId="3" fontId="0" fillId="0" borderId="0" xfId="0" quotePrefix="1" applyNumberFormat="1" applyFont="1" applyFill="1"/>
    <xf numFmtId="0" fontId="0" fillId="0" borderId="0" xfId="0" quotePrefix="1" applyFont="1" applyFill="1" applyAlignment="1">
      <alignment horizontal="right"/>
    </xf>
    <xf numFmtId="4" fontId="0" fillId="0" borderId="0" xfId="0" applyNumberFormat="1" applyFont="1" applyFill="1"/>
    <xf numFmtId="165" fontId="0" fillId="0" borderId="0" xfId="0" applyNumberFormat="1" applyFont="1" applyFill="1"/>
    <xf numFmtId="44" fontId="0" fillId="0" borderId="0" xfId="2" quotePrefix="1" applyNumberFormat="1" applyFont="1" applyFill="1"/>
    <xf numFmtId="166" fontId="0" fillId="0" borderId="0" xfId="2" quotePrefix="1" applyNumberFormat="1" applyFont="1" applyFill="1"/>
    <xf numFmtId="167" fontId="0" fillId="0" borderId="0" xfId="0" applyNumberFormat="1" applyFont="1" applyFill="1"/>
    <xf numFmtId="168" fontId="0" fillId="0" borderId="0" xfId="0" applyNumberFormat="1" applyFont="1" applyFill="1"/>
    <xf numFmtId="169" fontId="0" fillId="0" borderId="0" xfId="0" applyNumberFormat="1" applyFont="1" applyFill="1"/>
    <xf numFmtId="7" fontId="0" fillId="0" borderId="0" xfId="2" applyNumberFormat="1" applyFont="1" applyFill="1"/>
    <xf numFmtId="0" fontId="0" fillId="0" borderId="0" xfId="0" quotePrefix="1" applyFont="1" applyFill="1" applyAlignment="1">
      <alignment horizontal="left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170" fontId="0" fillId="0" borderId="0" xfId="0" applyNumberFormat="1" applyFont="1" applyFill="1"/>
    <xf numFmtId="10" fontId="0" fillId="0" borderId="0" xfId="0" applyNumberFormat="1" applyFont="1" applyFill="1" applyBorder="1"/>
    <xf numFmtId="0" fontId="0" fillId="0" borderId="4" xfId="0" applyFont="1" applyFill="1" applyBorder="1"/>
    <xf numFmtId="10" fontId="0" fillId="0" borderId="0" xfId="0" applyNumberFormat="1" applyFont="1" applyFill="1"/>
    <xf numFmtId="7" fontId="0" fillId="0" borderId="0" xfId="0" applyNumberFormat="1" applyFont="1" applyFill="1"/>
    <xf numFmtId="0" fontId="0" fillId="0" borderId="0" xfId="0" quotePrefix="1" applyFont="1" applyFill="1"/>
    <xf numFmtId="166" fontId="0" fillId="0" borderId="0" xfId="0" applyNumberFormat="1" applyFont="1" applyFill="1"/>
    <xf numFmtId="5" fontId="0" fillId="0" borderId="0" xfId="0" applyNumberFormat="1" applyFont="1" applyFill="1"/>
    <xf numFmtId="17" fontId="0" fillId="0" borderId="0" xfId="0" applyNumberFormat="1" applyFont="1" applyFill="1"/>
    <xf numFmtId="17" fontId="0" fillId="0" borderId="0" xfId="0" applyNumberFormat="1" applyFont="1" applyFill="1" applyAlignment="1">
      <alignment horizontal="right"/>
    </xf>
    <xf numFmtId="171" fontId="0" fillId="0" borderId="0" xfId="2" quotePrefix="1" applyNumberFormat="1" applyFont="1" applyFill="1"/>
    <xf numFmtId="172" fontId="0" fillId="0" borderId="0" xfId="0" applyNumberFormat="1" applyFont="1" applyFill="1"/>
    <xf numFmtId="166" fontId="0" fillId="0" borderId="0" xfId="0" quotePrefix="1" applyNumberFormat="1" applyFont="1" applyFill="1" applyAlignment="1">
      <alignment horizontal="left"/>
    </xf>
    <xf numFmtId="43" fontId="0" fillId="0" borderId="0" xfId="1" quotePrefix="1" applyFont="1" applyFill="1"/>
    <xf numFmtId="4" fontId="0" fillId="0" borderId="5" xfId="0" applyNumberFormat="1" applyFont="1" applyFill="1" applyBorder="1"/>
    <xf numFmtId="9" fontId="0" fillId="0" borderId="0" xfId="3" applyNumberFormat="1" applyFont="1" applyFill="1"/>
    <xf numFmtId="2" fontId="0" fillId="0" borderId="0" xfId="0" applyNumberFormat="1" applyFont="1" applyFill="1"/>
    <xf numFmtId="9" fontId="0" fillId="0" borderId="0" xfId="1" applyNumberFormat="1" applyFont="1" applyFill="1"/>
    <xf numFmtId="43" fontId="0" fillId="0" borderId="0" xfId="2" applyNumberFormat="1" applyFont="1" applyFill="1"/>
    <xf numFmtId="44" fontId="0" fillId="0" borderId="0" xfId="0" applyNumberFormat="1" applyFont="1" applyFill="1"/>
    <xf numFmtId="175" fontId="0" fillId="0" borderId="0" xfId="0" applyNumberFormat="1" applyFont="1" applyFill="1" applyBorder="1" applyAlignment="1">
      <alignment horizontal="left"/>
    </xf>
    <xf numFmtId="176" fontId="0" fillId="0" borderId="0" xfId="0" applyNumberFormat="1" applyFont="1" applyFill="1"/>
    <xf numFmtId="170" fontId="0" fillId="0" borderId="0" xfId="0" quotePrefix="1" applyNumberFormat="1" applyFont="1" applyFill="1" applyAlignment="1">
      <alignment horizontal="right"/>
    </xf>
    <xf numFmtId="2" fontId="0" fillId="0" borderId="0" xfId="0" quotePrefix="1" applyNumberFormat="1" applyFont="1" applyFill="1" applyAlignment="1">
      <alignment horizontal="right"/>
    </xf>
    <xf numFmtId="175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7" fillId="0" borderId="0" xfId="0" applyFont="1" applyFill="1"/>
    <xf numFmtId="1" fontId="7" fillId="0" borderId="0" xfId="1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Alignment="1">
      <alignment horizontal="left"/>
    </xf>
    <xf numFmtId="0" fontId="7" fillId="0" borderId="0" xfId="0" quotePrefix="1" applyFont="1" applyFill="1" applyBorder="1"/>
    <xf numFmtId="39" fontId="0" fillId="0" borderId="0" xfId="0" quotePrefix="1" applyNumberFormat="1" applyFont="1" applyFill="1"/>
    <xf numFmtId="0" fontId="7" fillId="0" borderId="0" xfId="0" quotePrefix="1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5" fillId="0" borderId="0" xfId="0" quotePrefix="1" applyFont="1" applyFill="1"/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0" fillId="0" borderId="0" xfId="3" quotePrefix="1" applyNumberFormat="1" applyFont="1" applyFill="1"/>
    <xf numFmtId="9" fontId="0" fillId="0" borderId="0" xfId="3" quotePrefix="1" applyFont="1" applyFill="1"/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9" fontId="0" fillId="0" borderId="0" xfId="3" quotePrefix="1" applyFont="1" applyFill="1" applyAlignment="1">
      <alignment horizontal="center"/>
    </xf>
    <xf numFmtId="17" fontId="7" fillId="0" borderId="0" xfId="0" applyNumberFormat="1" applyFont="1" applyFill="1"/>
    <xf numFmtId="17" fontId="5" fillId="0" borderId="0" xfId="0" quotePrefix="1" applyNumberFormat="1" applyFont="1" applyFill="1" applyAlignment="1">
      <alignment horizontal="left"/>
    </xf>
    <xf numFmtId="3" fontId="0" fillId="0" borderId="0" xfId="0" quotePrefix="1" applyNumberFormat="1" applyFont="1" applyFill="1" applyBorder="1"/>
    <xf numFmtId="17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0" fillId="0" borderId="4" xfId="0" applyNumberFormat="1" applyFont="1" applyFill="1" applyBorder="1"/>
    <xf numFmtId="3" fontId="0" fillId="0" borderId="0" xfId="0" applyNumberFormat="1" applyFont="1" applyFill="1" applyBorder="1"/>
    <xf numFmtId="3" fontId="0" fillId="0" borderId="0" xfId="0" quotePrefix="1" applyNumberFormat="1" applyFont="1" applyFill="1" applyBorder="1" applyAlignment="1">
      <alignment horizontal="right"/>
    </xf>
    <xf numFmtId="165" fontId="0" fillId="0" borderId="0" xfId="0" applyNumberFormat="1" applyFont="1" applyFill="1" applyBorder="1"/>
    <xf numFmtId="0" fontId="0" fillId="0" borderId="5" xfId="0" applyFont="1" applyFill="1" applyBorder="1" applyAlignment="1"/>
    <xf numFmtId="0" fontId="6" fillId="0" borderId="0" xfId="0" quotePrefix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Border="1" applyAlignment="1">
      <alignment horizontal="right"/>
    </xf>
    <xf numFmtId="166" fontId="0" fillId="0" borderId="0" xfId="2" applyNumberFormat="1" applyFont="1" applyFill="1" applyBorder="1"/>
    <xf numFmtId="44" fontId="0" fillId="0" borderId="0" xfId="0" applyNumberFormat="1" applyFont="1" applyFill="1" applyBorder="1"/>
    <xf numFmtId="44" fontId="0" fillId="0" borderId="0" xfId="2" applyFont="1" applyFill="1"/>
    <xf numFmtId="166" fontId="0" fillId="0" borderId="0" xfId="0" applyNumberFormat="1" applyFont="1" applyFill="1" applyBorder="1"/>
    <xf numFmtId="166" fontId="11" fillId="0" borderId="0" xfId="0" applyNumberFormat="1" applyFont="1" applyFill="1"/>
    <xf numFmtId="39" fontId="0" fillId="0" borderId="0" xfId="0" applyNumberFormat="1" applyFont="1" applyFill="1"/>
    <xf numFmtId="14" fontId="0" fillId="0" borderId="0" xfId="0" applyNumberFormat="1" applyFont="1" applyFill="1"/>
    <xf numFmtId="168" fontId="0" fillId="0" borderId="0" xfId="0" applyNumberFormat="1" applyFont="1" applyFill="1" applyAlignment="1">
      <alignment horizontal="right"/>
    </xf>
    <xf numFmtId="43" fontId="0" fillId="0" borderId="0" xfId="1" applyFont="1" applyFill="1"/>
    <xf numFmtId="43" fontId="0" fillId="0" borderId="0" xfId="0" applyNumberFormat="1" applyFont="1" applyFill="1"/>
    <xf numFmtId="171" fontId="0" fillId="0" borderId="0" xfId="0" applyNumberFormat="1" applyFont="1" applyFill="1"/>
    <xf numFmtId="0" fontId="10" fillId="0" borderId="0" xfId="0" applyFont="1" applyFill="1" applyAlignment="1">
      <alignment horizontal="left"/>
    </xf>
    <xf numFmtId="44" fontId="0" fillId="0" borderId="0" xfId="2" applyNumberFormat="1" applyFont="1" applyFill="1"/>
    <xf numFmtId="0" fontId="6" fillId="0" borderId="0" xfId="0" applyFont="1" applyFill="1"/>
    <xf numFmtId="0" fontId="12" fillId="0" borderId="0" xfId="0" applyFont="1" applyFill="1"/>
    <xf numFmtId="0" fontId="13" fillId="0" borderId="0" xfId="0" applyFont="1" applyFill="1"/>
    <xf numFmtId="17" fontId="10" fillId="0" borderId="0" xfId="0" applyNumberFormat="1" applyFont="1" applyFill="1" applyAlignment="1">
      <alignment horizontal="left"/>
    </xf>
    <xf numFmtId="0" fontId="10" fillId="0" borderId="4" xfId="0" quotePrefix="1" applyFont="1" applyFill="1" applyBorder="1" applyAlignment="1">
      <alignment horizontal="left"/>
    </xf>
    <xf numFmtId="0" fontId="14" fillId="0" borderId="0" xfId="0" quotePrefix="1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9" fontId="13" fillId="0" borderId="0" xfId="0" applyNumberFormat="1" applyFont="1" applyFill="1"/>
    <xf numFmtId="171" fontId="13" fillId="0" borderId="0" xfId="2" quotePrefix="1" applyNumberFormat="1" applyFont="1" applyFill="1"/>
    <xf numFmtId="3" fontId="13" fillId="0" borderId="0" xfId="0" quotePrefix="1" applyNumberFormat="1" applyFont="1" applyFill="1"/>
    <xf numFmtId="3" fontId="13" fillId="0" borderId="0" xfId="0" applyNumberFormat="1" applyFont="1" applyFill="1"/>
    <xf numFmtId="0" fontId="14" fillId="0" borderId="0" xfId="0" applyFont="1" applyFill="1" applyAlignment="1">
      <alignment horizontal="left"/>
    </xf>
    <xf numFmtId="0" fontId="13" fillId="0" borderId="0" xfId="0" quotePrefix="1" applyFont="1" applyFill="1"/>
    <xf numFmtId="44" fontId="13" fillId="0" borderId="0" xfId="2" applyNumberFormat="1" applyFont="1" applyFill="1"/>
    <xf numFmtId="44" fontId="13" fillId="0" borderId="0" xfId="0" applyNumberFormat="1" applyFont="1" applyFill="1"/>
    <xf numFmtId="166" fontId="0" fillId="0" borderId="6" xfId="0" applyNumberFormat="1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3" fontId="0" fillId="0" borderId="9" xfId="0" applyNumberFormat="1" applyFont="1" applyFill="1" applyBorder="1"/>
    <xf numFmtId="0" fontId="0" fillId="0" borderId="10" xfId="0" applyFont="1" applyFill="1" applyBorder="1"/>
    <xf numFmtId="3" fontId="0" fillId="0" borderId="11" xfId="0" applyNumberFormat="1" applyFont="1" applyFill="1" applyBorder="1"/>
    <xf numFmtId="43" fontId="0" fillId="0" borderId="0" xfId="1" quotePrefix="1" applyFont="1" applyFill="1" applyBorder="1"/>
    <xf numFmtId="43" fontId="7" fillId="0" borderId="0" xfId="1" quotePrefix="1" applyFont="1" applyFill="1" applyBorder="1"/>
    <xf numFmtId="173" fontId="0" fillId="0" borderId="0" xfId="1" quotePrefix="1" applyNumberFormat="1" applyFont="1" applyFill="1" applyBorder="1"/>
    <xf numFmtId="173" fontId="0" fillId="0" borderId="0" xfId="1" quotePrefix="1" applyNumberFormat="1" applyFont="1" applyFill="1"/>
    <xf numFmtId="0" fontId="7" fillId="0" borderId="4" xfId="0" applyFont="1" applyFill="1" applyBorder="1"/>
    <xf numFmtId="171" fontId="7" fillId="0" borderId="0" xfId="0" applyNumberFormat="1" applyFont="1" applyFill="1"/>
    <xf numFmtId="17" fontId="0" fillId="0" borderId="0" xfId="0" quotePrefix="1" applyNumberFormat="1" applyFont="1" applyFill="1" applyAlignment="1">
      <alignment horizontal="right"/>
    </xf>
    <xf numFmtId="44" fontId="7" fillId="0" borderId="0" xfId="0" applyNumberFormat="1" applyFont="1" applyFill="1"/>
    <xf numFmtId="0" fontId="0" fillId="0" borderId="4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left"/>
    </xf>
    <xf numFmtId="17" fontId="10" fillId="0" borderId="0" xfId="0" quotePrefix="1" applyNumberFormat="1" applyFont="1" applyFill="1" applyAlignment="1">
      <alignment horizontal="left"/>
    </xf>
    <xf numFmtId="0" fontId="9" fillId="0" borderId="0" xfId="0" quotePrefix="1" applyFont="1" applyFill="1" applyAlignment="1">
      <alignment horizontal="right"/>
    </xf>
    <xf numFmtId="173" fontId="7" fillId="0" borderId="0" xfId="0" applyNumberFormat="1" applyFont="1" applyFill="1"/>
    <xf numFmtId="173" fontId="0" fillId="0" borderId="0" xfId="0" applyNumberFormat="1" applyFont="1" applyFill="1"/>
    <xf numFmtId="174" fontId="7" fillId="0" borderId="0" xfId="1" applyNumberFormat="1" applyFont="1" applyFill="1"/>
    <xf numFmtId="43" fontId="7" fillId="0" borderId="0" xfId="1" applyFont="1" applyFill="1"/>
    <xf numFmtId="0" fontId="0" fillId="0" borderId="5" xfId="0" applyFont="1" applyFill="1" applyBorder="1" applyAlignment="1">
      <alignment horizontal="right"/>
    </xf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0" fontId="9" fillId="0" borderId="5" xfId="0" applyFont="1" applyFill="1" applyBorder="1" applyAlignment="1">
      <alignment horizontal="right"/>
    </xf>
    <xf numFmtId="164" fontId="0" fillId="0" borderId="0" xfId="0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3" applyNumberFormat="1" applyFont="1" applyFill="1" applyAlignment="1">
      <alignment horizontal="right"/>
    </xf>
    <xf numFmtId="164" fontId="10" fillId="0" borderId="0" xfId="3" applyNumberFormat="1" applyFont="1" applyFill="1"/>
    <xf numFmtId="0" fontId="10" fillId="0" borderId="0" xfId="0" applyFont="1" applyFill="1" applyAlignment="1">
      <alignment horizontal="right"/>
    </xf>
    <xf numFmtId="7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0" fontId="11" fillId="0" borderId="6" xfId="0" applyFont="1" applyFill="1" applyBorder="1"/>
    <xf numFmtId="2" fontId="0" fillId="0" borderId="12" xfId="0" applyNumberFormat="1" applyFont="1" applyFill="1" applyBorder="1"/>
    <xf numFmtId="0" fontId="11" fillId="0" borderId="8" xfId="0" applyFont="1" applyFill="1" applyBorder="1"/>
    <xf numFmtId="2" fontId="0" fillId="0" borderId="0" xfId="0" applyNumberFormat="1" applyFont="1" applyFill="1" applyBorder="1"/>
    <xf numFmtId="169" fontId="0" fillId="0" borderId="0" xfId="1" applyNumberFormat="1" applyFont="1" applyFill="1"/>
    <xf numFmtId="175" fontId="0" fillId="0" borderId="0" xfId="0" applyNumberFormat="1" applyFont="1" applyFill="1" applyBorder="1"/>
    <xf numFmtId="0" fontId="11" fillId="0" borderId="10" xfId="0" applyFont="1" applyFill="1" applyBorder="1"/>
    <xf numFmtId="2" fontId="0" fillId="0" borderId="13" xfId="0" applyNumberFormat="1" applyFont="1" applyFill="1" applyBorder="1"/>
    <xf numFmtId="0" fontId="0" fillId="0" borderId="11" xfId="0" applyFont="1" applyFill="1" applyBorder="1"/>
    <xf numFmtId="0" fontId="7" fillId="0" borderId="14" xfId="0" applyFont="1" applyFill="1" applyBorder="1" applyAlignment="1">
      <alignment horizontal="left"/>
    </xf>
    <xf numFmtId="0" fontId="0" fillId="0" borderId="14" xfId="0" applyFont="1" applyFill="1" applyBorder="1"/>
    <xf numFmtId="44" fontId="10" fillId="0" borderId="0" xfId="0" applyNumberFormat="1" applyFont="1" applyFill="1"/>
    <xf numFmtId="44" fontId="11" fillId="0" borderId="0" xfId="0" applyNumberFormat="1" applyFont="1" applyFill="1"/>
    <xf numFmtId="177" fontId="0" fillId="0" borderId="0" xfId="1" quotePrefix="1" applyNumberFormat="1" applyFont="1" applyFill="1"/>
    <xf numFmtId="174" fontId="0" fillId="0" borderId="0" xfId="1" quotePrefix="1" applyNumberFormat="1" applyFont="1" applyFill="1"/>
    <xf numFmtId="166" fontId="10" fillId="0" borderId="0" xfId="2" quotePrefix="1" applyNumberFormat="1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170" fontId="11" fillId="0" borderId="0" xfId="0" applyNumberFormat="1" applyFont="1" applyFill="1"/>
    <xf numFmtId="170" fontId="20" fillId="0" borderId="0" xfId="0" applyNumberFormat="1" applyFont="1" applyFill="1"/>
    <xf numFmtId="9" fontId="11" fillId="0" borderId="0" xfId="3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0" xfId="0" quotePrefix="1" applyFont="1" applyFill="1" applyAlignment="1">
      <alignment horizontal="right"/>
    </xf>
    <xf numFmtId="0" fontId="20" fillId="0" borderId="0" xfId="0" applyFont="1" applyFill="1"/>
    <xf numFmtId="170" fontId="20" fillId="0" borderId="0" xfId="0" applyNumberFormat="1" applyFont="1" applyFill="1" applyBorder="1"/>
    <xf numFmtId="44" fontId="0" fillId="0" borderId="0" xfId="0" quotePrefix="1" applyNumberFormat="1" applyFont="1" applyFill="1"/>
    <xf numFmtId="179" fontId="0" fillId="0" borderId="0" xfId="0" quotePrefix="1" applyNumberFormat="1" applyFont="1" applyFill="1" applyAlignment="1">
      <alignment horizontal="right"/>
    </xf>
    <xf numFmtId="178" fontId="0" fillId="0" borderId="0" xfId="0" quotePrefix="1" applyNumberFormat="1" applyFont="1" applyFill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38" fontId="0" fillId="0" borderId="0" xfId="0" applyNumberFormat="1" applyFont="1" applyFill="1" applyAlignment="1">
      <alignment horizontal="center"/>
    </xf>
    <xf numFmtId="180" fontId="0" fillId="0" borderId="8" xfId="0" applyNumberFormat="1" applyFont="1" applyFill="1" applyBorder="1" applyAlignment="1">
      <alignment horizontal="center"/>
    </xf>
    <xf numFmtId="175" fontId="0" fillId="0" borderId="0" xfId="0" applyNumberFormat="1" applyFont="1" applyFill="1" applyAlignment="1">
      <alignment horizontal="left"/>
    </xf>
    <xf numFmtId="0" fontId="9" fillId="0" borderId="0" xfId="0" applyFont="1" applyFill="1"/>
    <xf numFmtId="179" fontId="0" fillId="0" borderId="0" xfId="0" applyNumberFormat="1" applyFont="1" applyFill="1"/>
    <xf numFmtId="179" fontId="0" fillId="0" borderId="0" xfId="0" applyNumberFormat="1" applyFont="1" applyFill="1" applyAlignment="1">
      <alignment horizontal="right"/>
    </xf>
    <xf numFmtId="0" fontId="7" fillId="0" borderId="17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 vertical="center"/>
    </xf>
    <xf numFmtId="0" fontId="9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39" fontId="0" fillId="0" borderId="12" xfId="0" applyNumberFormat="1" applyFont="1" applyFill="1" applyBorder="1"/>
    <xf numFmtId="0" fontId="7" fillId="0" borderId="8" xfId="0" applyFont="1" applyFill="1" applyBorder="1" applyAlignment="1">
      <alignment horizontal="center"/>
    </xf>
    <xf numFmtId="39" fontId="0" fillId="0" borderId="0" xfId="0" applyNumberFormat="1" applyFont="1" applyFill="1" applyBorder="1"/>
    <xf numFmtId="0" fontId="7" fillId="0" borderId="8" xfId="0" applyFont="1" applyFill="1" applyBorder="1" applyAlignment="1">
      <alignment horizontal="left"/>
    </xf>
    <xf numFmtId="39" fontId="9" fillId="0" borderId="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9" fontId="0" fillId="0" borderId="0" xfId="1" applyNumberFormat="1" applyFont="1" applyFill="1" applyBorder="1" applyAlignment="1">
      <alignment horizontal="right"/>
    </xf>
    <xf numFmtId="169" fontId="0" fillId="0" borderId="9" xfId="1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169" fontId="7" fillId="0" borderId="19" xfId="1" applyNumberFormat="1" applyFont="1" applyFill="1" applyBorder="1" applyAlignment="1">
      <alignment horizontal="right"/>
    </xf>
    <xf numFmtId="43" fontId="0" fillId="0" borderId="8" xfId="1" quotePrefix="1" applyFont="1" applyFill="1" applyBorder="1"/>
    <xf numFmtId="0" fontId="0" fillId="0" borderId="13" xfId="0" applyFont="1" applyFill="1" applyBorder="1"/>
    <xf numFmtId="39" fontId="0" fillId="0" borderId="13" xfId="0" applyNumberFormat="1" applyFont="1" applyFill="1" applyBorder="1"/>
    <xf numFmtId="0" fontId="22" fillId="0" borderId="0" xfId="0" applyFont="1" applyFill="1"/>
    <xf numFmtId="0" fontId="2" fillId="0" borderId="9" xfId="0" applyFont="1" applyFill="1" applyBorder="1"/>
    <xf numFmtId="0" fontId="22" fillId="0" borderId="15" xfId="0" applyFont="1" applyFill="1" applyBorder="1" applyAlignment="1">
      <alignment horizontal="center"/>
    </xf>
    <xf numFmtId="0" fontId="0" fillId="0" borderId="13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0" fillId="0" borderId="15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9" xfId="0" applyFont="1" applyFill="1" applyBorder="1"/>
    <xf numFmtId="2" fontId="0" fillId="0" borderId="20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7" fontId="7" fillId="0" borderId="0" xfId="0" applyNumberFormat="1" applyFont="1" applyFill="1" applyBorder="1"/>
    <xf numFmtId="4" fontId="0" fillId="0" borderId="20" xfId="0" applyNumberFormat="1" applyFont="1" applyFill="1" applyBorder="1" applyAlignment="1">
      <alignment horizontal="center"/>
    </xf>
    <xf numFmtId="37" fontId="0" fillId="0" borderId="8" xfId="0" applyNumberFormat="1" applyFont="1" applyFill="1" applyBorder="1" applyAlignment="1">
      <alignment horizontal="center"/>
    </xf>
    <xf numFmtId="38" fontId="0" fillId="0" borderId="9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0" fillId="0" borderId="18" xfId="0" applyFont="1" applyFill="1" applyBorder="1"/>
    <xf numFmtId="37" fontId="0" fillId="0" borderId="15" xfId="0" applyNumberFormat="1" applyFont="1" applyFill="1" applyBorder="1" applyAlignment="1">
      <alignment horizontal="center"/>
    </xf>
    <xf numFmtId="37" fontId="0" fillId="0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37" fontId="0" fillId="0" borderId="18" xfId="0" applyNumberFormat="1" applyFont="1" applyFill="1" applyBorder="1" applyAlignment="1">
      <alignment horizontal="center"/>
    </xf>
    <xf numFmtId="37" fontId="0" fillId="0" borderId="16" xfId="0" applyNumberFormat="1" applyFont="1" applyFill="1" applyBorder="1" applyAlignment="1">
      <alignment horizontal="center"/>
    </xf>
    <xf numFmtId="2" fontId="0" fillId="0" borderId="17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left"/>
    </xf>
    <xf numFmtId="37" fontId="0" fillId="0" borderId="0" xfId="0" applyNumberFormat="1" applyFont="1" applyFill="1" applyAlignment="1"/>
    <xf numFmtId="181" fontId="0" fillId="0" borderId="0" xfId="0" applyNumberFormat="1" applyFont="1" applyFill="1" applyAlignment="1"/>
    <xf numFmtId="37" fontId="10" fillId="0" borderId="0" xfId="0" applyNumberFormat="1" applyFont="1" applyFill="1" applyAlignment="1"/>
    <xf numFmtId="181" fontId="10" fillId="0" borderId="0" xfId="0" applyNumberFormat="1" applyFont="1" applyFill="1" applyAlignment="1"/>
    <xf numFmtId="2" fontId="0" fillId="0" borderId="0" xfId="0" applyNumberFormat="1" applyFont="1" applyFill="1" applyAlignment="1"/>
    <xf numFmtId="0" fontId="12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85725</xdr:rowOff>
    </xdr:from>
    <xdr:to>
      <xdr:col>11</xdr:col>
      <xdr:colOff>561975</xdr:colOff>
      <xdr:row>4</xdr:row>
      <xdr:rowOff>104775</xdr:rowOff>
    </xdr:to>
    <xdr:cxnSp macro="">
      <xdr:nvCxnSpPr>
        <xdr:cNvPr id="2" name="Straight Arrow Connector 1"/>
        <xdr:cNvCxnSpPr/>
      </xdr:nvCxnSpPr>
      <xdr:spPr bwMode="auto">
        <a:xfrm flipH="1" flipV="1">
          <a:off x="6305550" y="971550"/>
          <a:ext cx="5210175" cy="190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ing/ORU%20Historical%20Data/NoCustomers/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</sheetNames>
    <sheetDataSet>
      <sheetData sheetId="0" refreshError="1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</row>
      </sheetData>
      <sheetData sheetId="13"/>
      <sheetData sheetId="14">
        <row r="8">
          <cell r="C8">
            <v>6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jm.com/markets-and-operations/rpm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7030A0"/>
  </sheetPr>
  <dimension ref="A1:AB610"/>
  <sheetViews>
    <sheetView tabSelected="1" topLeftCell="A438" zoomScale="90" zoomScaleNormal="90" workbookViewId="0">
      <selection activeCell="J478" sqref="J478"/>
    </sheetView>
  </sheetViews>
  <sheetFormatPr defaultRowHeight="12.75" x14ac:dyDescent="0.2"/>
  <cols>
    <col min="1" max="1" width="10.7109375" style="143" customWidth="1"/>
    <col min="2" max="2" width="27.85546875" style="97" customWidth="1"/>
    <col min="3" max="3" width="16.42578125" style="97" customWidth="1"/>
    <col min="4" max="4" width="16.140625" style="97" customWidth="1"/>
    <col min="5" max="5" width="12.7109375" style="97" customWidth="1"/>
    <col min="6" max="7" width="13.42578125" style="97" customWidth="1"/>
    <col min="8" max="8" width="12.7109375" style="97" customWidth="1"/>
    <col min="9" max="9" width="14.85546875" style="97" customWidth="1"/>
    <col min="10" max="10" width="12.7109375" style="97" customWidth="1"/>
    <col min="11" max="11" width="17.28515625" style="97" customWidth="1"/>
    <col min="12" max="12" width="15.140625" style="97" bestFit="1" customWidth="1"/>
    <col min="13" max="13" width="13.42578125" style="97" customWidth="1"/>
    <col min="14" max="14" width="12" style="97" customWidth="1"/>
    <col min="15" max="15" width="11.140625" style="97" customWidth="1"/>
    <col min="16" max="16" width="9.85546875" style="97" bestFit="1" customWidth="1"/>
    <col min="17" max="17" width="13" style="97" customWidth="1"/>
    <col min="18" max="18" width="9.85546875" style="97" bestFit="1" customWidth="1"/>
    <col min="19" max="19" width="10.7109375" style="97" customWidth="1"/>
    <col min="20" max="22" width="11.7109375" style="97" customWidth="1"/>
    <col min="23" max="23" width="9.140625" style="97"/>
    <col min="24" max="24" width="11" style="97" bestFit="1" customWidth="1"/>
    <col min="25" max="26" width="9.140625" style="97"/>
    <col min="27" max="27" width="15.28515625" style="97" customWidth="1"/>
    <col min="28" max="28" width="13.5703125" style="97" customWidth="1"/>
    <col min="29" max="16384" width="9.140625" style="97"/>
  </cols>
  <sheetData>
    <row r="1" spans="1:28" ht="15.75" x14ac:dyDescent="0.25">
      <c r="B1" s="144" t="str">
        <f>"Development of BGS Cost and Bid Factors for Rates Effective June 1, " &amp;M1</f>
        <v>Development of BGS Cost and Bid Factors for Rates Effective June 1, 2018</v>
      </c>
      <c r="G1" s="145"/>
      <c r="M1" s="146">
        <v>2018</v>
      </c>
      <c r="N1" s="97" t="s">
        <v>0</v>
      </c>
    </row>
    <row r="2" spans="1:28" ht="15" x14ac:dyDescent="0.2">
      <c r="A2" s="147"/>
      <c r="I2" s="148"/>
    </row>
    <row r="3" spans="1:28" x14ac:dyDescent="0.2">
      <c r="E3" s="2" t="str">
        <f>"Based on " &amp;M1-2  &amp;" Load Profile Information"</f>
        <v>Based on 2016 Load Profile Information</v>
      </c>
    </row>
    <row r="4" spans="1:28" x14ac:dyDescent="0.2">
      <c r="A4" s="149" t="s">
        <v>1</v>
      </c>
      <c r="B4" s="150" t="s">
        <v>2</v>
      </c>
      <c r="C4" s="151"/>
      <c r="E4" s="13" t="s">
        <v>3</v>
      </c>
      <c r="L4" s="150"/>
      <c r="M4" s="152" t="str">
        <f>"'% usage during Off-Peak period (from "&amp;M1-1&amp;" profiles)"</f>
        <v>'% usage during Off-Peak period (from 2017 profiles)</v>
      </c>
    </row>
    <row r="5" spans="1:28" ht="38.25" x14ac:dyDescent="0.2">
      <c r="A5" s="11"/>
      <c r="C5" s="78" t="s">
        <v>4</v>
      </c>
      <c r="D5" s="78" t="s">
        <v>4</v>
      </c>
      <c r="E5" s="78" t="s">
        <v>4</v>
      </c>
      <c r="F5" s="78" t="s">
        <v>4</v>
      </c>
      <c r="G5" s="13" t="s">
        <v>5</v>
      </c>
      <c r="H5" s="153"/>
      <c r="I5" s="78" t="s">
        <v>4</v>
      </c>
      <c r="J5" s="78"/>
      <c r="K5" s="78"/>
      <c r="L5" s="13"/>
      <c r="M5" s="78" t="s">
        <v>4</v>
      </c>
      <c r="N5" s="78" t="s">
        <v>4</v>
      </c>
      <c r="O5" s="78" t="s">
        <v>4</v>
      </c>
      <c r="P5" s="78" t="s">
        <v>4</v>
      </c>
      <c r="Q5" s="13" t="s">
        <v>6</v>
      </c>
      <c r="R5" s="153"/>
      <c r="S5" s="78" t="s">
        <v>4</v>
      </c>
      <c r="T5" s="78"/>
    </row>
    <row r="6" spans="1:28" x14ac:dyDescent="0.2">
      <c r="A6" s="11"/>
      <c r="B6" s="154"/>
      <c r="C6" s="155" t="s">
        <v>7</v>
      </c>
      <c r="D6" s="155" t="s">
        <v>8</v>
      </c>
      <c r="E6" s="155" t="s">
        <v>9</v>
      </c>
      <c r="F6" s="155" t="s">
        <v>10</v>
      </c>
      <c r="G6" s="155" t="s">
        <v>11</v>
      </c>
      <c r="H6" s="155" t="s">
        <v>12</v>
      </c>
      <c r="I6" s="155" t="s">
        <v>13</v>
      </c>
      <c r="J6" s="34"/>
      <c r="K6" s="34"/>
      <c r="L6" s="156"/>
      <c r="M6" s="34" t="str">
        <f t="shared" ref="M6:S6" si="0">+C6</f>
        <v>SC1</v>
      </c>
      <c r="N6" s="34" t="str">
        <f t="shared" si="0"/>
        <v>SC5</v>
      </c>
      <c r="O6" s="34" t="str">
        <f t="shared" si="0"/>
        <v>SC3</v>
      </c>
      <c r="P6" s="34" t="str">
        <f t="shared" si="0"/>
        <v>SC2 ND</v>
      </c>
      <c r="Q6" s="34" t="str">
        <f t="shared" si="0"/>
        <v>SC4</v>
      </c>
      <c r="R6" s="34" t="str">
        <f t="shared" si="0"/>
        <v>SC6</v>
      </c>
      <c r="S6" s="34" t="str">
        <f t="shared" si="0"/>
        <v>SC2 Dem</v>
      </c>
      <c r="T6" s="34"/>
    </row>
    <row r="7" spans="1:28" x14ac:dyDescent="0.2">
      <c r="A7" s="11"/>
    </row>
    <row r="8" spans="1:28" x14ac:dyDescent="0.2">
      <c r="A8" s="11"/>
      <c r="B8" s="126" t="s">
        <v>14</v>
      </c>
      <c r="C8" s="98">
        <v>0.47909784763811203</v>
      </c>
      <c r="D8" s="98">
        <v>0.50294315741243023</v>
      </c>
      <c r="E8" s="98">
        <v>0.48221945061296106</v>
      </c>
      <c r="F8" s="98">
        <v>0.45949737014719927</v>
      </c>
      <c r="G8" s="98">
        <v>0.52640749505978002</v>
      </c>
      <c r="H8" s="98">
        <f>G8</f>
        <v>0.52640749505978002</v>
      </c>
      <c r="I8" s="98">
        <v>0.52507840258711391</v>
      </c>
      <c r="J8" s="157"/>
      <c r="K8" s="157"/>
      <c r="L8" s="158"/>
      <c r="M8" s="157">
        <f t="shared" ref="M8:S19" si="1">1-C8</f>
        <v>0.52090215236188797</v>
      </c>
      <c r="N8" s="157">
        <f t="shared" si="1"/>
        <v>0.49705684258756977</v>
      </c>
      <c r="O8" s="157">
        <f t="shared" si="1"/>
        <v>0.51778054938703888</v>
      </c>
      <c r="P8" s="157">
        <f t="shared" si="1"/>
        <v>0.54050262985280073</v>
      </c>
      <c r="Q8" s="157">
        <f t="shared" si="1"/>
        <v>0.47359250494021998</v>
      </c>
      <c r="R8" s="157">
        <f t="shared" si="1"/>
        <v>0.47359250494021998</v>
      </c>
      <c r="S8" s="157">
        <f t="shared" si="1"/>
        <v>0.47492159741288609</v>
      </c>
      <c r="T8" s="158"/>
      <c r="U8" s="121"/>
      <c r="V8" s="121"/>
      <c r="W8" s="121"/>
      <c r="X8" s="121"/>
      <c r="Y8" s="121"/>
      <c r="Z8" s="121"/>
      <c r="AA8" s="121"/>
      <c r="AB8" s="121"/>
    </row>
    <row r="9" spans="1:28" x14ac:dyDescent="0.2">
      <c r="A9" s="11"/>
      <c r="B9" s="126" t="s">
        <v>15</v>
      </c>
      <c r="C9" s="98">
        <v>0.49932079193406786</v>
      </c>
      <c r="D9" s="98">
        <v>0.49314847987783111</v>
      </c>
      <c r="E9" s="98">
        <v>0.467898303408048</v>
      </c>
      <c r="F9" s="98">
        <v>0.4548042452798669</v>
      </c>
      <c r="G9" s="98">
        <v>0.53469625036332402</v>
      </c>
      <c r="H9" s="98">
        <f t="shared" ref="H9:H19" si="2">G9</f>
        <v>0.53469625036332402</v>
      </c>
      <c r="I9" s="98">
        <v>0.53979599887688212</v>
      </c>
      <c r="J9" s="157"/>
      <c r="K9" s="157"/>
      <c r="L9" s="158"/>
      <c r="M9" s="157">
        <f t="shared" si="1"/>
        <v>0.50067920806593214</v>
      </c>
      <c r="N9" s="157">
        <f t="shared" si="1"/>
        <v>0.50685152012216883</v>
      </c>
      <c r="O9" s="157">
        <f t="shared" si="1"/>
        <v>0.53210169659195206</v>
      </c>
      <c r="P9" s="157">
        <f t="shared" si="1"/>
        <v>0.54519575472013315</v>
      </c>
      <c r="Q9" s="157">
        <f t="shared" si="1"/>
        <v>0.46530374963667598</v>
      </c>
      <c r="R9" s="157">
        <f t="shared" si="1"/>
        <v>0.46530374963667598</v>
      </c>
      <c r="S9" s="157">
        <f t="shared" si="1"/>
        <v>0.46020400112311788</v>
      </c>
      <c r="T9" s="158"/>
      <c r="U9" s="121"/>
      <c r="V9" s="121"/>
      <c r="W9" s="121"/>
      <c r="X9" s="121"/>
      <c r="Y9" s="121"/>
      <c r="Z9" s="121"/>
      <c r="AA9" s="121"/>
      <c r="AB9" s="121"/>
    </row>
    <row r="10" spans="1:28" x14ac:dyDescent="0.2">
      <c r="A10" s="11"/>
      <c r="B10" s="126" t="s">
        <v>16</v>
      </c>
      <c r="C10" s="98">
        <v>0.51046528385320622</v>
      </c>
      <c r="D10" s="98">
        <v>0.49012521040072199</v>
      </c>
      <c r="E10" s="98">
        <v>0.48858190709046295</v>
      </c>
      <c r="F10" s="98">
        <v>0.5012629881256363</v>
      </c>
      <c r="G10" s="98">
        <v>0.55948415479974689</v>
      </c>
      <c r="H10" s="98">
        <f t="shared" si="2"/>
        <v>0.55948415479974689</v>
      </c>
      <c r="I10" s="98">
        <v>0.56444244682939859</v>
      </c>
      <c r="J10" s="157"/>
      <c r="K10" s="157"/>
      <c r="L10" s="158"/>
      <c r="M10" s="157">
        <f t="shared" si="1"/>
        <v>0.48953471614679378</v>
      </c>
      <c r="N10" s="157">
        <f t="shared" si="1"/>
        <v>0.50987478959927801</v>
      </c>
      <c r="O10" s="157">
        <f t="shared" si="1"/>
        <v>0.5114180929095371</v>
      </c>
      <c r="P10" s="157">
        <f t="shared" si="1"/>
        <v>0.4987370118743637</v>
      </c>
      <c r="Q10" s="157">
        <f t="shared" si="1"/>
        <v>0.44051584520025311</v>
      </c>
      <c r="R10" s="157">
        <f t="shared" si="1"/>
        <v>0.44051584520025311</v>
      </c>
      <c r="S10" s="157">
        <f t="shared" si="1"/>
        <v>0.43555755317060141</v>
      </c>
      <c r="T10" s="158"/>
      <c r="U10" s="121"/>
      <c r="V10" s="121"/>
      <c r="W10" s="121"/>
      <c r="X10" s="121"/>
      <c r="Y10" s="121"/>
      <c r="Z10" s="121"/>
      <c r="AA10" s="121"/>
      <c r="AB10" s="121"/>
    </row>
    <row r="11" spans="1:28" x14ac:dyDescent="0.2">
      <c r="A11" s="11"/>
      <c r="B11" s="126" t="s">
        <v>17</v>
      </c>
      <c r="C11" s="98">
        <v>0.45647314319730525</v>
      </c>
      <c r="D11" s="98">
        <v>0.42028121812370528</v>
      </c>
      <c r="E11" s="98">
        <v>0.45349157571263615</v>
      </c>
      <c r="F11" s="98">
        <v>0.47722441451187814</v>
      </c>
      <c r="G11" s="98">
        <v>0.51741891250622385</v>
      </c>
      <c r="H11" s="98">
        <f t="shared" si="2"/>
        <v>0.51741891250622385</v>
      </c>
      <c r="I11" s="98">
        <v>0.52092871046232847</v>
      </c>
      <c r="J11" s="157"/>
      <c r="K11" s="157"/>
      <c r="L11" s="158"/>
      <c r="M11" s="157">
        <f t="shared" si="1"/>
        <v>0.54352685680269475</v>
      </c>
      <c r="N11" s="157">
        <f t="shared" si="1"/>
        <v>0.57971878187629478</v>
      </c>
      <c r="O11" s="157">
        <f t="shared" si="1"/>
        <v>0.5465084242873639</v>
      </c>
      <c r="P11" s="157">
        <f t="shared" si="1"/>
        <v>0.52277558548812186</v>
      </c>
      <c r="Q11" s="157">
        <f t="shared" si="1"/>
        <v>0.48258108749377615</v>
      </c>
      <c r="R11" s="157">
        <f t="shared" si="1"/>
        <v>0.48258108749377615</v>
      </c>
      <c r="S11" s="157">
        <f t="shared" si="1"/>
        <v>0.47907128953767153</v>
      </c>
      <c r="T11" s="158"/>
      <c r="U11" s="121"/>
      <c r="V11" s="121"/>
      <c r="W11" s="121"/>
      <c r="X11" s="121"/>
      <c r="Y11" s="121"/>
      <c r="Z11" s="121"/>
      <c r="AA11" s="121"/>
      <c r="AB11" s="121"/>
    </row>
    <row r="12" spans="1:28" x14ac:dyDescent="0.2">
      <c r="A12" s="11"/>
      <c r="B12" s="126" t="s">
        <v>18</v>
      </c>
      <c r="C12" s="98">
        <v>0.48977890282717873</v>
      </c>
      <c r="D12" s="98">
        <v>0.47898687241971677</v>
      </c>
      <c r="E12" s="98">
        <v>0.50304912351763009</v>
      </c>
      <c r="F12" s="98">
        <v>0.52800755636449004</v>
      </c>
      <c r="G12" s="98">
        <v>0.54791095640437104</v>
      </c>
      <c r="H12" s="98">
        <f t="shared" si="2"/>
        <v>0.54791095640437104</v>
      </c>
      <c r="I12" s="98">
        <v>0.55752114307779421</v>
      </c>
      <c r="J12" s="157"/>
      <c r="K12" s="157"/>
      <c r="L12" s="158"/>
      <c r="M12" s="157">
        <f t="shared" si="1"/>
        <v>0.51022109717282127</v>
      </c>
      <c r="N12" s="157">
        <f t="shared" si="1"/>
        <v>0.52101312758028318</v>
      </c>
      <c r="O12" s="157">
        <f t="shared" si="1"/>
        <v>0.49695087648236991</v>
      </c>
      <c r="P12" s="157">
        <f t="shared" si="1"/>
        <v>0.47199244363550996</v>
      </c>
      <c r="Q12" s="157">
        <f t="shared" si="1"/>
        <v>0.45208904359562896</v>
      </c>
      <c r="R12" s="157">
        <f t="shared" si="1"/>
        <v>0.45208904359562896</v>
      </c>
      <c r="S12" s="157">
        <f t="shared" si="1"/>
        <v>0.44247885692220579</v>
      </c>
      <c r="T12" s="158"/>
      <c r="U12" s="121"/>
      <c r="V12" s="121"/>
      <c r="W12" s="121"/>
      <c r="X12" s="121"/>
      <c r="Y12" s="121"/>
      <c r="Z12" s="121"/>
      <c r="AA12" s="121"/>
      <c r="AB12" s="121"/>
    </row>
    <row r="13" spans="1:28" x14ac:dyDescent="0.2">
      <c r="A13" s="11"/>
      <c r="B13" s="126" t="s">
        <v>19</v>
      </c>
      <c r="C13" s="98">
        <v>0.53679235906053435</v>
      </c>
      <c r="D13" s="98">
        <v>0.54088753639697551</v>
      </c>
      <c r="E13" s="98">
        <v>0.53947431074708097</v>
      </c>
      <c r="F13" s="98">
        <v>0.55068646830816581</v>
      </c>
      <c r="G13" s="98">
        <v>0.56186557350250987</v>
      </c>
      <c r="H13" s="98">
        <f t="shared" si="2"/>
        <v>0.56186557350250987</v>
      </c>
      <c r="I13" s="98">
        <v>0.57620047757048898</v>
      </c>
      <c r="J13" s="157"/>
      <c r="K13" s="157"/>
      <c r="L13" s="158"/>
      <c r="M13" s="157">
        <f t="shared" si="1"/>
        <v>0.46320764093946565</v>
      </c>
      <c r="N13" s="157">
        <f t="shared" si="1"/>
        <v>0.45911246360302449</v>
      </c>
      <c r="O13" s="157">
        <f t="shared" si="1"/>
        <v>0.46052568925291903</v>
      </c>
      <c r="P13" s="157">
        <f t="shared" si="1"/>
        <v>0.44931353169183419</v>
      </c>
      <c r="Q13" s="157">
        <f t="shared" si="1"/>
        <v>0.43813442649749013</v>
      </c>
      <c r="R13" s="157">
        <f t="shared" si="1"/>
        <v>0.43813442649749013</v>
      </c>
      <c r="S13" s="157">
        <f t="shared" si="1"/>
        <v>0.42379952242951102</v>
      </c>
      <c r="T13" s="158"/>
      <c r="U13" s="121"/>
      <c r="V13" s="121"/>
      <c r="W13" s="121"/>
      <c r="X13" s="121"/>
      <c r="Y13" s="121"/>
      <c r="Z13" s="121"/>
      <c r="AA13" s="121"/>
      <c r="AB13" s="121"/>
    </row>
    <row r="14" spans="1:28" x14ac:dyDescent="0.2">
      <c r="A14" s="11"/>
      <c r="B14" s="126" t="s">
        <v>20</v>
      </c>
      <c r="C14" s="98">
        <v>0.51432618721885626</v>
      </c>
      <c r="D14" s="98">
        <v>0.49488778263680727</v>
      </c>
      <c r="E14" s="98">
        <v>0.5019740552735541</v>
      </c>
      <c r="F14" s="98">
        <v>0.44911116561588915</v>
      </c>
      <c r="G14" s="98">
        <v>0.50597432023007294</v>
      </c>
      <c r="H14" s="98">
        <f t="shared" si="2"/>
        <v>0.50597432023007294</v>
      </c>
      <c r="I14" s="98">
        <v>0.52619631629093366</v>
      </c>
      <c r="J14" s="157"/>
      <c r="K14" s="157"/>
      <c r="L14" s="158"/>
      <c r="M14" s="157">
        <f t="shared" si="1"/>
        <v>0.48567381278114374</v>
      </c>
      <c r="N14" s="157">
        <f t="shared" si="1"/>
        <v>0.50511221736319278</v>
      </c>
      <c r="O14" s="157">
        <f t="shared" si="1"/>
        <v>0.4980259447264459</v>
      </c>
      <c r="P14" s="157">
        <f t="shared" si="1"/>
        <v>0.55088883438411085</v>
      </c>
      <c r="Q14" s="157">
        <f t="shared" si="1"/>
        <v>0.49402567976992706</v>
      </c>
      <c r="R14" s="157">
        <f t="shared" si="1"/>
        <v>0.49402567976992706</v>
      </c>
      <c r="S14" s="157">
        <f t="shared" si="1"/>
        <v>0.47380368370906634</v>
      </c>
      <c r="T14" s="158"/>
      <c r="U14" s="121"/>
      <c r="V14" s="121"/>
      <c r="W14" s="121"/>
      <c r="X14" s="121"/>
      <c r="Y14" s="121"/>
      <c r="Z14" s="121"/>
      <c r="AA14" s="121"/>
      <c r="AB14" s="121"/>
    </row>
    <row r="15" spans="1:28" x14ac:dyDescent="0.2">
      <c r="A15" s="11"/>
      <c r="B15" s="126" t="s">
        <v>21</v>
      </c>
      <c r="C15" s="98">
        <v>0.54763560482530727</v>
      </c>
      <c r="D15" s="98">
        <v>0.55449200491972106</v>
      </c>
      <c r="E15" s="98">
        <v>0.54640186999271201</v>
      </c>
      <c r="F15" s="98">
        <v>0.50918452940268399</v>
      </c>
      <c r="G15" s="98">
        <v>0.56048781926024704</v>
      </c>
      <c r="H15" s="98">
        <f t="shared" si="2"/>
        <v>0.56048781926024704</v>
      </c>
      <c r="I15" s="98">
        <v>0.57818411506652712</v>
      </c>
      <c r="J15" s="157"/>
      <c r="K15" s="157"/>
      <c r="L15" s="158"/>
      <c r="M15" s="157">
        <f t="shared" si="1"/>
        <v>0.45236439517469273</v>
      </c>
      <c r="N15" s="157">
        <f t="shared" si="1"/>
        <v>0.44550799508027894</v>
      </c>
      <c r="O15" s="157">
        <f t="shared" si="1"/>
        <v>0.45359813000728799</v>
      </c>
      <c r="P15" s="157">
        <f t="shared" si="1"/>
        <v>0.49081547059731601</v>
      </c>
      <c r="Q15" s="157">
        <f t="shared" si="1"/>
        <v>0.43951218073975296</v>
      </c>
      <c r="R15" s="157">
        <f t="shared" si="1"/>
        <v>0.43951218073975296</v>
      </c>
      <c r="S15" s="157">
        <f t="shared" si="1"/>
        <v>0.42181588493347288</v>
      </c>
      <c r="T15" s="158"/>
      <c r="U15" s="121"/>
      <c r="V15" s="121"/>
      <c r="W15" s="121"/>
      <c r="X15" s="121"/>
      <c r="Y15" s="121"/>
      <c r="Z15" s="121"/>
      <c r="AA15" s="121"/>
      <c r="AB15" s="121"/>
    </row>
    <row r="16" spans="1:28" x14ac:dyDescent="0.2">
      <c r="A16" s="11"/>
      <c r="B16" s="126" t="s">
        <v>22</v>
      </c>
      <c r="C16" s="98">
        <v>0.48719489735871846</v>
      </c>
      <c r="D16" s="98">
        <v>0.46334036750472202</v>
      </c>
      <c r="E16" s="98">
        <v>0.49293813657116092</v>
      </c>
      <c r="F16" s="98">
        <v>0.50280735382191477</v>
      </c>
      <c r="G16" s="98">
        <v>0.51276491820402703</v>
      </c>
      <c r="H16" s="98">
        <f t="shared" si="2"/>
        <v>0.51276491820402703</v>
      </c>
      <c r="I16" s="98">
        <v>0.53090576494401953</v>
      </c>
      <c r="J16" s="157"/>
      <c r="K16" s="157"/>
      <c r="L16" s="158"/>
      <c r="M16" s="157">
        <f t="shared" si="1"/>
        <v>0.51280510264128154</v>
      </c>
      <c r="N16" s="157">
        <f t="shared" si="1"/>
        <v>0.53665963249527793</v>
      </c>
      <c r="O16" s="157">
        <f t="shared" si="1"/>
        <v>0.50706186342883908</v>
      </c>
      <c r="P16" s="157">
        <f t="shared" si="1"/>
        <v>0.49719264617808523</v>
      </c>
      <c r="Q16" s="157">
        <f t="shared" si="1"/>
        <v>0.48723508179597297</v>
      </c>
      <c r="R16" s="157">
        <f t="shared" si="1"/>
        <v>0.48723508179597297</v>
      </c>
      <c r="S16" s="157">
        <f t="shared" si="1"/>
        <v>0.46909423505598047</v>
      </c>
      <c r="T16" s="158"/>
      <c r="U16" s="121"/>
      <c r="V16" s="121"/>
      <c r="W16" s="121"/>
      <c r="X16" s="121"/>
      <c r="Y16" s="121"/>
      <c r="Z16" s="121"/>
      <c r="AA16" s="121"/>
      <c r="AB16" s="121"/>
    </row>
    <row r="17" spans="1:28" x14ac:dyDescent="0.2">
      <c r="A17" s="11"/>
      <c r="B17" s="126" t="s">
        <v>23</v>
      </c>
      <c r="C17" s="98">
        <v>0.49010756187442883</v>
      </c>
      <c r="D17" s="98">
        <v>0.48138443271192544</v>
      </c>
      <c r="E17" s="98">
        <v>0.48143004664745093</v>
      </c>
      <c r="F17" s="98">
        <v>0.52294135167058931</v>
      </c>
      <c r="G17" s="99">
        <v>0.54145752655926283</v>
      </c>
      <c r="H17" s="98">
        <f t="shared" si="2"/>
        <v>0.54145752655926283</v>
      </c>
      <c r="I17" s="98">
        <v>0.56224302353237232</v>
      </c>
      <c r="J17" s="157"/>
      <c r="K17" s="157"/>
      <c r="L17" s="158"/>
      <c r="M17" s="157">
        <f t="shared" si="1"/>
        <v>0.50989243812557117</v>
      </c>
      <c r="N17" s="157">
        <f t="shared" si="1"/>
        <v>0.51861556728807456</v>
      </c>
      <c r="O17" s="157">
        <f t="shared" si="1"/>
        <v>0.51856995335254907</v>
      </c>
      <c r="P17" s="157">
        <f t="shared" si="1"/>
        <v>0.47705864832941069</v>
      </c>
      <c r="Q17" s="157">
        <f t="shared" si="1"/>
        <v>0.45854247344073717</v>
      </c>
      <c r="R17" s="157">
        <f t="shared" si="1"/>
        <v>0.45854247344073717</v>
      </c>
      <c r="S17" s="157">
        <f t="shared" si="1"/>
        <v>0.43775697646762768</v>
      </c>
      <c r="T17" s="158"/>
      <c r="U17" s="121"/>
      <c r="V17" s="121"/>
      <c r="W17" s="121"/>
      <c r="X17" s="121"/>
      <c r="Y17" s="121"/>
      <c r="Z17" s="121"/>
      <c r="AA17" s="121"/>
      <c r="AB17" s="121"/>
    </row>
    <row r="18" spans="1:28" x14ac:dyDescent="0.2">
      <c r="A18" s="11"/>
      <c r="B18" s="126" t="s">
        <v>24</v>
      </c>
      <c r="C18" s="98">
        <v>0.49262458715184576</v>
      </c>
      <c r="D18" s="98">
        <v>0.48150851838429432</v>
      </c>
      <c r="E18" s="98">
        <v>0.48797344472022497</v>
      </c>
      <c r="F18" s="98">
        <v>0.5091234876582923</v>
      </c>
      <c r="G18" s="98">
        <v>0.52205314598288388</v>
      </c>
      <c r="H18" s="98">
        <f t="shared" si="2"/>
        <v>0.52205314598288388</v>
      </c>
      <c r="I18" s="98">
        <v>0.54378813717189878</v>
      </c>
      <c r="J18" s="157"/>
      <c r="K18" s="157"/>
      <c r="L18" s="158"/>
      <c r="M18" s="157">
        <f t="shared" si="1"/>
        <v>0.50737541284815424</v>
      </c>
      <c r="N18" s="157">
        <f t="shared" si="1"/>
        <v>0.51849148161570568</v>
      </c>
      <c r="O18" s="157">
        <f t="shared" si="1"/>
        <v>0.51202655527977503</v>
      </c>
      <c r="P18" s="157">
        <f t="shared" si="1"/>
        <v>0.4908765123417077</v>
      </c>
      <c r="Q18" s="157">
        <f t="shared" si="1"/>
        <v>0.47794685401711612</v>
      </c>
      <c r="R18" s="157">
        <f t="shared" si="1"/>
        <v>0.47794685401711612</v>
      </c>
      <c r="S18" s="157">
        <f t="shared" si="1"/>
        <v>0.45621186282810122</v>
      </c>
      <c r="T18" s="158"/>
      <c r="U18" s="121"/>
      <c r="V18" s="121"/>
      <c r="W18" s="121"/>
      <c r="X18" s="121"/>
      <c r="Y18" s="121"/>
      <c r="Z18" s="121"/>
      <c r="AA18" s="121"/>
      <c r="AB18" s="121"/>
    </row>
    <row r="19" spans="1:28" x14ac:dyDescent="0.2">
      <c r="A19" s="11"/>
      <c r="B19" s="126" t="s">
        <v>25</v>
      </c>
      <c r="C19" s="98">
        <v>0.46085526456622061</v>
      </c>
      <c r="D19" s="98">
        <v>0.5089565963813637</v>
      </c>
      <c r="E19" s="98">
        <v>0.45806071763232992</v>
      </c>
      <c r="F19" s="98">
        <v>0.46675867368674262</v>
      </c>
      <c r="G19" s="98">
        <v>0.49518113866950098</v>
      </c>
      <c r="H19" s="98">
        <f t="shared" si="2"/>
        <v>0.49518113866950098</v>
      </c>
      <c r="I19" s="98">
        <v>0.50153652910777791</v>
      </c>
      <c r="J19" s="157"/>
      <c r="K19" s="157"/>
      <c r="L19" s="158"/>
      <c r="M19" s="157">
        <f t="shared" si="1"/>
        <v>0.53914473543377939</v>
      </c>
      <c r="N19" s="157">
        <f t="shared" si="1"/>
        <v>0.4910434036186363</v>
      </c>
      <c r="O19" s="157">
        <f t="shared" si="1"/>
        <v>0.54193928236767008</v>
      </c>
      <c r="P19" s="157">
        <f t="shared" si="1"/>
        <v>0.53324132631325738</v>
      </c>
      <c r="Q19" s="157">
        <f t="shared" si="1"/>
        <v>0.50481886133049902</v>
      </c>
      <c r="R19" s="157">
        <f t="shared" si="1"/>
        <v>0.50481886133049902</v>
      </c>
      <c r="S19" s="157">
        <f t="shared" si="1"/>
        <v>0.49846347089222209</v>
      </c>
      <c r="T19" s="158"/>
      <c r="U19" s="121"/>
      <c r="V19" s="121"/>
      <c r="W19" s="121"/>
      <c r="X19" s="121"/>
      <c r="Y19" s="121"/>
      <c r="Z19" s="121"/>
      <c r="AA19" s="121"/>
      <c r="AB19" s="121"/>
    </row>
    <row r="20" spans="1:28" x14ac:dyDescent="0.2">
      <c r="A20" s="11"/>
      <c r="B20" s="126"/>
      <c r="C20" s="158"/>
      <c r="D20" s="158"/>
      <c r="E20" s="158"/>
      <c r="F20" s="158"/>
      <c r="G20" s="133"/>
      <c r="H20" s="133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</row>
    <row r="21" spans="1:28" x14ac:dyDescent="0.2">
      <c r="A21" s="11"/>
      <c r="B21" s="126"/>
      <c r="C21" s="158"/>
      <c r="D21" s="158"/>
      <c r="E21" s="158"/>
      <c r="F21" s="158"/>
      <c r="G21" s="133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</row>
    <row r="22" spans="1:28" x14ac:dyDescent="0.2">
      <c r="A22" s="149" t="s">
        <v>26</v>
      </c>
      <c r="B22" s="152" t="s">
        <v>27</v>
      </c>
      <c r="C22" s="158"/>
      <c r="D22" s="158"/>
      <c r="E22" s="158"/>
      <c r="F22" s="159" t="s">
        <v>28</v>
      </c>
      <c r="G22" s="133"/>
      <c r="H22" s="133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</row>
    <row r="23" spans="1:28" ht="38.25" x14ac:dyDescent="0.2">
      <c r="A23" s="11"/>
      <c r="C23" s="78" t="s">
        <v>29</v>
      </c>
      <c r="D23" s="78" t="s">
        <v>29</v>
      </c>
      <c r="E23" s="78"/>
      <c r="F23" s="78" t="s">
        <v>29</v>
      </c>
      <c r="G23" s="78" t="s">
        <v>29</v>
      </c>
      <c r="H23" s="78" t="s">
        <v>29</v>
      </c>
      <c r="I23" s="78" t="s">
        <v>29</v>
      </c>
      <c r="J23" s="78"/>
      <c r="K23" s="78"/>
      <c r="L23" s="13"/>
      <c r="M23" s="78" t="s">
        <v>29</v>
      </c>
      <c r="N23" s="78" t="s">
        <v>29</v>
      </c>
      <c r="O23" s="160" t="str">
        <f>M1-2&amp;" Forecasted Billed Sales"</f>
        <v>2016 Forecasted Billed Sales</v>
      </c>
      <c r="P23" s="78" t="s">
        <v>29</v>
      </c>
      <c r="Q23" s="78" t="s">
        <v>29</v>
      </c>
      <c r="R23" s="78" t="s">
        <v>29</v>
      </c>
      <c r="S23" s="78" t="s">
        <v>29</v>
      </c>
      <c r="T23" s="78"/>
    </row>
    <row r="24" spans="1:28" x14ac:dyDescent="0.2">
      <c r="A24" s="11"/>
      <c r="B24" s="154" t="s">
        <v>30</v>
      </c>
      <c r="C24" s="155" t="str">
        <f>+C6</f>
        <v>SC1</v>
      </c>
      <c r="D24" s="155" t="str">
        <f t="shared" ref="D24:I24" si="3">+D6</f>
        <v>SC5</v>
      </c>
      <c r="E24" s="155" t="str">
        <f t="shared" si="3"/>
        <v>SC3</v>
      </c>
      <c r="F24" s="155" t="str">
        <f t="shared" si="3"/>
        <v>SC2 ND</v>
      </c>
      <c r="G24" s="155" t="str">
        <f t="shared" si="3"/>
        <v>SC4</v>
      </c>
      <c r="H24" s="155" t="str">
        <f t="shared" si="3"/>
        <v>SC6</v>
      </c>
      <c r="I24" s="155" t="str">
        <f t="shared" si="3"/>
        <v>SC2 Dem</v>
      </c>
      <c r="J24" s="34"/>
      <c r="K24" s="34"/>
      <c r="L24" s="156"/>
      <c r="M24" s="34" t="str">
        <f t="shared" ref="M24:S24" si="4">+C6</f>
        <v>SC1</v>
      </c>
      <c r="N24" s="34" t="str">
        <f t="shared" si="4"/>
        <v>SC5</v>
      </c>
      <c r="O24" s="34" t="str">
        <f t="shared" si="4"/>
        <v>SC3</v>
      </c>
      <c r="P24" s="34" t="str">
        <f t="shared" si="4"/>
        <v>SC2 ND</v>
      </c>
      <c r="Q24" s="34" t="str">
        <f t="shared" si="4"/>
        <v>SC4</v>
      </c>
      <c r="R24" s="34" t="str">
        <f t="shared" si="4"/>
        <v>SC6</v>
      </c>
      <c r="S24" s="34" t="str">
        <f t="shared" si="4"/>
        <v>SC2 Dem</v>
      </c>
      <c r="T24" s="34"/>
    </row>
    <row r="25" spans="1:28" x14ac:dyDescent="0.2">
      <c r="A25" s="11"/>
    </row>
    <row r="26" spans="1:28" x14ac:dyDescent="0.2">
      <c r="A26" s="11"/>
      <c r="B26" s="126" t="s">
        <v>14</v>
      </c>
      <c r="C26" s="161" t="s">
        <v>31</v>
      </c>
      <c r="D26" s="161" t="s">
        <v>31</v>
      </c>
      <c r="E26" s="100">
        <v>0.3408920922009927</v>
      </c>
      <c r="F26" s="161" t="s">
        <v>31</v>
      </c>
      <c r="G26" s="161" t="s">
        <v>31</v>
      </c>
      <c r="H26" s="161" t="s">
        <v>31</v>
      </c>
      <c r="I26" s="161" t="s">
        <v>31</v>
      </c>
      <c r="J26" s="157"/>
      <c r="K26" s="157"/>
      <c r="L26" s="158"/>
      <c r="M26" s="158"/>
      <c r="N26" s="158"/>
      <c r="O26" s="157">
        <f t="shared" ref="O26:O37" si="5">1-E26</f>
        <v>0.6591079077990073</v>
      </c>
      <c r="P26" s="158"/>
      <c r="Q26" s="158"/>
      <c r="R26" s="158"/>
      <c r="S26" s="158"/>
      <c r="T26" s="158"/>
    </row>
    <row r="27" spans="1:28" x14ac:dyDescent="0.2">
      <c r="A27" s="11"/>
      <c r="B27" s="126" t="s">
        <v>15</v>
      </c>
      <c r="C27" s="161" t="s">
        <v>31</v>
      </c>
      <c r="D27" s="161" t="s">
        <v>31</v>
      </c>
      <c r="E27" s="100">
        <v>0.3725081820886641</v>
      </c>
      <c r="F27" s="161" t="s">
        <v>31</v>
      </c>
      <c r="G27" s="161" t="s">
        <v>31</v>
      </c>
      <c r="H27" s="161" t="s">
        <v>31</v>
      </c>
      <c r="I27" s="161" t="s">
        <v>31</v>
      </c>
      <c r="J27" s="157"/>
      <c r="K27" s="157"/>
      <c r="L27" s="158"/>
      <c r="M27" s="158"/>
      <c r="N27" s="158"/>
      <c r="O27" s="157">
        <f t="shared" si="5"/>
        <v>0.6274918179113359</v>
      </c>
      <c r="P27" s="158"/>
      <c r="Q27" s="158"/>
      <c r="R27" s="158"/>
      <c r="S27" s="158"/>
      <c r="T27" s="158"/>
    </row>
    <row r="28" spans="1:28" x14ac:dyDescent="0.2">
      <c r="A28" s="11"/>
      <c r="B28" s="126" t="s">
        <v>16</v>
      </c>
      <c r="C28" s="161" t="s">
        <v>31</v>
      </c>
      <c r="D28" s="161" t="s">
        <v>31</v>
      </c>
      <c r="E28" s="100">
        <v>0.34465868103486663</v>
      </c>
      <c r="F28" s="161" t="s">
        <v>31</v>
      </c>
      <c r="G28" s="161" t="s">
        <v>31</v>
      </c>
      <c r="H28" s="161" t="s">
        <v>31</v>
      </c>
      <c r="I28" s="161" t="s">
        <v>31</v>
      </c>
      <c r="J28" s="157"/>
      <c r="K28" s="157"/>
      <c r="L28" s="158"/>
      <c r="M28" s="158"/>
      <c r="N28" s="158"/>
      <c r="O28" s="157">
        <f t="shared" si="5"/>
        <v>0.65534131896513337</v>
      </c>
      <c r="P28" s="158"/>
      <c r="Q28" s="158"/>
      <c r="R28" s="158"/>
      <c r="S28" s="158"/>
      <c r="T28" s="158"/>
    </row>
    <row r="29" spans="1:28" x14ac:dyDescent="0.2">
      <c r="A29" s="11"/>
      <c r="B29" s="126" t="s">
        <v>17</v>
      </c>
      <c r="C29" s="161" t="s">
        <v>31</v>
      </c>
      <c r="D29" s="161" t="s">
        <v>31</v>
      </c>
      <c r="E29" s="100">
        <v>0.34077012835472581</v>
      </c>
      <c r="F29" s="161" t="s">
        <v>31</v>
      </c>
      <c r="G29" s="161" t="s">
        <v>31</v>
      </c>
      <c r="H29" s="161" t="s">
        <v>31</v>
      </c>
      <c r="I29" s="161" t="s">
        <v>31</v>
      </c>
      <c r="J29" s="157"/>
      <c r="K29" s="157"/>
      <c r="L29" s="158"/>
      <c r="M29" s="158"/>
      <c r="N29" s="158"/>
      <c r="O29" s="157">
        <f t="shared" si="5"/>
        <v>0.65922987164527425</v>
      </c>
      <c r="P29" s="158"/>
      <c r="Q29" s="158"/>
      <c r="R29" s="158"/>
      <c r="S29" s="158"/>
      <c r="T29" s="158"/>
    </row>
    <row r="30" spans="1:28" x14ac:dyDescent="0.2">
      <c r="A30" s="11"/>
      <c r="B30" s="126" t="s">
        <v>18</v>
      </c>
      <c r="C30" s="161" t="s">
        <v>31</v>
      </c>
      <c r="D30" s="161" t="s">
        <v>31</v>
      </c>
      <c r="E30" s="100">
        <v>0.35256965944272445</v>
      </c>
      <c r="F30" s="161" t="s">
        <v>31</v>
      </c>
      <c r="G30" s="161" t="s">
        <v>31</v>
      </c>
      <c r="H30" s="161" t="s">
        <v>31</v>
      </c>
      <c r="I30" s="161" t="s">
        <v>31</v>
      </c>
      <c r="J30" s="157"/>
      <c r="K30" s="157"/>
      <c r="L30" s="158"/>
      <c r="M30" s="158"/>
      <c r="N30" s="158"/>
      <c r="O30" s="157">
        <f t="shared" si="5"/>
        <v>0.64743034055727555</v>
      </c>
      <c r="P30" s="158"/>
      <c r="Q30" s="158"/>
      <c r="R30" s="158"/>
      <c r="S30" s="158"/>
      <c r="T30" s="158"/>
    </row>
    <row r="31" spans="1:28" x14ac:dyDescent="0.2">
      <c r="A31" s="11"/>
      <c r="B31" s="126" t="s">
        <v>19</v>
      </c>
      <c r="C31" s="161" t="s">
        <v>31</v>
      </c>
      <c r="D31" s="161" t="s">
        <v>31</v>
      </c>
      <c r="E31" s="100">
        <v>0.34841918644735548</v>
      </c>
      <c r="F31" s="161" t="s">
        <v>31</v>
      </c>
      <c r="G31" s="161" t="s">
        <v>31</v>
      </c>
      <c r="H31" s="161" t="s">
        <v>31</v>
      </c>
      <c r="I31" s="161" t="s">
        <v>31</v>
      </c>
      <c r="J31" s="157"/>
      <c r="K31" s="157"/>
      <c r="L31" s="158"/>
      <c r="M31" s="158"/>
      <c r="N31" s="158"/>
      <c r="O31" s="157">
        <f t="shared" si="5"/>
        <v>0.65158081355264452</v>
      </c>
      <c r="P31" s="158"/>
      <c r="Q31" s="158"/>
      <c r="R31" s="158"/>
      <c r="S31" s="158"/>
      <c r="T31" s="158"/>
    </row>
    <row r="32" spans="1:28" x14ac:dyDescent="0.2">
      <c r="A32" s="11"/>
      <c r="B32" s="126" t="s">
        <v>20</v>
      </c>
      <c r="C32" s="161" t="s">
        <v>31</v>
      </c>
      <c r="D32" s="161" t="s">
        <v>31</v>
      </c>
      <c r="E32" s="100">
        <v>0.37661495716601068</v>
      </c>
      <c r="F32" s="161" t="s">
        <v>31</v>
      </c>
      <c r="G32" s="161" t="s">
        <v>31</v>
      </c>
      <c r="H32" s="161" t="s">
        <v>31</v>
      </c>
      <c r="I32" s="161" t="s">
        <v>31</v>
      </c>
      <c r="J32" s="157"/>
      <c r="K32" s="157"/>
      <c r="L32" s="158"/>
      <c r="M32" s="158"/>
      <c r="N32" s="158"/>
      <c r="O32" s="157">
        <f t="shared" si="5"/>
        <v>0.62338504283398932</v>
      </c>
      <c r="P32" s="158"/>
      <c r="Q32" s="158"/>
      <c r="R32" s="158"/>
      <c r="S32" s="158"/>
      <c r="T32" s="158"/>
    </row>
    <row r="33" spans="1:20" x14ac:dyDescent="0.2">
      <c r="A33" s="11"/>
      <c r="B33" s="126" t="s">
        <v>21</v>
      </c>
      <c r="C33" s="161" t="s">
        <v>31</v>
      </c>
      <c r="D33" s="161" t="s">
        <v>31</v>
      </c>
      <c r="E33" s="100">
        <v>0.41232900283919816</v>
      </c>
      <c r="F33" s="161" t="s">
        <v>31</v>
      </c>
      <c r="G33" s="161" t="s">
        <v>31</v>
      </c>
      <c r="H33" s="161" t="s">
        <v>31</v>
      </c>
      <c r="I33" s="161" t="s">
        <v>31</v>
      </c>
      <c r="J33" s="157"/>
      <c r="K33" s="157"/>
      <c r="L33" s="158"/>
      <c r="M33" s="158"/>
      <c r="N33" s="158"/>
      <c r="O33" s="157">
        <f t="shared" si="5"/>
        <v>0.58767099716080184</v>
      </c>
      <c r="P33" s="158"/>
      <c r="Q33" s="158"/>
      <c r="R33" s="158"/>
      <c r="S33" s="158"/>
      <c r="T33" s="158"/>
    </row>
    <row r="34" spans="1:20" x14ac:dyDescent="0.2">
      <c r="A34" s="11"/>
      <c r="B34" s="126" t="s">
        <v>22</v>
      </c>
      <c r="C34" s="161" t="s">
        <v>31</v>
      </c>
      <c r="D34" s="161" t="s">
        <v>31</v>
      </c>
      <c r="E34" s="100">
        <v>0.39051999999999998</v>
      </c>
      <c r="F34" s="161" t="s">
        <v>31</v>
      </c>
      <c r="G34" s="161" t="s">
        <v>31</v>
      </c>
      <c r="H34" s="161" t="s">
        <v>31</v>
      </c>
      <c r="I34" s="161" t="s">
        <v>31</v>
      </c>
      <c r="J34" s="157"/>
      <c r="K34" s="157"/>
      <c r="L34" s="158"/>
      <c r="M34" s="158"/>
      <c r="N34" s="158"/>
      <c r="O34" s="157">
        <f t="shared" si="5"/>
        <v>0.60948000000000002</v>
      </c>
      <c r="P34" s="158"/>
      <c r="Q34" s="158"/>
      <c r="R34" s="158"/>
      <c r="S34" s="158"/>
      <c r="T34" s="158"/>
    </row>
    <row r="35" spans="1:20" x14ac:dyDescent="0.2">
      <c r="A35" s="11"/>
      <c r="B35" s="126" t="s">
        <v>23</v>
      </c>
      <c r="C35" s="161" t="s">
        <v>31</v>
      </c>
      <c r="D35" s="161" t="s">
        <v>31</v>
      </c>
      <c r="E35" s="100">
        <v>0.40350776637817387</v>
      </c>
      <c r="F35" s="161" t="s">
        <v>31</v>
      </c>
      <c r="G35" s="161" t="s">
        <v>31</v>
      </c>
      <c r="H35" s="161" t="s">
        <v>31</v>
      </c>
      <c r="I35" s="161" t="s">
        <v>31</v>
      </c>
      <c r="J35" s="157"/>
      <c r="K35" s="157"/>
      <c r="L35" s="158"/>
      <c r="M35" s="158"/>
      <c r="N35" s="158"/>
      <c r="O35" s="157">
        <f t="shared" si="5"/>
        <v>0.59649223362182613</v>
      </c>
      <c r="P35" s="158"/>
      <c r="Q35" s="158"/>
      <c r="R35" s="158"/>
      <c r="S35" s="158"/>
      <c r="T35" s="158"/>
    </row>
    <row r="36" spans="1:20" x14ac:dyDescent="0.2">
      <c r="A36" s="11"/>
      <c r="B36" s="126" t="s">
        <v>24</v>
      </c>
      <c r="C36" s="161" t="s">
        <v>31</v>
      </c>
      <c r="D36" s="161" t="s">
        <v>31</v>
      </c>
      <c r="E36" s="100">
        <v>0.37501985492666912</v>
      </c>
      <c r="F36" s="161" t="s">
        <v>31</v>
      </c>
      <c r="G36" s="161" t="s">
        <v>31</v>
      </c>
      <c r="H36" s="161" t="s">
        <v>31</v>
      </c>
      <c r="I36" s="161" t="s">
        <v>31</v>
      </c>
      <c r="J36" s="157"/>
      <c r="K36" s="157"/>
      <c r="L36" s="158"/>
      <c r="M36" s="158"/>
      <c r="N36" s="158"/>
      <c r="O36" s="157">
        <f t="shared" si="5"/>
        <v>0.62498014507333088</v>
      </c>
      <c r="P36" s="158"/>
      <c r="Q36" s="158"/>
      <c r="R36" s="158"/>
      <c r="S36" s="158"/>
      <c r="T36" s="158"/>
    </row>
    <row r="37" spans="1:20" x14ac:dyDescent="0.2">
      <c r="A37" s="11"/>
      <c r="B37" s="126" t="s">
        <v>25</v>
      </c>
      <c r="C37" s="161" t="s">
        <v>31</v>
      </c>
      <c r="D37" s="161" t="s">
        <v>31</v>
      </c>
      <c r="E37" s="100">
        <v>0.36531613515866107</v>
      </c>
      <c r="F37" s="161" t="s">
        <v>31</v>
      </c>
      <c r="G37" s="161" t="s">
        <v>31</v>
      </c>
      <c r="H37" s="161" t="s">
        <v>31</v>
      </c>
      <c r="I37" s="161" t="s">
        <v>31</v>
      </c>
      <c r="J37" s="157"/>
      <c r="K37" s="157"/>
      <c r="L37" s="158"/>
      <c r="M37" s="158"/>
      <c r="N37" s="158"/>
      <c r="O37" s="157">
        <f t="shared" si="5"/>
        <v>0.63468386484133887</v>
      </c>
      <c r="P37" s="158"/>
      <c r="Q37" s="158"/>
      <c r="R37" s="158"/>
      <c r="S37" s="158"/>
      <c r="T37" s="158"/>
    </row>
    <row r="38" spans="1:20" x14ac:dyDescent="0.2">
      <c r="A38" s="11"/>
      <c r="B38" s="126"/>
      <c r="C38" s="158"/>
      <c r="D38" s="158"/>
      <c r="E38" s="158"/>
      <c r="F38" s="158"/>
      <c r="G38" s="133"/>
      <c r="H38" s="133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</row>
    <row r="39" spans="1:20" x14ac:dyDescent="0.2">
      <c r="A39" s="11"/>
      <c r="B39" s="126"/>
      <c r="C39" s="158"/>
      <c r="D39" s="158"/>
      <c r="E39" s="158"/>
      <c r="F39" s="158"/>
      <c r="G39" s="133"/>
      <c r="H39" s="133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</row>
    <row r="40" spans="1:20" x14ac:dyDescent="0.2">
      <c r="A40" s="149" t="s">
        <v>32</v>
      </c>
      <c r="B40" s="162" t="s">
        <v>33</v>
      </c>
      <c r="M40" s="20" t="s">
        <v>34</v>
      </c>
    </row>
    <row r="41" spans="1:20" x14ac:dyDescent="0.2">
      <c r="A41" s="11"/>
      <c r="B41" s="163" t="str">
        <f>"Calendar month billed sales forecasted for " &amp;M1</f>
        <v>Calendar month billed sales forecasted for 2018</v>
      </c>
    </row>
    <row r="42" spans="1:20" x14ac:dyDescent="0.2">
      <c r="A42" s="11"/>
      <c r="B42" s="13" t="s">
        <v>35</v>
      </c>
      <c r="C42" s="30" t="str">
        <f>+C6</f>
        <v>SC1</v>
      </c>
      <c r="D42" s="30" t="str">
        <f t="shared" ref="D42:I42" si="6">+D6</f>
        <v>SC5</v>
      </c>
      <c r="E42" s="30" t="str">
        <f t="shared" si="6"/>
        <v>SC3</v>
      </c>
      <c r="F42" s="30" t="str">
        <f t="shared" si="6"/>
        <v>SC2 ND</v>
      </c>
      <c r="G42" s="30" t="str">
        <f t="shared" si="6"/>
        <v>SC4</v>
      </c>
      <c r="H42" s="30" t="str">
        <f t="shared" si="6"/>
        <v>SC6</v>
      </c>
      <c r="I42" s="30" t="str">
        <f t="shared" si="6"/>
        <v>SC2 Dem</v>
      </c>
      <c r="J42" s="30" t="s">
        <v>36</v>
      </c>
      <c r="K42" s="34"/>
      <c r="L42" s="34"/>
      <c r="M42" s="34" t="str">
        <f t="shared" ref="M42:S42" si="7">+C6</f>
        <v>SC1</v>
      </c>
      <c r="N42" s="34" t="str">
        <f t="shared" si="7"/>
        <v>SC5</v>
      </c>
      <c r="O42" s="34" t="str">
        <f t="shared" si="7"/>
        <v>SC3</v>
      </c>
      <c r="P42" s="34" t="str">
        <f t="shared" si="7"/>
        <v>SC2 ND</v>
      </c>
      <c r="Q42" s="34" t="str">
        <f t="shared" si="7"/>
        <v>SC4</v>
      </c>
      <c r="R42" s="34" t="str">
        <f t="shared" si="7"/>
        <v>SC6</v>
      </c>
      <c r="S42" s="34" t="str">
        <f t="shared" si="7"/>
        <v>SC2 Dem</v>
      </c>
      <c r="T42" s="34"/>
    </row>
    <row r="43" spans="1:20" x14ac:dyDescent="0.2">
      <c r="A43" s="11"/>
    </row>
    <row r="44" spans="1:20" x14ac:dyDescent="0.2">
      <c r="A44" s="11"/>
      <c r="B44" s="126" t="s">
        <v>14</v>
      </c>
      <c r="C44" s="101">
        <v>57885.5</v>
      </c>
      <c r="D44" s="101">
        <v>1520</v>
      </c>
      <c r="E44" s="101">
        <v>23.5</v>
      </c>
      <c r="F44" s="101">
        <v>2358</v>
      </c>
      <c r="G44" s="101">
        <v>535</v>
      </c>
      <c r="H44" s="101">
        <v>463.5</v>
      </c>
      <c r="I44" s="101">
        <v>30721.818500000001</v>
      </c>
      <c r="J44" s="101">
        <f>SUM(C44:I44)</f>
        <v>93507.318499999994</v>
      </c>
      <c r="K44" s="101"/>
      <c r="L44" s="102" t="s">
        <v>37</v>
      </c>
      <c r="M44" s="103">
        <f t="shared" ref="M44:S44" si="8">SUM(C44:C48,C53:C55)</f>
        <v>369959.5</v>
      </c>
      <c r="N44" s="101">
        <f t="shared" si="8"/>
        <v>9299</v>
      </c>
      <c r="O44" s="101">
        <f t="shared" si="8"/>
        <v>169.5</v>
      </c>
      <c r="P44" s="101">
        <f t="shared" si="8"/>
        <v>16433</v>
      </c>
      <c r="Q44" s="101">
        <f t="shared" si="8"/>
        <v>3515</v>
      </c>
      <c r="R44" s="101">
        <f t="shared" si="8"/>
        <v>3612.5</v>
      </c>
      <c r="S44" s="101">
        <f t="shared" si="8"/>
        <v>232902.05649999998</v>
      </c>
      <c r="T44" s="101"/>
    </row>
    <row r="45" spans="1:20" x14ac:dyDescent="0.2">
      <c r="A45" s="11"/>
      <c r="B45" s="126" t="s">
        <v>15</v>
      </c>
      <c r="C45" s="101">
        <v>50188.5</v>
      </c>
      <c r="D45" s="101">
        <v>1577.5</v>
      </c>
      <c r="E45" s="101">
        <v>36</v>
      </c>
      <c r="F45" s="101">
        <v>2588</v>
      </c>
      <c r="G45" s="101">
        <v>443</v>
      </c>
      <c r="H45" s="101">
        <v>415.5</v>
      </c>
      <c r="I45" s="101">
        <v>29840.262000000002</v>
      </c>
      <c r="J45" s="101">
        <f t="shared" ref="J45:J55" si="9">SUM(C45:I45)</f>
        <v>85088.762000000002</v>
      </c>
      <c r="K45" s="101"/>
      <c r="L45" s="102" t="s">
        <v>38</v>
      </c>
      <c r="M45" s="103"/>
      <c r="O45" s="101">
        <f>SUMPRODUCT(E26:E30,E44:E48)+SUMPRODUCT(E35:E37,E53:E55)</f>
        <v>61.181009205483889</v>
      </c>
      <c r="T45" s="101"/>
    </row>
    <row r="46" spans="1:20" x14ac:dyDescent="0.2">
      <c r="A46" s="11"/>
      <c r="B46" s="126" t="s">
        <v>16</v>
      </c>
      <c r="C46" s="101">
        <v>44012</v>
      </c>
      <c r="D46" s="101">
        <v>1260</v>
      </c>
      <c r="E46" s="101">
        <v>22.5</v>
      </c>
      <c r="F46" s="101">
        <v>2344</v>
      </c>
      <c r="G46" s="101">
        <v>419</v>
      </c>
      <c r="H46" s="101">
        <v>420</v>
      </c>
      <c r="I46" s="101">
        <v>29278.004499999999</v>
      </c>
      <c r="J46" s="101">
        <f t="shared" si="9"/>
        <v>77755.504499999995</v>
      </c>
      <c r="K46" s="101"/>
      <c r="L46" s="102" t="s">
        <v>39</v>
      </c>
      <c r="M46" s="103"/>
      <c r="O46" s="101">
        <f>+O44-O45</f>
        <v>108.31899079451611</v>
      </c>
      <c r="T46" s="101"/>
    </row>
    <row r="47" spans="1:20" x14ac:dyDescent="0.2">
      <c r="A47" s="11"/>
      <c r="B47" s="126" t="s">
        <v>17</v>
      </c>
      <c r="C47" s="101">
        <v>39522.5</v>
      </c>
      <c r="D47" s="101">
        <v>1135.5</v>
      </c>
      <c r="E47" s="101">
        <v>18.5</v>
      </c>
      <c r="F47" s="101">
        <v>1775</v>
      </c>
      <c r="G47" s="101">
        <v>345</v>
      </c>
      <c r="H47" s="101">
        <v>387.5</v>
      </c>
      <c r="I47" s="101">
        <v>27106.869500000001</v>
      </c>
      <c r="J47" s="101">
        <f t="shared" si="9"/>
        <v>70290.869500000001</v>
      </c>
      <c r="K47" s="101"/>
    </row>
    <row r="48" spans="1:20" x14ac:dyDescent="0.2">
      <c r="A48" s="11"/>
      <c r="B48" s="126" t="s">
        <v>18</v>
      </c>
      <c r="C48" s="101">
        <v>42176</v>
      </c>
      <c r="D48" s="101">
        <v>810.5</v>
      </c>
      <c r="E48" s="101">
        <v>16.5</v>
      </c>
      <c r="F48" s="101">
        <v>1658</v>
      </c>
      <c r="G48" s="101">
        <v>318</v>
      </c>
      <c r="H48" s="101">
        <v>388.5</v>
      </c>
      <c r="I48" s="101">
        <v>28627.809000000001</v>
      </c>
      <c r="J48" s="101">
        <f t="shared" si="9"/>
        <v>73995.309000000008</v>
      </c>
      <c r="K48" s="101"/>
      <c r="L48" s="102" t="s">
        <v>40</v>
      </c>
      <c r="M48" s="103">
        <f>SUM(C49:C52)</f>
        <v>279063.5</v>
      </c>
      <c r="N48" s="101">
        <f t="shared" ref="N48:S48" si="10">+SUM(D49:D52)</f>
        <v>4807.5</v>
      </c>
      <c r="O48" s="101">
        <f t="shared" si="10"/>
        <v>84</v>
      </c>
      <c r="P48" s="101">
        <f t="shared" si="10"/>
        <v>7348</v>
      </c>
      <c r="Q48" s="101">
        <f t="shared" si="10"/>
        <v>1375</v>
      </c>
      <c r="R48" s="101">
        <f t="shared" si="10"/>
        <v>1551.5</v>
      </c>
      <c r="S48" s="101">
        <f t="shared" si="10"/>
        <v>132682.83050000001</v>
      </c>
      <c r="T48" s="101"/>
    </row>
    <row r="49" spans="1:24" x14ac:dyDescent="0.2">
      <c r="A49" s="11"/>
      <c r="B49" s="126" t="s">
        <v>19</v>
      </c>
      <c r="C49" s="101">
        <v>57347</v>
      </c>
      <c r="D49" s="101">
        <v>962.5</v>
      </c>
      <c r="E49" s="101">
        <v>20.5</v>
      </c>
      <c r="F49" s="101">
        <v>1607</v>
      </c>
      <c r="G49" s="101">
        <v>305.5</v>
      </c>
      <c r="H49" s="101">
        <v>384</v>
      </c>
      <c r="I49" s="101">
        <v>30106.368999999999</v>
      </c>
      <c r="J49" s="101">
        <f t="shared" si="9"/>
        <v>90732.869000000006</v>
      </c>
      <c r="K49" s="101"/>
      <c r="L49" s="102" t="s">
        <v>38</v>
      </c>
      <c r="M49" s="103"/>
      <c r="O49" s="101">
        <f>+SUMPRODUCT(E31:E34,E49:E52)</f>
        <v>32.07483441660959</v>
      </c>
      <c r="T49" s="101"/>
    </row>
    <row r="50" spans="1:24" x14ac:dyDescent="0.2">
      <c r="A50" s="11"/>
      <c r="B50" s="126" t="s">
        <v>20</v>
      </c>
      <c r="C50" s="101">
        <v>76954.5</v>
      </c>
      <c r="D50" s="101">
        <v>1242</v>
      </c>
      <c r="E50" s="101">
        <v>22.5</v>
      </c>
      <c r="F50" s="101">
        <v>2019</v>
      </c>
      <c r="G50" s="101">
        <v>322.5</v>
      </c>
      <c r="H50" s="101">
        <v>385</v>
      </c>
      <c r="I50" s="101">
        <v>35258.438999999998</v>
      </c>
      <c r="J50" s="101">
        <f t="shared" si="9"/>
        <v>116203.939</v>
      </c>
      <c r="K50" s="101"/>
      <c r="L50" s="102" t="s">
        <v>39</v>
      </c>
      <c r="M50" s="103"/>
      <c r="O50" s="101">
        <f>+O48-O49</f>
        <v>51.92516558339041</v>
      </c>
      <c r="T50" s="101"/>
    </row>
    <row r="51" spans="1:24" x14ac:dyDescent="0.2">
      <c r="A51" s="11"/>
      <c r="B51" s="126" t="s">
        <v>21</v>
      </c>
      <c r="C51" s="101">
        <v>80991.5</v>
      </c>
      <c r="D51" s="101">
        <v>1505.5</v>
      </c>
      <c r="E51" s="101">
        <v>20.5</v>
      </c>
      <c r="F51" s="101">
        <v>1968</v>
      </c>
      <c r="G51" s="101">
        <v>356.5</v>
      </c>
      <c r="H51" s="101">
        <v>355</v>
      </c>
      <c r="I51" s="101">
        <v>34938.178</v>
      </c>
      <c r="J51" s="101">
        <f t="shared" si="9"/>
        <v>120135.178</v>
      </c>
      <c r="K51" s="101"/>
    </row>
    <row r="52" spans="1:24" x14ac:dyDescent="0.2">
      <c r="A52" s="11"/>
      <c r="B52" s="126" t="s">
        <v>22</v>
      </c>
      <c r="C52" s="101">
        <v>63770.5</v>
      </c>
      <c r="D52" s="101">
        <v>1097.5</v>
      </c>
      <c r="E52" s="101">
        <v>20.5</v>
      </c>
      <c r="F52" s="101">
        <v>1754</v>
      </c>
      <c r="G52" s="101">
        <v>390.5</v>
      </c>
      <c r="H52" s="101">
        <v>427.5</v>
      </c>
      <c r="I52" s="101">
        <v>32379.844499999999</v>
      </c>
      <c r="J52" s="101">
        <f t="shared" si="9"/>
        <v>99840.344500000007</v>
      </c>
      <c r="K52" s="101"/>
      <c r="L52" s="102" t="s">
        <v>41</v>
      </c>
      <c r="M52" s="103">
        <f>ROUND(M48*E156,0)</f>
        <v>119802</v>
      </c>
      <c r="N52" s="103">
        <f>ROUND(N48*J156,0)</f>
        <v>2964</v>
      </c>
    </row>
    <row r="53" spans="1:24" x14ac:dyDescent="0.2">
      <c r="A53" s="11"/>
      <c r="B53" s="126" t="s">
        <v>23</v>
      </c>
      <c r="C53" s="101">
        <v>45399</v>
      </c>
      <c r="D53" s="101">
        <v>872</v>
      </c>
      <c r="E53" s="101">
        <v>14.5</v>
      </c>
      <c r="F53" s="101">
        <v>1106</v>
      </c>
      <c r="G53" s="101">
        <v>470.5</v>
      </c>
      <c r="H53" s="101">
        <v>451.5</v>
      </c>
      <c r="I53" s="101">
        <v>28559.873</v>
      </c>
      <c r="J53" s="101">
        <f t="shared" si="9"/>
        <v>76873.372999999992</v>
      </c>
      <c r="K53" s="101"/>
      <c r="L53" s="104" t="s">
        <v>42</v>
      </c>
      <c r="M53" s="103">
        <f>M48-M52</f>
        <v>159261.5</v>
      </c>
      <c r="N53" s="103">
        <f>ROUND(N48*J157,0)</f>
        <v>1844</v>
      </c>
    </row>
    <row r="54" spans="1:24" x14ac:dyDescent="0.2">
      <c r="A54" s="11"/>
      <c r="B54" s="126" t="s">
        <v>24</v>
      </c>
      <c r="C54" s="101">
        <v>42907.5</v>
      </c>
      <c r="D54" s="101">
        <v>989.5</v>
      </c>
      <c r="E54" s="101">
        <v>15.5</v>
      </c>
      <c r="F54" s="101">
        <v>2357</v>
      </c>
      <c r="G54" s="101">
        <v>469</v>
      </c>
      <c r="H54" s="101">
        <v>553</v>
      </c>
      <c r="I54" s="101">
        <v>29327.388999999999</v>
      </c>
      <c r="J54" s="101">
        <f t="shared" si="9"/>
        <v>76618.888999999996</v>
      </c>
      <c r="K54" s="101"/>
      <c r="L54" s="104" t="s">
        <v>43</v>
      </c>
      <c r="M54" s="103"/>
      <c r="N54" s="103">
        <f>N48-N52-N53</f>
        <v>-0.5</v>
      </c>
    </row>
    <row r="55" spans="1:24" x14ac:dyDescent="0.2">
      <c r="A55" s="11"/>
      <c r="B55" s="126" t="s">
        <v>25</v>
      </c>
      <c r="C55" s="9">
        <v>47868.5</v>
      </c>
      <c r="D55" s="9">
        <v>1134</v>
      </c>
      <c r="E55" s="9">
        <v>22.5</v>
      </c>
      <c r="F55" s="9">
        <v>2247</v>
      </c>
      <c r="G55" s="9">
        <v>515.5</v>
      </c>
      <c r="H55" s="9">
        <v>533</v>
      </c>
      <c r="I55" s="9">
        <v>29440.030999999999</v>
      </c>
      <c r="J55" s="9">
        <f t="shared" si="9"/>
        <v>81760.531000000003</v>
      </c>
      <c r="K55" s="101"/>
      <c r="N55" s="164"/>
    </row>
    <row r="56" spans="1:24" x14ac:dyDescent="0.2">
      <c r="A56" s="11"/>
      <c r="B56" s="165" t="s">
        <v>36</v>
      </c>
      <c r="C56" s="101">
        <f>SUM(C44:C55)</f>
        <v>649023</v>
      </c>
      <c r="D56" s="101">
        <f t="shared" ref="D56:I56" si="11">SUM(D44:D55)</f>
        <v>14106.5</v>
      </c>
      <c r="E56" s="101">
        <f t="shared" si="11"/>
        <v>253.5</v>
      </c>
      <c r="F56" s="101">
        <f t="shared" si="11"/>
        <v>23781</v>
      </c>
      <c r="G56" s="101">
        <f>SUM(G44:G55)</f>
        <v>4890</v>
      </c>
      <c r="H56" s="101">
        <f>SUM(H44:H55)</f>
        <v>5164</v>
      </c>
      <c r="I56" s="101">
        <f t="shared" si="11"/>
        <v>365584.8870000001</v>
      </c>
      <c r="J56" s="101">
        <f>SUM(J44:J55)</f>
        <v>1062802.8869999999</v>
      </c>
      <c r="K56" s="101"/>
      <c r="N56" s="164"/>
    </row>
    <row r="57" spans="1:24" x14ac:dyDescent="0.2">
      <c r="A57" s="11"/>
      <c r="B57" s="126"/>
      <c r="N57" s="164"/>
      <c r="O57" s="20" t="s">
        <v>44</v>
      </c>
    </row>
    <row r="58" spans="1:24" x14ac:dyDescent="0.2">
      <c r="A58" s="11"/>
      <c r="N58" s="116"/>
      <c r="O58" s="166"/>
      <c r="P58" s="167"/>
      <c r="Q58" s="167"/>
      <c r="R58" s="167"/>
      <c r="S58" s="167"/>
      <c r="T58" s="167"/>
      <c r="U58" s="167"/>
      <c r="V58" s="167"/>
      <c r="W58" s="168"/>
    </row>
    <row r="59" spans="1:24" x14ac:dyDescent="0.2">
      <c r="A59" s="149" t="s">
        <v>45</v>
      </c>
      <c r="B59" s="20" t="s">
        <v>46</v>
      </c>
      <c r="G59" s="169"/>
      <c r="H59" s="20"/>
      <c r="N59" s="164"/>
      <c r="O59" s="170"/>
      <c r="P59" s="116" t="s">
        <v>47</v>
      </c>
      <c r="Q59" s="116"/>
      <c r="R59" s="116"/>
      <c r="S59" s="116"/>
      <c r="T59" s="116"/>
      <c r="U59" s="116"/>
      <c r="V59" s="116"/>
      <c r="W59" s="171"/>
    </row>
    <row r="60" spans="1:24" s="172" customFormat="1" x14ac:dyDescent="0.2">
      <c r="A60" s="11"/>
      <c r="B60" s="2" t="s">
        <v>48</v>
      </c>
      <c r="G60" s="97"/>
      <c r="N60" s="164"/>
      <c r="O60" s="120"/>
      <c r="P60" s="173"/>
      <c r="Q60" s="173"/>
      <c r="R60" s="173"/>
      <c r="S60" s="174" t="str">
        <f>E6</f>
        <v>SC3</v>
      </c>
      <c r="T60" s="174"/>
      <c r="U60" s="174"/>
      <c r="V60" s="116"/>
      <c r="W60" s="175"/>
      <c r="X60" s="97"/>
    </row>
    <row r="61" spans="1:24" x14ac:dyDescent="0.2">
      <c r="A61" s="11"/>
      <c r="C61" s="30" t="s">
        <v>49</v>
      </c>
      <c r="D61" s="30" t="s">
        <v>50</v>
      </c>
      <c r="G61" s="34"/>
      <c r="H61" s="34"/>
      <c r="I61" s="34"/>
      <c r="N61" s="164"/>
      <c r="O61" s="176"/>
      <c r="P61" s="116"/>
      <c r="Q61" s="116"/>
      <c r="R61" s="116"/>
      <c r="S61" s="116"/>
      <c r="T61" s="116"/>
      <c r="U61" s="116"/>
      <c r="V61" s="116"/>
      <c r="W61" s="171"/>
    </row>
    <row r="62" spans="1:24" x14ac:dyDescent="0.2">
      <c r="A62" s="11"/>
      <c r="B62" s="126" t="s">
        <v>14</v>
      </c>
      <c r="C62" s="105">
        <f t="shared" ref="C62:D73" si="12">G428</f>
        <v>52.78</v>
      </c>
      <c r="D62" s="105">
        <f t="shared" si="12"/>
        <v>37.92</v>
      </c>
      <c r="H62" s="34"/>
      <c r="I62" s="34"/>
      <c r="M62" s="116"/>
      <c r="N62" s="116"/>
      <c r="O62" s="120"/>
      <c r="P62" s="177"/>
      <c r="Q62" s="117" t="s">
        <v>37</v>
      </c>
      <c r="R62" s="177"/>
      <c r="S62" s="178">
        <f>SUM(E44:E48,E53:E55)</f>
        <v>169.5</v>
      </c>
      <c r="T62" s="177"/>
      <c r="U62" s="178"/>
      <c r="V62" s="177"/>
      <c r="W62" s="171"/>
    </row>
    <row r="63" spans="1:24" x14ac:dyDescent="0.2">
      <c r="A63" s="11"/>
      <c r="B63" s="126" t="s">
        <v>15</v>
      </c>
      <c r="C63" s="105">
        <f t="shared" si="12"/>
        <v>49.97</v>
      </c>
      <c r="D63" s="105">
        <f t="shared" si="12"/>
        <v>35.97</v>
      </c>
      <c r="H63" s="34"/>
      <c r="I63" s="34"/>
      <c r="N63" s="116"/>
      <c r="O63" s="120"/>
      <c r="P63" s="177"/>
      <c r="Q63" s="117" t="s">
        <v>38</v>
      </c>
      <c r="R63" s="116"/>
      <c r="S63" s="178">
        <f>SUMPRODUCT(E26:E30,E44:E48)+SUMPRODUCT(E35:E37,E53:E55)</f>
        <v>61.181009205483889</v>
      </c>
      <c r="T63" s="116">
        <f>S63/S62</f>
        <v>0.36094990681701411</v>
      </c>
      <c r="U63" s="178"/>
      <c r="V63" s="116"/>
      <c r="W63" s="171"/>
    </row>
    <row r="64" spans="1:24" x14ac:dyDescent="0.2">
      <c r="A64" s="11"/>
      <c r="B64" s="126" t="s">
        <v>16</v>
      </c>
      <c r="C64" s="105">
        <f t="shared" si="12"/>
        <v>36.28</v>
      </c>
      <c r="D64" s="105">
        <f t="shared" si="12"/>
        <v>26.17</v>
      </c>
      <c r="H64" s="34"/>
      <c r="I64" s="34"/>
      <c r="M64" s="173"/>
      <c r="N64" s="173"/>
      <c r="O64" s="120"/>
      <c r="P64" s="177"/>
      <c r="Q64" s="117" t="s">
        <v>39</v>
      </c>
      <c r="R64" s="116"/>
      <c r="S64" s="178">
        <f>SUMPRODUCT(O26:O30,E44:E48)+SUMPRODUCT(O35:O37,E53:E55)</f>
        <v>108.31899079451611</v>
      </c>
      <c r="T64" s="116"/>
      <c r="U64" s="178"/>
      <c r="V64" s="116"/>
      <c r="W64" s="171"/>
    </row>
    <row r="65" spans="1:24" x14ac:dyDescent="0.2">
      <c r="A65" s="11"/>
      <c r="B65" s="126" t="s">
        <v>17</v>
      </c>
      <c r="C65" s="105">
        <f t="shared" si="12"/>
        <v>30.37</v>
      </c>
      <c r="D65" s="105">
        <f t="shared" si="12"/>
        <v>22.03</v>
      </c>
      <c r="H65" s="34"/>
      <c r="I65" s="34"/>
      <c r="M65" s="116"/>
      <c r="N65" s="116"/>
      <c r="O65" s="176"/>
      <c r="P65" s="116"/>
      <c r="Q65" s="116"/>
      <c r="R65" s="116"/>
      <c r="S65" s="116"/>
      <c r="T65" s="116"/>
      <c r="U65" s="116"/>
      <c r="V65" s="116"/>
      <c r="W65" s="171"/>
      <c r="X65" s="172"/>
    </row>
    <row r="66" spans="1:24" x14ac:dyDescent="0.2">
      <c r="A66" s="11"/>
      <c r="B66" s="126" t="s">
        <v>18</v>
      </c>
      <c r="C66" s="105">
        <f t="shared" si="12"/>
        <v>31.3</v>
      </c>
      <c r="D66" s="105">
        <f t="shared" si="12"/>
        <v>22.35</v>
      </c>
      <c r="H66" s="34"/>
      <c r="I66" s="34"/>
      <c r="N66" s="164"/>
      <c r="O66" s="120"/>
      <c r="P66" s="177"/>
      <c r="Q66" s="117" t="s">
        <v>40</v>
      </c>
      <c r="R66" s="177"/>
      <c r="S66" s="178">
        <f>+SUM(E49:E52)</f>
        <v>84</v>
      </c>
      <c r="T66" s="177"/>
      <c r="U66" s="178"/>
      <c r="V66" s="177"/>
      <c r="W66" s="171"/>
    </row>
    <row r="67" spans="1:24" x14ac:dyDescent="0.2">
      <c r="A67" s="11"/>
      <c r="B67" s="126" t="s">
        <v>19</v>
      </c>
      <c r="C67" s="105">
        <f t="shared" si="12"/>
        <v>31.45</v>
      </c>
      <c r="D67" s="105">
        <f t="shared" si="12"/>
        <v>18.98</v>
      </c>
      <c r="H67" s="34"/>
      <c r="I67" s="34"/>
      <c r="N67" s="164"/>
      <c r="O67" s="120"/>
      <c r="P67" s="177"/>
      <c r="Q67" s="117" t="s">
        <v>38</v>
      </c>
      <c r="R67" s="116"/>
      <c r="S67" s="178">
        <f>+SUMPRODUCT(E31:E34,E49:E52)</f>
        <v>32.07483441660959</v>
      </c>
      <c r="T67" s="179">
        <f>S67/S66</f>
        <v>0.3818432668643999</v>
      </c>
      <c r="U67" s="178"/>
      <c r="V67" s="179"/>
      <c r="W67" s="180"/>
    </row>
    <row r="68" spans="1:24" x14ac:dyDescent="0.2">
      <c r="A68" s="11"/>
      <c r="B68" s="126" t="s">
        <v>20</v>
      </c>
      <c r="C68" s="105">
        <f t="shared" si="12"/>
        <v>39.340000000000003</v>
      </c>
      <c r="D68" s="105">
        <f t="shared" si="12"/>
        <v>23.47</v>
      </c>
      <c r="H68" s="34"/>
      <c r="I68" s="34"/>
      <c r="N68" s="164"/>
      <c r="O68" s="120"/>
      <c r="P68" s="177"/>
      <c r="Q68" s="117" t="s">
        <v>39</v>
      </c>
      <c r="R68" s="116"/>
      <c r="S68" s="178">
        <f>SUMPRODUCT(O31:O34,E49:E52)</f>
        <v>51.92516558339041</v>
      </c>
      <c r="T68" s="116"/>
      <c r="U68" s="178"/>
      <c r="V68" s="116"/>
      <c r="W68" s="171"/>
    </row>
    <row r="69" spans="1:24" x14ac:dyDescent="0.2">
      <c r="A69" s="11"/>
      <c r="B69" s="126" t="s">
        <v>21</v>
      </c>
      <c r="C69" s="105">
        <f t="shared" si="12"/>
        <v>35.909999999999997</v>
      </c>
      <c r="D69" s="105">
        <f t="shared" si="12"/>
        <v>21.45</v>
      </c>
      <c r="H69" s="34"/>
      <c r="I69" s="34"/>
      <c r="N69" s="116"/>
      <c r="O69" s="120"/>
      <c r="P69" s="116"/>
      <c r="Q69" s="116"/>
      <c r="R69" s="116"/>
      <c r="S69" s="116"/>
      <c r="T69" s="116"/>
      <c r="U69" s="116"/>
      <c r="V69" s="116"/>
      <c r="W69" s="171"/>
    </row>
    <row r="70" spans="1:24" x14ac:dyDescent="0.2">
      <c r="A70" s="11"/>
      <c r="B70" s="126" t="s">
        <v>22</v>
      </c>
      <c r="C70" s="105">
        <f t="shared" si="12"/>
        <v>30.13</v>
      </c>
      <c r="D70" s="105">
        <f t="shared" si="12"/>
        <v>18.21</v>
      </c>
      <c r="H70" s="34"/>
      <c r="I70" s="34"/>
      <c r="N70" s="164"/>
      <c r="O70" s="170"/>
      <c r="P70" s="116" t="s">
        <v>51</v>
      </c>
      <c r="Q70" s="116"/>
      <c r="R70" s="116"/>
      <c r="S70" s="116"/>
      <c r="T70" s="116"/>
      <c r="U70" s="116"/>
      <c r="V70" s="116"/>
      <c r="W70" s="171"/>
    </row>
    <row r="71" spans="1:24" x14ac:dyDescent="0.2">
      <c r="A71" s="11"/>
      <c r="B71" s="126" t="s">
        <v>23</v>
      </c>
      <c r="C71" s="105">
        <f t="shared" si="12"/>
        <v>30.89</v>
      </c>
      <c r="D71" s="105">
        <f t="shared" si="12"/>
        <v>22.07</v>
      </c>
      <c r="H71" s="34"/>
      <c r="I71" s="34"/>
      <c r="N71" s="164"/>
      <c r="O71" s="120"/>
      <c r="P71" s="173"/>
      <c r="Q71" s="173"/>
      <c r="R71" s="173"/>
      <c r="S71" s="173" t="str">
        <f>S60</f>
        <v>SC3</v>
      </c>
      <c r="T71" s="173"/>
      <c r="U71" s="173"/>
      <c r="V71" s="173"/>
      <c r="W71" s="171"/>
    </row>
    <row r="72" spans="1:24" x14ac:dyDescent="0.2">
      <c r="A72" s="11"/>
      <c r="B72" s="126" t="s">
        <v>24</v>
      </c>
      <c r="C72" s="105">
        <f t="shared" si="12"/>
        <v>31.14</v>
      </c>
      <c r="D72" s="105">
        <f t="shared" si="12"/>
        <v>22.43</v>
      </c>
      <c r="H72" s="34"/>
      <c r="I72" s="34"/>
      <c r="N72" s="164"/>
      <c r="O72" s="176"/>
      <c r="P72" s="116"/>
      <c r="Q72" s="116"/>
      <c r="R72" s="116"/>
      <c r="S72" s="116"/>
      <c r="T72" s="116"/>
      <c r="U72" s="116"/>
      <c r="V72" s="116"/>
      <c r="W72" s="171"/>
    </row>
    <row r="73" spans="1:24" x14ac:dyDescent="0.2">
      <c r="A73" s="11"/>
      <c r="B73" s="126" t="s">
        <v>25</v>
      </c>
      <c r="C73" s="105">
        <f t="shared" si="12"/>
        <v>35.53</v>
      </c>
      <c r="D73" s="105">
        <f t="shared" si="12"/>
        <v>25.36</v>
      </c>
      <c r="H73" s="34"/>
      <c r="I73" s="34"/>
      <c r="N73" s="116"/>
      <c r="O73" s="120"/>
      <c r="P73" s="177"/>
      <c r="Q73" s="117" t="s">
        <v>37</v>
      </c>
      <c r="R73" s="177"/>
      <c r="S73" s="178">
        <f>SUM(E44:E48,E53:E55)</f>
        <v>169.5</v>
      </c>
      <c r="T73" s="177"/>
      <c r="U73" s="178"/>
      <c r="V73" s="177"/>
      <c r="W73" s="171"/>
    </row>
    <row r="74" spans="1:24" x14ac:dyDescent="0.2">
      <c r="A74" s="11"/>
      <c r="B74" s="126"/>
      <c r="C74" s="105"/>
      <c r="D74" s="105"/>
      <c r="G74" s="27"/>
      <c r="M74" s="173"/>
      <c r="N74" s="173"/>
      <c r="O74" s="120"/>
      <c r="P74" s="177"/>
      <c r="Q74" s="117" t="s">
        <v>38</v>
      </c>
      <c r="R74" s="116"/>
      <c r="S74" s="178">
        <f>SUMPRODUCT(E8:E12,E44:E48)+SUMPRODUCT(E17:E19,E53:E55)</f>
        <v>80.71018382663334</v>
      </c>
      <c r="T74" s="116">
        <f>S74/S73</f>
        <v>0.47616627626332353</v>
      </c>
      <c r="U74" s="178"/>
      <c r="V74" s="116"/>
      <c r="W74" s="171"/>
    </row>
    <row r="75" spans="1:24" x14ac:dyDescent="0.2">
      <c r="A75" s="11"/>
      <c r="B75" s="126"/>
      <c r="C75" s="105"/>
      <c r="D75" s="105"/>
      <c r="I75" s="27"/>
      <c r="M75" s="116"/>
      <c r="N75" s="116"/>
      <c r="O75" s="120"/>
      <c r="P75" s="177"/>
      <c r="Q75" s="117" t="s">
        <v>39</v>
      </c>
      <c r="R75" s="116"/>
      <c r="S75" s="178">
        <f>SUMPRODUCT(O8:O12,E44:E48)+SUMPRODUCT(O17:O19,E53:E55)</f>
        <v>88.78981617336666</v>
      </c>
      <c r="T75" s="116"/>
      <c r="U75" s="178"/>
      <c r="V75" s="116"/>
      <c r="W75" s="171"/>
    </row>
    <row r="76" spans="1:24" x14ac:dyDescent="0.2">
      <c r="A76" s="181" t="s">
        <v>52</v>
      </c>
      <c r="B76" s="162" t="s">
        <v>53</v>
      </c>
      <c r="C76" s="30" t="str">
        <f>+C6</f>
        <v>SC1</v>
      </c>
      <c r="D76" s="30" t="str">
        <f t="shared" ref="D76:I76" si="13">+D6</f>
        <v>SC5</v>
      </c>
      <c r="E76" s="30" t="str">
        <f t="shared" si="13"/>
        <v>SC3</v>
      </c>
      <c r="F76" s="30" t="str">
        <f t="shared" si="13"/>
        <v>SC2 ND</v>
      </c>
      <c r="G76" s="30" t="str">
        <f t="shared" si="13"/>
        <v>SC4</v>
      </c>
      <c r="H76" s="30" t="str">
        <f t="shared" si="13"/>
        <v>SC6</v>
      </c>
      <c r="I76" s="30" t="str">
        <f t="shared" si="13"/>
        <v>SC2 Dem</v>
      </c>
      <c r="J76" s="34"/>
      <c r="K76" s="34"/>
      <c r="N76" s="164"/>
      <c r="O76" s="176"/>
      <c r="P76" s="116"/>
      <c r="Q76" s="116"/>
      <c r="R76" s="116"/>
      <c r="S76" s="116"/>
      <c r="T76" s="116"/>
      <c r="U76" s="116"/>
      <c r="V76" s="116"/>
      <c r="W76" s="171"/>
    </row>
    <row r="77" spans="1:24" x14ac:dyDescent="0.2">
      <c r="A77" s="11"/>
      <c r="B77" s="126"/>
      <c r="C77" s="182"/>
      <c r="D77" s="182"/>
      <c r="E77" s="182"/>
      <c r="F77" s="182"/>
      <c r="N77" s="164"/>
      <c r="O77" s="120"/>
      <c r="P77" s="173"/>
      <c r="Q77" s="117" t="s">
        <v>40</v>
      </c>
      <c r="R77" s="173"/>
      <c r="S77" s="178">
        <f>+SUM(E49:E52)</f>
        <v>84</v>
      </c>
      <c r="T77" s="173"/>
      <c r="U77" s="178"/>
      <c r="V77" s="173"/>
      <c r="W77" s="171"/>
    </row>
    <row r="78" spans="1:24" x14ac:dyDescent="0.2">
      <c r="A78" s="11"/>
      <c r="B78" s="97" t="s">
        <v>54</v>
      </c>
      <c r="C78" s="106">
        <v>1.0844945555282881</v>
      </c>
      <c r="D78" s="106">
        <v>1.0844945555282881</v>
      </c>
      <c r="E78" s="106">
        <v>1.0844945555282881</v>
      </c>
      <c r="F78" s="106">
        <v>1.0844945555282881</v>
      </c>
      <c r="G78" s="106">
        <v>1.0807184532856233</v>
      </c>
      <c r="H78" s="106">
        <v>1.0807184532856233</v>
      </c>
      <c r="I78" s="106">
        <v>1.0844945555282881</v>
      </c>
      <c r="J78" s="106"/>
      <c r="K78" s="106"/>
      <c r="N78" s="164"/>
      <c r="O78" s="120"/>
      <c r="P78" s="177"/>
      <c r="Q78" s="117" t="s">
        <v>38</v>
      </c>
      <c r="R78" s="116"/>
      <c r="S78" s="178">
        <f>+SUMPRODUCT(E13:E16,E49:E52)</f>
        <v>43.660109748529514</v>
      </c>
      <c r="T78" s="116">
        <f>S78/S77</f>
        <v>0.51976321129201808</v>
      </c>
      <c r="U78" s="178"/>
      <c r="V78" s="116"/>
      <c r="W78" s="171"/>
    </row>
    <row r="79" spans="1:24" x14ac:dyDescent="0.2">
      <c r="A79" s="11"/>
      <c r="J79" s="106"/>
      <c r="K79" s="106"/>
      <c r="N79" s="116"/>
      <c r="O79" s="120"/>
      <c r="P79" s="177"/>
      <c r="Q79" s="117" t="s">
        <v>39</v>
      </c>
      <c r="R79" s="116"/>
      <c r="S79" s="178">
        <f>SUMPRODUCT(O13:O16,E49:E52)</f>
        <v>40.339890251470479</v>
      </c>
      <c r="T79" s="116"/>
      <c r="U79" s="178"/>
      <c r="V79" s="116"/>
      <c r="W79" s="171"/>
    </row>
    <row r="80" spans="1:24" x14ac:dyDescent="0.2">
      <c r="A80" s="11"/>
      <c r="B80" s="97" t="s">
        <v>55</v>
      </c>
      <c r="C80" s="106"/>
      <c r="J80" s="106"/>
      <c r="K80" s="106"/>
      <c r="N80" s="116"/>
      <c r="O80" s="120"/>
      <c r="P80" s="177"/>
      <c r="Q80" s="117"/>
      <c r="R80" s="116"/>
      <c r="S80" s="178"/>
      <c r="T80" s="116"/>
      <c r="U80" s="178"/>
      <c r="V80" s="116"/>
      <c r="W80" s="171"/>
    </row>
    <row r="81" spans="1:23" x14ac:dyDescent="0.2">
      <c r="A81" s="11"/>
      <c r="B81" s="97" t="s">
        <v>56</v>
      </c>
      <c r="C81" s="106">
        <v>1.0742564006927213</v>
      </c>
      <c r="D81" s="106">
        <v>1.0742564006927213</v>
      </c>
      <c r="E81" s="106">
        <v>1.0742564006927213</v>
      </c>
      <c r="F81" s="106">
        <v>1.0742564006927213</v>
      </c>
      <c r="G81" s="106">
        <v>1.0705159466875125</v>
      </c>
      <c r="H81" s="106">
        <v>1.0705159466875125</v>
      </c>
      <c r="I81" s="106">
        <v>1.0742564006927213</v>
      </c>
      <c r="J81" s="106"/>
      <c r="K81" s="106"/>
      <c r="N81" s="116"/>
      <c r="O81" s="120"/>
      <c r="P81" s="177"/>
      <c r="Q81" s="117"/>
      <c r="R81" s="116"/>
      <c r="S81" s="178"/>
      <c r="T81" s="116"/>
      <c r="U81" s="178"/>
      <c r="V81" s="116"/>
      <c r="W81" s="171"/>
    </row>
    <row r="82" spans="1:23" x14ac:dyDescent="0.2">
      <c r="A82" s="11"/>
      <c r="N82" s="164"/>
      <c r="O82" s="170"/>
      <c r="P82" s="116"/>
      <c r="Q82" s="116"/>
      <c r="R82" s="116"/>
      <c r="S82" s="116"/>
      <c r="T82" s="116"/>
      <c r="U82" s="116"/>
      <c r="V82" s="116"/>
      <c r="W82" s="171"/>
    </row>
    <row r="83" spans="1:23" x14ac:dyDescent="0.2">
      <c r="A83" s="181" t="s">
        <v>57</v>
      </c>
      <c r="B83" s="20" t="s">
        <v>58</v>
      </c>
      <c r="N83" s="164"/>
      <c r="O83" s="120"/>
      <c r="P83" s="116" t="s">
        <v>59</v>
      </c>
      <c r="Q83" s="116"/>
      <c r="R83" s="116"/>
      <c r="S83" s="116"/>
      <c r="T83" s="116"/>
      <c r="U83" s="116"/>
      <c r="V83" s="116"/>
      <c r="W83" s="171"/>
    </row>
    <row r="84" spans="1:23" x14ac:dyDescent="0.2">
      <c r="A84" s="11"/>
      <c r="B84" s="2" t="s">
        <v>60</v>
      </c>
      <c r="N84" s="164"/>
      <c r="O84" s="176"/>
      <c r="P84" s="173"/>
      <c r="Q84" s="173"/>
      <c r="R84" s="173"/>
      <c r="S84" s="173" t="str">
        <f>S60</f>
        <v>SC3</v>
      </c>
      <c r="T84" s="173"/>
      <c r="U84" s="173"/>
      <c r="V84" s="173"/>
      <c r="W84" s="171"/>
    </row>
    <row r="85" spans="1:23" x14ac:dyDescent="0.2">
      <c r="A85" s="11"/>
      <c r="B85" s="13" t="s">
        <v>61</v>
      </c>
      <c r="N85" s="116"/>
      <c r="O85" s="120"/>
      <c r="P85" s="116"/>
      <c r="Q85" s="116"/>
      <c r="R85" s="116"/>
      <c r="S85" s="116"/>
      <c r="T85" s="116"/>
      <c r="U85" s="116"/>
      <c r="V85" s="116"/>
      <c r="W85" s="171"/>
    </row>
    <row r="86" spans="1:23" x14ac:dyDescent="0.2">
      <c r="A86" s="11"/>
      <c r="B86" s="20"/>
      <c r="C86" s="30" t="str">
        <f>+C6</f>
        <v>SC1</v>
      </c>
      <c r="D86" s="30" t="str">
        <f t="shared" ref="D86:I86" si="14">+D6</f>
        <v>SC5</v>
      </c>
      <c r="E86" s="30" t="str">
        <f t="shared" si="14"/>
        <v>SC3</v>
      </c>
      <c r="F86" s="30" t="str">
        <f t="shared" si="14"/>
        <v>SC2 ND</v>
      </c>
      <c r="G86" s="30" t="str">
        <f t="shared" si="14"/>
        <v>SC4</v>
      </c>
      <c r="H86" s="30" t="str">
        <f t="shared" si="14"/>
        <v>SC6</v>
      </c>
      <c r="I86" s="30" t="str">
        <f t="shared" si="14"/>
        <v>SC2 Dem</v>
      </c>
      <c r="J86" s="34"/>
      <c r="K86" s="34"/>
      <c r="M86" s="116"/>
      <c r="N86" s="116"/>
      <c r="O86" s="120"/>
      <c r="P86" s="177"/>
      <c r="Q86" s="117" t="s">
        <v>62</v>
      </c>
      <c r="R86" s="177"/>
      <c r="S86" s="177"/>
      <c r="T86" s="177"/>
      <c r="U86" s="177"/>
      <c r="V86" s="177"/>
      <c r="W86" s="171"/>
    </row>
    <row r="87" spans="1:23" x14ac:dyDescent="0.2">
      <c r="A87" s="11"/>
      <c r="M87" s="116"/>
      <c r="N87" s="116"/>
      <c r="O87" s="120"/>
      <c r="P87" s="177"/>
      <c r="Q87" s="183" t="s">
        <v>63</v>
      </c>
      <c r="R87" s="116"/>
      <c r="S87" s="177">
        <f>S74-S63</f>
        <v>19.529174621149451</v>
      </c>
      <c r="T87" s="116"/>
      <c r="U87" s="177"/>
      <c r="V87" s="116"/>
      <c r="W87" s="171"/>
    </row>
    <row r="88" spans="1:23" x14ac:dyDescent="0.2">
      <c r="A88" s="11"/>
      <c r="B88" s="126" t="s">
        <v>64</v>
      </c>
      <c r="C88" s="17">
        <f>(SUMPRODUCT(C13:C16,C49:C52,$C67:$C70)*C78+SUMPRODUCT(M13:M16,C49:C52,$D67:$D70)*C78)/SUM(C49:C52)</f>
        <v>30.377556409175408</v>
      </c>
      <c r="D88" s="17">
        <f t="shared" ref="D88:I88" si="15">(SUMPRODUCT(D13:D16,D49:D52,$C67:$C70)*D78+SUMPRODUCT(N13:N16,D49:D52,$D67:$D70)*D78)/SUM(D49:D52)</f>
        <v>30.245255408239775</v>
      </c>
      <c r="E88" s="17">
        <f t="shared" si="15"/>
        <v>30.0788460194773</v>
      </c>
      <c r="F88" s="17">
        <f t="shared" si="15"/>
        <v>29.882466237717495</v>
      </c>
      <c r="G88" s="17">
        <f t="shared" si="15"/>
        <v>29.970555602764986</v>
      </c>
      <c r="H88" s="17">
        <f t="shared" si="15"/>
        <v>29.949347935000997</v>
      </c>
      <c r="I88" s="17">
        <f t="shared" si="15"/>
        <v>30.616331021388898</v>
      </c>
      <c r="J88" s="17"/>
      <c r="K88" s="17"/>
      <c r="M88" s="116"/>
      <c r="N88" s="116"/>
      <c r="O88" s="176"/>
      <c r="P88" s="177"/>
      <c r="Q88" s="117" t="s">
        <v>65</v>
      </c>
      <c r="R88" s="116"/>
      <c r="S88" s="184">
        <f>S87*(E93-E94)</f>
        <v>233.10208144038182</v>
      </c>
      <c r="T88" s="116"/>
      <c r="U88" s="184"/>
      <c r="V88" s="116"/>
      <c r="W88" s="171"/>
    </row>
    <row r="89" spans="1:23" x14ac:dyDescent="0.2">
      <c r="A89" s="11"/>
      <c r="B89" s="127" t="s">
        <v>66</v>
      </c>
      <c r="C89" s="17">
        <f>(SUMPRODUCT(C13:C16,C49:C52,$C67:$C70)*C78)/SUMPRODUCT(C13:C16,C49:C52)</f>
        <v>37.596909188126943</v>
      </c>
      <c r="D89" s="17">
        <f t="shared" ref="D89:I89" si="16">(SUMPRODUCT(D13:D16,D49:D52,$C67:$C70)*D78)/SUMPRODUCT(D13:D16,D49:D52)</f>
        <v>37.564661369781987</v>
      </c>
      <c r="E89" s="17">
        <f t="shared" si="16"/>
        <v>37.230460752124408</v>
      </c>
      <c r="F89" s="17">
        <f t="shared" si="16"/>
        <v>37.193338832502839</v>
      </c>
      <c r="G89" s="17">
        <f t="shared" si="16"/>
        <v>36.803829396882698</v>
      </c>
      <c r="H89" s="17">
        <f t="shared" si="16"/>
        <v>36.772805613101504</v>
      </c>
      <c r="I89" s="17">
        <f t="shared" si="16"/>
        <v>37.270738594072881</v>
      </c>
      <c r="J89" s="17"/>
      <c r="K89" s="17"/>
      <c r="O89" s="120"/>
      <c r="P89" s="116"/>
      <c r="Q89" s="117" t="s">
        <v>67</v>
      </c>
      <c r="R89" s="116"/>
      <c r="S89" s="185">
        <f>ROUND(S88/S73,2)</f>
        <v>1.38</v>
      </c>
      <c r="T89" s="116"/>
      <c r="U89" s="185"/>
      <c r="V89" s="116"/>
      <c r="W89" s="171"/>
    </row>
    <row r="90" spans="1:23" x14ac:dyDescent="0.2">
      <c r="A90" s="11"/>
      <c r="B90" s="127" t="s">
        <v>68</v>
      </c>
      <c r="C90" s="17">
        <f>(SUMPRODUCT(M13:M16,C49:C52,$D67:$D70)*C78)/SUMPRODUCT(M13:M16,C49:C52)</f>
        <v>22.480686485370576</v>
      </c>
      <c r="D90" s="17">
        <f t="shared" ref="D90:I90" si="17">(SUMPRODUCT(N13:N16,D49:D52,$D67:$D70)*D78)/SUMPRODUCT(N13:N16,D49:D52)</f>
        <v>22.455631634816669</v>
      </c>
      <c r="E90" s="17">
        <f t="shared" si="17"/>
        <v>22.338609688636225</v>
      </c>
      <c r="F90" s="17">
        <f t="shared" si="17"/>
        <v>22.564793597452606</v>
      </c>
      <c r="G90" s="17">
        <f t="shared" si="17"/>
        <v>22.125828584474171</v>
      </c>
      <c r="H90" s="17">
        <f t="shared" si="17"/>
        <v>22.125418044122068</v>
      </c>
      <c r="I90" s="17">
        <f t="shared" si="17"/>
        <v>22.404498326943379</v>
      </c>
      <c r="J90" s="17"/>
      <c r="K90" s="17"/>
      <c r="O90" s="120"/>
      <c r="P90" s="173"/>
      <c r="V90" s="173"/>
      <c r="W90" s="171"/>
    </row>
    <row r="91" spans="1:23" x14ac:dyDescent="0.2">
      <c r="A91" s="11"/>
      <c r="C91" s="186"/>
      <c r="D91" s="186"/>
      <c r="E91" s="186"/>
      <c r="F91" s="186"/>
      <c r="G91" s="186"/>
      <c r="H91" s="186"/>
      <c r="I91" s="186"/>
      <c r="J91" s="186"/>
      <c r="K91" s="186"/>
      <c r="O91" s="120"/>
      <c r="P91" s="177"/>
      <c r="Q91" s="117" t="s">
        <v>69</v>
      </c>
      <c r="R91" s="173"/>
      <c r="S91" s="187"/>
      <c r="T91" s="173"/>
      <c r="U91" s="187"/>
      <c r="V91" s="116"/>
      <c r="W91" s="171"/>
    </row>
    <row r="92" spans="1:23" x14ac:dyDescent="0.2">
      <c r="A92" s="11"/>
      <c r="B92" s="126" t="s">
        <v>70</v>
      </c>
      <c r="C92" s="17">
        <f t="shared" ref="C92:I92" si="18">(SUMPRODUCT(C8:C12,C44:C48,$C62:$C66)*C78+SUMPRODUCT(M8:M12,C44:C48,$D62:$D66)*C78+SUMPRODUCT(C17:C19,C53:C55,$C71:$C73)*C78+SUMPRODUCT(M17:M19,C53:C55,$D71:$D73)*C78)/SUM(C44:C48,C53:C55)</f>
        <v>35.39316616149803</v>
      </c>
      <c r="D92" s="17">
        <f t="shared" si="18"/>
        <v>36.195007124729742</v>
      </c>
      <c r="E92" s="17">
        <f t="shared" si="18"/>
        <v>36.350424100215498</v>
      </c>
      <c r="F92" s="17">
        <f t="shared" si="18"/>
        <v>35.627098019280304</v>
      </c>
      <c r="G92" s="17">
        <f t="shared" si="18"/>
        <v>35.5934358551619</v>
      </c>
      <c r="H92" s="17">
        <f t="shared" si="18"/>
        <v>34.900595895995792</v>
      </c>
      <c r="I92" s="17">
        <f t="shared" si="18"/>
        <v>35.388301914912574</v>
      </c>
      <c r="J92" s="17"/>
      <c r="K92" s="17"/>
      <c r="O92" s="120"/>
      <c r="P92" s="177"/>
      <c r="Q92" s="183" t="s">
        <v>63</v>
      </c>
      <c r="R92" s="116"/>
      <c r="S92" s="177">
        <f>S78-S67</f>
        <v>11.585275331919924</v>
      </c>
      <c r="T92" s="116"/>
      <c r="U92" s="177"/>
      <c r="V92" s="116"/>
      <c r="W92" s="171"/>
    </row>
    <row r="93" spans="1:23" x14ac:dyDescent="0.2">
      <c r="A93" s="11"/>
      <c r="B93" s="127" t="s">
        <v>66</v>
      </c>
      <c r="C93" s="17">
        <f t="shared" ref="C93:I93" si="19">(SUMPRODUCT(C8:C12,C44:C48,$C62:$C66)*C78+SUMPRODUCT(C17:C19,C53:C55,$C71:$C73)*C78)/(SUMPRODUCT(C8:C12,C44:C48)+SUMPRODUCT(C17:C19,C53:C55))</f>
        <v>41.437317109869987</v>
      </c>
      <c r="D93" s="17">
        <f t="shared" si="19"/>
        <v>42.567441070719106</v>
      </c>
      <c r="E93" s="17">
        <f t="shared" si="19"/>
        <v>42.602953134363602</v>
      </c>
      <c r="F93" s="17">
        <f t="shared" si="19"/>
        <v>41.321997509424847</v>
      </c>
      <c r="G93" s="17">
        <f t="shared" si="19"/>
        <v>41.034623289225344</v>
      </c>
      <c r="H93" s="17">
        <f t="shared" si="19"/>
        <v>40.238953917706027</v>
      </c>
      <c r="I93" s="17">
        <f t="shared" si="19"/>
        <v>40.589937438348358</v>
      </c>
      <c r="J93" s="17"/>
      <c r="K93" s="17"/>
      <c r="O93" s="116"/>
      <c r="P93" s="116"/>
      <c r="Q93" s="117" t="s">
        <v>65</v>
      </c>
      <c r="R93" s="116"/>
      <c r="S93" s="184">
        <f>S92*(E89-E90)</f>
        <v>172.52619477245511</v>
      </c>
      <c r="T93" s="116"/>
      <c r="U93" s="184"/>
      <c r="V93" s="116"/>
      <c r="W93" s="116"/>
    </row>
    <row r="94" spans="1:23" x14ac:dyDescent="0.2">
      <c r="A94" s="11"/>
      <c r="B94" s="127" t="s">
        <v>68</v>
      </c>
      <c r="C94" s="17">
        <f t="shared" ref="C94:I94" si="20">(SUMPRODUCT(M8:M12,C44:C48,$D62:$D66)*C78+SUMPRODUCT(M17:M19,C53:C55,$D71:$D73)*C78)/(SUMPRODUCT(M8:M12,C44:C48)+SUMPRODUCT(M17:M19,C53:C55))</f>
        <v>29.702627364341481</v>
      </c>
      <c r="D94" s="17">
        <f t="shared" si="20"/>
        <v>30.222697503614523</v>
      </c>
      <c r="E94" s="17">
        <f t="shared" si="20"/>
        <v>30.666858242368527</v>
      </c>
      <c r="F94" s="17">
        <f t="shared" si="20"/>
        <v>30.244073236542135</v>
      </c>
      <c r="G94" s="17">
        <f t="shared" si="20"/>
        <v>29.474547881507618</v>
      </c>
      <c r="H94" s="17">
        <f t="shared" si="20"/>
        <v>28.900960554516136</v>
      </c>
      <c r="I94" s="17">
        <f t="shared" si="20"/>
        <v>29.29787187239349</v>
      </c>
      <c r="J94" s="17"/>
      <c r="K94" s="17"/>
      <c r="O94" s="116"/>
      <c r="P94" s="116"/>
      <c r="Q94" s="117" t="s">
        <v>67</v>
      </c>
      <c r="R94" s="116"/>
      <c r="S94" s="185">
        <f>ROUND(S93/S77,2)</f>
        <v>2.0499999999999998</v>
      </c>
      <c r="T94" s="116"/>
      <c r="U94" s="185"/>
      <c r="V94" s="116"/>
      <c r="W94" s="116"/>
    </row>
    <row r="95" spans="1:23" x14ac:dyDescent="0.2">
      <c r="A95" s="11"/>
      <c r="C95" s="186"/>
      <c r="D95" s="186"/>
      <c r="E95" s="186"/>
      <c r="F95" s="186"/>
      <c r="G95" s="186"/>
      <c r="H95" s="186"/>
      <c r="I95" s="186"/>
      <c r="J95" s="186"/>
      <c r="K95" s="186"/>
      <c r="P95" s="116"/>
      <c r="Q95" s="116"/>
      <c r="R95" s="116"/>
      <c r="S95" s="116"/>
      <c r="T95" s="116"/>
      <c r="U95" s="116"/>
      <c r="V95" s="116"/>
      <c r="W95" s="116"/>
    </row>
    <row r="96" spans="1:23" x14ac:dyDescent="0.2">
      <c r="A96" s="11"/>
      <c r="B96" s="97" t="s">
        <v>71</v>
      </c>
      <c r="C96" s="17">
        <f t="shared" ref="C96:I96" si="21">(C88*SUM(C49:C52)+C92*SUM(C44:C48,C53:C55))/C56</f>
        <v>33.23658062890938</v>
      </c>
      <c r="D96" s="186">
        <f t="shared" si="21"/>
        <v>34.167329715235859</v>
      </c>
      <c r="E96" s="186">
        <f t="shared" si="21"/>
        <v>34.272268049793375</v>
      </c>
      <c r="F96" s="186">
        <f t="shared" si="21"/>
        <v>33.852086273309837</v>
      </c>
      <c r="G96" s="186">
        <f t="shared" si="21"/>
        <v>34.01236011956972</v>
      </c>
      <c r="H96" s="186">
        <f t="shared" si="21"/>
        <v>33.41301626557685</v>
      </c>
      <c r="I96" s="186">
        <f t="shared" si="21"/>
        <v>33.656396062862569</v>
      </c>
      <c r="J96" s="186"/>
      <c r="K96" s="186"/>
    </row>
    <row r="97" spans="1:11" x14ac:dyDescent="0.2">
      <c r="A97" s="11"/>
      <c r="C97" s="17"/>
      <c r="D97" s="186"/>
      <c r="E97" s="186"/>
      <c r="F97" s="186"/>
      <c r="G97" s="186"/>
      <c r="H97" s="186"/>
      <c r="I97" s="186"/>
      <c r="J97" s="186"/>
      <c r="K97" s="186"/>
    </row>
    <row r="98" spans="1:11" x14ac:dyDescent="0.2">
      <c r="A98" s="11"/>
      <c r="B98" s="97" t="s">
        <v>72</v>
      </c>
      <c r="C98" s="107">
        <f>SUMPRODUCT(C96:I96,C56:I56)/SUM(C56:I56)</f>
        <v>33.411789366177942</v>
      </c>
      <c r="D98" s="186"/>
      <c r="E98" s="186"/>
      <c r="F98" s="186"/>
      <c r="G98" s="186"/>
      <c r="H98" s="186"/>
      <c r="I98" s="186"/>
      <c r="J98" s="186"/>
      <c r="K98" s="186"/>
    </row>
    <row r="99" spans="1:11" x14ac:dyDescent="0.2">
      <c r="A99" s="11"/>
      <c r="C99" s="17"/>
      <c r="D99" s="186"/>
      <c r="E99" s="186"/>
      <c r="F99" s="186"/>
      <c r="G99" s="186"/>
      <c r="H99" s="186"/>
      <c r="I99" s="186"/>
      <c r="J99" s="186"/>
      <c r="K99" s="186"/>
    </row>
    <row r="100" spans="1:11" x14ac:dyDescent="0.2">
      <c r="A100" s="11"/>
      <c r="C100" s="186"/>
      <c r="D100" s="186"/>
      <c r="E100" s="186"/>
      <c r="F100" s="186"/>
      <c r="G100" s="186"/>
      <c r="H100" s="186"/>
      <c r="I100" s="186"/>
      <c r="J100" s="186"/>
      <c r="K100" s="186"/>
    </row>
    <row r="101" spans="1:11" x14ac:dyDescent="0.2">
      <c r="A101" s="181" t="s">
        <v>73</v>
      </c>
      <c r="B101" s="20" t="s">
        <v>74</v>
      </c>
      <c r="C101" s="186"/>
      <c r="D101" s="186"/>
      <c r="E101" s="186"/>
      <c r="F101" s="186"/>
      <c r="G101" s="186"/>
      <c r="H101" s="186"/>
      <c r="I101" s="186"/>
      <c r="J101" s="186"/>
      <c r="K101" s="186"/>
    </row>
    <row r="102" spans="1:11" x14ac:dyDescent="0.2">
      <c r="A102" s="11"/>
      <c r="B102" s="13" t="s">
        <v>60</v>
      </c>
      <c r="C102" s="186"/>
      <c r="D102" s="186"/>
      <c r="E102" s="186"/>
      <c r="F102" s="186"/>
      <c r="G102" s="186"/>
      <c r="H102" s="186"/>
      <c r="I102" s="186"/>
      <c r="J102" s="186"/>
      <c r="K102" s="186"/>
    </row>
    <row r="103" spans="1:11" x14ac:dyDescent="0.2">
      <c r="A103" s="11"/>
      <c r="B103" s="13" t="s">
        <v>75</v>
      </c>
      <c r="C103" s="186"/>
      <c r="D103" s="186"/>
      <c r="E103" s="186"/>
      <c r="F103" s="186"/>
      <c r="G103" s="186"/>
      <c r="H103" s="186"/>
      <c r="I103" s="186"/>
      <c r="J103" s="186"/>
      <c r="K103" s="186"/>
    </row>
    <row r="104" spans="1:11" x14ac:dyDescent="0.2">
      <c r="A104" s="11"/>
      <c r="B104" s="20"/>
      <c r="C104" s="30" t="str">
        <f>+C6</f>
        <v>SC1</v>
      </c>
      <c r="D104" s="30" t="str">
        <f t="shared" ref="D104:I104" si="22">+D6</f>
        <v>SC5</v>
      </c>
      <c r="E104" s="30" t="str">
        <f t="shared" si="22"/>
        <v>SC3</v>
      </c>
      <c r="F104" s="30" t="str">
        <f t="shared" si="22"/>
        <v>SC2 ND</v>
      </c>
      <c r="G104" s="30" t="str">
        <f t="shared" si="22"/>
        <v>SC4</v>
      </c>
      <c r="H104" s="30" t="str">
        <f t="shared" si="22"/>
        <v>SC6</v>
      </c>
      <c r="I104" s="30" t="str">
        <f t="shared" si="22"/>
        <v>SC2 Dem</v>
      </c>
      <c r="J104" s="34"/>
      <c r="K104" s="34"/>
    </row>
    <row r="105" spans="1:11" x14ac:dyDescent="0.2">
      <c r="A105" s="11"/>
      <c r="C105" s="124"/>
    </row>
    <row r="106" spans="1:11" x14ac:dyDescent="0.2">
      <c r="A106" s="11"/>
      <c r="B106" s="126" t="s">
        <v>64</v>
      </c>
      <c r="C106" s="108">
        <f t="shared" ref="C106:I106" si="23">SUM(C49:C52)*C88/1000</f>
        <v>8477.267212991921</v>
      </c>
      <c r="D106" s="108">
        <f t="shared" si="23"/>
        <v>145.40406537511274</v>
      </c>
      <c r="E106" s="108">
        <f t="shared" si="23"/>
        <v>2.5266230656360933</v>
      </c>
      <c r="F106" s="108">
        <f t="shared" si="23"/>
        <v>219.57636191474816</v>
      </c>
      <c r="G106" s="108">
        <f t="shared" si="23"/>
        <v>41.209513953801853</v>
      </c>
      <c r="H106" s="108">
        <f t="shared" si="23"/>
        <v>46.466413321154043</v>
      </c>
      <c r="I106" s="108">
        <f t="shared" si="23"/>
        <v>4062.2614594428351</v>
      </c>
      <c r="J106" s="108"/>
      <c r="K106" s="108"/>
    </row>
    <row r="107" spans="1:11" x14ac:dyDescent="0.2">
      <c r="A107" s="11"/>
      <c r="B107" s="127" t="s">
        <v>66</v>
      </c>
      <c r="C107" s="108">
        <f t="shared" ref="C107:I107" si="24">SUMPRODUCT(C49:C52,C13:C16)*C89/1000</f>
        <v>5481.0893657343722</v>
      </c>
      <c r="D107" s="108">
        <f t="shared" si="24"/>
        <v>93.106216243174401</v>
      </c>
      <c r="E107" s="108">
        <f t="shared" si="24"/>
        <v>1.6254860024260724</v>
      </c>
      <c r="F107" s="108">
        <f t="shared" si="24"/>
        <v>136.71184752988077</v>
      </c>
      <c r="G107" s="108">
        <f t="shared" si="24"/>
        <v>27.046223664059692</v>
      </c>
      <c r="H107" s="108">
        <f t="shared" si="24"/>
        <v>30.474972539607794</v>
      </c>
      <c r="I107" s="108">
        <f t="shared" si="24"/>
        <v>2731.6287311603842</v>
      </c>
      <c r="J107" s="108"/>
      <c r="K107" s="108"/>
    </row>
    <row r="108" spans="1:11" x14ac:dyDescent="0.2">
      <c r="A108" s="11"/>
      <c r="B108" s="127" t="s">
        <v>68</v>
      </c>
      <c r="C108" s="108">
        <f t="shared" ref="C108:I108" si="25">SUMPRODUCT(C49:C52,M13:M16)*C90/1000</f>
        <v>2996.1778472575488</v>
      </c>
      <c r="D108" s="108">
        <f t="shared" si="25"/>
        <v>52.297849131938307</v>
      </c>
      <c r="E108" s="108">
        <f t="shared" si="25"/>
        <v>0.90113706321002041</v>
      </c>
      <c r="F108" s="108">
        <f t="shared" si="25"/>
        <v>82.864514384867377</v>
      </c>
      <c r="G108" s="108">
        <f t="shared" si="25"/>
        <v>14.163290289742168</v>
      </c>
      <c r="H108" s="108">
        <f t="shared" si="25"/>
        <v>15.991440781546247</v>
      </c>
      <c r="I108" s="108">
        <f t="shared" si="25"/>
        <v>1330.6327282824509</v>
      </c>
      <c r="J108" s="108"/>
      <c r="K108" s="108"/>
    </row>
    <row r="109" spans="1:11" x14ac:dyDescent="0.2">
      <c r="A109" s="11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1:11" x14ac:dyDescent="0.2">
      <c r="A110" s="11"/>
      <c r="B110" s="126" t="s">
        <v>70</v>
      </c>
      <c r="C110" s="26">
        <f t="shared" ref="C110:I110" si="26">SUM(C44:C48,C53:C55)*C92/1000</f>
        <v>13094.038056524731</v>
      </c>
      <c r="D110" s="26">
        <f t="shared" si="26"/>
        <v>336.57737125286184</v>
      </c>
      <c r="E110" s="26">
        <f t="shared" si="26"/>
        <v>6.1613968849865266</v>
      </c>
      <c r="F110" s="26">
        <f t="shared" si="26"/>
        <v>585.46010175083325</v>
      </c>
      <c r="G110" s="26">
        <f t="shared" si="26"/>
        <v>125.11092703089408</v>
      </c>
      <c r="H110" s="26">
        <f t="shared" si="26"/>
        <v>126.07840267428479</v>
      </c>
      <c r="I110" s="26">
        <f t="shared" si="26"/>
        <v>8242.0082920260265</v>
      </c>
      <c r="J110" s="26"/>
      <c r="K110" s="26"/>
    </row>
    <row r="111" spans="1:11" x14ac:dyDescent="0.2">
      <c r="A111" s="11"/>
      <c r="B111" s="127" t="s">
        <v>66</v>
      </c>
      <c r="C111" s="108">
        <f t="shared" ref="C111:I111" si="27">(SUMPRODUCT(C44:C48,C8:C12)+SUMPRODUCT(C53:C55,C17:C19))*C93/1000</f>
        <v>7434.0861506021765</v>
      </c>
      <c r="D111" s="108">
        <f t="shared" si="27"/>
        <v>191.50231701805183</v>
      </c>
      <c r="E111" s="108">
        <f t="shared" si="27"/>
        <v>3.4384921790319312</v>
      </c>
      <c r="F111" s="108">
        <f t="shared" si="27"/>
        <v>329.96368844762151</v>
      </c>
      <c r="G111" s="108">
        <f t="shared" si="27"/>
        <v>76.346233318907295</v>
      </c>
      <c r="H111" s="108">
        <f t="shared" si="27"/>
        <v>76.920694014572689</v>
      </c>
      <c r="I111" s="108">
        <f t="shared" si="27"/>
        <v>5098.7799945760034</v>
      </c>
      <c r="J111" s="108"/>
      <c r="K111" s="108"/>
    </row>
    <row r="112" spans="1:11" x14ac:dyDescent="0.2">
      <c r="A112" s="11"/>
      <c r="B112" s="127" t="s">
        <v>68</v>
      </c>
      <c r="C112" s="108">
        <f t="shared" ref="C112:I112" si="28">+(SUMPRODUCT(C44:C48,M8:M12)+SUMPRODUCT(C53:C55,M17:M19))*C94/1000</f>
        <v>5659.9519059225522</v>
      </c>
      <c r="D112" s="108">
        <f t="shared" si="28"/>
        <v>145.07505423481004</v>
      </c>
      <c r="E112" s="108">
        <f t="shared" si="28"/>
        <v>2.7229047059545954</v>
      </c>
      <c r="F112" s="108">
        <f t="shared" si="28"/>
        <v>255.49641330321174</v>
      </c>
      <c r="G112" s="108">
        <f t="shared" si="28"/>
        <v>48.76469371198678</v>
      </c>
      <c r="H112" s="108">
        <f t="shared" si="28"/>
        <v>49.157708659712107</v>
      </c>
      <c r="I112" s="108">
        <f t="shared" si="28"/>
        <v>3143.2282974500226</v>
      </c>
      <c r="J112" s="108"/>
      <c r="K112" s="108"/>
    </row>
    <row r="113" spans="1:11" x14ac:dyDescent="0.2">
      <c r="A113" s="11"/>
      <c r="C113" s="186"/>
      <c r="D113" s="186"/>
      <c r="E113" s="186"/>
      <c r="F113" s="186"/>
      <c r="G113" s="186"/>
      <c r="H113" s="186"/>
      <c r="I113" s="186"/>
      <c r="J113" s="186"/>
      <c r="K113" s="186"/>
    </row>
    <row r="114" spans="1:11" x14ac:dyDescent="0.2">
      <c r="A114" s="11"/>
      <c r="B114" s="97" t="s">
        <v>71</v>
      </c>
      <c r="C114" s="26">
        <f>+C106+C110</f>
        <v>21571.305269516652</v>
      </c>
      <c r="D114" s="26">
        <f t="shared" ref="D114:I114" si="29">+D106+D110</f>
        <v>481.98143662797457</v>
      </c>
      <c r="E114" s="26">
        <f t="shared" si="29"/>
        <v>8.6880199506226194</v>
      </c>
      <c r="F114" s="26">
        <f t="shared" si="29"/>
        <v>805.03646366558144</v>
      </c>
      <c r="G114" s="26">
        <f t="shared" si="29"/>
        <v>166.32044098469592</v>
      </c>
      <c r="H114" s="26">
        <f t="shared" si="29"/>
        <v>172.54481599543882</v>
      </c>
      <c r="I114" s="26">
        <f t="shared" si="29"/>
        <v>12304.269751468863</v>
      </c>
      <c r="J114" s="26"/>
      <c r="K114" s="26"/>
    </row>
    <row r="115" spans="1:11" x14ac:dyDescent="0.2">
      <c r="A115" s="11"/>
    </row>
    <row r="116" spans="1:11" x14ac:dyDescent="0.2">
      <c r="A116" s="11"/>
      <c r="B116" s="97" t="s">
        <v>72</v>
      </c>
      <c r="C116" s="108">
        <f>SUM(C114:I114)</f>
        <v>35510.146198209826</v>
      </c>
      <c r="D116" s="188"/>
      <c r="E116" s="189"/>
      <c r="F116" s="17"/>
    </row>
    <row r="117" spans="1:11" x14ac:dyDescent="0.2">
      <c r="A117" s="11"/>
    </row>
    <row r="118" spans="1:11" x14ac:dyDescent="0.2">
      <c r="A118" s="11"/>
    </row>
    <row r="119" spans="1:11" x14ac:dyDescent="0.2">
      <c r="A119" s="181" t="s">
        <v>76</v>
      </c>
      <c r="B119" s="25" t="s">
        <v>77</v>
      </c>
      <c r="C119" s="186"/>
    </row>
    <row r="120" spans="1:11" x14ac:dyDescent="0.2">
      <c r="A120" s="11"/>
      <c r="B120" s="2" t="s">
        <v>78</v>
      </c>
      <c r="C120" s="186"/>
    </row>
    <row r="121" spans="1:11" x14ac:dyDescent="0.2">
      <c r="A121" s="11"/>
      <c r="B121" s="13"/>
      <c r="C121" s="186"/>
    </row>
    <row r="122" spans="1:11" x14ac:dyDescent="0.2">
      <c r="A122" s="11"/>
      <c r="B122" s="20"/>
      <c r="C122" s="30" t="str">
        <f>+C6</f>
        <v>SC1</v>
      </c>
      <c r="D122" s="30" t="str">
        <f t="shared" ref="D122:I122" si="30">+D6</f>
        <v>SC5</v>
      </c>
      <c r="E122" s="30" t="str">
        <f t="shared" si="30"/>
        <v>SC3</v>
      </c>
      <c r="F122" s="30" t="str">
        <f t="shared" si="30"/>
        <v>SC2 ND</v>
      </c>
      <c r="G122" s="30" t="str">
        <f t="shared" si="30"/>
        <v>SC4</v>
      </c>
      <c r="H122" s="30" t="str">
        <f t="shared" si="30"/>
        <v>SC6</v>
      </c>
      <c r="I122" s="30" t="str">
        <f t="shared" si="30"/>
        <v>SC2 Dem</v>
      </c>
      <c r="J122" s="34"/>
      <c r="K122" s="34"/>
    </row>
    <row r="123" spans="1:11" x14ac:dyDescent="0.2">
      <c r="A123" s="11"/>
      <c r="C123" s="124"/>
    </row>
    <row r="124" spans="1:11" x14ac:dyDescent="0.2">
      <c r="A124" s="11"/>
      <c r="B124" s="126" t="s">
        <v>64</v>
      </c>
      <c r="C124" s="107">
        <f t="shared" ref="C124:I124" si="31">+C106/SUM(C49:C52)*1000</f>
        <v>30.377556409175405</v>
      </c>
      <c r="D124" s="107">
        <f t="shared" si="31"/>
        <v>30.245255408239778</v>
      </c>
      <c r="E124" s="107">
        <f t="shared" si="31"/>
        <v>30.0788460194773</v>
      </c>
      <c r="F124" s="107">
        <f t="shared" si="31"/>
        <v>29.882466237717495</v>
      </c>
      <c r="G124" s="107">
        <f t="shared" si="31"/>
        <v>29.970555602764982</v>
      </c>
      <c r="H124" s="107">
        <f t="shared" si="31"/>
        <v>29.949347935000993</v>
      </c>
      <c r="I124" s="107">
        <f t="shared" si="31"/>
        <v>30.616331021388895</v>
      </c>
      <c r="J124" s="107"/>
      <c r="K124" s="107"/>
    </row>
    <row r="125" spans="1:11" x14ac:dyDescent="0.2">
      <c r="A125" s="11"/>
      <c r="B125" s="127" t="s">
        <v>79</v>
      </c>
      <c r="C125" s="108"/>
      <c r="D125" s="108"/>
      <c r="E125" s="107">
        <f>E89+S94</f>
        <v>39.280460752124405</v>
      </c>
      <c r="F125" s="108"/>
      <c r="G125" s="108"/>
      <c r="H125" s="108"/>
      <c r="I125" s="108"/>
      <c r="J125" s="107"/>
      <c r="K125" s="107"/>
    </row>
    <row r="126" spans="1:11" x14ac:dyDescent="0.2">
      <c r="A126" s="11"/>
      <c r="B126" s="127" t="s">
        <v>80</v>
      </c>
      <c r="C126" s="108"/>
      <c r="D126" s="108"/>
      <c r="E126" s="107">
        <f>E90+S94</f>
        <v>24.388609688636226</v>
      </c>
      <c r="F126" s="108"/>
      <c r="G126" s="108"/>
      <c r="H126" s="108"/>
      <c r="I126" s="108"/>
      <c r="J126" s="107"/>
      <c r="K126" s="107"/>
    </row>
    <row r="127" spans="1:11" x14ac:dyDescent="0.2">
      <c r="A127" s="11"/>
      <c r="C127" s="26"/>
      <c r="D127" s="26"/>
      <c r="E127" s="26"/>
      <c r="F127" s="26"/>
      <c r="G127" s="26"/>
      <c r="H127" s="26"/>
      <c r="I127" s="26"/>
      <c r="J127" s="26"/>
      <c r="K127" s="26"/>
    </row>
    <row r="128" spans="1:11" x14ac:dyDescent="0.2">
      <c r="A128" s="11"/>
      <c r="B128" s="126" t="s">
        <v>70</v>
      </c>
      <c r="C128" s="186">
        <f t="shared" ref="C128:I128" si="32">+C110/SUM(C44:C48,C53:C55)*1000</f>
        <v>35.39316616149803</v>
      </c>
      <c r="D128" s="186">
        <f t="shared" si="32"/>
        <v>36.195007124729742</v>
      </c>
      <c r="E128" s="186">
        <f t="shared" si="32"/>
        <v>36.350424100215491</v>
      </c>
      <c r="F128" s="186">
        <f t="shared" si="32"/>
        <v>35.627098019280304</v>
      </c>
      <c r="G128" s="186">
        <f t="shared" si="32"/>
        <v>35.5934358551619</v>
      </c>
      <c r="H128" s="186">
        <f t="shared" si="32"/>
        <v>34.900595895995792</v>
      </c>
      <c r="I128" s="186">
        <f t="shared" si="32"/>
        <v>35.388301914912581</v>
      </c>
      <c r="J128" s="186"/>
      <c r="K128" s="186"/>
    </row>
    <row r="129" spans="1:22" x14ac:dyDescent="0.2">
      <c r="A129" s="11"/>
      <c r="B129" s="127" t="s">
        <v>79</v>
      </c>
      <c r="C129" s="108"/>
      <c r="D129" s="108"/>
      <c r="E129" s="107">
        <f>E93+S89</f>
        <v>43.982953134363605</v>
      </c>
      <c r="F129" s="108"/>
      <c r="G129" s="108"/>
      <c r="H129" s="108"/>
      <c r="I129" s="108"/>
      <c r="J129" s="107"/>
      <c r="K129" s="107"/>
    </row>
    <row r="130" spans="1:22" x14ac:dyDescent="0.2">
      <c r="A130" s="11"/>
      <c r="B130" s="127" t="s">
        <v>80</v>
      </c>
      <c r="C130" s="108"/>
      <c r="D130" s="108"/>
      <c r="E130" s="107">
        <f>E94+S89</f>
        <v>32.046858242368529</v>
      </c>
      <c r="F130" s="108"/>
      <c r="G130" s="108"/>
      <c r="H130" s="108"/>
      <c r="I130" s="108"/>
      <c r="J130" s="107"/>
      <c r="K130" s="107"/>
    </row>
    <row r="131" spans="1:22" x14ac:dyDescent="0.2">
      <c r="A131" s="11"/>
      <c r="C131" s="186"/>
      <c r="D131" s="186"/>
      <c r="E131" s="186"/>
      <c r="F131" s="186"/>
      <c r="G131" s="186"/>
      <c r="H131" s="186"/>
      <c r="I131" s="186"/>
      <c r="J131" s="186"/>
      <c r="K131" s="186"/>
    </row>
    <row r="132" spans="1:22" x14ac:dyDescent="0.2">
      <c r="A132" s="11"/>
      <c r="B132" s="97" t="s">
        <v>81</v>
      </c>
      <c r="C132" s="17">
        <f t="shared" ref="C132:I132" si="33">(C124*SUM(C49:C52)+C128*SUM(C44:C48,C53:C55))/C56</f>
        <v>33.23658062890938</v>
      </c>
      <c r="D132" s="17">
        <f t="shared" si="33"/>
        <v>34.167329715235859</v>
      </c>
      <c r="E132" s="17">
        <f t="shared" si="33"/>
        <v>34.272268049793375</v>
      </c>
      <c r="F132" s="17">
        <f t="shared" si="33"/>
        <v>33.852086273309837</v>
      </c>
      <c r="G132" s="17">
        <f t="shared" si="33"/>
        <v>34.01236011956972</v>
      </c>
      <c r="H132" s="17">
        <f t="shared" si="33"/>
        <v>33.41301626557685</v>
      </c>
      <c r="I132" s="17">
        <f t="shared" si="33"/>
        <v>33.656396062862569</v>
      </c>
      <c r="J132" s="17"/>
      <c r="K132" s="17"/>
      <c r="M132" s="97">
        <v>42644</v>
      </c>
    </row>
    <row r="133" spans="1:22" x14ac:dyDescent="0.2">
      <c r="A133" s="11"/>
      <c r="B133" s="97" t="s">
        <v>82</v>
      </c>
      <c r="C133" s="107">
        <f>+C116/SUM(C56:I56)*1000</f>
        <v>33.411789366177949</v>
      </c>
      <c r="M133" s="97">
        <f>M136-M132</f>
        <v>973</v>
      </c>
    </row>
    <row r="134" spans="1:22" x14ac:dyDescent="0.2">
      <c r="A134" s="11"/>
    </row>
    <row r="135" spans="1:22" x14ac:dyDescent="0.2">
      <c r="A135" s="181" t="s">
        <v>83</v>
      </c>
      <c r="B135" s="25" t="s">
        <v>84</v>
      </c>
    </row>
    <row r="136" spans="1:22" x14ac:dyDescent="0.2">
      <c r="A136" s="11"/>
      <c r="B136" s="2" t="str">
        <f>"Obligations - annual average forecasted for " &amp;M1-1 &amp;"; costs are market estimates"</f>
        <v>Obligations - annual average forecasted for 2017; costs are market estimates</v>
      </c>
      <c r="M136" s="190">
        <f>(DATE($M$1+1,6,1))</f>
        <v>43617</v>
      </c>
    </row>
    <row r="137" spans="1:22" x14ac:dyDescent="0.2">
      <c r="A137" s="11"/>
      <c r="B137" s="13" t="s">
        <v>85</v>
      </c>
      <c r="C137" s="30" t="str">
        <f>+C6</f>
        <v>SC1</v>
      </c>
      <c r="D137" s="30" t="str">
        <f t="shared" ref="D137:I137" si="34">+D6</f>
        <v>SC5</v>
      </c>
      <c r="E137" s="30" t="str">
        <f t="shared" si="34"/>
        <v>SC3</v>
      </c>
      <c r="F137" s="30" t="str">
        <f t="shared" si="34"/>
        <v>SC2 ND</v>
      </c>
      <c r="G137" s="30" t="str">
        <f t="shared" si="34"/>
        <v>SC4</v>
      </c>
      <c r="H137" s="30" t="str">
        <f t="shared" si="34"/>
        <v>SC6</v>
      </c>
      <c r="I137" s="30" t="str">
        <f t="shared" si="34"/>
        <v>SC2 Dem</v>
      </c>
      <c r="J137" s="30" t="s">
        <v>86</v>
      </c>
      <c r="K137" s="34"/>
      <c r="M137" s="190">
        <f>(DATE($M$1,10,1))</f>
        <v>43374</v>
      </c>
    </row>
    <row r="138" spans="1:22" x14ac:dyDescent="0.2">
      <c r="A138" s="11"/>
      <c r="M138" s="97">
        <f>M136-M137</f>
        <v>243</v>
      </c>
    </row>
    <row r="139" spans="1:22" x14ac:dyDescent="0.2">
      <c r="A139" s="11"/>
      <c r="B139" s="97" t="s">
        <v>87</v>
      </c>
      <c r="C139" s="109">
        <v>332.06900000000002</v>
      </c>
      <c r="D139" s="109">
        <v>4.4969999999999999</v>
      </c>
      <c r="E139" s="109">
        <v>8.1000000000000003E-2</v>
      </c>
      <c r="F139" s="109">
        <v>5.2080000000000002</v>
      </c>
      <c r="G139" s="110">
        <v>0</v>
      </c>
      <c r="H139" s="110">
        <v>0</v>
      </c>
      <c r="I139" s="109">
        <v>99.453999999999994</v>
      </c>
      <c r="J139" s="109">
        <f>SUM(C139:I139)</f>
        <v>441.30900000000008</v>
      </c>
      <c r="K139" s="110"/>
      <c r="L139" s="109"/>
      <c r="M139" s="109"/>
      <c r="N139" s="109"/>
      <c r="O139" s="109"/>
      <c r="P139" s="109"/>
      <c r="Q139" s="109"/>
      <c r="R139" s="109"/>
      <c r="S139" s="105"/>
      <c r="T139" s="105"/>
      <c r="U139" s="105"/>
      <c r="V139" s="105"/>
    </row>
    <row r="140" spans="1:22" x14ac:dyDescent="0.2">
      <c r="A140" s="11"/>
      <c r="C140" s="109"/>
      <c r="D140" s="109"/>
      <c r="E140" s="109"/>
      <c r="F140" s="109"/>
      <c r="G140" s="109"/>
      <c r="H140" s="109"/>
      <c r="I140" s="109"/>
      <c r="J140" s="109"/>
    </row>
    <row r="141" spans="1:22" x14ac:dyDescent="0.2">
      <c r="A141" s="11"/>
      <c r="B141" s="97" t="s">
        <v>88</v>
      </c>
      <c r="C141" s="109">
        <v>251.976</v>
      </c>
      <c r="D141" s="109">
        <v>3.597</v>
      </c>
      <c r="E141" s="109">
        <v>5.8999999999999997E-2</v>
      </c>
      <c r="F141" s="109">
        <v>5.6879999999999997</v>
      </c>
      <c r="G141" s="110">
        <v>0</v>
      </c>
      <c r="H141" s="110">
        <v>0</v>
      </c>
      <c r="I141" s="109">
        <v>85.793000000000006</v>
      </c>
      <c r="J141" s="109">
        <f>SUM(C141:I141)</f>
        <v>347.113</v>
      </c>
      <c r="K141" s="110"/>
      <c r="L141" s="109"/>
      <c r="M141" s="109"/>
      <c r="Q141" s="109"/>
      <c r="R141" s="109"/>
      <c r="S141" s="105"/>
      <c r="T141" s="105"/>
      <c r="U141" s="105"/>
      <c r="V141" s="105"/>
    </row>
    <row r="142" spans="1:22" x14ac:dyDescent="0.2">
      <c r="A142" s="11"/>
      <c r="C142" s="110"/>
      <c r="D142" s="110"/>
      <c r="E142" s="110"/>
      <c r="F142" s="110"/>
      <c r="G142" s="110"/>
      <c r="H142" s="110"/>
      <c r="I142" s="110"/>
      <c r="J142" s="110"/>
      <c r="K142" s="110"/>
    </row>
    <row r="143" spans="1:22" x14ac:dyDescent="0.2">
      <c r="A143" s="11"/>
      <c r="B143" s="97" t="s">
        <v>89</v>
      </c>
      <c r="G143" s="110"/>
      <c r="H143" s="110"/>
      <c r="I143" s="110"/>
      <c r="J143" s="110"/>
      <c r="K143" s="110"/>
    </row>
    <row r="144" spans="1:22" x14ac:dyDescent="0.2">
      <c r="A144" s="11"/>
      <c r="D144" s="102" t="s">
        <v>90</v>
      </c>
      <c r="E144" s="111">
        <f>(DATE($M$1,10,1))-(DATE($M$1,6,1))</f>
        <v>122</v>
      </c>
      <c r="G144" s="102" t="s">
        <v>91</v>
      </c>
      <c r="H144" s="97">
        <v>4</v>
      </c>
      <c r="I144" s="110"/>
      <c r="J144" s="110"/>
      <c r="K144" s="191"/>
      <c r="L144" s="192"/>
    </row>
    <row r="145" spans="1:12" x14ac:dyDescent="0.2">
      <c r="A145" s="11"/>
      <c r="D145" s="104" t="s">
        <v>92</v>
      </c>
      <c r="E145" s="111">
        <f>(DATE($M$1+1,6,1))-(DATE($M$1,10,1))</f>
        <v>243</v>
      </c>
      <c r="G145" s="104" t="s">
        <v>93</v>
      </c>
      <c r="H145" s="97">
        <v>8</v>
      </c>
      <c r="I145" s="110"/>
      <c r="J145" s="110"/>
      <c r="K145" s="191"/>
      <c r="L145" s="192"/>
    </row>
    <row r="146" spans="1:12" x14ac:dyDescent="0.2">
      <c r="A146" s="11"/>
      <c r="G146" s="102" t="s">
        <v>94</v>
      </c>
      <c r="H146" s="97">
        <f>+H144+H145</f>
        <v>12</v>
      </c>
      <c r="I146" s="110"/>
      <c r="J146" s="110"/>
      <c r="K146" s="110"/>
    </row>
    <row r="147" spans="1:12" x14ac:dyDescent="0.2">
      <c r="A147" s="11"/>
      <c r="B147" s="97" t="s">
        <v>95</v>
      </c>
      <c r="C147" s="26">
        <v>49695</v>
      </c>
      <c r="D147" s="123" t="s">
        <v>96</v>
      </c>
      <c r="E147" s="193">
        <f>C147/365</f>
        <v>136.15068493150685</v>
      </c>
      <c r="F147" s="193" t="s">
        <v>97</v>
      </c>
    </row>
    <row r="148" spans="1:12" x14ac:dyDescent="0.2">
      <c r="A148" s="11"/>
    </row>
    <row r="149" spans="1:12" x14ac:dyDescent="0.2">
      <c r="A149" s="11"/>
      <c r="B149" s="97" t="s">
        <v>98</v>
      </c>
      <c r="C149" s="97" t="s">
        <v>99</v>
      </c>
      <c r="D149" s="112">
        <f>G449</f>
        <v>186.97</v>
      </c>
      <c r="E149" s="123" t="s">
        <v>100</v>
      </c>
      <c r="G149" s="104" t="s">
        <v>101</v>
      </c>
      <c r="H149" s="102" t="s">
        <v>102</v>
      </c>
      <c r="I149" s="186">
        <f>+D149*365/1000</f>
        <v>68.244050000000001</v>
      </c>
      <c r="J149" s="97" t="s">
        <v>103</v>
      </c>
    </row>
    <row r="150" spans="1:12" x14ac:dyDescent="0.2">
      <c r="A150" s="11"/>
      <c r="B150" s="113" t="s">
        <v>104</v>
      </c>
      <c r="C150" s="97" t="s">
        <v>105</v>
      </c>
      <c r="D150" s="112">
        <f>G451</f>
        <v>161.88999999999999</v>
      </c>
      <c r="E150" s="123" t="s">
        <v>100</v>
      </c>
      <c r="H150" s="102" t="s">
        <v>106</v>
      </c>
      <c r="I150" s="186">
        <f>+D150*365/1000</f>
        <v>59.089849999999998</v>
      </c>
      <c r="J150" s="97" t="s">
        <v>103</v>
      </c>
      <c r="L150" s="190"/>
    </row>
    <row r="151" spans="1:12" x14ac:dyDescent="0.2">
      <c r="A151" s="11"/>
      <c r="D151" s="112"/>
      <c r="E151" s="123"/>
      <c r="H151" s="102"/>
      <c r="I151" s="186"/>
      <c r="L151" s="190"/>
    </row>
    <row r="152" spans="1:12" x14ac:dyDescent="0.2">
      <c r="A152" s="11"/>
      <c r="B152" s="113" t="s">
        <v>107</v>
      </c>
      <c r="L152" s="192"/>
    </row>
    <row r="153" spans="1:12" x14ac:dyDescent="0.2">
      <c r="A153" s="11"/>
      <c r="B153" s="2" t="s">
        <v>108</v>
      </c>
    </row>
    <row r="154" spans="1:12" x14ac:dyDescent="0.2">
      <c r="A154" s="11"/>
      <c r="B154" s="13"/>
      <c r="C154" s="14" t="str">
        <f>" ---------- "&amp;C6&amp;" ----------"</f>
        <v xml:space="preserve"> ---------- SC1 ----------</v>
      </c>
      <c r="D154" s="114"/>
      <c r="E154" s="115"/>
      <c r="F154" s="116"/>
      <c r="H154" s="14" t="str">
        <f>" ---------- "&amp;D6&amp;" ----------"</f>
        <v xml:space="preserve"> ---------- SC5 ----------</v>
      </c>
      <c r="I154" s="114"/>
      <c r="J154" s="114"/>
    </row>
    <row r="155" spans="1:12" x14ac:dyDescent="0.2">
      <c r="A155" s="11"/>
      <c r="C155" s="102" t="s">
        <v>109</v>
      </c>
      <c r="D155" s="102"/>
      <c r="E155" s="117" t="s">
        <v>110</v>
      </c>
      <c r="F155" s="116"/>
      <c r="H155" s="104" t="s">
        <v>111</v>
      </c>
      <c r="I155" s="102" t="s">
        <v>112</v>
      </c>
      <c r="J155" s="102" t="s">
        <v>110</v>
      </c>
    </row>
    <row r="156" spans="1:12" x14ac:dyDescent="0.2">
      <c r="A156" s="11"/>
      <c r="B156" s="104" t="s">
        <v>113</v>
      </c>
      <c r="C156" s="118">
        <v>7.6920000000000002</v>
      </c>
      <c r="D156" s="97" t="s">
        <v>114</v>
      </c>
      <c r="E156" s="119">
        <v>0.42930000000000001</v>
      </c>
      <c r="F156" s="120"/>
      <c r="G156" s="104" t="s">
        <v>113</v>
      </c>
      <c r="H156" s="97">
        <v>7.9630000000000001</v>
      </c>
      <c r="J156" s="121">
        <v>0.61660000000000004</v>
      </c>
    </row>
    <row r="157" spans="1:12" x14ac:dyDescent="0.2">
      <c r="A157" s="11"/>
      <c r="B157" s="104" t="s">
        <v>115</v>
      </c>
      <c r="C157" s="97">
        <v>10.117000000000001</v>
      </c>
      <c r="D157" s="97" t="s">
        <v>114</v>
      </c>
      <c r="E157" s="119">
        <v>0.57069999999999999</v>
      </c>
      <c r="F157" s="120"/>
      <c r="G157" s="104" t="s">
        <v>115</v>
      </c>
      <c r="H157" s="97">
        <v>9.6660000000000004</v>
      </c>
      <c r="I157" s="118">
        <f>H157-H156</f>
        <v>1.7030000000000003</v>
      </c>
      <c r="J157" s="121">
        <v>0.38350000000000001</v>
      </c>
    </row>
    <row r="158" spans="1:12" x14ac:dyDescent="0.2">
      <c r="A158" s="11"/>
      <c r="B158" s="102" t="s">
        <v>116</v>
      </c>
      <c r="C158" s="118">
        <f>+C157-C156</f>
        <v>2.4250000000000007</v>
      </c>
      <c r="D158" s="97" t="s">
        <v>114</v>
      </c>
      <c r="E158" s="116"/>
      <c r="F158" s="120"/>
    </row>
    <row r="159" spans="1:12" x14ac:dyDescent="0.2">
      <c r="A159" s="97"/>
      <c r="E159" s="116"/>
      <c r="F159" s="16"/>
    </row>
    <row r="160" spans="1:12" x14ac:dyDescent="0.2">
      <c r="A160" s="181" t="s">
        <v>117</v>
      </c>
      <c r="B160" s="20" t="s">
        <v>118</v>
      </c>
    </row>
    <row r="161" spans="1:11" x14ac:dyDescent="0.2">
      <c r="A161" s="11"/>
      <c r="B161" s="13" t="s">
        <v>119</v>
      </c>
      <c r="D161" s="122">
        <f>H461</f>
        <v>10.35</v>
      </c>
      <c r="E161" s="113" t="s">
        <v>120</v>
      </c>
      <c r="F161" s="123"/>
    </row>
    <row r="162" spans="1:11" x14ac:dyDescent="0.2">
      <c r="A162" s="11"/>
      <c r="B162" s="13"/>
      <c r="F162" s="123"/>
    </row>
    <row r="163" spans="1:11" x14ac:dyDescent="0.2">
      <c r="A163" s="181" t="s">
        <v>121</v>
      </c>
      <c r="B163" s="20" t="s">
        <v>122</v>
      </c>
    </row>
    <row r="164" spans="1:11" x14ac:dyDescent="0.2">
      <c r="A164" s="149"/>
      <c r="B164" s="20"/>
    </row>
    <row r="165" spans="1:11" x14ac:dyDescent="0.2">
      <c r="A165" s="149"/>
      <c r="B165" s="20"/>
      <c r="C165" s="30" t="str">
        <f t="shared" ref="C165:H165" si="35">+C6</f>
        <v>SC1</v>
      </c>
      <c r="D165" s="30" t="str">
        <f t="shared" si="35"/>
        <v>SC5</v>
      </c>
      <c r="E165" s="30" t="str">
        <f t="shared" si="35"/>
        <v>SC3</v>
      </c>
      <c r="F165" s="30" t="str">
        <f t="shared" si="35"/>
        <v>SC2 ND</v>
      </c>
      <c r="G165" s="30" t="str">
        <f t="shared" si="35"/>
        <v>SC4</v>
      </c>
      <c r="H165" s="30" t="str">
        <f t="shared" si="35"/>
        <v>SC6</v>
      </c>
    </row>
    <row r="166" spans="1:11" x14ac:dyDescent="0.2">
      <c r="A166" s="149"/>
      <c r="B166" s="20"/>
    </row>
    <row r="167" spans="1:11" x14ac:dyDescent="0.2">
      <c r="A167" s="11"/>
      <c r="B167" s="102" t="s">
        <v>123</v>
      </c>
      <c r="C167" s="17">
        <f t="shared" ref="C167:H167" si="36">(+$C$147*C141*$H$146/12)/C56</f>
        <v>19.293534004187833</v>
      </c>
      <c r="D167" s="17">
        <f t="shared" si="36"/>
        <v>12.671670152057562</v>
      </c>
      <c r="E167" s="17">
        <f>(+$C$147*E141*$H$146/12)/E56</f>
        <v>11.566094674556211</v>
      </c>
      <c r="F167" s="17">
        <f t="shared" si="36"/>
        <v>11.886176359278414</v>
      </c>
      <c r="G167" s="17">
        <f t="shared" si="36"/>
        <v>0</v>
      </c>
      <c r="H167" s="17">
        <f t="shared" si="36"/>
        <v>0</v>
      </c>
      <c r="I167" s="17"/>
      <c r="J167" s="17"/>
      <c r="K167" s="17"/>
    </row>
    <row r="168" spans="1:11" x14ac:dyDescent="0.2">
      <c r="A168" s="11"/>
      <c r="B168" s="102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x14ac:dyDescent="0.2">
      <c r="A169" s="11"/>
      <c r="B169" s="102" t="s">
        <v>124</v>
      </c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x14ac:dyDescent="0.2">
      <c r="A170" s="11"/>
      <c r="B170" s="102" t="s">
        <v>125</v>
      </c>
      <c r="C170" s="17">
        <f t="shared" ref="C170:H170" si="37">((+$D$149*$E$144*C139)+($D$150*$E$145*C139))/C56</f>
        <v>31.79850150624862</v>
      </c>
      <c r="D170" s="17">
        <f t="shared" si="37"/>
        <v>19.81262511395456</v>
      </c>
      <c r="E170" s="17">
        <f t="shared" si="37"/>
        <v>19.858455266272191</v>
      </c>
      <c r="F170" s="17">
        <f t="shared" si="37"/>
        <v>13.610662666834868</v>
      </c>
      <c r="G170" s="17">
        <f t="shared" si="37"/>
        <v>0</v>
      </c>
      <c r="H170" s="17">
        <f t="shared" si="37"/>
        <v>0</v>
      </c>
      <c r="I170" s="17"/>
      <c r="J170" s="17"/>
      <c r="K170" s="17"/>
    </row>
    <row r="171" spans="1:11" x14ac:dyDescent="0.2">
      <c r="A171" s="11"/>
      <c r="B171" s="102" t="s">
        <v>126</v>
      </c>
      <c r="C171" s="17">
        <f t="shared" ref="C171:H171" si="38">C$139*$D149*$E144/SUM(C$49:C$52)</f>
        <v>27.142950595330454</v>
      </c>
      <c r="D171" s="17">
        <f t="shared" si="38"/>
        <v>21.33709807176287</v>
      </c>
      <c r="E171" s="17">
        <f t="shared" si="38"/>
        <v>21.995684999999998</v>
      </c>
      <c r="F171" s="17">
        <f t="shared" si="38"/>
        <v>16.167154425694068</v>
      </c>
      <c r="G171" s="17">
        <f t="shared" si="38"/>
        <v>0</v>
      </c>
      <c r="H171" s="17">
        <f t="shared" si="38"/>
        <v>0</v>
      </c>
      <c r="I171" s="17"/>
      <c r="J171" s="17"/>
      <c r="K171" s="17"/>
    </row>
    <row r="172" spans="1:11" x14ac:dyDescent="0.2">
      <c r="A172" s="11"/>
      <c r="B172" s="102" t="s">
        <v>127</v>
      </c>
      <c r="C172" s="17">
        <f t="shared" ref="C172:H172" si="39">C$139*$D150*$E145/(SUM(C$44:C$48)+SUM(C$53:C$55))</f>
        <v>35.310221928697601</v>
      </c>
      <c r="D172" s="17">
        <f t="shared" si="39"/>
        <v>19.024486201742125</v>
      </c>
      <c r="E172" s="17">
        <f t="shared" si="39"/>
        <v>18.799297168141592</v>
      </c>
      <c r="F172" s="17">
        <f t="shared" si="39"/>
        <v>12.467529858212135</v>
      </c>
      <c r="G172" s="17">
        <f t="shared" si="39"/>
        <v>0</v>
      </c>
      <c r="H172" s="17">
        <f t="shared" si="39"/>
        <v>0</v>
      </c>
      <c r="I172" s="17"/>
      <c r="J172" s="17"/>
      <c r="K172" s="17"/>
    </row>
    <row r="173" spans="1:11" x14ac:dyDescent="0.2">
      <c r="A173" s="11"/>
      <c r="C173" s="124"/>
      <c r="D173" s="124"/>
      <c r="E173" s="124"/>
      <c r="F173" s="124"/>
      <c r="G173" s="124"/>
      <c r="H173" s="124"/>
      <c r="I173" s="124"/>
      <c r="J173" s="17"/>
      <c r="K173" s="17"/>
    </row>
    <row r="174" spans="1:11" x14ac:dyDescent="0.2">
      <c r="A174" s="11"/>
      <c r="C174" s="125"/>
      <c r="D174" s="125"/>
      <c r="E174" s="125"/>
      <c r="F174" s="125"/>
      <c r="G174" s="125"/>
      <c r="H174" s="125"/>
    </row>
    <row r="175" spans="1:11" x14ac:dyDescent="0.2">
      <c r="A175" s="181" t="s">
        <v>128</v>
      </c>
      <c r="B175" s="20" t="s">
        <v>129</v>
      </c>
    </row>
    <row r="176" spans="1:11" x14ac:dyDescent="0.2">
      <c r="A176" s="11"/>
      <c r="B176" s="20"/>
      <c r="C176" s="124"/>
      <c r="D176" s="124"/>
      <c r="E176" s="124"/>
      <c r="F176" s="124"/>
      <c r="G176" s="124"/>
      <c r="H176" s="124"/>
    </row>
    <row r="177" spans="1:9" x14ac:dyDescent="0.2">
      <c r="A177" s="11"/>
      <c r="B177" s="25" t="s">
        <v>130</v>
      </c>
      <c r="C177" s="125"/>
      <c r="D177" s="125"/>
      <c r="E177" s="125"/>
      <c r="F177" s="125"/>
      <c r="G177" s="125"/>
      <c r="H177" s="125"/>
    </row>
    <row r="178" spans="1:9" x14ac:dyDescent="0.2">
      <c r="A178" s="11"/>
      <c r="B178" s="13"/>
    </row>
    <row r="179" spans="1:9" x14ac:dyDescent="0.2">
      <c r="A179" s="11"/>
      <c r="C179" s="30" t="str">
        <f t="shared" ref="C179:H179" si="40">+C6</f>
        <v>SC1</v>
      </c>
      <c r="D179" s="30" t="str">
        <f t="shared" si="40"/>
        <v>SC5</v>
      </c>
      <c r="E179" s="30" t="str">
        <f t="shared" si="40"/>
        <v>SC3</v>
      </c>
      <c r="F179" s="30" t="str">
        <f t="shared" si="40"/>
        <v>SC2 ND</v>
      </c>
      <c r="G179" s="30" t="str">
        <f t="shared" si="40"/>
        <v>SC4</v>
      </c>
      <c r="H179" s="30" t="str">
        <f t="shared" si="40"/>
        <v>SC6</v>
      </c>
    </row>
    <row r="180" spans="1:9" x14ac:dyDescent="0.2">
      <c r="A180" s="11"/>
      <c r="C180" s="34"/>
      <c r="D180" s="34"/>
      <c r="E180" s="17"/>
      <c r="F180" s="34"/>
    </row>
    <row r="181" spans="1:9" x14ac:dyDescent="0.2">
      <c r="A181" s="11"/>
      <c r="B181" s="126" t="s">
        <v>64</v>
      </c>
      <c r="C181" s="19">
        <f t="shared" ref="C181:H181" si="41">+C124+$D$161+C$167+C171</f>
        <v>87.164041008693687</v>
      </c>
      <c r="D181" s="17">
        <f t="shared" si="41"/>
        <v>74.604023632060205</v>
      </c>
      <c r="E181" s="17">
        <f t="shared" si="41"/>
        <v>73.990625694033511</v>
      </c>
      <c r="F181" s="17">
        <f t="shared" si="41"/>
        <v>68.285797022689977</v>
      </c>
      <c r="G181" s="17">
        <f t="shared" si="41"/>
        <v>40.320555602764983</v>
      </c>
      <c r="H181" s="17">
        <f t="shared" si="41"/>
        <v>40.299347935000995</v>
      </c>
      <c r="I181" s="17"/>
    </row>
    <row r="182" spans="1:9" x14ac:dyDescent="0.2">
      <c r="A182" s="11"/>
      <c r="B182" s="127" t="s">
        <v>79</v>
      </c>
      <c r="C182" s="17"/>
      <c r="D182" s="17"/>
      <c r="E182" s="19">
        <f>+E125+$D$161+E$167+(E171*O48/O49)</f>
        <v>118.8005173365579</v>
      </c>
      <c r="F182" s="17"/>
      <c r="G182" s="17"/>
      <c r="H182" s="17"/>
    </row>
    <row r="183" spans="1:9" x14ac:dyDescent="0.2">
      <c r="A183" s="11"/>
      <c r="B183" s="127" t="s">
        <v>80</v>
      </c>
      <c r="C183" s="17"/>
      <c r="D183" s="17"/>
      <c r="E183" s="19">
        <f>+E126+$D$161+E$167</f>
        <v>46.304704363192435</v>
      </c>
      <c r="F183" s="17"/>
      <c r="G183" s="17"/>
      <c r="H183" s="17"/>
    </row>
    <row r="184" spans="1:9" x14ac:dyDescent="0.2">
      <c r="A184" s="11"/>
      <c r="B184" s="102" t="s">
        <v>131</v>
      </c>
      <c r="C184" s="17">
        <f>(C181*SUM(C49:C52)-C158*10*E157*SUM(C49:C52))/SUM(C49:C52)</f>
        <v>73.324566008693679</v>
      </c>
      <c r="D184" s="17">
        <f>(D181*SUM(D49:D52)-I157*10*J157*SUM(D49:D52))/SUM(D49:D52)</f>
        <v>68.073018632060212</v>
      </c>
      <c r="E184" s="17"/>
      <c r="F184" s="17"/>
      <c r="G184" s="17"/>
      <c r="H184" s="17"/>
    </row>
    <row r="185" spans="1:9" x14ac:dyDescent="0.2">
      <c r="A185" s="11"/>
      <c r="B185" s="102" t="s">
        <v>132</v>
      </c>
      <c r="C185" s="17">
        <f>C184+C158*10</f>
        <v>97.574566008693694</v>
      </c>
      <c r="D185" s="17">
        <f>D184+I157*10</f>
        <v>85.103018632060213</v>
      </c>
      <c r="E185" s="17"/>
      <c r="F185" s="17"/>
      <c r="G185" s="17"/>
      <c r="H185" s="17"/>
    </row>
    <row r="186" spans="1:9" x14ac:dyDescent="0.2">
      <c r="A186" s="11"/>
      <c r="B186" s="17"/>
      <c r="C186" s="17"/>
      <c r="D186" s="17"/>
      <c r="E186" s="17"/>
      <c r="F186" s="17"/>
      <c r="G186" s="17"/>
      <c r="H186" s="17"/>
    </row>
    <row r="187" spans="1:9" x14ac:dyDescent="0.2">
      <c r="A187" s="11"/>
      <c r="C187" s="17"/>
      <c r="D187" s="17"/>
      <c r="E187" s="17"/>
      <c r="F187" s="17"/>
      <c r="G187" s="17"/>
      <c r="H187" s="17"/>
    </row>
    <row r="188" spans="1:9" x14ac:dyDescent="0.2">
      <c r="A188" s="11"/>
      <c r="B188" s="126" t="s">
        <v>70</v>
      </c>
      <c r="C188" s="19">
        <f t="shared" ref="C188:H188" si="42">+C128+$D$161+C$167+C172</f>
        <v>100.34692209438346</v>
      </c>
      <c r="D188" s="17">
        <f t="shared" si="42"/>
        <v>78.24116347852943</v>
      </c>
      <c r="E188" s="17">
        <f t="shared" si="42"/>
        <v>77.065815942913304</v>
      </c>
      <c r="F188" s="17">
        <f t="shared" si="42"/>
        <v>70.330804236770859</v>
      </c>
      <c r="G188" s="17">
        <f t="shared" si="42"/>
        <v>45.943435855161901</v>
      </c>
      <c r="H188" s="17">
        <f t="shared" si="42"/>
        <v>45.250595895995794</v>
      </c>
      <c r="I188" s="17"/>
    </row>
    <row r="189" spans="1:9" x14ac:dyDescent="0.2">
      <c r="A189" s="11"/>
      <c r="B189" s="127" t="s">
        <v>79</v>
      </c>
      <c r="C189" s="17"/>
      <c r="D189" s="17"/>
      <c r="E189" s="19">
        <f>+E129+$D$161+E$167+(E172*O44/O45)</f>
        <v>117.98189036710343</v>
      </c>
      <c r="F189" s="17"/>
      <c r="G189" s="17"/>
      <c r="H189" s="17"/>
    </row>
    <row r="190" spans="1:9" x14ac:dyDescent="0.2">
      <c r="A190" s="11"/>
      <c r="B190" s="127" t="s">
        <v>80</v>
      </c>
      <c r="C190" s="17"/>
      <c r="D190" s="17"/>
      <c r="E190" s="19">
        <f>+E130+$D$161+E$167</f>
        <v>53.962952916924742</v>
      </c>
      <c r="F190" s="17"/>
      <c r="G190" s="17"/>
      <c r="H190" s="17"/>
    </row>
    <row r="191" spans="1:9" x14ac:dyDescent="0.2">
      <c r="A191" s="11"/>
      <c r="C191" s="17"/>
      <c r="D191" s="17"/>
      <c r="E191" s="17"/>
      <c r="F191" s="17"/>
      <c r="G191" s="17"/>
      <c r="H191" s="17"/>
    </row>
    <row r="192" spans="1:9" x14ac:dyDescent="0.2">
      <c r="A192" s="11"/>
      <c r="B192" s="97" t="s">
        <v>133</v>
      </c>
      <c r="C192" s="19">
        <f t="shared" ref="C192:H192" si="43">+C132+$D$161+C$167+C170</f>
        <v>94.678616139345834</v>
      </c>
      <c r="D192" s="17">
        <f t="shared" si="43"/>
        <v>77.001624981247971</v>
      </c>
      <c r="E192" s="17">
        <f t="shared" si="43"/>
        <v>76.046817990621776</v>
      </c>
      <c r="F192" s="17">
        <f t="shared" si="43"/>
        <v>69.698925299423124</v>
      </c>
      <c r="G192" s="17">
        <f t="shared" si="43"/>
        <v>44.362360119569722</v>
      </c>
      <c r="H192" s="17">
        <f t="shared" si="43"/>
        <v>43.763016265576852</v>
      </c>
      <c r="I192" s="17"/>
    </row>
    <row r="193" spans="1:27" x14ac:dyDescent="0.2">
      <c r="A193" s="11"/>
      <c r="C193" s="17"/>
      <c r="D193" s="17"/>
      <c r="E193" s="17"/>
      <c r="F193" s="17"/>
      <c r="G193" s="17"/>
      <c r="H193" s="17"/>
      <c r="I193" s="17"/>
    </row>
    <row r="194" spans="1:27" x14ac:dyDescent="0.2">
      <c r="A194" s="11"/>
      <c r="B194" s="25" t="s">
        <v>134</v>
      </c>
    </row>
    <row r="195" spans="1:27" x14ac:dyDescent="0.2">
      <c r="A195" s="11"/>
      <c r="B195" s="13"/>
    </row>
    <row r="196" spans="1:27" x14ac:dyDescent="0.2">
      <c r="A196" s="11"/>
      <c r="C196" s="30" t="str">
        <f>+I6</f>
        <v>SC2 Dem</v>
      </c>
      <c r="D196" s="34"/>
      <c r="E196" s="34"/>
      <c r="G196" s="20" t="s">
        <v>135</v>
      </c>
    </row>
    <row r="197" spans="1:27" x14ac:dyDescent="0.2">
      <c r="A197" s="11"/>
      <c r="C197" s="34"/>
      <c r="D197" s="34"/>
      <c r="F197" s="20"/>
    </row>
    <row r="198" spans="1:27" x14ac:dyDescent="0.2">
      <c r="A198" s="11"/>
      <c r="B198" s="126" t="s">
        <v>64</v>
      </c>
      <c r="C198" s="17">
        <f>+I124+$D$161</f>
        <v>40.966331021388896</v>
      </c>
      <c r="D198" s="17"/>
      <c r="G198" s="33" t="s">
        <v>136</v>
      </c>
    </row>
    <row r="199" spans="1:27" x14ac:dyDescent="0.2">
      <c r="A199" s="11"/>
      <c r="B199" s="127"/>
      <c r="C199" s="17"/>
      <c r="D199" s="17"/>
    </row>
    <row r="200" spans="1:27" x14ac:dyDescent="0.2">
      <c r="A200" s="11"/>
      <c r="B200" s="127"/>
      <c r="C200" s="17"/>
      <c r="D200" s="17"/>
      <c r="H200" s="30"/>
      <c r="I200" s="22" t="s">
        <v>137</v>
      </c>
      <c r="J200" s="22" t="s">
        <v>138</v>
      </c>
    </row>
    <row r="201" spans="1:27" x14ac:dyDescent="0.2">
      <c r="A201" s="11"/>
      <c r="C201" s="17"/>
      <c r="D201" s="17"/>
    </row>
    <row r="202" spans="1:27" x14ac:dyDescent="0.2">
      <c r="A202" s="11"/>
      <c r="B202" s="126" t="s">
        <v>70</v>
      </c>
      <c r="C202" s="17">
        <f>+I128+$D$161</f>
        <v>45.738301914912583</v>
      </c>
      <c r="D202" s="17"/>
      <c r="G202" s="102" t="s">
        <v>99</v>
      </c>
      <c r="H202" s="128"/>
      <c r="I202" s="194">
        <f>H213</f>
        <v>1.7</v>
      </c>
      <c r="J202" s="194">
        <f>I213</f>
        <v>5.8769999999999998</v>
      </c>
    </row>
    <row r="203" spans="1:27" x14ac:dyDescent="0.2">
      <c r="A203" s="11"/>
      <c r="B203" s="127"/>
      <c r="C203" s="17"/>
      <c r="D203" s="17"/>
      <c r="G203" s="102" t="s">
        <v>105</v>
      </c>
      <c r="H203" s="128"/>
      <c r="I203" s="194">
        <f>H214</f>
        <v>1.554</v>
      </c>
      <c r="J203" s="194">
        <f>I214</f>
        <v>5.4740000000000002</v>
      </c>
    </row>
    <row r="204" spans="1:27" x14ac:dyDescent="0.2">
      <c r="A204" s="11"/>
      <c r="B204" s="127"/>
      <c r="C204" s="17"/>
      <c r="D204" s="17"/>
    </row>
    <row r="205" spans="1:27" x14ac:dyDescent="0.2">
      <c r="A205" s="11"/>
      <c r="B205" s="127"/>
      <c r="C205" s="17"/>
      <c r="D205" s="17"/>
      <c r="G205" s="195" t="s">
        <v>139</v>
      </c>
      <c r="I205" s="123"/>
    </row>
    <row r="206" spans="1:27" x14ac:dyDescent="0.2">
      <c r="A206" s="11"/>
      <c r="B206" s="97" t="s">
        <v>140</v>
      </c>
      <c r="C206" s="17">
        <f>+I132+$D$161</f>
        <v>44.006396062862571</v>
      </c>
      <c r="D206" s="17"/>
      <c r="G206" s="102" t="s">
        <v>141</v>
      </c>
      <c r="H206" s="196">
        <f>+C147/1000/12</f>
        <v>4.1412500000000003</v>
      </c>
      <c r="I206" s="123" t="s">
        <v>142</v>
      </c>
      <c r="Q206" s="137"/>
    </row>
    <row r="207" spans="1:27" x14ac:dyDescent="0.2">
      <c r="A207" s="181" t="s">
        <v>128</v>
      </c>
      <c r="B207" s="197" t="s">
        <v>143</v>
      </c>
      <c r="C207" s="17"/>
      <c r="D207" s="17"/>
      <c r="L207" s="198" t="s">
        <v>135</v>
      </c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</row>
    <row r="208" spans="1:27" x14ac:dyDescent="0.2">
      <c r="A208" s="181"/>
      <c r="C208" s="17"/>
      <c r="D208" s="17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</row>
    <row r="209" spans="1:28" x14ac:dyDescent="0.2">
      <c r="A209" s="11"/>
      <c r="B209" s="200" t="s">
        <v>144</v>
      </c>
      <c r="C209" s="17"/>
      <c r="D209" s="17"/>
      <c r="F209" s="201" t="s">
        <v>136</v>
      </c>
      <c r="L209" s="202" t="s">
        <v>136</v>
      </c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</row>
    <row r="210" spans="1:28" x14ac:dyDescent="0.2">
      <c r="A210" s="11"/>
      <c r="B210" s="126" t="s">
        <v>64</v>
      </c>
      <c r="C210" s="19">
        <f>(C198*S48+($H213*($M$223/4*H144))+($I213*($M$223/4*H144))+($H206*$H144*I141*1000))/S48</f>
        <v>72.454686421393433</v>
      </c>
      <c r="D210" s="19"/>
      <c r="F210" s="120"/>
      <c r="L210" s="199"/>
      <c r="M210" s="199"/>
      <c r="N210" s="199"/>
      <c r="O210" s="199"/>
      <c r="P210" s="199"/>
      <c r="Q210" s="199"/>
      <c r="R210" s="199"/>
      <c r="S210" s="199"/>
      <c r="T210" s="199"/>
      <c r="U210" s="343" t="s">
        <v>145</v>
      </c>
      <c r="V210" s="343"/>
      <c r="W210" s="203"/>
      <c r="X210" s="203"/>
      <c r="Y210" s="199"/>
      <c r="Z210" s="199"/>
      <c r="AA210" s="199" t="s">
        <v>146</v>
      </c>
      <c r="AB210" s="97">
        <v>3</v>
      </c>
    </row>
    <row r="211" spans="1:28" x14ac:dyDescent="0.2">
      <c r="A211" s="11"/>
      <c r="B211" s="127"/>
      <c r="C211" s="17"/>
      <c r="D211" s="19"/>
      <c r="L211" s="199"/>
      <c r="M211" s="204" t="str">
        <f>I6</f>
        <v>SC2 Dem</v>
      </c>
      <c r="N211" s="205" t="s">
        <v>147</v>
      </c>
      <c r="O211" s="205" t="s">
        <v>138</v>
      </c>
      <c r="P211" s="199"/>
      <c r="Q211" s="199" t="s">
        <v>148</v>
      </c>
      <c r="R211" s="206" t="s">
        <v>147</v>
      </c>
      <c r="S211" s="206" t="s">
        <v>138</v>
      </c>
      <c r="T211" s="206" t="s">
        <v>149</v>
      </c>
      <c r="U211" s="199" t="s">
        <v>150</v>
      </c>
      <c r="V211" s="199" t="s">
        <v>151</v>
      </c>
      <c r="W211" s="199" t="s">
        <v>152</v>
      </c>
      <c r="X211" s="199" t="s">
        <v>153</v>
      </c>
      <c r="Y211" s="207">
        <v>0.33</v>
      </c>
      <c r="Z211" s="199"/>
      <c r="AA211" s="199"/>
    </row>
    <row r="212" spans="1:28" x14ac:dyDescent="0.2">
      <c r="A212" s="11"/>
      <c r="B212" s="127"/>
      <c r="C212" s="17"/>
      <c r="D212" s="19"/>
      <c r="F212" s="120"/>
      <c r="G212" s="30"/>
      <c r="H212" s="22" t="s">
        <v>137</v>
      </c>
      <c r="I212" s="22" t="s">
        <v>138</v>
      </c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</row>
    <row r="213" spans="1:28" x14ac:dyDescent="0.2">
      <c r="A213" s="11"/>
      <c r="C213" s="17"/>
      <c r="D213" s="17"/>
      <c r="F213" s="97" t="s">
        <v>99</v>
      </c>
      <c r="G213" s="194"/>
      <c r="H213" s="194">
        <f t="shared" ref="H213:I214" si="44">N213</f>
        <v>1.7</v>
      </c>
      <c r="I213" s="194">
        <f t="shared" si="44"/>
        <v>5.8769999999999998</v>
      </c>
      <c r="L213" s="206" t="s">
        <v>99</v>
      </c>
      <c r="M213" s="208">
        <f>ROUND(I139*D149*E144/$M$223,3)</f>
        <v>6.2350000000000003</v>
      </c>
      <c r="N213" s="118">
        <f>ROUND((Q213-W213*(1-$Y$211)*S213)/T213,$AB$210)</f>
        <v>1.7</v>
      </c>
      <c r="O213" s="118">
        <f>ROUND(N213+W213*(1-$Y$211),$AB$210)</f>
        <v>5.8769999999999998</v>
      </c>
      <c r="P213" s="199"/>
      <c r="Q213" s="208">
        <f>I139*D149*E144</f>
        <v>2268579.55436</v>
      </c>
      <c r="R213" s="209">
        <f>$M$229</f>
        <v>76575.863288562599</v>
      </c>
      <c r="S213" s="209">
        <f>$M$223</f>
        <v>363838.33671143744</v>
      </c>
      <c r="T213" s="210">
        <f>R213+S213</f>
        <v>440414.20000000007</v>
      </c>
      <c r="U213" s="199">
        <v>0</v>
      </c>
      <c r="V213" s="199">
        <f>ROUND(I139*D149*E144/$M$223,3)</f>
        <v>6.2350000000000003</v>
      </c>
      <c r="W213" s="199">
        <f>V213-U213</f>
        <v>6.2350000000000003</v>
      </c>
      <c r="X213" s="199"/>
      <c r="Y213" s="199"/>
      <c r="Z213" s="199"/>
      <c r="AA213" s="137">
        <f>N213*R213+O213*S213</f>
        <v>2268456.8724436741</v>
      </c>
      <c r="AB213" s="137">
        <f>Q213-AA213</f>
        <v>122.68191632581875</v>
      </c>
    </row>
    <row r="214" spans="1:28" x14ac:dyDescent="0.2">
      <c r="A214" s="11"/>
      <c r="B214" s="126" t="s">
        <v>70</v>
      </c>
      <c r="C214" s="19">
        <f>(C202*S44+($H214*($M$224/8*H145))+($I214*($M$224/8*H145))+($H206*$H145*I141*1000))/S44</f>
        <v>78.119088574489183</v>
      </c>
      <c r="D214" s="19"/>
      <c r="F214" s="97" t="s">
        <v>105</v>
      </c>
      <c r="G214" s="194"/>
      <c r="H214" s="194">
        <f t="shared" si="44"/>
        <v>1.554</v>
      </c>
      <c r="I214" s="194">
        <f t="shared" si="44"/>
        <v>5.4740000000000002</v>
      </c>
      <c r="L214" s="206" t="s">
        <v>105</v>
      </c>
      <c r="M214" s="208">
        <f>ROUND(I139*D150*E145/$M$224,3)</f>
        <v>5.851</v>
      </c>
      <c r="N214" s="97">
        <f>ROUND((Q214-W214*(1-$Y$211)*S214)/T214,$AB$210)</f>
        <v>1.554</v>
      </c>
      <c r="O214" s="118">
        <f>ROUND(N214+W214*(1-$Y$211),$AB$210)</f>
        <v>5.4740000000000002</v>
      </c>
      <c r="P214" s="199"/>
      <c r="Q214" s="208">
        <f>I139*D150*E145</f>
        <v>3912447.7585799992</v>
      </c>
      <c r="R214" s="209">
        <f>$M$230</f>
        <v>162027.69523290364</v>
      </c>
      <c r="S214" s="209">
        <f>$M$224</f>
        <v>668643.95476709632</v>
      </c>
      <c r="T214" s="210">
        <f>R214+S214</f>
        <v>830671.64999999991</v>
      </c>
      <c r="U214" s="199">
        <v>0</v>
      </c>
      <c r="V214" s="199">
        <f>ROUND(I139*D150*E145/$M$224,3)</f>
        <v>5.851</v>
      </c>
      <c r="W214" s="199">
        <f>V214-U214</f>
        <v>5.851</v>
      </c>
      <c r="X214" s="199"/>
      <c r="Y214" s="199"/>
      <c r="Z214" s="199"/>
      <c r="AA214" s="199"/>
    </row>
    <row r="215" spans="1:28" x14ac:dyDescent="0.2">
      <c r="A215" s="11"/>
      <c r="B215" s="127"/>
      <c r="C215" s="17"/>
      <c r="D215" s="19"/>
      <c r="H215" s="125"/>
      <c r="I215" s="125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  <c r="Z215" s="199"/>
      <c r="AA215" s="199"/>
    </row>
    <row r="216" spans="1:28" x14ac:dyDescent="0.2">
      <c r="A216" s="11"/>
      <c r="B216" s="127"/>
      <c r="C216" s="17"/>
      <c r="D216" s="19"/>
      <c r="L216" s="211" t="s">
        <v>139</v>
      </c>
      <c r="M216" s="199"/>
      <c r="N216" s="212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  <c r="AA216" s="199"/>
    </row>
    <row r="217" spans="1:28" x14ac:dyDescent="0.2">
      <c r="A217" s="11"/>
      <c r="B217" s="127"/>
      <c r="C217" s="17"/>
      <c r="D217" s="17"/>
      <c r="H217" s="124"/>
      <c r="I217" s="124"/>
      <c r="L217" s="206" t="s">
        <v>141</v>
      </c>
      <c r="M217" s="213">
        <f>+C147/1000/12</f>
        <v>4.1412500000000003</v>
      </c>
      <c r="N217" s="212" t="s">
        <v>142</v>
      </c>
      <c r="O217" s="199"/>
      <c r="P217" s="199"/>
      <c r="Q217" s="214">
        <f>Q213+Q214</f>
        <v>6181027.3129399996</v>
      </c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</row>
    <row r="218" spans="1:28" x14ac:dyDescent="0.2">
      <c r="A218" s="11"/>
      <c r="B218" s="97" t="s">
        <v>154</v>
      </c>
      <c r="C218" s="19">
        <f>(C206*I56+($H213*($M$229/4*H144)+$H214*($M$230/8*H145)+$I213*($M$223/4*H144)+$I214*($M$224/8*H145))+($H206*$H146*I141*1000))/I56</f>
        <v>72.574010386128322</v>
      </c>
      <c r="D218" s="1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99"/>
    </row>
    <row r="219" spans="1:28" x14ac:dyDescent="0.2">
      <c r="A219" s="11"/>
      <c r="C219" s="108"/>
      <c r="D219" s="108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  <c r="AA219" s="199"/>
    </row>
    <row r="220" spans="1:28" ht="13.5" thickBot="1" x14ac:dyDescent="0.25">
      <c r="A220" s="11"/>
      <c r="B220" s="20" t="s">
        <v>155</v>
      </c>
      <c r="C220" s="17"/>
      <c r="D220" s="17"/>
    </row>
    <row r="221" spans="1:28" x14ac:dyDescent="0.2">
      <c r="A221" s="11"/>
      <c r="B221" s="102" t="s">
        <v>156</v>
      </c>
      <c r="C221" s="18">
        <f>(+SUMPRODUCT(C192:H192,C56:H56)+SUMPRODUCT(C218,I56))/1000</f>
        <v>91186.496459440532</v>
      </c>
      <c r="L221" s="215" t="s">
        <v>157</v>
      </c>
      <c r="M221" s="216"/>
    </row>
    <row r="222" spans="1:28" x14ac:dyDescent="0.2">
      <c r="A222" s="11"/>
      <c r="C222" s="102" t="s">
        <v>158</v>
      </c>
      <c r="D222" s="19">
        <f>+C221/SUM(C56:I56)*1000</f>
        <v>85.79812642101011</v>
      </c>
      <c r="E222" s="97" t="s">
        <v>159</v>
      </c>
      <c r="L222" s="217"/>
      <c r="M222" s="218" t="s">
        <v>160</v>
      </c>
    </row>
    <row r="223" spans="1:28" x14ac:dyDescent="0.2">
      <c r="A223" s="11"/>
      <c r="C223" s="102" t="s">
        <v>161</v>
      </c>
      <c r="D223" s="19">
        <f>+C221/SUMPRODUCT(C56:I56,C81:I81)*1000</f>
        <v>79.870087357115821</v>
      </c>
      <c r="E223" s="97" t="s">
        <v>162</v>
      </c>
      <c r="L223" s="217" t="s">
        <v>69</v>
      </c>
      <c r="M223" s="219">
        <v>363838.33671143744</v>
      </c>
    </row>
    <row r="224" spans="1:28" ht="13.5" thickBot="1" x14ac:dyDescent="0.25">
      <c r="A224" s="11"/>
      <c r="L224" s="220" t="s">
        <v>62</v>
      </c>
      <c r="M224" s="221">
        <v>668643.95476709632</v>
      </c>
    </row>
    <row r="225" spans="1:13" x14ac:dyDescent="0.2">
      <c r="A225" s="11"/>
      <c r="E225" s="129"/>
    </row>
    <row r="226" spans="1:13" ht="13.5" thickBot="1" x14ac:dyDescent="0.25">
      <c r="A226" s="181" t="s">
        <v>163</v>
      </c>
      <c r="B226" s="20" t="s">
        <v>164</v>
      </c>
    </row>
    <row r="227" spans="1:13" x14ac:dyDescent="0.2">
      <c r="A227" s="11"/>
      <c r="B227" s="20"/>
      <c r="L227" s="215" t="s">
        <v>157</v>
      </c>
      <c r="M227" s="216"/>
    </row>
    <row r="228" spans="1:13" x14ac:dyDescent="0.2">
      <c r="A228" s="11"/>
      <c r="B228" s="20" t="s">
        <v>165</v>
      </c>
      <c r="L228" s="217"/>
      <c r="M228" s="218" t="s">
        <v>166</v>
      </c>
    </row>
    <row r="229" spans="1:13" x14ac:dyDescent="0.2">
      <c r="A229" s="11"/>
      <c r="B229" s="13" t="s">
        <v>167</v>
      </c>
      <c r="L229" s="217" t="s">
        <v>69</v>
      </c>
      <c r="M229" s="219">
        <v>76575.863288562599</v>
      </c>
    </row>
    <row r="230" spans="1:13" ht="13.5" thickBot="1" x14ac:dyDescent="0.25">
      <c r="A230" s="11"/>
      <c r="B230" s="20"/>
      <c r="L230" s="220" t="s">
        <v>62</v>
      </c>
      <c r="M230" s="221">
        <v>162027.69523290364</v>
      </c>
    </row>
    <row r="231" spans="1:13" x14ac:dyDescent="0.2">
      <c r="A231" s="11"/>
      <c r="C231" s="30" t="str">
        <f t="shared" ref="C231:H231" si="45">+C6</f>
        <v>SC1</v>
      </c>
      <c r="D231" s="30" t="str">
        <f t="shared" si="45"/>
        <v>SC5</v>
      </c>
      <c r="E231" s="30" t="str">
        <f t="shared" si="45"/>
        <v>SC3</v>
      </c>
      <c r="F231" s="30" t="str">
        <f t="shared" si="45"/>
        <v>SC2 ND</v>
      </c>
      <c r="G231" s="30" t="str">
        <f t="shared" si="45"/>
        <v>SC4</v>
      </c>
      <c r="H231" s="30" t="str">
        <f t="shared" si="45"/>
        <v>SC6</v>
      </c>
    </row>
    <row r="232" spans="1:13" x14ac:dyDescent="0.2">
      <c r="A232" s="11"/>
      <c r="C232" s="34"/>
      <c r="D232" s="34"/>
      <c r="E232" s="34"/>
      <c r="F232" s="34"/>
    </row>
    <row r="233" spans="1:13" x14ac:dyDescent="0.2">
      <c r="A233" s="11"/>
      <c r="B233" s="126" t="s">
        <v>64</v>
      </c>
      <c r="C233" s="21">
        <f>ROUND(+C181/$D$223,3)</f>
        <v>1.091</v>
      </c>
      <c r="D233" s="21">
        <f>ROUND(+D181/$D$223,3)</f>
        <v>0.93400000000000005</v>
      </c>
      <c r="E233" s="222"/>
      <c r="F233" s="21">
        <f>ROUND(+F181/$D$223,3)</f>
        <v>0.85499999999999998</v>
      </c>
      <c r="G233" s="21">
        <f>ROUND(+G181/$D$223,3)</f>
        <v>0.505</v>
      </c>
      <c r="H233" s="21">
        <f>ROUND(+H181/$D$223,3)</f>
        <v>0.505</v>
      </c>
      <c r="I233" s="131"/>
      <c r="J233" s="131"/>
      <c r="K233" s="131"/>
    </row>
    <row r="234" spans="1:13" x14ac:dyDescent="0.2">
      <c r="A234" s="11"/>
      <c r="B234" s="127" t="s">
        <v>79</v>
      </c>
      <c r="C234" s="222"/>
      <c r="D234" s="222"/>
      <c r="E234" s="21">
        <f>ROUND(+E182/$D$223,3)</f>
        <v>1.4870000000000001</v>
      </c>
      <c r="F234" s="222"/>
      <c r="G234" s="222"/>
      <c r="H234" s="222"/>
      <c r="I234" s="131"/>
      <c r="J234" s="131"/>
      <c r="K234" s="131"/>
    </row>
    <row r="235" spans="1:13" x14ac:dyDescent="0.2">
      <c r="A235" s="11"/>
      <c r="B235" s="127" t="s">
        <v>80</v>
      </c>
      <c r="C235" s="222"/>
      <c r="D235" s="222"/>
      <c r="E235" s="21">
        <f>ROUND(+E183/$D$223,3)</f>
        <v>0.57999999999999996</v>
      </c>
      <c r="F235" s="222"/>
      <c r="G235" s="222"/>
      <c r="H235" s="222"/>
      <c r="I235" s="131"/>
      <c r="J235" s="131"/>
      <c r="K235" s="131"/>
    </row>
    <row r="236" spans="1:13" x14ac:dyDescent="0.2">
      <c r="A236" s="11"/>
      <c r="B236" s="127"/>
      <c r="C236" s="222"/>
      <c r="D236" s="222"/>
      <c r="E236" s="223"/>
      <c r="F236" s="222"/>
      <c r="G236" s="222"/>
      <c r="H236" s="222"/>
      <c r="I236" s="131"/>
      <c r="J236" s="131"/>
      <c r="K236" s="131"/>
    </row>
    <row r="237" spans="1:13" x14ac:dyDescent="0.2">
      <c r="A237" s="11"/>
      <c r="B237" s="22"/>
      <c r="E237" s="223"/>
      <c r="F237" s="222"/>
      <c r="G237" s="222"/>
      <c r="H237" s="222"/>
      <c r="I237" s="131"/>
      <c r="J237" s="131"/>
      <c r="K237" s="131"/>
    </row>
    <row r="238" spans="1:13" x14ac:dyDescent="0.2">
      <c r="A238" s="11"/>
      <c r="B238" s="23" t="s">
        <v>168</v>
      </c>
      <c r="C238" s="24">
        <f>C184-C181</f>
        <v>-13.839475000000007</v>
      </c>
      <c r="D238" s="24">
        <f>D184-D181</f>
        <v>-6.5310049999999933</v>
      </c>
      <c r="E238" s="223"/>
      <c r="F238" s="222"/>
      <c r="G238" s="222"/>
      <c r="H238" s="222"/>
      <c r="I238" s="131"/>
      <c r="J238" s="131"/>
      <c r="K238" s="131"/>
    </row>
    <row r="239" spans="1:13" x14ac:dyDescent="0.2">
      <c r="A239" s="11"/>
      <c r="B239" s="23" t="s">
        <v>169</v>
      </c>
      <c r="C239" s="24">
        <f>C185-C181</f>
        <v>10.410525000000007</v>
      </c>
      <c r="D239" s="24">
        <f>D185-D181</f>
        <v>10.498995000000008</v>
      </c>
      <c r="E239" s="223"/>
      <c r="F239" s="222"/>
      <c r="G239" s="222"/>
      <c r="H239" s="222"/>
      <c r="I239" s="131"/>
      <c r="J239" s="131"/>
      <c r="K239" s="131"/>
    </row>
    <row r="240" spans="1:13" x14ac:dyDescent="0.2">
      <c r="A240" s="11"/>
      <c r="B240" s="222"/>
      <c r="C240" s="222"/>
      <c r="D240" s="222"/>
      <c r="E240" s="223"/>
      <c r="F240" s="222"/>
      <c r="G240" s="222"/>
      <c r="H240" s="222"/>
      <c r="I240" s="131"/>
      <c r="J240" s="131"/>
      <c r="K240" s="131"/>
    </row>
    <row r="241" spans="1:11" x14ac:dyDescent="0.2">
      <c r="A241" s="11"/>
      <c r="C241" s="222"/>
      <c r="D241" s="222"/>
      <c r="E241" s="222"/>
      <c r="F241" s="222"/>
      <c r="G241" s="222"/>
      <c r="H241" s="222"/>
      <c r="I241" s="131"/>
      <c r="J241" s="131"/>
      <c r="K241" s="131"/>
    </row>
    <row r="242" spans="1:11" x14ac:dyDescent="0.2">
      <c r="A242" s="11"/>
      <c r="B242" s="126" t="s">
        <v>70</v>
      </c>
      <c r="C242" s="21">
        <f>ROUND(+C188/$D$223,3)</f>
        <v>1.256</v>
      </c>
      <c r="D242" s="21">
        <f>ROUND(+D188/$D$223,3)</f>
        <v>0.98</v>
      </c>
      <c r="E242" s="224"/>
      <c r="F242" s="21">
        <f>ROUND(+F188/$D$223,3)</f>
        <v>0.88100000000000001</v>
      </c>
      <c r="G242" s="21">
        <f>ROUND(+G188/$D$223,3)</f>
        <v>0.57499999999999996</v>
      </c>
      <c r="H242" s="21">
        <f>ROUND(+H188/$D$223,3)</f>
        <v>0.56699999999999995</v>
      </c>
      <c r="I242" s="131"/>
      <c r="J242" s="131"/>
      <c r="K242" s="131"/>
    </row>
    <row r="243" spans="1:11" x14ac:dyDescent="0.2">
      <c r="A243" s="11"/>
      <c r="B243" s="127" t="s">
        <v>79</v>
      </c>
      <c r="C243" s="222"/>
      <c r="D243" s="222"/>
      <c r="E243" s="21">
        <f>ROUND(+E189/$D$223,3)</f>
        <v>1.4770000000000001</v>
      </c>
      <c r="F243" s="222"/>
      <c r="G243" s="222"/>
      <c r="H243" s="222"/>
      <c r="I243" s="131"/>
      <c r="J243" s="131"/>
      <c r="K243" s="131"/>
    </row>
    <row r="244" spans="1:11" x14ac:dyDescent="0.2">
      <c r="A244" s="11"/>
      <c r="B244" s="127" t="s">
        <v>80</v>
      </c>
      <c r="C244" s="222"/>
      <c r="D244" s="222"/>
      <c r="E244" s="21">
        <f>ROUND(+E190/$D$223,3)</f>
        <v>0.67600000000000005</v>
      </c>
      <c r="F244" s="222"/>
      <c r="G244" s="222"/>
      <c r="H244" s="222"/>
      <c r="I244" s="131"/>
      <c r="J244" s="131"/>
      <c r="K244" s="131"/>
    </row>
    <row r="245" spans="1:11" x14ac:dyDescent="0.2">
      <c r="A245" s="11"/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1:11" x14ac:dyDescent="0.2">
      <c r="A246" s="11"/>
      <c r="B246" s="97" t="s">
        <v>170</v>
      </c>
      <c r="C246" s="225">
        <f t="shared" ref="C246:H246" si="46">ROUND(+C192/$D$223,3)</f>
        <v>1.1850000000000001</v>
      </c>
      <c r="D246" s="225">
        <f t="shared" si="46"/>
        <v>0.96399999999999997</v>
      </c>
      <c r="E246" s="225">
        <f t="shared" si="46"/>
        <v>0.95199999999999996</v>
      </c>
      <c r="F246" s="225">
        <f t="shared" si="46"/>
        <v>0.873</v>
      </c>
      <c r="G246" s="225">
        <f t="shared" si="46"/>
        <v>0.55500000000000005</v>
      </c>
      <c r="H246" s="225">
        <f t="shared" si="46"/>
        <v>0.54800000000000004</v>
      </c>
      <c r="I246" s="131"/>
      <c r="J246" s="131"/>
      <c r="K246" s="131"/>
    </row>
    <row r="247" spans="1:11" x14ac:dyDescent="0.2">
      <c r="A247" s="11"/>
    </row>
    <row r="248" spans="1:11" x14ac:dyDescent="0.2">
      <c r="A248" s="181" t="s">
        <v>163</v>
      </c>
      <c r="B248" s="197" t="s">
        <v>143</v>
      </c>
    </row>
    <row r="249" spans="1:11" x14ac:dyDescent="0.2">
      <c r="A249" s="181"/>
      <c r="B249" s="197"/>
    </row>
    <row r="250" spans="1:11" x14ac:dyDescent="0.2">
      <c r="A250" s="11"/>
      <c r="B250" s="20" t="s">
        <v>171</v>
      </c>
    </row>
    <row r="251" spans="1:11" x14ac:dyDescent="0.2">
      <c r="A251" s="11"/>
      <c r="B251" s="13" t="s">
        <v>172</v>
      </c>
    </row>
    <row r="252" spans="1:11" x14ac:dyDescent="0.2">
      <c r="A252" s="11"/>
    </row>
    <row r="253" spans="1:11" x14ac:dyDescent="0.2">
      <c r="A253" s="11"/>
      <c r="C253" s="22" t="str">
        <f>+I6</f>
        <v>SC2 Dem</v>
      </c>
      <c r="D253" s="22" t="str">
        <f>+C253</f>
        <v>SC2 Dem</v>
      </c>
      <c r="E253" s="34"/>
      <c r="F253" s="34"/>
      <c r="G253" s="226" t="s">
        <v>135</v>
      </c>
    </row>
    <row r="254" spans="1:11" x14ac:dyDescent="0.2">
      <c r="A254" s="11"/>
      <c r="C254" s="30" t="s">
        <v>173</v>
      </c>
      <c r="D254" s="30" t="s">
        <v>174</v>
      </c>
      <c r="E254" s="34"/>
      <c r="F254" s="34"/>
      <c r="G254" s="120"/>
    </row>
    <row r="255" spans="1:11" x14ac:dyDescent="0.2">
      <c r="A255" s="11"/>
      <c r="B255" s="126" t="s">
        <v>64</v>
      </c>
      <c r="C255" s="21">
        <f>ROUND(+C210/$D$223,3)</f>
        <v>0.90700000000000003</v>
      </c>
      <c r="D255" s="227">
        <f>+C198-C210</f>
        <v>-31.488355400004536</v>
      </c>
      <c r="F255" s="137"/>
      <c r="G255" s="201" t="s">
        <v>136</v>
      </c>
    </row>
    <row r="256" spans="1:11" x14ac:dyDescent="0.2">
      <c r="A256" s="11"/>
      <c r="B256" s="228"/>
      <c r="C256" s="222"/>
      <c r="D256" s="20"/>
      <c r="E256" s="223"/>
      <c r="F256" s="229"/>
      <c r="G256" s="120"/>
    </row>
    <row r="257" spans="1:10" x14ac:dyDescent="0.2">
      <c r="A257" s="11"/>
      <c r="B257" s="127"/>
      <c r="C257" s="222"/>
      <c r="D257" s="20"/>
      <c r="E257" s="223"/>
      <c r="F257" s="229"/>
      <c r="G257" s="120"/>
      <c r="H257" s="30"/>
      <c r="I257" s="22" t="s">
        <v>137</v>
      </c>
      <c r="J257" s="22" t="s">
        <v>138</v>
      </c>
    </row>
    <row r="258" spans="1:10" x14ac:dyDescent="0.2">
      <c r="A258" s="11"/>
      <c r="C258" s="222"/>
      <c r="D258" s="20"/>
      <c r="E258" s="222"/>
      <c r="F258" s="229"/>
      <c r="G258" s="120"/>
    </row>
    <row r="259" spans="1:10" x14ac:dyDescent="0.2">
      <c r="A259" s="11"/>
      <c r="B259" s="126" t="s">
        <v>70</v>
      </c>
      <c r="C259" s="21">
        <f>ROUND(+C214/$D$223,3)</f>
        <v>0.97799999999999998</v>
      </c>
      <c r="D259" s="227">
        <f>+C202-C214</f>
        <v>-32.3807866595766</v>
      </c>
      <c r="E259" s="223"/>
      <c r="F259" s="229"/>
      <c r="G259" s="230" t="s">
        <v>99</v>
      </c>
      <c r="H259" s="128"/>
      <c r="I259" s="107">
        <f>N213</f>
        <v>1.7</v>
      </c>
      <c r="J259" s="107">
        <f>O213</f>
        <v>5.8769999999999998</v>
      </c>
    </row>
    <row r="260" spans="1:10" x14ac:dyDescent="0.2">
      <c r="A260" s="11"/>
      <c r="B260" s="228"/>
      <c r="C260" s="222"/>
      <c r="E260" s="223"/>
      <c r="F260" s="229"/>
      <c r="G260" s="230" t="s">
        <v>105</v>
      </c>
      <c r="H260" s="128"/>
      <c r="I260" s="107">
        <f>N214</f>
        <v>1.554</v>
      </c>
      <c r="J260" s="107">
        <f>O214</f>
        <v>5.4740000000000002</v>
      </c>
    </row>
    <row r="261" spans="1:10" x14ac:dyDescent="0.2">
      <c r="A261" s="11"/>
      <c r="B261" s="127"/>
      <c r="C261" s="222"/>
      <c r="E261" s="223"/>
      <c r="F261" s="229"/>
      <c r="G261" s="230"/>
      <c r="H261" s="107"/>
      <c r="I261" s="123"/>
    </row>
    <row r="262" spans="1:10" x14ac:dyDescent="0.2">
      <c r="A262" s="11"/>
      <c r="C262" s="131"/>
      <c r="E262" s="131"/>
      <c r="G262" s="231" t="s">
        <v>139</v>
      </c>
    </row>
    <row r="263" spans="1:10" x14ac:dyDescent="0.2">
      <c r="A263" s="11"/>
      <c r="B263" s="97" t="s">
        <v>154</v>
      </c>
      <c r="C263" s="225">
        <f>ROUND(+C218/$D$223,3)</f>
        <v>0.90900000000000003</v>
      </c>
      <c r="E263" s="131"/>
      <c r="G263" s="230" t="s">
        <v>141</v>
      </c>
      <c r="H263" s="128">
        <f>+H206</f>
        <v>4.1412500000000003</v>
      </c>
      <c r="I263" s="123" t="s">
        <v>142</v>
      </c>
    </row>
    <row r="264" spans="1:10" x14ac:dyDescent="0.2">
      <c r="A264" s="11"/>
      <c r="C264" s="131"/>
      <c r="E264" s="131"/>
    </row>
    <row r="265" spans="1:10" x14ac:dyDescent="0.2">
      <c r="A265" s="11"/>
      <c r="C265" s="131"/>
      <c r="E265" s="131"/>
    </row>
    <row r="266" spans="1:10" x14ac:dyDescent="0.2">
      <c r="A266" s="181" t="s">
        <v>175</v>
      </c>
      <c r="B266" s="25" t="s">
        <v>176</v>
      </c>
    </row>
    <row r="267" spans="1:10" x14ac:dyDescent="0.2">
      <c r="A267" s="11"/>
      <c r="B267" s="20"/>
    </row>
    <row r="268" spans="1:10" x14ac:dyDescent="0.2">
      <c r="A268" s="11"/>
      <c r="B268" s="20" t="s">
        <v>165</v>
      </c>
    </row>
    <row r="269" spans="1:10" x14ac:dyDescent="0.2">
      <c r="A269" s="11"/>
      <c r="B269" s="2" t="s">
        <v>177</v>
      </c>
    </row>
    <row r="270" spans="1:10" x14ac:dyDescent="0.2">
      <c r="A270" s="11"/>
      <c r="B270" s="13" t="s">
        <v>61</v>
      </c>
    </row>
    <row r="271" spans="1:10" x14ac:dyDescent="0.2">
      <c r="A271" s="11"/>
      <c r="C271" s="30" t="str">
        <f t="shared" ref="C271:H271" si="47">+C6</f>
        <v>SC1</v>
      </c>
      <c r="D271" s="30" t="str">
        <f t="shared" si="47"/>
        <v>SC5</v>
      </c>
      <c r="E271" s="30" t="str">
        <f t="shared" si="47"/>
        <v>SC3</v>
      </c>
      <c r="F271" s="30" t="str">
        <f t="shared" si="47"/>
        <v>SC2 ND</v>
      </c>
      <c r="G271" s="30" t="str">
        <f t="shared" si="47"/>
        <v>SC4</v>
      </c>
      <c r="H271" s="30" t="str">
        <f t="shared" si="47"/>
        <v>SC6</v>
      </c>
    </row>
    <row r="272" spans="1:10" x14ac:dyDescent="0.2">
      <c r="A272" s="11"/>
      <c r="C272" s="34"/>
      <c r="D272" s="34"/>
      <c r="E272" s="17"/>
      <c r="F272" s="34"/>
    </row>
    <row r="273" spans="1:9" x14ac:dyDescent="0.2">
      <c r="A273" s="11"/>
      <c r="B273" s="126" t="s">
        <v>64</v>
      </c>
      <c r="C273" s="19">
        <f t="shared" ref="C273:H273" si="48">C181-C$167</f>
        <v>67.870507004505853</v>
      </c>
      <c r="D273" s="19">
        <f t="shared" si="48"/>
        <v>61.932353480002647</v>
      </c>
      <c r="E273" s="19">
        <f t="shared" si="48"/>
        <v>62.4245310194773</v>
      </c>
      <c r="F273" s="19">
        <f t="shared" si="48"/>
        <v>56.399620663411561</v>
      </c>
      <c r="G273" s="19">
        <f t="shared" si="48"/>
        <v>40.320555602764983</v>
      </c>
      <c r="H273" s="19">
        <f t="shared" si="48"/>
        <v>40.299347935000995</v>
      </c>
      <c r="I273" s="17"/>
    </row>
    <row r="274" spans="1:9" x14ac:dyDescent="0.2">
      <c r="A274" s="11"/>
      <c r="B274" s="127" t="s">
        <v>79</v>
      </c>
      <c r="C274" s="17"/>
      <c r="D274" s="17"/>
      <c r="E274" s="19">
        <f>E182-E$167</f>
        <v>107.23442266200169</v>
      </c>
      <c r="F274" s="17"/>
      <c r="G274" s="17"/>
      <c r="H274" s="17"/>
    </row>
    <row r="275" spans="1:9" x14ac:dyDescent="0.2">
      <c r="A275" s="11"/>
      <c r="B275" s="127" t="s">
        <v>80</v>
      </c>
      <c r="C275" s="17"/>
      <c r="D275" s="17"/>
      <c r="E275" s="19">
        <f>E183-E$167</f>
        <v>34.738609688636224</v>
      </c>
      <c r="F275" s="17"/>
      <c r="G275" s="17"/>
      <c r="H275" s="17"/>
    </row>
    <row r="276" spans="1:9" x14ac:dyDescent="0.2">
      <c r="A276" s="11"/>
      <c r="B276" s="102" t="s">
        <v>131</v>
      </c>
      <c r="C276" s="17">
        <f>(C273*SUM(C49:C52)-C158*10*E157*SUM(C49:C52))/SUM(C49:C52)</f>
        <v>54.031032004505839</v>
      </c>
      <c r="D276" s="17">
        <f>(D273*SUM(D49:D52)-I157*10*J157*SUM(D49:D52))/SUM(D49:D52)</f>
        <v>55.401348480002646</v>
      </c>
      <c r="E276" s="19"/>
      <c r="F276" s="17"/>
      <c r="G276" s="17"/>
      <c r="H276" s="17"/>
    </row>
    <row r="277" spans="1:9" x14ac:dyDescent="0.2">
      <c r="A277" s="11"/>
      <c r="B277" s="102" t="s">
        <v>132</v>
      </c>
      <c r="C277" s="17">
        <f>C276+C158*10</f>
        <v>78.281032004505846</v>
      </c>
      <c r="D277" s="17">
        <f>D276+I157*10</f>
        <v>72.43134848000264</v>
      </c>
      <c r="E277" s="19"/>
      <c r="F277" s="17"/>
      <c r="G277" s="17"/>
      <c r="H277" s="17"/>
    </row>
    <row r="278" spans="1:9" x14ac:dyDescent="0.2">
      <c r="A278" s="11"/>
      <c r="B278" s="17"/>
      <c r="C278" s="17"/>
      <c r="D278" s="17"/>
      <c r="E278" s="19"/>
      <c r="F278" s="17"/>
      <c r="G278" s="17"/>
      <c r="H278" s="17"/>
    </row>
    <row r="279" spans="1:9" x14ac:dyDescent="0.2">
      <c r="A279" s="11"/>
      <c r="C279" s="17"/>
      <c r="D279" s="17"/>
      <c r="E279" s="17"/>
      <c r="F279" s="17"/>
      <c r="G279" s="17"/>
      <c r="H279" s="17"/>
    </row>
    <row r="280" spans="1:9" x14ac:dyDescent="0.2">
      <c r="A280" s="11"/>
      <c r="B280" s="126" t="s">
        <v>70</v>
      </c>
      <c r="C280" s="19">
        <f t="shared" ref="C280:H280" si="49">C188-C$167</f>
        <v>81.053388090195625</v>
      </c>
      <c r="D280" s="19">
        <f t="shared" si="49"/>
        <v>65.569493326471871</v>
      </c>
      <c r="E280" s="19">
        <f t="shared" si="49"/>
        <v>65.499721268357092</v>
      </c>
      <c r="F280" s="19">
        <f t="shared" si="49"/>
        <v>58.444627877492444</v>
      </c>
      <c r="G280" s="19">
        <f t="shared" si="49"/>
        <v>45.943435855161901</v>
      </c>
      <c r="H280" s="19">
        <f t="shared" si="49"/>
        <v>45.250595895995794</v>
      </c>
      <c r="I280" s="17"/>
    </row>
    <row r="281" spans="1:9" x14ac:dyDescent="0.2">
      <c r="A281" s="11"/>
      <c r="B281" s="127" t="s">
        <v>79</v>
      </c>
      <c r="C281" s="17"/>
      <c r="D281" s="17"/>
      <c r="E281" s="19">
        <f>E189-E$167</f>
        <v>106.41579569254722</v>
      </c>
      <c r="F281" s="17"/>
      <c r="G281" s="17"/>
      <c r="H281" s="17"/>
    </row>
    <row r="282" spans="1:9" x14ac:dyDescent="0.2">
      <c r="A282" s="11"/>
      <c r="B282" s="127" t="s">
        <v>80</v>
      </c>
      <c r="C282" s="17"/>
      <c r="D282" s="17"/>
      <c r="E282" s="19">
        <f>E190-E$167</f>
        <v>42.396858242368531</v>
      </c>
      <c r="F282" s="17"/>
      <c r="G282" s="17"/>
      <c r="H282" s="17"/>
    </row>
    <row r="283" spans="1:9" x14ac:dyDescent="0.2">
      <c r="A283" s="11"/>
      <c r="C283" s="17"/>
      <c r="D283" s="17"/>
      <c r="E283" s="17"/>
      <c r="F283" s="17"/>
      <c r="G283" s="17"/>
      <c r="H283" s="17"/>
    </row>
    <row r="284" spans="1:9" x14ac:dyDescent="0.2">
      <c r="A284" s="11"/>
      <c r="B284" s="97" t="s">
        <v>133</v>
      </c>
      <c r="C284" s="19">
        <f t="shared" ref="C284:H284" si="50">C192-C$167</f>
        <v>75.385082135158001</v>
      </c>
      <c r="D284" s="19">
        <f t="shared" si="50"/>
        <v>64.329954829190413</v>
      </c>
      <c r="E284" s="19">
        <f t="shared" si="50"/>
        <v>64.480723316065564</v>
      </c>
      <c r="F284" s="19">
        <f t="shared" si="50"/>
        <v>57.812748940144708</v>
      </c>
      <c r="G284" s="19">
        <f t="shared" si="50"/>
        <v>44.362360119569722</v>
      </c>
      <c r="H284" s="19">
        <f t="shared" si="50"/>
        <v>43.763016265576852</v>
      </c>
      <c r="I284" s="17"/>
    </row>
    <row r="285" spans="1:9" x14ac:dyDescent="0.2">
      <c r="A285" s="11"/>
      <c r="C285" s="17"/>
      <c r="D285" s="17"/>
      <c r="E285" s="17"/>
      <c r="F285" s="17"/>
      <c r="G285" s="17"/>
      <c r="H285" s="17"/>
      <c r="I285" s="17"/>
    </row>
    <row r="286" spans="1:9" x14ac:dyDescent="0.2">
      <c r="A286" s="181" t="s">
        <v>175</v>
      </c>
      <c r="B286" s="197" t="s">
        <v>143</v>
      </c>
      <c r="C286" s="17"/>
      <c r="D286" s="17"/>
      <c r="E286" s="17"/>
      <c r="F286" s="17"/>
      <c r="G286" s="17"/>
      <c r="H286" s="17"/>
      <c r="I286" s="17"/>
    </row>
    <row r="287" spans="1:9" x14ac:dyDescent="0.2">
      <c r="A287" s="11"/>
      <c r="C287" s="17"/>
      <c r="D287" s="17"/>
      <c r="E287" s="17"/>
      <c r="F287" s="17"/>
      <c r="G287" s="17"/>
      <c r="H287" s="17"/>
      <c r="I287" s="17"/>
    </row>
    <row r="288" spans="1:9" x14ac:dyDescent="0.2">
      <c r="A288" s="11"/>
      <c r="B288" s="20" t="s">
        <v>171</v>
      </c>
    </row>
    <row r="289" spans="1:12" x14ac:dyDescent="0.2">
      <c r="A289" s="11"/>
      <c r="B289" s="2" t="s">
        <v>178</v>
      </c>
    </row>
    <row r="290" spans="1:12" x14ac:dyDescent="0.2">
      <c r="A290" s="11"/>
      <c r="B290" s="11" t="s">
        <v>179</v>
      </c>
    </row>
    <row r="291" spans="1:12" x14ac:dyDescent="0.2">
      <c r="A291" s="11"/>
      <c r="B291" s="11"/>
    </row>
    <row r="292" spans="1:12" x14ac:dyDescent="0.2">
      <c r="A292" s="11"/>
      <c r="C292" s="30" t="str">
        <f>+I6</f>
        <v>SC2 Dem</v>
      </c>
      <c r="D292" s="34"/>
      <c r="E292" s="34"/>
      <c r="G292" s="20" t="s">
        <v>135</v>
      </c>
    </row>
    <row r="293" spans="1:12" x14ac:dyDescent="0.2">
      <c r="A293" s="11"/>
      <c r="C293" s="34"/>
      <c r="D293" s="34"/>
      <c r="F293" s="20"/>
    </row>
    <row r="294" spans="1:12" x14ac:dyDescent="0.2">
      <c r="A294" s="11"/>
      <c r="B294" s="126" t="s">
        <v>64</v>
      </c>
      <c r="C294" s="17">
        <f>C198</f>
        <v>40.966331021388896</v>
      </c>
      <c r="D294" s="17"/>
      <c r="G294" s="33" t="s">
        <v>136</v>
      </c>
    </row>
    <row r="295" spans="1:12" x14ac:dyDescent="0.2">
      <c r="A295" s="11"/>
      <c r="B295" s="127"/>
      <c r="C295" s="17"/>
      <c r="D295" s="17"/>
    </row>
    <row r="296" spans="1:12" x14ac:dyDescent="0.2">
      <c r="A296" s="11"/>
      <c r="B296" s="127"/>
      <c r="C296" s="17"/>
      <c r="D296" s="17"/>
      <c r="H296" s="30"/>
      <c r="I296" s="30" t="str">
        <f t="shared" ref="I296:J296" si="51">I257</f>
        <v>&lt; 5 kW</v>
      </c>
      <c r="J296" s="30" t="str">
        <f t="shared" si="51"/>
        <v>&gt; 5 kW</v>
      </c>
    </row>
    <row r="297" spans="1:12" x14ac:dyDescent="0.2">
      <c r="A297" s="11"/>
      <c r="C297" s="17"/>
      <c r="D297" s="17"/>
    </row>
    <row r="298" spans="1:12" x14ac:dyDescent="0.2">
      <c r="A298" s="11"/>
      <c r="B298" s="126" t="s">
        <v>70</v>
      </c>
      <c r="C298" s="17">
        <f>C202</f>
        <v>45.738301914912583</v>
      </c>
      <c r="D298" s="17"/>
      <c r="G298" s="102" t="s">
        <v>99</v>
      </c>
      <c r="H298" s="128"/>
      <c r="I298" s="128">
        <f t="shared" ref="I298:J299" si="52">I259</f>
        <v>1.7</v>
      </c>
      <c r="J298" s="128">
        <f t="shared" si="52"/>
        <v>5.8769999999999998</v>
      </c>
    </row>
    <row r="299" spans="1:12" x14ac:dyDescent="0.2">
      <c r="A299" s="11"/>
      <c r="B299" s="127"/>
      <c r="C299" s="17"/>
      <c r="D299" s="17"/>
      <c r="G299" s="102" t="s">
        <v>105</v>
      </c>
      <c r="H299" s="128"/>
      <c r="I299" s="128">
        <f t="shared" si="52"/>
        <v>1.554</v>
      </c>
      <c r="J299" s="128">
        <f t="shared" si="52"/>
        <v>5.4740000000000002</v>
      </c>
    </row>
    <row r="300" spans="1:12" x14ac:dyDescent="0.2">
      <c r="A300" s="11"/>
      <c r="B300" s="127"/>
      <c r="C300" s="17"/>
      <c r="D300" s="17"/>
    </row>
    <row r="301" spans="1:12" x14ac:dyDescent="0.2">
      <c r="A301" s="11"/>
      <c r="B301" s="127"/>
      <c r="C301" s="17"/>
      <c r="D301" s="17"/>
      <c r="G301" s="195"/>
      <c r="I301" s="123"/>
    </row>
    <row r="302" spans="1:12" ht="13.5" thickBot="1" x14ac:dyDescent="0.25">
      <c r="A302" s="11"/>
      <c r="B302" s="97" t="s">
        <v>140</v>
      </c>
      <c r="C302" s="17">
        <f>C206</f>
        <v>44.006396062862571</v>
      </c>
      <c r="D302" s="17"/>
      <c r="G302" s="102"/>
      <c r="H302" s="196"/>
      <c r="I302" s="123"/>
    </row>
    <row r="303" spans="1:12" x14ac:dyDescent="0.2">
      <c r="A303" s="11"/>
      <c r="C303" s="17"/>
      <c r="D303" s="17"/>
      <c r="K303" s="215" t="s">
        <v>157</v>
      </c>
      <c r="L303" s="216"/>
    </row>
    <row r="304" spans="1:12" x14ac:dyDescent="0.2">
      <c r="A304" s="11"/>
      <c r="B304" s="232" t="s">
        <v>180</v>
      </c>
      <c r="C304" s="17"/>
      <c r="D304" s="17"/>
      <c r="E304" s="137"/>
      <c r="K304" s="217"/>
      <c r="L304" s="218" t="s">
        <v>160</v>
      </c>
    </row>
    <row r="305" spans="1:14" x14ac:dyDescent="0.2">
      <c r="A305" s="11"/>
      <c r="B305" s="126" t="s">
        <v>64</v>
      </c>
      <c r="C305" s="19">
        <f>(C294*S48+($I298*($L$305/4*H144))+($J298*($L$305/4*H144)))/S48</f>
        <v>61.743722239784411</v>
      </c>
      <c r="D305" s="19"/>
      <c r="E305" s="122"/>
      <c r="K305" s="217" t="s">
        <v>69</v>
      </c>
      <c r="L305" s="219">
        <v>363838.33671143744</v>
      </c>
    </row>
    <row r="306" spans="1:14" ht="13.5" thickBot="1" x14ac:dyDescent="0.25">
      <c r="A306" s="11"/>
      <c r="B306" s="127"/>
      <c r="C306" s="17"/>
      <c r="D306" s="19"/>
      <c r="K306" s="220" t="s">
        <v>62</v>
      </c>
      <c r="L306" s="221">
        <v>668643.95476709632</v>
      </c>
      <c r="N306" s="19"/>
    </row>
    <row r="307" spans="1:14" x14ac:dyDescent="0.2">
      <c r="A307" s="11"/>
      <c r="B307" s="127"/>
      <c r="C307" s="17"/>
      <c r="D307" s="19"/>
      <c r="N307" s="17"/>
    </row>
    <row r="308" spans="1:14" x14ac:dyDescent="0.2">
      <c r="A308" s="11"/>
      <c r="C308" s="17"/>
      <c r="D308" s="17"/>
      <c r="N308" s="17"/>
    </row>
    <row r="309" spans="1:14" x14ac:dyDescent="0.2">
      <c r="A309" s="11"/>
      <c r="B309" s="126" t="s">
        <v>70</v>
      </c>
      <c r="C309" s="19">
        <f>(C298*S44+($I299*($L$306/8*H145))+($J299*($L$306/8*H145)))/S44</f>
        <v>65.915151294098521</v>
      </c>
      <c r="D309" s="19"/>
      <c r="N309" s="17"/>
    </row>
    <row r="310" spans="1:14" x14ac:dyDescent="0.2">
      <c r="A310" s="11"/>
      <c r="B310" s="127"/>
      <c r="C310" s="17"/>
      <c r="D310" s="19"/>
      <c r="N310" s="19"/>
    </row>
    <row r="311" spans="1:14" x14ac:dyDescent="0.2">
      <c r="A311" s="11"/>
      <c r="B311" s="127"/>
      <c r="C311" s="17"/>
      <c r="D311" s="19"/>
      <c r="N311" s="17"/>
    </row>
    <row r="312" spans="1:14" x14ac:dyDescent="0.2">
      <c r="A312" s="11"/>
      <c r="B312" s="127"/>
      <c r="C312" s="17"/>
      <c r="D312" s="17"/>
      <c r="N312" s="17"/>
    </row>
    <row r="313" spans="1:14" x14ac:dyDescent="0.2">
      <c r="A313" s="11"/>
      <c r="B313" s="97" t="s">
        <v>154</v>
      </c>
      <c r="C313" s="19">
        <f>(C302*I56+($I298*($L$305/4*H144)+($J298*($L$305/4*H144))+($I299*($L$306/8*H145))+($J299*($L$306/8*H145))))/I56</f>
        <v>64.401201910965682</v>
      </c>
      <c r="D313" s="19"/>
      <c r="N313" s="17"/>
    </row>
    <row r="314" spans="1:14" x14ac:dyDescent="0.2">
      <c r="A314" s="11"/>
      <c r="C314" s="108"/>
      <c r="D314" s="108"/>
      <c r="N314" s="19"/>
    </row>
    <row r="315" spans="1:14" x14ac:dyDescent="0.2">
      <c r="A315" s="11"/>
      <c r="B315" s="20" t="s">
        <v>155</v>
      </c>
      <c r="C315" s="17"/>
      <c r="D315" s="17"/>
    </row>
    <row r="316" spans="1:14" x14ac:dyDescent="0.2">
      <c r="A316" s="11"/>
      <c r="B316" s="102" t="s">
        <v>156</v>
      </c>
      <c r="C316" s="18">
        <f>(+SUMPRODUCT(C284:H284,C56:H56)+SUMPRODUCT(C313,I56))/1000</f>
        <v>75212.343796575544</v>
      </c>
    </row>
    <row r="317" spans="1:14" x14ac:dyDescent="0.2">
      <c r="A317" s="11"/>
      <c r="C317" s="102" t="s">
        <v>158</v>
      </c>
      <c r="D317" s="19">
        <f>+C316/SUM(C56:I56)*1000</f>
        <v>70.767914461428759</v>
      </c>
      <c r="E317" s="97" t="s">
        <v>159</v>
      </c>
    </row>
    <row r="318" spans="1:14" x14ac:dyDescent="0.2">
      <c r="A318" s="11"/>
      <c r="C318" s="102" t="s">
        <v>181</v>
      </c>
      <c r="D318" s="19">
        <f>+C316/SUMPRODUCT(C56:I56,C81:I81)*1000</f>
        <v>65.87835592562665</v>
      </c>
      <c r="E318" s="97" t="s">
        <v>182</v>
      </c>
    </row>
    <row r="319" spans="1:14" x14ac:dyDescent="0.2">
      <c r="A319" s="11"/>
    </row>
    <row r="320" spans="1:14" x14ac:dyDescent="0.2">
      <c r="A320" s="181" t="s">
        <v>183</v>
      </c>
      <c r="B320" s="25" t="s">
        <v>184</v>
      </c>
    </row>
    <row r="321" spans="1:11" x14ac:dyDescent="0.2">
      <c r="A321" s="11"/>
      <c r="B321" s="20"/>
    </row>
    <row r="322" spans="1:11" x14ac:dyDescent="0.2">
      <c r="A322" s="11"/>
      <c r="B322" s="20" t="s">
        <v>165</v>
      </c>
    </row>
    <row r="323" spans="1:11" x14ac:dyDescent="0.2">
      <c r="A323" s="11"/>
      <c r="B323" s="13" t="s">
        <v>167</v>
      </c>
    </row>
    <row r="324" spans="1:11" x14ac:dyDescent="0.2">
      <c r="A324" s="11"/>
      <c r="B324" s="20"/>
    </row>
    <row r="325" spans="1:11" x14ac:dyDescent="0.2">
      <c r="A325" s="11"/>
      <c r="C325" s="30" t="str">
        <f t="shared" ref="C325:H325" si="53">+C6</f>
        <v>SC1</v>
      </c>
      <c r="D325" s="30" t="str">
        <f t="shared" si="53"/>
        <v>SC5</v>
      </c>
      <c r="E325" s="30" t="str">
        <f t="shared" si="53"/>
        <v>SC3</v>
      </c>
      <c r="F325" s="30" t="str">
        <f t="shared" si="53"/>
        <v>SC2 ND</v>
      </c>
      <c r="G325" s="30" t="str">
        <f t="shared" si="53"/>
        <v>SC4</v>
      </c>
      <c r="H325" s="30" t="str">
        <f t="shared" si="53"/>
        <v>SC6</v>
      </c>
    </row>
    <row r="326" spans="1:11" x14ac:dyDescent="0.2">
      <c r="A326" s="11"/>
      <c r="C326" s="34"/>
      <c r="D326" s="34"/>
      <c r="E326" s="34"/>
      <c r="F326" s="34"/>
    </row>
    <row r="327" spans="1:11" x14ac:dyDescent="0.2">
      <c r="A327" s="11"/>
      <c r="B327" s="126" t="s">
        <v>64</v>
      </c>
      <c r="C327" s="21">
        <f>ROUND(+C273/$D$318,3)</f>
        <v>1.03</v>
      </c>
      <c r="D327" s="21">
        <f>ROUND(+D273/$D$318,3)</f>
        <v>0.94</v>
      </c>
      <c r="E327" s="222"/>
      <c r="F327" s="21">
        <f>ROUND(+F273/$D$318,3)</f>
        <v>0.85599999999999998</v>
      </c>
      <c r="G327" s="21">
        <f>ROUND(+G273/$D$318,3)</f>
        <v>0.61199999999999999</v>
      </c>
      <c r="H327" s="21">
        <f>ROUND(+H273/$D$318,3)</f>
        <v>0.61199999999999999</v>
      </c>
      <c r="I327" s="131"/>
      <c r="J327" s="131"/>
      <c r="K327" s="131"/>
    </row>
    <row r="328" spans="1:11" x14ac:dyDescent="0.2">
      <c r="A328" s="11"/>
      <c r="B328" s="127" t="s">
        <v>79</v>
      </c>
      <c r="C328" s="222"/>
      <c r="D328" s="222"/>
      <c r="E328" s="21">
        <f>ROUND(+E274/$D$318,3)</f>
        <v>1.6279999999999999</v>
      </c>
      <c r="F328" s="222"/>
      <c r="G328" s="222"/>
      <c r="H328" s="222"/>
      <c r="I328" s="131"/>
      <c r="J328" s="131"/>
      <c r="K328" s="131"/>
    </row>
    <row r="329" spans="1:11" x14ac:dyDescent="0.2">
      <c r="A329" s="11"/>
      <c r="B329" s="127" t="s">
        <v>80</v>
      </c>
      <c r="C329" s="222"/>
      <c r="D329" s="222"/>
      <c r="E329" s="21">
        <f>ROUND(+E275/$D$318,3)</f>
        <v>0.52700000000000002</v>
      </c>
      <c r="F329" s="222"/>
      <c r="G329" s="222"/>
      <c r="H329" s="222"/>
      <c r="I329" s="131"/>
      <c r="J329" s="131"/>
      <c r="K329" s="131"/>
    </row>
    <row r="330" spans="1:11" x14ac:dyDescent="0.2">
      <c r="A330" s="11"/>
      <c r="C330" s="222"/>
      <c r="D330" s="222"/>
      <c r="E330" s="222"/>
      <c r="F330" s="222"/>
      <c r="G330" s="222"/>
      <c r="H330" s="222"/>
      <c r="I330" s="131"/>
      <c r="J330" s="131"/>
      <c r="K330" s="131"/>
    </row>
    <row r="331" spans="1:11" x14ac:dyDescent="0.2">
      <c r="A331" s="11"/>
      <c r="B331" s="22"/>
      <c r="E331" s="222"/>
      <c r="F331" s="222"/>
      <c r="G331" s="222"/>
      <c r="H331" s="222"/>
      <c r="I331" s="131"/>
      <c r="J331" s="131"/>
      <c r="K331" s="131"/>
    </row>
    <row r="332" spans="1:11" x14ac:dyDescent="0.2">
      <c r="A332" s="11"/>
      <c r="B332" s="23" t="s">
        <v>168</v>
      </c>
      <c r="C332" s="24">
        <f>C276-C273</f>
        <v>-13.839475000000014</v>
      </c>
      <c r="D332" s="24">
        <f>D276-D273</f>
        <v>-6.5310050000000004</v>
      </c>
      <c r="E332" s="222"/>
      <c r="F332" s="222"/>
      <c r="G332" s="222"/>
      <c r="H332" s="222"/>
      <c r="I332" s="131"/>
      <c r="J332" s="131"/>
      <c r="K332" s="131"/>
    </row>
    <row r="333" spans="1:11" x14ac:dyDescent="0.2">
      <c r="A333" s="11"/>
      <c r="B333" s="23" t="s">
        <v>169</v>
      </c>
      <c r="C333" s="24">
        <f>C277-C273</f>
        <v>10.410524999999993</v>
      </c>
      <c r="D333" s="24">
        <f>D277-D273</f>
        <v>10.498994999999994</v>
      </c>
      <c r="E333" s="222"/>
      <c r="F333" s="222"/>
      <c r="G333" s="222"/>
      <c r="H333" s="222"/>
      <c r="I333" s="131"/>
      <c r="J333" s="131"/>
      <c r="K333" s="131"/>
    </row>
    <row r="334" spans="1:11" x14ac:dyDescent="0.2">
      <c r="A334" s="11"/>
      <c r="B334" s="222"/>
      <c r="C334" s="222"/>
      <c r="D334" s="222"/>
      <c r="E334" s="222"/>
      <c r="F334" s="222"/>
      <c r="G334" s="222"/>
      <c r="H334" s="222"/>
      <c r="I334" s="131"/>
      <c r="J334" s="131"/>
      <c r="K334" s="131"/>
    </row>
    <row r="335" spans="1:11" x14ac:dyDescent="0.2">
      <c r="A335" s="11"/>
      <c r="C335" s="222"/>
      <c r="D335" s="222"/>
      <c r="E335" s="222"/>
      <c r="F335" s="222"/>
      <c r="G335" s="222"/>
      <c r="H335" s="222"/>
      <c r="I335" s="131"/>
      <c r="J335" s="131"/>
      <c r="K335" s="131"/>
    </row>
    <row r="336" spans="1:11" x14ac:dyDescent="0.2">
      <c r="A336" s="11"/>
      <c r="B336" s="126" t="s">
        <v>70</v>
      </c>
      <c r="C336" s="21">
        <f>ROUND(+C280/$D$318,3)</f>
        <v>1.23</v>
      </c>
      <c r="D336" s="21">
        <f>ROUND(+D280/$D$318,3)</f>
        <v>0.995</v>
      </c>
      <c r="E336" s="224"/>
      <c r="F336" s="21">
        <f>ROUND(+F280/$D$318,3)</f>
        <v>0.88700000000000001</v>
      </c>
      <c r="G336" s="21">
        <f>ROUND(+G280/$D$318,3)</f>
        <v>0.69699999999999995</v>
      </c>
      <c r="H336" s="21">
        <f>ROUND(+H280/$D$318,3)</f>
        <v>0.68700000000000006</v>
      </c>
      <c r="I336" s="131"/>
      <c r="J336" s="131"/>
      <c r="K336" s="131"/>
    </row>
    <row r="337" spans="1:11" x14ac:dyDescent="0.2">
      <c r="A337" s="11"/>
      <c r="B337" s="127" t="s">
        <v>79</v>
      </c>
      <c r="C337" s="222"/>
      <c r="D337" s="222"/>
      <c r="E337" s="21">
        <f>ROUND(+E281/$D$318,3)</f>
        <v>1.615</v>
      </c>
      <c r="F337" s="222"/>
      <c r="G337" s="222"/>
      <c r="H337" s="222"/>
      <c r="I337" s="131"/>
      <c r="J337" s="131"/>
      <c r="K337" s="131"/>
    </row>
    <row r="338" spans="1:11" x14ac:dyDescent="0.2">
      <c r="A338" s="11"/>
      <c r="B338" s="127" t="s">
        <v>80</v>
      </c>
      <c r="C338" s="222"/>
      <c r="D338" s="222"/>
      <c r="E338" s="21">
        <f>ROUND(+E282/$D$318,3)</f>
        <v>0.64400000000000002</v>
      </c>
      <c r="F338" s="222"/>
      <c r="G338" s="222"/>
      <c r="H338" s="222"/>
      <c r="I338" s="131"/>
      <c r="J338" s="131"/>
      <c r="K338" s="131"/>
    </row>
    <row r="339" spans="1:11" x14ac:dyDescent="0.2">
      <c r="A339" s="11"/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1:11" x14ac:dyDescent="0.2">
      <c r="A340" s="11"/>
      <c r="B340" s="97" t="s">
        <v>170</v>
      </c>
      <c r="C340" s="224">
        <f>ROUND(+C284/$D$318,3)</f>
        <v>1.1439999999999999</v>
      </c>
      <c r="D340" s="224">
        <f>ROUND(+D284/$D$318,3)</f>
        <v>0.97599999999999998</v>
      </c>
      <c r="E340" s="224">
        <f>ROUND(+E284/$D$318,3)</f>
        <v>0.97899999999999998</v>
      </c>
      <c r="F340" s="224">
        <f>ROUND(,3)+F284/$D$318</f>
        <v>0.87756818044172802</v>
      </c>
      <c r="G340" s="224">
        <f>ROUND(+G284/$D$318,3)</f>
        <v>0.67300000000000004</v>
      </c>
      <c r="H340" s="224">
        <f>ROUND(+H284/$D$318,3)</f>
        <v>0.66400000000000003</v>
      </c>
      <c r="I340" s="131"/>
      <c r="J340" s="131"/>
      <c r="K340" s="131"/>
    </row>
    <row r="341" spans="1:11" x14ac:dyDescent="0.2">
      <c r="A341" s="11"/>
    </row>
    <row r="342" spans="1:11" x14ac:dyDescent="0.2">
      <c r="A342" s="11"/>
    </row>
    <row r="343" spans="1:11" x14ac:dyDescent="0.2">
      <c r="A343" s="11"/>
      <c r="B343" s="20" t="s">
        <v>171</v>
      </c>
    </row>
    <row r="344" spans="1:11" x14ac:dyDescent="0.2">
      <c r="A344" s="11"/>
      <c r="B344" s="13" t="s">
        <v>185</v>
      </c>
    </row>
    <row r="345" spans="1:11" x14ac:dyDescent="0.2">
      <c r="A345" s="11"/>
    </row>
    <row r="346" spans="1:11" x14ac:dyDescent="0.2">
      <c r="A346" s="11"/>
      <c r="C346" s="22" t="str">
        <f>+I6</f>
        <v>SC2 Dem</v>
      </c>
      <c r="D346" s="22" t="str">
        <f>+C346</f>
        <v>SC2 Dem</v>
      </c>
      <c r="E346" s="34"/>
      <c r="F346" s="34"/>
      <c r="G346" s="226" t="s">
        <v>135</v>
      </c>
    </row>
    <row r="347" spans="1:11" x14ac:dyDescent="0.2">
      <c r="A347" s="11"/>
      <c r="C347" s="30" t="s">
        <v>173</v>
      </c>
      <c r="D347" s="233" t="s">
        <v>174</v>
      </c>
      <c r="E347" s="34"/>
      <c r="F347" s="34"/>
      <c r="G347" s="120"/>
    </row>
    <row r="348" spans="1:11" x14ac:dyDescent="0.2">
      <c r="A348" s="11"/>
      <c r="B348" s="126" t="s">
        <v>64</v>
      </c>
      <c r="C348" s="21">
        <f>ROUND(+C305/$D$318,3)</f>
        <v>0.93700000000000006</v>
      </c>
      <c r="D348" s="234">
        <f>C294-C305</f>
        <v>-20.777391218395515</v>
      </c>
      <c r="F348" s="137"/>
      <c r="G348" s="201" t="s">
        <v>136</v>
      </c>
    </row>
    <row r="349" spans="1:11" x14ac:dyDescent="0.2">
      <c r="A349" s="11"/>
      <c r="B349" s="127"/>
      <c r="C349" s="224"/>
      <c r="D349" s="234"/>
      <c r="E349" s="223"/>
      <c r="F349" s="229"/>
      <c r="G349" s="120"/>
    </row>
    <row r="350" spans="1:11" x14ac:dyDescent="0.2">
      <c r="A350" s="11"/>
      <c r="B350" s="127"/>
      <c r="C350" s="224"/>
      <c r="D350" s="234"/>
      <c r="E350" s="223"/>
      <c r="F350" s="229"/>
      <c r="G350" s="120"/>
      <c r="H350" s="30"/>
      <c r="I350" s="30" t="str">
        <f t="shared" ref="I350:J350" si="54">I296</f>
        <v>&lt; 5 kW</v>
      </c>
      <c r="J350" s="30" t="str">
        <f t="shared" si="54"/>
        <v>&gt; 5 kW</v>
      </c>
    </row>
    <row r="351" spans="1:11" x14ac:dyDescent="0.2">
      <c r="A351" s="11"/>
      <c r="C351" s="224"/>
      <c r="D351" s="234"/>
      <c r="E351" s="222"/>
      <c r="F351" s="229"/>
      <c r="G351" s="120"/>
    </row>
    <row r="352" spans="1:11" x14ac:dyDescent="0.2">
      <c r="A352" s="11"/>
      <c r="B352" s="126" t="s">
        <v>70</v>
      </c>
      <c r="C352" s="21">
        <f>ROUND(+C309/$D$318,3)</f>
        <v>1.0009999999999999</v>
      </c>
      <c r="D352" s="234">
        <f>C298-C309</f>
        <v>-20.176849379185938</v>
      </c>
      <c r="E352" s="223"/>
      <c r="F352" s="229"/>
      <c r="G352" s="230" t="s">
        <v>99</v>
      </c>
      <c r="H352" s="128"/>
      <c r="I352" s="128">
        <f t="shared" ref="I352:J353" si="55">I298</f>
        <v>1.7</v>
      </c>
      <c r="J352" s="128">
        <f t="shared" si="55"/>
        <v>5.8769999999999998</v>
      </c>
    </row>
    <row r="353" spans="1:14" x14ac:dyDescent="0.2">
      <c r="A353" s="11"/>
      <c r="B353" s="127"/>
      <c r="C353" s="224"/>
      <c r="D353" s="235"/>
      <c r="E353" s="223"/>
      <c r="F353" s="229"/>
      <c r="G353" s="230" t="s">
        <v>105</v>
      </c>
      <c r="H353" s="128"/>
      <c r="I353" s="128">
        <f t="shared" si="55"/>
        <v>1.554</v>
      </c>
      <c r="J353" s="128">
        <f t="shared" si="55"/>
        <v>5.4740000000000002</v>
      </c>
    </row>
    <row r="354" spans="1:14" x14ac:dyDescent="0.2">
      <c r="A354" s="11"/>
      <c r="B354" s="127"/>
      <c r="C354" s="224"/>
      <c r="D354" s="235"/>
      <c r="E354" s="223"/>
      <c r="F354" s="229"/>
      <c r="G354" s="230"/>
      <c r="H354" s="107"/>
      <c r="I354" s="123"/>
    </row>
    <row r="355" spans="1:14" x14ac:dyDescent="0.2">
      <c r="A355" s="11"/>
      <c r="C355" s="225"/>
      <c r="D355" s="235"/>
      <c r="E355" s="131"/>
      <c r="G355" s="231"/>
    </row>
    <row r="356" spans="1:14" x14ac:dyDescent="0.2">
      <c r="A356" s="11"/>
      <c r="B356" s="97" t="s">
        <v>154</v>
      </c>
      <c r="C356" s="21">
        <f>ROUND(+C313/$D$318,3)</f>
        <v>0.97799999999999998</v>
      </c>
      <c r="D356" s="235"/>
      <c r="E356" s="131"/>
      <c r="G356" s="230"/>
      <c r="H356" s="107"/>
      <c r="I356" s="123"/>
    </row>
    <row r="357" spans="1:14" x14ac:dyDescent="0.2">
      <c r="A357" s="11"/>
    </row>
    <row r="358" spans="1:14" x14ac:dyDescent="0.2">
      <c r="A358" s="11"/>
      <c r="C358" s="131"/>
      <c r="E358" s="131"/>
    </row>
    <row r="359" spans="1:14" x14ac:dyDescent="0.2">
      <c r="A359" s="181" t="s">
        <v>186</v>
      </c>
      <c r="B359" s="20" t="s">
        <v>187</v>
      </c>
    </row>
    <row r="360" spans="1:14" x14ac:dyDescent="0.2">
      <c r="A360" s="11"/>
      <c r="B360" s="20"/>
    </row>
    <row r="361" spans="1:14" x14ac:dyDescent="0.2">
      <c r="A361" s="11"/>
      <c r="C361" s="30" t="str">
        <f>C6</f>
        <v>SC1</v>
      </c>
      <c r="D361" s="30" t="str">
        <f t="shared" ref="D361:I361" si="56">D6</f>
        <v>SC5</v>
      </c>
      <c r="E361" s="30" t="str">
        <f t="shared" si="56"/>
        <v>SC3</v>
      </c>
      <c r="F361" s="30" t="str">
        <f t="shared" si="56"/>
        <v>SC2 ND</v>
      </c>
      <c r="G361" s="30" t="str">
        <f t="shared" si="56"/>
        <v>SC4</v>
      </c>
      <c r="H361" s="30" t="str">
        <f t="shared" si="56"/>
        <v>SC6</v>
      </c>
      <c r="I361" s="30" t="str">
        <f t="shared" si="56"/>
        <v>SC2 Dem</v>
      </c>
      <c r="J361" s="34"/>
      <c r="K361" s="34"/>
    </row>
    <row r="362" spans="1:14" x14ac:dyDescent="0.2">
      <c r="A362" s="11"/>
      <c r="B362" s="97" t="s">
        <v>188</v>
      </c>
      <c r="M362" s="137"/>
      <c r="N362" s="137"/>
    </row>
    <row r="363" spans="1:14" x14ac:dyDescent="0.2">
      <c r="A363" s="11"/>
      <c r="B363" s="182" t="s">
        <v>69</v>
      </c>
      <c r="C363" s="18">
        <f>(C184*SUM(C49:C52)*E156+C185*SUM(C49:C52)*E157)/1000</f>
        <v>24324.302358029589</v>
      </c>
      <c r="D363" s="18">
        <f>(D184*SUM(D49:D52)*J156+D185*SUM(D49:D52)*J157)/1000</f>
        <v>358.69156971483682</v>
      </c>
      <c r="E363" s="26">
        <f>+E181*SUM(E49:E52)/1000</f>
        <v>6.2152125582988145</v>
      </c>
      <c r="F363" s="26">
        <f>+F181*SUM(F49:F52)/1000</f>
        <v>501.76403652272597</v>
      </c>
      <c r="G363" s="26">
        <f>+G181*SUM(G49:G52)/1000</f>
        <v>55.440763953801856</v>
      </c>
      <c r="H363" s="26">
        <f>+H181*SUM(H49:H52)/1000</f>
        <v>62.524438321154044</v>
      </c>
      <c r="I363" s="18">
        <v>9125.1466725615101</v>
      </c>
      <c r="J363" s="18"/>
      <c r="K363" s="26"/>
      <c r="M363" s="137"/>
      <c r="N363" s="137"/>
    </row>
    <row r="364" spans="1:14" x14ac:dyDescent="0.2">
      <c r="A364" s="11"/>
      <c r="B364" s="182" t="s">
        <v>62</v>
      </c>
      <c r="C364" s="18">
        <f t="shared" ref="C364:H364" si="57">+C188*SUM(C44:C48,C53:C55)/1000</f>
        <v>37124.29712457706</v>
      </c>
      <c r="D364" s="26">
        <f t="shared" si="57"/>
        <v>727.56457918684521</v>
      </c>
      <c r="E364" s="26">
        <f t="shared" si="57"/>
        <v>13.062655802323805</v>
      </c>
      <c r="F364" s="26">
        <f t="shared" si="57"/>
        <v>1155.7461060228554</v>
      </c>
      <c r="G364" s="26">
        <f t="shared" si="57"/>
        <v>161.49117703089408</v>
      </c>
      <c r="H364" s="26">
        <f t="shared" si="57"/>
        <v>163.4677776742848</v>
      </c>
      <c r="I364" s="18">
        <v>17406.814713588046</v>
      </c>
      <c r="J364" s="18"/>
      <c r="K364" s="26"/>
    </row>
    <row r="365" spans="1:14" x14ac:dyDescent="0.2">
      <c r="A365" s="11"/>
      <c r="B365" s="182" t="s">
        <v>36</v>
      </c>
      <c r="C365" s="130">
        <f>+C364+C363</f>
        <v>61448.599482606645</v>
      </c>
      <c r="D365" s="124">
        <f t="shared" ref="D365:I365" si="58">+D364+D363</f>
        <v>1086.2561489016821</v>
      </c>
      <c r="E365" s="124">
        <f t="shared" si="58"/>
        <v>19.27786836062262</v>
      </c>
      <c r="F365" s="124">
        <f t="shared" si="58"/>
        <v>1657.5101425455814</v>
      </c>
      <c r="G365" s="124">
        <f t="shared" si="58"/>
        <v>216.93194098469593</v>
      </c>
      <c r="H365" s="26">
        <f t="shared" si="58"/>
        <v>225.99221599543884</v>
      </c>
      <c r="I365" s="26">
        <f t="shared" si="58"/>
        <v>26531.961386149556</v>
      </c>
      <c r="J365" s="26"/>
      <c r="K365" s="26"/>
    </row>
    <row r="366" spans="1:14" x14ac:dyDescent="0.2">
      <c r="A366" s="11"/>
      <c r="B366" s="182"/>
    </row>
    <row r="367" spans="1:14" x14ac:dyDescent="0.2">
      <c r="A367" s="11"/>
      <c r="B367" s="97" t="s">
        <v>189</v>
      </c>
    </row>
    <row r="368" spans="1:14" x14ac:dyDescent="0.2">
      <c r="A368" s="11"/>
      <c r="B368" s="182" t="s">
        <v>69</v>
      </c>
      <c r="C368" s="27">
        <f t="shared" ref="C368:I368" si="59">+C363/C365</f>
        <v>0.39584795362040287</v>
      </c>
      <c r="D368" s="27">
        <f t="shared" si="59"/>
        <v>0.33020901200652469</v>
      </c>
      <c r="E368" s="27">
        <f t="shared" si="59"/>
        <v>0.32240144200767229</v>
      </c>
      <c r="F368" s="27">
        <f t="shared" si="59"/>
        <v>0.30272154820852176</v>
      </c>
      <c r="G368" s="27">
        <f t="shared" si="59"/>
        <v>0.255567546679136</v>
      </c>
      <c r="H368" s="27">
        <f t="shared" si="59"/>
        <v>0.27666633581050404</v>
      </c>
      <c r="I368" s="27">
        <f t="shared" si="59"/>
        <v>0.3439303464886353</v>
      </c>
      <c r="J368" s="27"/>
      <c r="K368" s="27"/>
    </row>
    <row r="369" spans="1:14" x14ac:dyDescent="0.2">
      <c r="A369" s="11"/>
      <c r="B369" s="182" t="s">
        <v>62</v>
      </c>
      <c r="C369" s="27">
        <f t="shared" ref="C369:I369" si="60">+C364/C365</f>
        <v>0.60415204637959719</v>
      </c>
      <c r="D369" s="27">
        <f t="shared" si="60"/>
        <v>0.66979098799347525</v>
      </c>
      <c r="E369" s="27">
        <f t="shared" si="60"/>
        <v>0.67759855799232771</v>
      </c>
      <c r="F369" s="27">
        <f t="shared" si="60"/>
        <v>0.69727845179147829</v>
      </c>
      <c r="G369" s="27">
        <f t="shared" si="60"/>
        <v>0.74443245332086405</v>
      </c>
      <c r="H369" s="27">
        <f t="shared" si="60"/>
        <v>0.72333366418949596</v>
      </c>
      <c r="I369" s="27">
        <f t="shared" si="60"/>
        <v>0.6560696535113647</v>
      </c>
      <c r="J369" s="27"/>
      <c r="K369" s="27"/>
    </row>
    <row r="370" spans="1:14" x14ac:dyDescent="0.2">
      <c r="A370" s="11"/>
    </row>
    <row r="371" spans="1:14" x14ac:dyDescent="0.2">
      <c r="A371" s="11"/>
      <c r="B371" s="97" t="s">
        <v>190</v>
      </c>
    </row>
    <row r="372" spans="1:14" x14ac:dyDescent="0.2">
      <c r="A372" s="11"/>
      <c r="B372" s="182" t="s">
        <v>69</v>
      </c>
      <c r="C372" s="28">
        <f>+SUM(C363:I363)</f>
        <v>34434.08505166191</v>
      </c>
    </row>
    <row r="373" spans="1:14" x14ac:dyDescent="0.2">
      <c r="A373" s="11"/>
      <c r="B373" s="182" t="s">
        <v>62</v>
      </c>
      <c r="C373" s="28">
        <f>+SUM(C364:I364)</f>
        <v>56752.444133882309</v>
      </c>
    </row>
    <row r="374" spans="1:14" x14ac:dyDescent="0.2">
      <c r="A374" s="11"/>
      <c r="B374" s="182" t="s">
        <v>36</v>
      </c>
      <c r="C374" s="124">
        <f>+C373+C372</f>
        <v>91186.529185544219</v>
      </c>
    </row>
    <row r="375" spans="1:14" x14ac:dyDescent="0.2">
      <c r="A375" s="11"/>
    </row>
    <row r="376" spans="1:14" x14ac:dyDescent="0.2">
      <c r="A376" s="11"/>
      <c r="B376" s="97" t="s">
        <v>191</v>
      </c>
      <c r="D376" s="97" t="s">
        <v>192</v>
      </c>
      <c r="I376" s="344" t="s">
        <v>193</v>
      </c>
      <c r="J376" s="344"/>
    </row>
    <row r="377" spans="1:14" x14ac:dyDescent="0.2">
      <c r="A377" s="11"/>
      <c r="B377" s="182" t="s">
        <v>69</v>
      </c>
      <c r="C377" s="27">
        <f>+C372/C374</f>
        <v>0.37762249927943015</v>
      </c>
      <c r="E377" s="19">
        <f>+C372/SUMPRODUCT(M48:S48,C81:I81)*1000</f>
        <v>75.084840964911393</v>
      </c>
      <c r="F377" s="97" t="s">
        <v>194</v>
      </c>
      <c r="I377" s="182" t="s">
        <v>69</v>
      </c>
      <c r="J377" s="236">
        <f>ROUND(E377/$D$223,4)</f>
        <v>0.94010000000000005</v>
      </c>
      <c r="K377" s="236"/>
    </row>
    <row r="378" spans="1:14" x14ac:dyDescent="0.2">
      <c r="A378" s="11"/>
      <c r="B378" s="182" t="s">
        <v>62</v>
      </c>
      <c r="C378" s="27">
        <f>+C373/C374</f>
        <v>0.62237750072056985</v>
      </c>
      <c r="E378" s="19">
        <f>+C373/SUMPRODUCT(M44:S44,C81:I81)*1000</f>
        <v>83.082813356558319</v>
      </c>
      <c r="F378" s="97" t="s">
        <v>194</v>
      </c>
      <c r="I378" s="182" t="s">
        <v>62</v>
      </c>
      <c r="J378" s="236">
        <f>ROUND(E378/$D$223,4)</f>
        <v>1.0402</v>
      </c>
      <c r="K378" s="236"/>
    </row>
    <row r="379" spans="1:14" x14ac:dyDescent="0.2">
      <c r="A379" s="11"/>
    </row>
    <row r="380" spans="1:14" x14ac:dyDescent="0.2">
      <c r="A380" s="11"/>
      <c r="C380" s="131"/>
      <c r="E380" s="131"/>
    </row>
    <row r="381" spans="1:14" ht="13.5" thickBot="1" x14ac:dyDescent="0.25">
      <c r="A381" s="181" t="s">
        <v>195</v>
      </c>
      <c r="B381" s="25" t="s">
        <v>196</v>
      </c>
    </row>
    <row r="382" spans="1:14" x14ac:dyDescent="0.2">
      <c r="A382" s="11"/>
      <c r="B382" s="20"/>
      <c r="K382" s="215" t="s">
        <v>157</v>
      </c>
      <c r="L382" s="216"/>
    </row>
    <row r="383" spans="1:14" x14ac:dyDescent="0.2">
      <c r="A383" s="11"/>
      <c r="C383" s="30" t="str">
        <f>C6</f>
        <v>SC1</v>
      </c>
      <c r="D383" s="30" t="str">
        <f t="shared" ref="D383:I383" si="61">D6</f>
        <v>SC5</v>
      </c>
      <c r="E383" s="30" t="str">
        <f t="shared" si="61"/>
        <v>SC3</v>
      </c>
      <c r="F383" s="30" t="str">
        <f t="shared" si="61"/>
        <v>SC2 ND</v>
      </c>
      <c r="G383" s="30" t="str">
        <f t="shared" si="61"/>
        <v>SC4</v>
      </c>
      <c r="H383" s="30" t="str">
        <f t="shared" si="61"/>
        <v>SC6</v>
      </c>
      <c r="I383" s="30" t="str">
        <f t="shared" si="61"/>
        <v>SC2 Dem</v>
      </c>
      <c r="J383" s="34"/>
      <c r="K383" s="217"/>
      <c r="L383" s="218" t="s">
        <v>166</v>
      </c>
    </row>
    <row r="384" spans="1:14" x14ac:dyDescent="0.2">
      <c r="A384" s="11"/>
      <c r="B384" s="97" t="s">
        <v>188</v>
      </c>
      <c r="K384" s="217" t="s">
        <v>69</v>
      </c>
      <c r="L384" s="219">
        <v>76575.863288562599</v>
      </c>
      <c r="N384" s="18">
        <v>8429.1397260492577</v>
      </c>
    </row>
    <row r="385" spans="1:14" ht="13.5" thickBot="1" x14ac:dyDescent="0.25">
      <c r="A385" s="11"/>
      <c r="B385" s="182" t="s">
        <v>69</v>
      </c>
      <c r="C385" s="18">
        <f>(C276*SUM(C49:C52)*E156+C277*SUM(C49:C52)*E157)/1000</f>
        <v>18940.181231451916</v>
      </c>
      <c r="D385" s="18">
        <f>(D276*SUM(D49:D52)*J156+D277*SUM(D49:D52)*J157)/1000</f>
        <v>297.76642355339447</v>
      </c>
      <c r="E385" s="18">
        <f>+E273*SUM(E49:E52)/1000</f>
        <v>5.2436606056360935</v>
      </c>
      <c r="F385" s="18">
        <f>+F273*SUM(F49:F52)/1000</f>
        <v>414.42441263474814</v>
      </c>
      <c r="G385" s="18">
        <f>+G273*SUM(G49:G52)/1000</f>
        <v>55.440763953801856</v>
      </c>
      <c r="H385" s="18">
        <f>+H273*SUM(H49:H52)/1000</f>
        <v>62.524438321154044</v>
      </c>
      <c r="I385" s="18">
        <f>(C294*SUM(I49:I52)/1000)+($I298*($L$384/4*H144)/1000)+($J298*($L$389/4*H144)/1000)</f>
        <v>7703.9856275615093</v>
      </c>
      <c r="J385" s="18"/>
      <c r="K385" s="220" t="s">
        <v>62</v>
      </c>
      <c r="L385" s="221">
        <v>162027.69523290364</v>
      </c>
      <c r="N385" s="18">
        <v>15486.148409442889</v>
      </c>
    </row>
    <row r="386" spans="1:14" ht="13.5" thickBot="1" x14ac:dyDescent="0.25">
      <c r="A386" s="11"/>
      <c r="B386" s="182" t="s">
        <v>62</v>
      </c>
      <c r="C386" s="18">
        <f t="shared" ref="C386:H386" si="62">+C280*SUM(C44:C48,C53:C55)/1000</f>
        <v>29986.470931154727</v>
      </c>
      <c r="D386" s="18">
        <f t="shared" si="62"/>
        <v>609.73071844286187</v>
      </c>
      <c r="E386" s="18">
        <f t="shared" si="62"/>
        <v>11.102202754986527</v>
      </c>
      <c r="F386" s="18">
        <f t="shared" si="62"/>
        <v>960.42056991083336</v>
      </c>
      <c r="G386" s="18">
        <f t="shared" si="62"/>
        <v>161.49117703089408</v>
      </c>
      <c r="H386" s="18">
        <f t="shared" si="62"/>
        <v>163.4677776742848</v>
      </c>
      <c r="I386" s="18">
        <f>(C298*SUM(I44:I48,I53:I55)/1000)+($I299*($L$385/8*H145)/1000)+($J299*($L$390/8*H145)/1000)</f>
        <v>14564.492623588045</v>
      </c>
      <c r="J386" s="18"/>
      <c r="N386" s="18">
        <v>23915.288135492148</v>
      </c>
    </row>
    <row r="387" spans="1:14" x14ac:dyDescent="0.2">
      <c r="A387" s="11"/>
      <c r="B387" s="182" t="s">
        <v>36</v>
      </c>
      <c r="C387" s="124">
        <f t="shared" ref="C387:I387" si="63">+C386+C385</f>
        <v>48926.652162606639</v>
      </c>
      <c r="D387" s="124">
        <f t="shared" si="63"/>
        <v>907.49714199625635</v>
      </c>
      <c r="E387" s="124">
        <f t="shared" si="63"/>
        <v>16.345863360622619</v>
      </c>
      <c r="F387" s="124">
        <f t="shared" si="63"/>
        <v>1374.8449825455814</v>
      </c>
      <c r="G387" s="124">
        <f t="shared" si="63"/>
        <v>216.93194098469593</v>
      </c>
      <c r="H387" s="26">
        <f t="shared" si="63"/>
        <v>225.99221599543884</v>
      </c>
      <c r="I387" s="26">
        <f t="shared" si="63"/>
        <v>22268.478251149554</v>
      </c>
      <c r="J387" s="26"/>
      <c r="K387" s="215" t="s">
        <v>157</v>
      </c>
      <c r="L387" s="216"/>
    </row>
    <row r="388" spans="1:14" x14ac:dyDescent="0.2">
      <c r="A388" s="11"/>
      <c r="B388" s="182"/>
      <c r="K388" s="217"/>
      <c r="L388" s="218" t="s">
        <v>160</v>
      </c>
    </row>
    <row r="389" spans="1:14" x14ac:dyDescent="0.2">
      <c r="A389" s="11"/>
      <c r="B389" s="97" t="s">
        <v>189</v>
      </c>
      <c r="K389" s="217" t="s">
        <v>69</v>
      </c>
      <c r="L389" s="219">
        <v>363838.33671143744</v>
      </c>
    </row>
    <row r="390" spans="1:14" ht="13.5" thickBot="1" x14ac:dyDescent="0.25">
      <c r="A390" s="11"/>
      <c r="B390" s="182" t="s">
        <v>69</v>
      </c>
      <c r="C390" s="27">
        <f t="shared" ref="C390:I390" si="64">+C385/C387</f>
        <v>0.38711377938765656</v>
      </c>
      <c r="D390" s="27">
        <f t="shared" si="64"/>
        <v>0.32811830448125295</v>
      </c>
      <c r="E390" s="27">
        <f t="shared" si="64"/>
        <v>0.32079434961313419</v>
      </c>
      <c r="F390" s="27">
        <f t="shared" si="64"/>
        <v>0.30143355643443126</v>
      </c>
      <c r="G390" s="27">
        <f t="shared" si="64"/>
        <v>0.255567546679136</v>
      </c>
      <c r="H390" s="27">
        <f t="shared" si="64"/>
        <v>0.27666633581050404</v>
      </c>
      <c r="I390" s="27">
        <f t="shared" si="64"/>
        <v>0.34595923172989201</v>
      </c>
      <c r="J390" s="27"/>
      <c r="K390" s="220" t="s">
        <v>62</v>
      </c>
      <c r="L390" s="221">
        <v>668643.95476709632</v>
      </c>
    </row>
    <row r="391" spans="1:14" x14ac:dyDescent="0.2">
      <c r="A391" s="11"/>
      <c r="B391" s="182" t="s">
        <v>62</v>
      </c>
      <c r="C391" s="27">
        <f t="shared" ref="C391:I391" si="65">+C386/C387</f>
        <v>0.61288622061234355</v>
      </c>
      <c r="D391" s="27">
        <f t="shared" si="65"/>
        <v>0.6718816955187471</v>
      </c>
      <c r="E391" s="27">
        <f t="shared" si="65"/>
        <v>0.67920565038686587</v>
      </c>
      <c r="F391" s="27">
        <f t="shared" si="65"/>
        <v>0.69856644356556885</v>
      </c>
      <c r="G391" s="27">
        <f t="shared" si="65"/>
        <v>0.74443245332086405</v>
      </c>
      <c r="H391" s="27">
        <f t="shared" si="65"/>
        <v>0.72333366418949596</v>
      </c>
      <c r="I391" s="27">
        <f t="shared" si="65"/>
        <v>0.65404076827010793</v>
      </c>
      <c r="J391" s="27"/>
    </row>
    <row r="392" spans="1:14" x14ac:dyDescent="0.2">
      <c r="A392" s="11"/>
    </row>
    <row r="393" spans="1:14" x14ac:dyDescent="0.2">
      <c r="A393" s="11"/>
      <c r="B393" s="97" t="s">
        <v>190</v>
      </c>
    </row>
    <row r="394" spans="1:14" x14ac:dyDescent="0.2">
      <c r="A394" s="11"/>
      <c r="B394" s="182" t="s">
        <v>69</v>
      </c>
      <c r="C394" s="28">
        <f>+SUM(C385:I385)</f>
        <v>27479.566558082159</v>
      </c>
    </row>
    <row r="395" spans="1:14" x14ac:dyDescent="0.2">
      <c r="A395" s="11"/>
      <c r="B395" s="182" t="s">
        <v>62</v>
      </c>
      <c r="C395" s="28">
        <f>+SUM(C386:I386)</f>
        <v>46457.176000556632</v>
      </c>
    </row>
    <row r="396" spans="1:14" x14ac:dyDescent="0.2">
      <c r="A396" s="11"/>
      <c r="B396" s="182" t="s">
        <v>36</v>
      </c>
      <c r="C396" s="124">
        <f>+C395+C394</f>
        <v>73936.742558638798</v>
      </c>
      <c r="D396" s="124"/>
    </row>
    <row r="397" spans="1:14" x14ac:dyDescent="0.2">
      <c r="A397" s="11"/>
    </row>
    <row r="398" spans="1:14" x14ac:dyDescent="0.2">
      <c r="A398" s="11"/>
      <c r="B398" s="97" t="s">
        <v>191</v>
      </c>
      <c r="D398" s="97" t="s">
        <v>192</v>
      </c>
      <c r="I398" s="344" t="s">
        <v>193</v>
      </c>
      <c r="J398" s="344"/>
    </row>
    <row r="399" spans="1:14" x14ac:dyDescent="0.2">
      <c r="A399" s="11"/>
      <c r="B399" s="182" t="s">
        <v>69</v>
      </c>
      <c r="C399" s="27">
        <f>+C394/C396</f>
        <v>0.3716632029912364</v>
      </c>
      <c r="E399" s="19">
        <f>+C394/SUMPRODUCT(M48:S48,C81:I81)*1000</f>
        <v>59.9202470953621</v>
      </c>
      <c r="F399" s="97" t="s">
        <v>194</v>
      </c>
      <c r="I399" s="182" t="s">
        <v>69</v>
      </c>
      <c r="J399" s="236">
        <f>ROUND(E399/$D$318,4)</f>
        <v>0.90959999999999996</v>
      </c>
      <c r="K399" s="237"/>
    </row>
    <row r="400" spans="1:14" x14ac:dyDescent="0.2">
      <c r="A400" s="11"/>
      <c r="B400" s="182" t="s">
        <v>62</v>
      </c>
      <c r="C400" s="27">
        <f>+C395/C396</f>
        <v>0.62833679700876355</v>
      </c>
      <c r="E400" s="19">
        <f>+C395/SUMPRODUCT(M44:S44,C81:I81)*1000</f>
        <v>68.011042372405171</v>
      </c>
      <c r="F400" s="97" t="s">
        <v>194</v>
      </c>
      <c r="I400" s="182" t="s">
        <v>62</v>
      </c>
      <c r="J400" s="236">
        <f>ROUND(E400/$D$318,4)</f>
        <v>1.0324</v>
      </c>
      <c r="K400" s="237"/>
    </row>
    <row r="401" spans="1:11" x14ac:dyDescent="0.2">
      <c r="A401" s="11"/>
    </row>
    <row r="402" spans="1:11" x14ac:dyDescent="0.2">
      <c r="C402" s="124"/>
      <c r="D402" s="124"/>
      <c r="E402" s="124"/>
      <c r="F402" s="124"/>
      <c r="G402" s="124"/>
      <c r="H402" s="124"/>
      <c r="I402" s="124"/>
      <c r="J402" s="124"/>
    </row>
    <row r="403" spans="1:11" x14ac:dyDescent="0.2">
      <c r="A403" s="181" t="s">
        <v>197</v>
      </c>
      <c r="B403" s="20" t="s">
        <v>198</v>
      </c>
    </row>
    <row r="404" spans="1:11" x14ac:dyDescent="0.2">
      <c r="A404" s="181"/>
    </row>
    <row r="405" spans="1:11" x14ac:dyDescent="0.2">
      <c r="A405" s="181"/>
      <c r="E405" s="171"/>
      <c r="F405" s="20" t="s">
        <v>199</v>
      </c>
      <c r="I405" s="25" t="s">
        <v>200</v>
      </c>
    </row>
    <row r="406" spans="1:11" x14ac:dyDescent="0.2">
      <c r="B406" s="25" t="s">
        <v>201</v>
      </c>
      <c r="E406" s="171"/>
      <c r="F406" s="20" t="s">
        <v>202</v>
      </c>
      <c r="I406" s="25" t="s">
        <v>203</v>
      </c>
    </row>
    <row r="407" spans="1:11" x14ac:dyDescent="0.2">
      <c r="A407" s="11"/>
      <c r="B407" s="13" t="s">
        <v>61</v>
      </c>
      <c r="C407" s="102"/>
      <c r="D407" s="22" t="s">
        <v>204</v>
      </c>
      <c r="E407" s="238"/>
      <c r="F407" s="239" t="s">
        <v>61</v>
      </c>
      <c r="G407" s="172"/>
      <c r="I407" s="240" t="s">
        <v>205</v>
      </c>
      <c r="J407" s="172"/>
      <c r="K407" s="172"/>
    </row>
    <row r="408" spans="1:11" x14ac:dyDescent="0.2">
      <c r="A408" s="11"/>
      <c r="C408" s="30" t="s">
        <v>49</v>
      </c>
      <c r="D408" s="30" t="s">
        <v>206</v>
      </c>
      <c r="E408" s="241" t="s">
        <v>50</v>
      </c>
      <c r="F408" s="30" t="s">
        <v>49</v>
      </c>
      <c r="G408" s="30" t="s">
        <v>50</v>
      </c>
      <c r="I408" s="30" t="s">
        <v>49</v>
      </c>
      <c r="J408" s="30" t="s">
        <v>50</v>
      </c>
    </row>
    <row r="409" spans="1:11" x14ac:dyDescent="0.2">
      <c r="A409" s="11"/>
      <c r="B409" s="126" t="s">
        <v>14</v>
      </c>
      <c r="C409" s="105">
        <v>50.45</v>
      </c>
      <c r="D409" s="134">
        <v>0.73177018623467571</v>
      </c>
      <c r="E409" s="132">
        <f>ROUND(C409*D409,2)</f>
        <v>36.92</v>
      </c>
      <c r="F409" s="133">
        <v>0.99895949770918169</v>
      </c>
      <c r="G409" s="27">
        <v>0.9747555967595054</v>
      </c>
      <c r="I409" s="105">
        <f>ROUND(C409*F409,2)</f>
        <v>50.4</v>
      </c>
      <c r="J409" s="105">
        <f>ROUND(E409*G409,2)</f>
        <v>35.99</v>
      </c>
    </row>
    <row r="410" spans="1:11" x14ac:dyDescent="0.2">
      <c r="A410" s="11"/>
      <c r="B410" s="126" t="s">
        <v>15</v>
      </c>
      <c r="C410" s="105">
        <v>47.55</v>
      </c>
      <c r="D410" s="134">
        <f>D409</f>
        <v>0.73177018623467571</v>
      </c>
      <c r="E410" s="132">
        <f>ROUND(C410*D410,2)</f>
        <v>34.799999999999997</v>
      </c>
      <c r="F410" s="135">
        <f>F409</f>
        <v>0.99895949770918169</v>
      </c>
      <c r="G410" s="135">
        <f>G409</f>
        <v>0.9747555967595054</v>
      </c>
      <c r="I410" s="105">
        <f t="shared" ref="I410:I420" si="66">ROUND(C410*F410,2)</f>
        <v>47.5</v>
      </c>
      <c r="J410" s="105">
        <f t="shared" ref="J410:J420" si="67">ROUND(E410*G410,2)</f>
        <v>33.92</v>
      </c>
    </row>
    <row r="411" spans="1:11" x14ac:dyDescent="0.2">
      <c r="A411" s="11"/>
      <c r="B411" s="126" t="s">
        <v>16</v>
      </c>
      <c r="C411" s="105">
        <v>35.130000000000003</v>
      </c>
      <c r="D411" s="134">
        <f>D409</f>
        <v>0.73177018623467571</v>
      </c>
      <c r="E411" s="132">
        <f t="shared" ref="E411:E420" si="68">ROUND(C411*D411,2)</f>
        <v>25.71</v>
      </c>
      <c r="F411" s="135">
        <f>F409</f>
        <v>0.99895949770918169</v>
      </c>
      <c r="G411" s="135">
        <f>G409</f>
        <v>0.9747555967595054</v>
      </c>
      <c r="I411" s="105">
        <f t="shared" si="66"/>
        <v>35.090000000000003</v>
      </c>
      <c r="J411" s="105">
        <f t="shared" si="67"/>
        <v>25.06</v>
      </c>
    </row>
    <row r="412" spans="1:11" x14ac:dyDescent="0.2">
      <c r="A412" s="11"/>
      <c r="B412" s="126" t="s">
        <v>17</v>
      </c>
      <c r="C412" s="105">
        <v>30.38</v>
      </c>
      <c r="D412" s="134">
        <f>D409</f>
        <v>0.73177018623467571</v>
      </c>
      <c r="E412" s="132">
        <f t="shared" si="68"/>
        <v>22.23</v>
      </c>
      <c r="F412" s="135">
        <f>F409</f>
        <v>0.99895949770918169</v>
      </c>
      <c r="G412" s="135">
        <f>G409</f>
        <v>0.9747555967595054</v>
      </c>
      <c r="I412" s="105">
        <f t="shared" si="66"/>
        <v>30.35</v>
      </c>
      <c r="J412" s="105">
        <f t="shared" si="67"/>
        <v>21.67</v>
      </c>
    </row>
    <row r="413" spans="1:11" x14ac:dyDescent="0.2">
      <c r="A413" s="11"/>
      <c r="B413" s="126" t="s">
        <v>18</v>
      </c>
      <c r="C413" s="105">
        <v>31.55</v>
      </c>
      <c r="D413" s="134">
        <f>D409</f>
        <v>0.73177018623467571</v>
      </c>
      <c r="E413" s="132">
        <f t="shared" si="68"/>
        <v>23.09</v>
      </c>
      <c r="F413" s="135">
        <f>F409</f>
        <v>0.99895949770918169</v>
      </c>
      <c r="G413" s="135">
        <f>G409</f>
        <v>0.9747555967595054</v>
      </c>
      <c r="I413" s="105">
        <f t="shared" si="66"/>
        <v>31.52</v>
      </c>
      <c r="J413" s="105">
        <f t="shared" si="67"/>
        <v>22.51</v>
      </c>
    </row>
    <row r="414" spans="1:11" x14ac:dyDescent="0.2">
      <c r="A414" s="11"/>
      <c r="B414" s="126" t="s">
        <v>19</v>
      </c>
      <c r="C414" s="105">
        <v>33.549999999999997</v>
      </c>
      <c r="D414" s="134">
        <v>0.63277854259404198</v>
      </c>
      <c r="E414" s="132">
        <f t="shared" si="68"/>
        <v>21.23</v>
      </c>
      <c r="F414" s="27">
        <v>0.93096101364634931</v>
      </c>
      <c r="G414" s="27">
        <v>0.8793153998241795</v>
      </c>
      <c r="I414" s="105">
        <f t="shared" si="66"/>
        <v>31.23</v>
      </c>
      <c r="J414" s="105">
        <f t="shared" si="67"/>
        <v>18.670000000000002</v>
      </c>
    </row>
    <row r="415" spans="1:11" x14ac:dyDescent="0.2">
      <c r="A415" s="11"/>
      <c r="B415" s="126" t="s">
        <v>20</v>
      </c>
      <c r="C415" s="105">
        <v>41.74</v>
      </c>
      <c r="D415" s="134">
        <f>D414</f>
        <v>0.63277854259404198</v>
      </c>
      <c r="E415" s="132">
        <f t="shared" si="68"/>
        <v>26.41</v>
      </c>
      <c r="F415" s="135">
        <f>F414</f>
        <v>0.93096101364634931</v>
      </c>
      <c r="G415" s="135">
        <f>G414</f>
        <v>0.8793153998241795</v>
      </c>
      <c r="I415" s="105">
        <f t="shared" si="66"/>
        <v>38.86</v>
      </c>
      <c r="J415" s="105">
        <f t="shared" si="67"/>
        <v>23.22</v>
      </c>
    </row>
    <row r="416" spans="1:11" x14ac:dyDescent="0.2">
      <c r="A416" s="11"/>
      <c r="B416" s="126" t="s">
        <v>21</v>
      </c>
      <c r="C416" s="105">
        <v>37.880000000000003</v>
      </c>
      <c r="D416" s="134">
        <f>D414</f>
        <v>0.63277854259404198</v>
      </c>
      <c r="E416" s="132">
        <f t="shared" si="68"/>
        <v>23.97</v>
      </c>
      <c r="F416" s="135">
        <f>F414</f>
        <v>0.93096101364634931</v>
      </c>
      <c r="G416" s="135">
        <f>G414</f>
        <v>0.8793153998241795</v>
      </c>
      <c r="I416" s="105">
        <f t="shared" si="66"/>
        <v>35.26</v>
      </c>
      <c r="J416" s="105">
        <f t="shared" si="67"/>
        <v>21.08</v>
      </c>
    </row>
    <row r="417" spans="1:19" x14ac:dyDescent="0.2">
      <c r="A417" s="11"/>
      <c r="B417" s="126" t="s">
        <v>22</v>
      </c>
      <c r="C417" s="105">
        <v>32.119999999999997</v>
      </c>
      <c r="D417" s="134">
        <f>D414</f>
        <v>0.63277854259404198</v>
      </c>
      <c r="E417" s="132">
        <f t="shared" si="68"/>
        <v>20.32</v>
      </c>
      <c r="F417" s="135">
        <f>F414</f>
        <v>0.93096101364634931</v>
      </c>
      <c r="G417" s="135">
        <f>G414</f>
        <v>0.8793153998241795</v>
      </c>
      <c r="I417" s="105">
        <f t="shared" si="66"/>
        <v>29.9</v>
      </c>
      <c r="J417" s="105">
        <f t="shared" si="67"/>
        <v>17.87</v>
      </c>
    </row>
    <row r="418" spans="1:19" x14ac:dyDescent="0.2">
      <c r="A418" s="11"/>
      <c r="B418" s="126" t="s">
        <v>23</v>
      </c>
      <c r="C418" s="105">
        <v>31</v>
      </c>
      <c r="D418" s="134">
        <f>D409</f>
        <v>0.73177018623467571</v>
      </c>
      <c r="E418" s="132">
        <f t="shared" si="68"/>
        <v>22.68</v>
      </c>
      <c r="F418" s="135">
        <f>F409</f>
        <v>0.99895949770918169</v>
      </c>
      <c r="G418" s="135">
        <f>G409</f>
        <v>0.9747555967595054</v>
      </c>
      <c r="I418" s="105">
        <f t="shared" si="66"/>
        <v>30.97</v>
      </c>
      <c r="J418" s="105">
        <f t="shared" si="67"/>
        <v>22.11</v>
      </c>
    </row>
    <row r="419" spans="1:19" x14ac:dyDescent="0.2">
      <c r="A419" s="11"/>
      <c r="B419" s="126" t="s">
        <v>24</v>
      </c>
      <c r="C419" s="105">
        <v>30.88</v>
      </c>
      <c r="D419" s="134">
        <f>D409</f>
        <v>0.73177018623467571</v>
      </c>
      <c r="E419" s="132">
        <f t="shared" si="68"/>
        <v>22.6</v>
      </c>
      <c r="F419" s="135">
        <f>F409</f>
        <v>0.99895949770918169</v>
      </c>
      <c r="G419" s="135">
        <f>G409</f>
        <v>0.9747555967595054</v>
      </c>
      <c r="I419" s="105">
        <f t="shared" si="66"/>
        <v>30.85</v>
      </c>
      <c r="J419" s="105">
        <f t="shared" si="67"/>
        <v>22.03</v>
      </c>
    </row>
    <row r="420" spans="1:19" x14ac:dyDescent="0.2">
      <c r="A420" s="11"/>
      <c r="B420" s="126" t="s">
        <v>25</v>
      </c>
      <c r="C420" s="105">
        <v>33.9</v>
      </c>
      <c r="D420" s="134">
        <f>D409</f>
        <v>0.73177018623467571</v>
      </c>
      <c r="E420" s="132">
        <f t="shared" si="68"/>
        <v>24.81</v>
      </c>
      <c r="F420" s="135">
        <f>F409</f>
        <v>0.99895949770918169</v>
      </c>
      <c r="G420" s="135">
        <f>G409</f>
        <v>0.9747555967595054</v>
      </c>
      <c r="I420" s="105">
        <f t="shared" si="66"/>
        <v>33.86</v>
      </c>
      <c r="J420" s="105">
        <f t="shared" si="67"/>
        <v>24.18</v>
      </c>
    </row>
    <row r="421" spans="1:19" x14ac:dyDescent="0.2">
      <c r="A421" s="11"/>
      <c r="B421" s="126"/>
      <c r="C421" s="105"/>
      <c r="D421" s="105"/>
      <c r="E421" s="171"/>
      <c r="K421" s="27"/>
    </row>
    <row r="422" spans="1:19" x14ac:dyDescent="0.2">
      <c r="A422" s="11"/>
      <c r="B422" s="126"/>
      <c r="C422" s="105"/>
      <c r="D422" s="105"/>
      <c r="K422" s="27"/>
    </row>
    <row r="423" spans="1:19" x14ac:dyDescent="0.2">
      <c r="A423" s="11"/>
      <c r="B423" s="126"/>
      <c r="C423" s="105"/>
      <c r="D423" s="105"/>
      <c r="K423" s="27"/>
    </row>
    <row r="424" spans="1:19" x14ac:dyDescent="0.2">
      <c r="B424" s="20" t="s">
        <v>207</v>
      </c>
      <c r="F424" s="240" t="s">
        <v>208</v>
      </c>
    </row>
    <row r="425" spans="1:19" x14ac:dyDescent="0.2">
      <c r="B425" s="13" t="s">
        <v>61</v>
      </c>
      <c r="C425" s="172"/>
      <c r="D425" s="172"/>
      <c r="F425" s="25" t="str">
        <f>"system ("&amp;TEXT(E447*100,"0.0")&amp;"% PJM - "&amp;TEXT(F447*100,"0.0")&amp;"% NYISO)"</f>
        <v>system (89.1% PJM - 10.9% NYISO)</v>
      </c>
      <c r="G425" s="172"/>
      <c r="H425" s="172"/>
    </row>
    <row r="426" spans="1:19" x14ac:dyDescent="0.2">
      <c r="B426" s="13"/>
      <c r="C426" s="172"/>
      <c r="D426" s="172"/>
      <c r="F426" s="13" t="s">
        <v>61</v>
      </c>
      <c r="G426" s="172"/>
      <c r="H426" s="172"/>
    </row>
    <row r="427" spans="1:19" x14ac:dyDescent="0.2">
      <c r="C427" s="30" t="s">
        <v>49</v>
      </c>
      <c r="D427" s="30" t="s">
        <v>50</v>
      </c>
      <c r="G427" s="30" t="s">
        <v>49</v>
      </c>
      <c r="H427" s="30" t="s">
        <v>50</v>
      </c>
    </row>
    <row r="428" spans="1:19" x14ac:dyDescent="0.2">
      <c r="B428" s="126" t="s">
        <v>14</v>
      </c>
      <c r="C428" s="105">
        <v>72.25</v>
      </c>
      <c r="D428" s="105">
        <v>53.75</v>
      </c>
      <c r="F428" s="126" t="s">
        <v>14</v>
      </c>
      <c r="G428" s="105">
        <f>ROUND($J$428*I409+$J$429*C428,2)</f>
        <v>52.78</v>
      </c>
      <c r="H428" s="105">
        <f>ROUND($J$428*J409+$J$429*D428,2)</f>
        <v>37.92</v>
      </c>
      <c r="J428" s="242">
        <f>E447</f>
        <v>0.89126559714795017</v>
      </c>
      <c r="K428" s="97" t="s">
        <v>209</v>
      </c>
      <c r="Q428" s="105">
        <f>AVERAGE(G433:G436)</f>
        <v>34.207500000000003</v>
      </c>
      <c r="R428" s="105">
        <f>AVERAGE(H433:H436)</f>
        <v>20.527500000000003</v>
      </c>
    </row>
    <row r="429" spans="1:19" x14ac:dyDescent="0.2">
      <c r="B429" s="126" t="s">
        <v>15</v>
      </c>
      <c r="C429" s="105">
        <v>70.25</v>
      </c>
      <c r="D429" s="105">
        <v>52.75</v>
      </c>
      <c r="F429" s="126" t="s">
        <v>15</v>
      </c>
      <c r="G429" s="105">
        <f t="shared" ref="G429:H439" si="69">ROUND($J$428*I410+$J$429*C429,2)</f>
        <v>49.97</v>
      </c>
      <c r="H429" s="105">
        <f t="shared" si="69"/>
        <v>35.97</v>
      </c>
      <c r="J429" s="242">
        <f>F447</f>
        <v>0.10873440285204992</v>
      </c>
      <c r="K429" s="97" t="s">
        <v>210</v>
      </c>
      <c r="Q429" s="105">
        <f>AVERAGE(G428:G432,G437:G439)</f>
        <v>37.282499999999999</v>
      </c>
      <c r="R429" s="105">
        <f>AVERAGE(H428:H432,H437:H439)</f>
        <v>26.787500000000001</v>
      </c>
    </row>
    <row r="430" spans="1:19" x14ac:dyDescent="0.2">
      <c r="B430" s="126" t="s">
        <v>16</v>
      </c>
      <c r="C430" s="105">
        <v>46</v>
      </c>
      <c r="D430" s="105">
        <v>35.25</v>
      </c>
      <c r="F430" s="126" t="s">
        <v>16</v>
      </c>
      <c r="G430" s="105">
        <f t="shared" si="69"/>
        <v>36.28</v>
      </c>
      <c r="H430" s="105">
        <f t="shared" si="69"/>
        <v>26.17</v>
      </c>
      <c r="Q430" s="97">
        <f>Q428/Q429</f>
        <v>0.9175216254274795</v>
      </c>
      <c r="R430" s="97">
        <f>R428/R429</f>
        <v>0.7663089127391508</v>
      </c>
    </row>
    <row r="431" spans="1:19" x14ac:dyDescent="0.2">
      <c r="B431" s="126" t="s">
        <v>17</v>
      </c>
      <c r="C431" s="105">
        <v>30.5</v>
      </c>
      <c r="D431" s="105">
        <v>25</v>
      </c>
      <c r="F431" s="126" t="s">
        <v>17</v>
      </c>
      <c r="G431" s="105">
        <f t="shared" si="69"/>
        <v>30.37</v>
      </c>
      <c r="H431" s="105">
        <f t="shared" si="69"/>
        <v>22.03</v>
      </c>
    </row>
    <row r="432" spans="1:19" x14ac:dyDescent="0.2">
      <c r="B432" s="126" t="s">
        <v>18</v>
      </c>
      <c r="C432" s="105">
        <v>29.5</v>
      </c>
      <c r="D432" s="105">
        <v>21</v>
      </c>
      <c r="F432" s="126" t="s">
        <v>18</v>
      </c>
      <c r="G432" s="105">
        <f t="shared" si="69"/>
        <v>31.3</v>
      </c>
      <c r="H432" s="105">
        <f t="shared" si="69"/>
        <v>22.35</v>
      </c>
      <c r="Q432" s="105">
        <f>AVERAGE(G428:G439)</f>
        <v>36.257499999999993</v>
      </c>
      <c r="R432" s="105">
        <f>AVERAGE(H428:H439)</f>
        <v>24.700833333333332</v>
      </c>
      <c r="S432" s="97">
        <f>Q432/R432</f>
        <v>1.4678654566310176</v>
      </c>
    </row>
    <row r="433" spans="1:20" x14ac:dyDescent="0.2">
      <c r="B433" s="126" t="s">
        <v>19</v>
      </c>
      <c r="C433" s="105">
        <v>33.25</v>
      </c>
      <c r="D433" s="105">
        <v>21.5</v>
      </c>
      <c r="F433" s="126" t="s">
        <v>19</v>
      </c>
      <c r="G433" s="105">
        <f t="shared" si="69"/>
        <v>31.45</v>
      </c>
      <c r="H433" s="105">
        <f t="shared" si="69"/>
        <v>18.98</v>
      </c>
    </row>
    <row r="434" spans="1:20" x14ac:dyDescent="0.2">
      <c r="B434" s="126" t="s">
        <v>20</v>
      </c>
      <c r="C434" s="105">
        <v>43.25</v>
      </c>
      <c r="D434" s="105">
        <v>25.5</v>
      </c>
      <c r="F434" s="126" t="s">
        <v>20</v>
      </c>
      <c r="G434" s="105">
        <f t="shared" si="69"/>
        <v>39.340000000000003</v>
      </c>
      <c r="H434" s="105">
        <f t="shared" si="69"/>
        <v>23.47</v>
      </c>
    </row>
    <row r="435" spans="1:20" x14ac:dyDescent="0.2">
      <c r="B435" s="126" t="s">
        <v>21</v>
      </c>
      <c r="C435" s="105">
        <v>41.25</v>
      </c>
      <c r="D435" s="105">
        <v>24.5</v>
      </c>
      <c r="F435" s="126" t="s">
        <v>21</v>
      </c>
      <c r="G435" s="105">
        <f t="shared" si="69"/>
        <v>35.909999999999997</v>
      </c>
      <c r="H435" s="105">
        <f t="shared" si="69"/>
        <v>21.45</v>
      </c>
    </row>
    <row r="436" spans="1:20" x14ac:dyDescent="0.2">
      <c r="B436" s="126" t="s">
        <v>22</v>
      </c>
      <c r="C436" s="105">
        <v>32</v>
      </c>
      <c r="D436" s="105">
        <v>21</v>
      </c>
      <c r="F436" s="126" t="s">
        <v>22</v>
      </c>
      <c r="G436" s="105">
        <f t="shared" si="69"/>
        <v>30.13</v>
      </c>
      <c r="H436" s="105">
        <f t="shared" si="69"/>
        <v>18.21</v>
      </c>
    </row>
    <row r="437" spans="1:20" x14ac:dyDescent="0.2">
      <c r="B437" s="126" t="s">
        <v>23</v>
      </c>
      <c r="C437" s="105">
        <v>30.25</v>
      </c>
      <c r="D437" s="105">
        <v>21.75</v>
      </c>
      <c r="F437" s="126" t="s">
        <v>23</v>
      </c>
      <c r="G437" s="105">
        <f t="shared" si="69"/>
        <v>30.89</v>
      </c>
      <c r="H437" s="105">
        <f t="shared" si="69"/>
        <v>22.07</v>
      </c>
    </row>
    <row r="438" spans="1:20" x14ac:dyDescent="0.2">
      <c r="B438" s="126" t="s">
        <v>24</v>
      </c>
      <c r="C438" s="105">
        <v>33.5</v>
      </c>
      <c r="D438" s="105">
        <v>25.75</v>
      </c>
      <c r="F438" s="126" t="s">
        <v>24</v>
      </c>
      <c r="G438" s="105">
        <f t="shared" si="69"/>
        <v>31.14</v>
      </c>
      <c r="H438" s="105">
        <f t="shared" si="69"/>
        <v>22.43</v>
      </c>
    </row>
    <row r="439" spans="1:20" x14ac:dyDescent="0.2">
      <c r="B439" s="126" t="s">
        <v>25</v>
      </c>
      <c r="C439" s="105">
        <v>49.25</v>
      </c>
      <c r="D439" s="105">
        <v>35</v>
      </c>
      <c r="F439" s="126" t="s">
        <v>25</v>
      </c>
      <c r="G439" s="105">
        <f t="shared" si="69"/>
        <v>35.53</v>
      </c>
      <c r="H439" s="105">
        <f t="shared" si="69"/>
        <v>25.36</v>
      </c>
    </row>
    <row r="443" spans="1:20" x14ac:dyDescent="0.2">
      <c r="A443" s="181" t="s">
        <v>211</v>
      </c>
      <c r="B443" s="25" t="s">
        <v>212</v>
      </c>
    </row>
    <row r="446" spans="1:20" x14ac:dyDescent="0.2">
      <c r="C446" s="182" t="s">
        <v>213</v>
      </c>
      <c r="D446" s="102" t="s">
        <v>214</v>
      </c>
      <c r="E446" s="102" t="s">
        <v>209</v>
      </c>
      <c r="F446" s="102" t="s">
        <v>210</v>
      </c>
      <c r="G446" s="102" t="s">
        <v>215</v>
      </c>
    </row>
    <row r="447" spans="1:20" x14ac:dyDescent="0.2">
      <c r="C447" s="243" t="s">
        <v>216</v>
      </c>
      <c r="D447" s="244" t="s">
        <v>217</v>
      </c>
      <c r="E447" s="245">
        <f>4/(4+M466)</f>
        <v>0.89126559714795017</v>
      </c>
      <c r="F447" s="245">
        <f>M466/(4+M466)</f>
        <v>0.10873440285204992</v>
      </c>
      <c r="G447" s="246" t="s">
        <v>218</v>
      </c>
    </row>
    <row r="448" spans="1:20" x14ac:dyDescent="0.2">
      <c r="R448" s="113" t="s">
        <v>219</v>
      </c>
      <c r="S448" s="97" t="s">
        <v>220</v>
      </c>
      <c r="T448" s="97" t="s">
        <v>221</v>
      </c>
    </row>
    <row r="449" spans="1:20" x14ac:dyDescent="0.2">
      <c r="B449" s="102" t="s">
        <v>69</v>
      </c>
      <c r="C449" s="247">
        <v>168.39125171476766</v>
      </c>
      <c r="D449" s="248">
        <f>'Incremental RPM Cost'!$C$7*(('Weighted Avg Price Calc'!$D$9/'Weighted Avg Price Calc'!$G$9))</f>
        <v>0</v>
      </c>
      <c r="E449" s="112">
        <f>C449+D449</f>
        <v>168.39125171476766</v>
      </c>
      <c r="F449" s="112">
        <v>339.21195652173918</v>
      </c>
      <c r="G449" s="122">
        <f>ROUND(E449*E$447+F449*F$447,2)</f>
        <v>186.97</v>
      </c>
      <c r="I449" s="122"/>
      <c r="Q449" s="97" t="s">
        <v>222</v>
      </c>
      <c r="R449" s="97">
        <v>2.25</v>
      </c>
      <c r="S449" s="97">
        <f>R449*1000</f>
        <v>2250</v>
      </c>
      <c r="T449" s="97">
        <v>31</v>
      </c>
    </row>
    <row r="450" spans="1:20" x14ac:dyDescent="0.2">
      <c r="B450" s="102"/>
      <c r="C450" s="102"/>
      <c r="D450" s="102"/>
      <c r="E450" s="112"/>
      <c r="F450" s="112"/>
      <c r="G450" s="122"/>
      <c r="Q450" s="97" t="s">
        <v>223</v>
      </c>
      <c r="R450" s="97">
        <v>1.25</v>
      </c>
      <c r="S450" s="97">
        <f>R450*1000</f>
        <v>1250</v>
      </c>
      <c r="T450" s="97">
        <v>30</v>
      </c>
    </row>
    <row r="451" spans="1:20" x14ac:dyDescent="0.2">
      <c r="B451" s="102" t="s">
        <v>62</v>
      </c>
      <c r="C451" s="112">
        <f>C449</f>
        <v>168.39125171476766</v>
      </c>
      <c r="D451" s="248">
        <f>'Incremental RPM Cost'!$C$7*(('Weighted Avg Price Calc'!$D$9/'Weighted Avg Price Calc'!$G$9))</f>
        <v>0</v>
      </c>
      <c r="E451" s="112">
        <f>C451+D451</f>
        <v>168.39125171476766</v>
      </c>
      <c r="F451" s="136">
        <v>108.63812154696133</v>
      </c>
      <c r="G451" s="122">
        <f>ROUND(E451*E$447+F451*F$447,2)</f>
        <v>161.88999999999999</v>
      </c>
      <c r="J451" s="113"/>
      <c r="Q451" s="97" t="s">
        <v>224</v>
      </c>
      <c r="R451" s="97">
        <v>1.25</v>
      </c>
      <c r="S451" s="97">
        <f t="shared" ref="Q451:S456" si="70">R451*1000</f>
        <v>1250</v>
      </c>
      <c r="T451" s="97">
        <v>31</v>
      </c>
    </row>
    <row r="452" spans="1:20" x14ac:dyDescent="0.2">
      <c r="O452" s="97" t="s">
        <v>225</v>
      </c>
      <c r="P452" s="97">
        <v>1.25</v>
      </c>
      <c r="Q452" s="97">
        <f t="shared" si="70"/>
        <v>1250</v>
      </c>
      <c r="R452" s="97">
        <v>30</v>
      </c>
    </row>
    <row r="453" spans="1:20" x14ac:dyDescent="0.2">
      <c r="C453" s="97" t="s">
        <v>441</v>
      </c>
      <c r="O453" s="97" t="s">
        <v>226</v>
      </c>
      <c r="P453" s="97">
        <v>1.25</v>
      </c>
      <c r="Q453" s="97">
        <f t="shared" si="70"/>
        <v>1250</v>
      </c>
      <c r="R453" s="97">
        <v>28</v>
      </c>
    </row>
    <row r="454" spans="1:20" x14ac:dyDescent="0.2">
      <c r="O454" s="97" t="s">
        <v>227</v>
      </c>
      <c r="P454" s="97">
        <v>1.25</v>
      </c>
      <c r="Q454" s="97">
        <f t="shared" si="70"/>
        <v>1250</v>
      </c>
      <c r="R454" s="97">
        <v>31</v>
      </c>
    </row>
    <row r="455" spans="1:20" x14ac:dyDescent="0.2">
      <c r="A455" s="181" t="s">
        <v>228</v>
      </c>
      <c r="B455" s="25" t="s">
        <v>118</v>
      </c>
      <c r="O455" s="97" t="s">
        <v>229</v>
      </c>
      <c r="P455" s="97">
        <v>1.25</v>
      </c>
      <c r="Q455" s="97">
        <f t="shared" si="70"/>
        <v>1250</v>
      </c>
      <c r="R455" s="97">
        <v>30</v>
      </c>
    </row>
    <row r="456" spans="1:20" x14ac:dyDescent="0.2">
      <c r="O456" s="97" t="s">
        <v>18</v>
      </c>
      <c r="P456" s="97">
        <v>2</v>
      </c>
      <c r="Q456" s="97">
        <f t="shared" si="70"/>
        <v>2000</v>
      </c>
      <c r="R456" s="97">
        <v>31</v>
      </c>
    </row>
    <row r="457" spans="1:20" x14ac:dyDescent="0.2">
      <c r="P457" s="97">
        <f>SUM(P449:P456)</f>
        <v>7</v>
      </c>
      <c r="Q457" s="97">
        <f>SUM(Q449:Q456)</f>
        <v>7000</v>
      </c>
      <c r="R457" s="97">
        <f>SUM(R449:R456)</f>
        <v>154.75</v>
      </c>
      <c r="S457" s="97">
        <f>Q457/R457</f>
        <v>45.234248788368333</v>
      </c>
    </row>
    <row r="458" spans="1:20" x14ac:dyDescent="0.2">
      <c r="C458" s="102" t="s">
        <v>230</v>
      </c>
      <c r="D458" s="102" t="s">
        <v>231</v>
      </c>
      <c r="E458" s="102" t="s">
        <v>232</v>
      </c>
      <c r="F458" s="102" t="s">
        <v>209</v>
      </c>
      <c r="G458" s="102" t="s">
        <v>210</v>
      </c>
      <c r="H458" s="102" t="s">
        <v>215</v>
      </c>
    </row>
    <row r="459" spans="1:20" x14ac:dyDescent="0.2">
      <c r="C459" s="246" t="s">
        <v>233</v>
      </c>
      <c r="D459" s="246" t="s">
        <v>233</v>
      </c>
      <c r="E459" s="246" t="s">
        <v>234</v>
      </c>
      <c r="F459" s="245">
        <f>E447</f>
        <v>0.89126559714795017</v>
      </c>
      <c r="G459" s="245">
        <f>F447</f>
        <v>0.10873440285204992</v>
      </c>
      <c r="H459" s="246" t="s">
        <v>218</v>
      </c>
    </row>
    <row r="461" spans="1:20" x14ac:dyDescent="0.2">
      <c r="B461" s="102"/>
      <c r="C461" s="31">
        <v>2</v>
      </c>
      <c r="D461" s="31">
        <v>1.54</v>
      </c>
      <c r="E461" s="31">
        <v>8.3964175000000001</v>
      </c>
      <c r="F461" s="31">
        <f>C461+E461</f>
        <v>10.3964175</v>
      </c>
      <c r="G461" s="31">
        <f>E461+D461</f>
        <v>9.936417500000001</v>
      </c>
      <c r="H461" s="31">
        <f>ROUND(F461*F$459+G461*G$459,2)</f>
        <v>10.35</v>
      </c>
    </row>
    <row r="462" spans="1:20" x14ac:dyDescent="0.2">
      <c r="B462" s="102"/>
      <c r="C462" s="31"/>
      <c r="D462" s="31"/>
      <c r="E462" s="31"/>
    </row>
    <row r="463" spans="1:20" ht="13.5" thickBot="1" x14ac:dyDescent="0.25">
      <c r="A463" s="20" t="s">
        <v>235</v>
      </c>
      <c r="E463" s="186"/>
    </row>
    <row r="464" spans="1:20" x14ac:dyDescent="0.2">
      <c r="A464" s="11"/>
      <c r="B464" s="102" t="s">
        <v>236</v>
      </c>
      <c r="C464" s="122">
        <f>G449</f>
        <v>186.97</v>
      </c>
      <c r="D464" s="123" t="s">
        <v>237</v>
      </c>
      <c r="L464" s="249" t="s">
        <v>238</v>
      </c>
      <c r="M464" s="250">
        <v>49</v>
      </c>
      <c r="N464" s="216"/>
    </row>
    <row r="465" spans="1:14" x14ac:dyDescent="0.2">
      <c r="A465" s="11"/>
      <c r="B465" s="102"/>
      <c r="C465" s="122">
        <f>+G451</f>
        <v>161.88999999999999</v>
      </c>
      <c r="D465" s="123" t="s">
        <v>239</v>
      </c>
      <c r="L465" s="251" t="s">
        <v>240</v>
      </c>
      <c r="M465" s="252">
        <v>100.5</v>
      </c>
      <c r="N465" s="218"/>
    </row>
    <row r="466" spans="1:14" x14ac:dyDescent="0.2">
      <c r="A466" s="11"/>
      <c r="B466" s="102" t="s">
        <v>241</v>
      </c>
      <c r="C466" s="124">
        <f>+C147</f>
        <v>49695</v>
      </c>
      <c r="D466" s="123" t="s">
        <v>96</v>
      </c>
      <c r="E466" s="26"/>
      <c r="L466" s="251" t="s">
        <v>242</v>
      </c>
      <c r="M466" s="116">
        <f>ROUND(M464/M465,3)</f>
        <v>0.48799999999999999</v>
      </c>
      <c r="N466" s="218"/>
    </row>
    <row r="467" spans="1:14" x14ac:dyDescent="0.2">
      <c r="A467" s="11"/>
      <c r="B467" s="102" t="s">
        <v>243</v>
      </c>
      <c r="C467" s="253">
        <f>+H144</f>
        <v>4</v>
      </c>
      <c r="D467" s="97" t="s">
        <v>244</v>
      </c>
      <c r="E467" s="26"/>
      <c r="L467" s="217"/>
      <c r="M467" s="116"/>
      <c r="N467" s="218"/>
    </row>
    <row r="468" spans="1:14" x14ac:dyDescent="0.2">
      <c r="A468" s="11"/>
      <c r="B468" s="102"/>
      <c r="C468" s="253">
        <f>+H145</f>
        <v>8</v>
      </c>
      <c r="D468" s="97" t="s">
        <v>245</v>
      </c>
      <c r="E468" s="26"/>
      <c r="L468" s="251" t="s">
        <v>246</v>
      </c>
      <c r="M468" s="185">
        <f>D223-D318</f>
        <v>13.991731431489171</v>
      </c>
      <c r="N468" s="218" t="s">
        <v>247</v>
      </c>
    </row>
    <row r="469" spans="1:14" x14ac:dyDescent="0.2">
      <c r="A469" s="11"/>
      <c r="B469" s="102" t="s">
        <v>248</v>
      </c>
      <c r="C469" s="137">
        <f>+D161</f>
        <v>10.35</v>
      </c>
      <c r="D469" s="113" t="s">
        <v>120</v>
      </c>
      <c r="L469" s="251" t="s">
        <v>249</v>
      </c>
      <c r="M469" s="254">
        <f>ROUND(M466/(4+M466)*M468,2)</f>
        <v>1.52</v>
      </c>
      <c r="N469" s="218" t="s">
        <v>247</v>
      </c>
    </row>
    <row r="470" spans="1:14" ht="13.5" thickBot="1" x14ac:dyDescent="0.25">
      <c r="A470" s="11"/>
      <c r="B470" s="102" t="s">
        <v>250</v>
      </c>
      <c r="C470" s="113" t="s">
        <v>438</v>
      </c>
      <c r="L470" s="255" t="s">
        <v>251</v>
      </c>
      <c r="M470" s="256">
        <f>M468-M469</f>
        <v>12.471731431489172</v>
      </c>
      <c r="N470" s="257" t="s">
        <v>247</v>
      </c>
    </row>
    <row r="471" spans="1:14" x14ac:dyDescent="0.2">
      <c r="A471" s="11"/>
      <c r="B471" s="102"/>
      <c r="C471" s="113" t="s">
        <v>439</v>
      </c>
      <c r="L471" s="51"/>
      <c r="M471" s="252"/>
      <c r="N471" s="116"/>
    </row>
    <row r="472" spans="1:14" x14ac:dyDescent="0.2">
      <c r="A472" s="11"/>
      <c r="B472" s="102" t="s">
        <v>252</v>
      </c>
      <c r="C472" s="113" t="str">
        <f>"Forecasted " &amp;M1-1 &amp;" energy use by class, PJM on/off % from " &amp;M1-2 &amp;" class load profiles,"</f>
        <v>Forecasted 2017 energy use by class, PJM on/off % from 2016 class load profiles,</v>
      </c>
    </row>
    <row r="473" spans="1:14" x14ac:dyDescent="0.2">
      <c r="A473" s="11"/>
      <c r="B473" s="102"/>
      <c r="C473" s="113" t="str">
        <f>"RECO billing on/off % from " &amp;TEXT(DATE(M1-2,6,1),"m/yy") &amp;" to 5/" &amp;TEXT(DATE(M1-1,5,1),"yy") &amp;" actual data"</f>
        <v>RECO billing on/off % from 6/16 to 5/17 actual data</v>
      </c>
    </row>
    <row r="474" spans="1:14" x14ac:dyDescent="0.2">
      <c r="A474" s="11"/>
      <c r="B474" s="102" t="s">
        <v>253</v>
      </c>
      <c r="C474" s="113" t="str">
        <f>" Class totals for " &amp;M1-1</f>
        <v xml:space="preserve"> Class totals for 2017</v>
      </c>
    </row>
    <row r="475" spans="1:14" x14ac:dyDescent="0.2">
      <c r="A475" s="11"/>
      <c r="B475" s="102" t="s">
        <v>254</v>
      </c>
      <c r="C475" s="97" t="s">
        <v>255</v>
      </c>
    </row>
    <row r="476" spans="1:14" x14ac:dyDescent="0.2">
      <c r="A476" s="11"/>
      <c r="B476" s="102" t="s">
        <v>256</v>
      </c>
      <c r="C476" s="97" t="s">
        <v>257</v>
      </c>
    </row>
    <row r="477" spans="1:14" x14ac:dyDescent="0.2">
      <c r="C477" s="97" t="s">
        <v>258</v>
      </c>
    </row>
    <row r="478" spans="1:14" x14ac:dyDescent="0.2">
      <c r="B478" s="104" t="s">
        <v>259</v>
      </c>
      <c r="C478" s="97" t="s">
        <v>260</v>
      </c>
    </row>
    <row r="479" spans="1:14" x14ac:dyDescent="0.2">
      <c r="A479" s="11"/>
      <c r="C479" s="131"/>
      <c r="E479" s="131"/>
    </row>
    <row r="481" spans="1:10" x14ac:dyDescent="0.2">
      <c r="A481" s="258" t="s">
        <v>261</v>
      </c>
      <c r="B481" s="259"/>
      <c r="C481" s="259"/>
      <c r="D481" s="259"/>
    </row>
    <row r="482" spans="1:10" x14ac:dyDescent="0.2">
      <c r="A482" s="181" t="s">
        <v>262</v>
      </c>
      <c r="B482" s="25" t="s">
        <v>263</v>
      </c>
    </row>
    <row r="483" spans="1:10" x14ac:dyDescent="0.2">
      <c r="D483" s="32"/>
    </row>
    <row r="484" spans="1:10" x14ac:dyDescent="0.2">
      <c r="B484" s="143" t="s">
        <v>264</v>
      </c>
      <c r="D484" s="32">
        <f>D223</f>
        <v>79.870087357115821</v>
      </c>
      <c r="E484" s="113" t="s">
        <v>120</v>
      </c>
      <c r="F484" s="113" t="s">
        <v>265</v>
      </c>
    </row>
    <row r="485" spans="1:10" x14ac:dyDescent="0.2">
      <c r="B485" s="143" t="s">
        <v>266</v>
      </c>
      <c r="D485" s="260">
        <f>-M470</f>
        <v>-12.471731431489172</v>
      </c>
      <c r="E485" s="113" t="s">
        <v>120</v>
      </c>
      <c r="F485" s="97" t="s">
        <v>267</v>
      </c>
    </row>
    <row r="486" spans="1:10" x14ac:dyDescent="0.2">
      <c r="B486" s="143" t="s">
        <v>268</v>
      </c>
      <c r="D486" s="137">
        <f>D484+D485</f>
        <v>67.398355925626646</v>
      </c>
      <c r="E486" s="113" t="s">
        <v>120</v>
      </c>
      <c r="F486" s="97" t="str">
        <f>"** RECO average transmission rate of "&amp;TEXT(D223-D318,"0.00")&amp;" minus"</f>
        <v>** RECO average transmission rate of 13.99 minus</v>
      </c>
    </row>
    <row r="487" spans="1:10" x14ac:dyDescent="0.2">
      <c r="F487" s="97" t="s">
        <v>269</v>
      </c>
    </row>
    <row r="488" spans="1:10" x14ac:dyDescent="0.2">
      <c r="D488" s="261"/>
      <c r="F488" s="97" t="str">
        <f>"average rate "&amp;TEXT(M466,"0.000")&amp;"/"&amp;TEXT(4+M466,"0.000")&amp;" *$"&amp;TEXT(M468,"0.00")&amp;" per MWh)."</f>
        <v>average rate 0.488/4.488 *$13.99 per MWh).</v>
      </c>
      <c r="I488" s="138"/>
    </row>
    <row r="489" spans="1:10" x14ac:dyDescent="0.2">
      <c r="B489" s="33" t="s">
        <v>270</v>
      </c>
    </row>
    <row r="491" spans="1:10" x14ac:dyDescent="0.2">
      <c r="C491" s="34" t="str">
        <f t="shared" ref="C491:I491" si="71">C6</f>
        <v>SC1</v>
      </c>
      <c r="D491" s="34" t="str">
        <f t="shared" si="71"/>
        <v>SC5</v>
      </c>
      <c r="E491" s="34" t="str">
        <f t="shared" si="71"/>
        <v>SC3</v>
      </c>
      <c r="F491" s="34" t="str">
        <f t="shared" si="71"/>
        <v>SC2 ND</v>
      </c>
      <c r="G491" s="34" t="str">
        <f t="shared" si="71"/>
        <v>SC4</v>
      </c>
      <c r="H491" s="34" t="str">
        <f t="shared" si="71"/>
        <v>SC6</v>
      </c>
      <c r="I491" s="34" t="str">
        <f t="shared" si="71"/>
        <v>SC2 Dem</v>
      </c>
      <c r="J491" s="34"/>
    </row>
    <row r="492" spans="1:10" x14ac:dyDescent="0.2">
      <c r="B492" s="35" t="s">
        <v>69</v>
      </c>
    </row>
    <row r="493" spans="1:10" x14ac:dyDescent="0.2">
      <c r="B493" s="104" t="s">
        <v>271</v>
      </c>
      <c r="C493" s="104">
        <f>ROUND(($D$486*C327)/10,3)</f>
        <v>6.9420000000000002</v>
      </c>
      <c r="D493" s="104">
        <f>ROUND(($D$486*D327)/10,3)</f>
        <v>6.335</v>
      </c>
      <c r="F493" s="118">
        <f>ROUND(F327*$D$486/10,3)</f>
        <v>5.7690000000000001</v>
      </c>
      <c r="G493" s="118">
        <f>ROUND(G327*$D$486/10,3)</f>
        <v>4.125</v>
      </c>
      <c r="H493" s="118">
        <f>ROUND(H327*$D$486/10,3)</f>
        <v>4.125</v>
      </c>
      <c r="I493" s="118">
        <f>ROUND((C348*$D$486+D348)/10,3)</f>
        <v>4.2370000000000001</v>
      </c>
      <c r="J493" s="118"/>
    </row>
    <row r="494" spans="1:10" x14ac:dyDescent="0.2">
      <c r="B494" s="104" t="s">
        <v>272</v>
      </c>
      <c r="E494" s="118">
        <f>ROUND(E328*$D$486/10,3)</f>
        <v>10.972</v>
      </c>
      <c r="J494" s="118"/>
    </row>
    <row r="495" spans="1:10" x14ac:dyDescent="0.2">
      <c r="B495" s="104" t="s">
        <v>273</v>
      </c>
      <c r="E495" s="118">
        <f>ROUND(E329*$D$486/10,3)</f>
        <v>3.552</v>
      </c>
      <c r="J495" s="118"/>
    </row>
    <row r="496" spans="1:10" x14ac:dyDescent="0.2">
      <c r="B496" s="102" t="s">
        <v>41</v>
      </c>
      <c r="C496" s="104">
        <f>ROUND(($D$486*C327+C332)/10,3)</f>
        <v>5.5579999999999998</v>
      </c>
      <c r="D496" s="97">
        <f>ROUND(($D$486*D327+D332)/10,3)</f>
        <v>5.6820000000000004</v>
      </c>
      <c r="E496" s="118"/>
      <c r="J496" s="118"/>
    </row>
    <row r="497" spans="2:10" x14ac:dyDescent="0.2">
      <c r="B497" s="104" t="s">
        <v>42</v>
      </c>
      <c r="C497" s="97">
        <f>ROUND(($D$486*C327+C333)/10,3)</f>
        <v>7.9829999999999997</v>
      </c>
      <c r="D497" s="97">
        <f>ROUND(($D$486*D327+D333)/10,3)</f>
        <v>7.3849999999999998</v>
      </c>
      <c r="E497" s="118"/>
      <c r="J497" s="118"/>
    </row>
    <row r="498" spans="2:10" x14ac:dyDescent="0.2">
      <c r="E498" s="118"/>
      <c r="J498" s="118"/>
    </row>
    <row r="500" spans="2:10" x14ac:dyDescent="0.2">
      <c r="B500" s="102" t="s">
        <v>274</v>
      </c>
      <c r="I500" s="189">
        <f>I352</f>
        <v>1.7</v>
      </c>
      <c r="J500" s="189"/>
    </row>
    <row r="501" spans="2:10" x14ac:dyDescent="0.2">
      <c r="B501" s="102" t="s">
        <v>275</v>
      </c>
      <c r="I501" s="189">
        <f>J352</f>
        <v>5.8769999999999998</v>
      </c>
      <c r="J501" s="189"/>
    </row>
    <row r="503" spans="2:10" x14ac:dyDescent="0.2">
      <c r="B503" s="35" t="s">
        <v>62</v>
      </c>
    </row>
    <row r="504" spans="2:10" x14ac:dyDescent="0.2">
      <c r="B504" s="104" t="s">
        <v>271</v>
      </c>
      <c r="C504" s="118">
        <f>ROUND(C336*$D$486/10,3)</f>
        <v>8.2899999999999991</v>
      </c>
      <c r="D504" s="118">
        <f>ROUND(D336*$D$486/10,3)</f>
        <v>6.7060000000000004</v>
      </c>
      <c r="F504" s="118">
        <f>ROUND(F336*$D$486/10,3)</f>
        <v>5.9779999999999998</v>
      </c>
      <c r="G504" s="118">
        <f>ROUND(G336*$D$486/10,3)</f>
        <v>4.6980000000000004</v>
      </c>
      <c r="H504" s="118">
        <f>ROUND(H336*$D$486/10,3)</f>
        <v>4.63</v>
      </c>
      <c r="I504" s="118">
        <f>ROUND((C352*$D$486+D352)/10,3)</f>
        <v>4.7290000000000001</v>
      </c>
    </row>
    <row r="505" spans="2:10" x14ac:dyDescent="0.2">
      <c r="B505" s="104" t="s">
        <v>272</v>
      </c>
      <c r="E505" s="118">
        <f>ROUND(E337*$D$486/10,3)</f>
        <v>10.885</v>
      </c>
      <c r="J505" s="118"/>
    </row>
    <row r="506" spans="2:10" x14ac:dyDescent="0.2">
      <c r="B506" s="104" t="s">
        <v>273</v>
      </c>
      <c r="E506" s="118">
        <f>ROUND(E338*$D$486/10,3)</f>
        <v>4.34</v>
      </c>
      <c r="J506" s="118"/>
    </row>
    <row r="508" spans="2:10" x14ac:dyDescent="0.2">
      <c r="B508" s="102" t="s">
        <v>274</v>
      </c>
      <c r="I508" s="189">
        <f>I353</f>
        <v>1.554</v>
      </c>
      <c r="J508" s="189"/>
    </row>
    <row r="509" spans="2:10" x14ac:dyDescent="0.2">
      <c r="B509" s="102" t="s">
        <v>275</v>
      </c>
      <c r="I509" s="189">
        <f>J353</f>
        <v>5.4740000000000002</v>
      </c>
      <c r="J509" s="189"/>
    </row>
    <row r="510" spans="2:10" x14ac:dyDescent="0.2">
      <c r="B510" s="102"/>
      <c r="I510" s="189"/>
      <c r="J510" s="189"/>
    </row>
    <row r="511" spans="2:10" x14ac:dyDescent="0.2">
      <c r="B511" s="33" t="s">
        <v>276</v>
      </c>
      <c r="D511" s="97" t="s">
        <v>277</v>
      </c>
      <c r="E511" s="139">
        <v>6.6250000000000003E-2</v>
      </c>
      <c r="J511" s="189"/>
    </row>
    <row r="512" spans="2:10" x14ac:dyDescent="0.2">
      <c r="J512" s="189"/>
    </row>
    <row r="513" spans="2:10" x14ac:dyDescent="0.2">
      <c r="C513" s="34" t="s">
        <v>7</v>
      </c>
      <c r="D513" s="34" t="s">
        <v>8</v>
      </c>
      <c r="E513" s="34" t="s">
        <v>9</v>
      </c>
      <c r="F513" s="34" t="s">
        <v>10</v>
      </c>
      <c r="G513" s="34" t="s">
        <v>11</v>
      </c>
      <c r="H513" s="34" t="s">
        <v>12</v>
      </c>
      <c r="I513" s="34" t="s">
        <v>13</v>
      </c>
      <c r="J513" s="189"/>
    </row>
    <row r="514" spans="2:10" x14ac:dyDescent="0.2">
      <c r="B514" s="35" t="s">
        <v>69</v>
      </c>
      <c r="J514" s="189"/>
    </row>
    <row r="515" spans="2:10" x14ac:dyDescent="0.2">
      <c r="B515" s="104" t="s">
        <v>271</v>
      </c>
      <c r="C515" s="104"/>
      <c r="D515" s="104"/>
      <c r="F515" s="104">
        <f>ROUND(F493*(1+$E$511),3)</f>
        <v>6.1509999999999998</v>
      </c>
      <c r="G515" s="104">
        <f>ROUND(G493*(1+$E$511),3)</f>
        <v>4.3979999999999997</v>
      </c>
      <c r="H515" s="104">
        <f>ROUND(H493*(1+$E$511),3)</f>
        <v>4.3979999999999997</v>
      </c>
      <c r="I515" s="104">
        <f>ROUND(I493*(1+$E$511),3)</f>
        <v>4.5179999999999998</v>
      </c>
      <c r="J515" s="189"/>
    </row>
    <row r="516" spans="2:10" x14ac:dyDescent="0.2">
      <c r="B516" s="104" t="s">
        <v>272</v>
      </c>
      <c r="E516" s="104">
        <f>ROUND(E494*(1+$E$511),3)</f>
        <v>11.699</v>
      </c>
      <c r="J516" s="189"/>
    </row>
    <row r="517" spans="2:10" x14ac:dyDescent="0.2">
      <c r="B517" s="104" t="s">
        <v>273</v>
      </c>
      <c r="E517" s="104">
        <f>ROUND(E495*(1+$E$511),3)</f>
        <v>3.7869999999999999</v>
      </c>
      <c r="J517" s="189"/>
    </row>
    <row r="518" spans="2:10" x14ac:dyDescent="0.2">
      <c r="B518" s="102" t="s">
        <v>41</v>
      </c>
      <c r="C518" s="140">
        <f>ROUND(C496*(1+$E$511),3)</f>
        <v>5.9260000000000002</v>
      </c>
      <c r="D518" s="104">
        <f>ROUND(D496*(1+$E$511),3)</f>
        <v>6.0579999999999998</v>
      </c>
      <c r="E518" s="118"/>
      <c r="J518" s="189"/>
    </row>
    <row r="519" spans="2:10" x14ac:dyDescent="0.2">
      <c r="B519" s="104" t="s">
        <v>42</v>
      </c>
      <c r="C519" s="140">
        <f>ROUND(C497*(1+$E$511),3)</f>
        <v>8.5120000000000005</v>
      </c>
      <c r="D519" s="104">
        <f>ROUND(D497*(1+$E$511),3)</f>
        <v>7.8739999999999997</v>
      </c>
      <c r="E519" s="118"/>
      <c r="J519" s="189"/>
    </row>
    <row r="520" spans="2:10" x14ac:dyDescent="0.2">
      <c r="E520" s="118"/>
      <c r="J520" s="189"/>
    </row>
    <row r="521" spans="2:10" x14ac:dyDescent="0.2">
      <c r="J521" s="189"/>
    </row>
    <row r="522" spans="2:10" x14ac:dyDescent="0.2">
      <c r="B522" s="102" t="s">
        <v>274</v>
      </c>
      <c r="I522" s="141">
        <f>ROUND(I500*(1+$E$511),3)</f>
        <v>1.8129999999999999</v>
      </c>
      <c r="J522" s="189"/>
    </row>
    <row r="523" spans="2:10" x14ac:dyDescent="0.2">
      <c r="B523" s="102" t="s">
        <v>275</v>
      </c>
      <c r="I523" s="141">
        <f>ROUND(I501*(1+$E$511),3)</f>
        <v>6.266</v>
      </c>
      <c r="J523" s="189"/>
    </row>
    <row r="524" spans="2:10" x14ac:dyDescent="0.2">
      <c r="B524" s="102"/>
      <c r="I524" s="141"/>
      <c r="J524" s="189"/>
    </row>
    <row r="525" spans="2:10" x14ac:dyDescent="0.2">
      <c r="B525" s="35" t="s">
        <v>62</v>
      </c>
      <c r="J525" s="189"/>
    </row>
    <row r="526" spans="2:10" x14ac:dyDescent="0.2">
      <c r="B526" s="104" t="s">
        <v>271</v>
      </c>
      <c r="C526" s="104">
        <f>ROUND(C504*(1+$E$511),3)</f>
        <v>8.8390000000000004</v>
      </c>
      <c r="D526" s="104">
        <f>ROUND(D504*(1+$E$511),3)</f>
        <v>7.15</v>
      </c>
      <c r="F526" s="104">
        <f>ROUND(F504*(1+$E$511),3)</f>
        <v>6.3739999999999997</v>
      </c>
      <c r="G526" s="104">
        <f>ROUND(G504*(1+$E$511),3)</f>
        <v>5.0090000000000003</v>
      </c>
      <c r="H526" s="104">
        <f>ROUND(H504*(1+$E$511),3)</f>
        <v>4.9370000000000003</v>
      </c>
      <c r="I526" s="104">
        <f>ROUND(I504*(1+$E$511),3)</f>
        <v>5.0419999999999998</v>
      </c>
      <c r="J526" s="189"/>
    </row>
    <row r="527" spans="2:10" x14ac:dyDescent="0.2">
      <c r="B527" s="104" t="s">
        <v>272</v>
      </c>
      <c r="E527" s="104">
        <f>ROUND(E505*(1+$E$511),3)</f>
        <v>11.606</v>
      </c>
      <c r="J527" s="189"/>
    </row>
    <row r="528" spans="2:10" x14ac:dyDescent="0.2">
      <c r="B528" s="104" t="s">
        <v>273</v>
      </c>
      <c r="E528" s="104">
        <f>ROUND(E506*(1+$E$511),3)</f>
        <v>4.6280000000000001</v>
      </c>
      <c r="J528" s="189"/>
    </row>
    <row r="529" spans="1:10" x14ac:dyDescent="0.2">
      <c r="J529" s="189"/>
    </row>
    <row r="530" spans="1:10" x14ac:dyDescent="0.2">
      <c r="B530" s="102" t="s">
        <v>274</v>
      </c>
      <c r="I530" s="141">
        <f>ROUND(I508*(1+$E$511),3)</f>
        <v>1.657</v>
      </c>
      <c r="J530" s="189"/>
    </row>
    <row r="531" spans="1:10" x14ac:dyDescent="0.2">
      <c r="B531" s="102" t="s">
        <v>275</v>
      </c>
      <c r="I531" s="141">
        <f>ROUND(I509*(1+$E$511),3)</f>
        <v>5.8369999999999997</v>
      </c>
      <c r="J531" s="189"/>
    </row>
    <row r="532" spans="1:10" x14ac:dyDescent="0.2">
      <c r="B532" s="102"/>
      <c r="I532" s="189"/>
      <c r="J532" s="189"/>
    </row>
    <row r="533" spans="1:10" x14ac:dyDescent="0.2">
      <c r="B533" s="102"/>
      <c r="I533" s="189"/>
      <c r="J533" s="189"/>
    </row>
    <row r="534" spans="1:10" x14ac:dyDescent="0.2">
      <c r="A534" s="181" t="s">
        <v>278</v>
      </c>
      <c r="B534" s="25" t="s">
        <v>279</v>
      </c>
      <c r="J534" s="189"/>
    </row>
    <row r="535" spans="1:10" x14ac:dyDescent="0.2">
      <c r="A535" s="181"/>
      <c r="B535" s="25"/>
      <c r="J535" s="189"/>
    </row>
    <row r="536" spans="1:10" x14ac:dyDescent="0.2">
      <c r="A536" s="181"/>
      <c r="B536" s="33" t="s">
        <v>280</v>
      </c>
      <c r="J536" s="189"/>
    </row>
    <row r="537" spans="1:10" x14ac:dyDescent="0.2">
      <c r="A537" s="181"/>
      <c r="B537" s="143"/>
      <c r="C537" s="34" t="str">
        <f t="shared" ref="C537:I537" si="72">C491</f>
        <v>SC1</v>
      </c>
      <c r="D537" s="34" t="str">
        <f t="shared" si="72"/>
        <v>SC5</v>
      </c>
      <c r="E537" s="34" t="str">
        <f t="shared" si="72"/>
        <v>SC3</v>
      </c>
      <c r="F537" s="34" t="str">
        <f t="shared" si="72"/>
        <v>SC2 ND</v>
      </c>
      <c r="G537" s="34" t="str">
        <f t="shared" si="72"/>
        <v>SC4</v>
      </c>
      <c r="H537" s="34" t="str">
        <f t="shared" si="72"/>
        <v>SC6</v>
      </c>
      <c r="I537" s="34" t="str">
        <f t="shared" si="72"/>
        <v>SC2 Dem</v>
      </c>
      <c r="J537" s="189"/>
    </row>
    <row r="538" spans="1:10" x14ac:dyDescent="0.2">
      <c r="A538" s="181"/>
      <c r="B538" s="143" t="s">
        <v>281</v>
      </c>
      <c r="C538" s="109">
        <v>1.1299999999999999</v>
      </c>
      <c r="D538" s="109">
        <v>0.74199999999999999</v>
      </c>
      <c r="E538" s="109">
        <v>0.75800000000000001</v>
      </c>
      <c r="F538" s="109">
        <v>0.51600000000000001</v>
      </c>
      <c r="G538" s="109">
        <v>0.66200000000000003</v>
      </c>
      <c r="H538" s="109">
        <v>0.57999999999999996</v>
      </c>
      <c r="I538" s="109">
        <v>0.51600000000000001</v>
      </c>
      <c r="J538" s="189"/>
    </row>
    <row r="539" spans="1:10" x14ac:dyDescent="0.2">
      <c r="A539" s="181"/>
      <c r="B539" s="143" t="s">
        <v>282</v>
      </c>
      <c r="I539" s="142">
        <v>1.29</v>
      </c>
      <c r="J539" s="189"/>
    </row>
    <row r="540" spans="1:10" x14ac:dyDescent="0.2">
      <c r="I540" s="142">
        <v>1.1100000000000001</v>
      </c>
      <c r="J540" s="189"/>
    </row>
    <row r="541" spans="1:10" x14ac:dyDescent="0.2">
      <c r="J541" s="189"/>
    </row>
    <row r="542" spans="1:10" x14ac:dyDescent="0.2">
      <c r="J542" s="189"/>
    </row>
    <row r="543" spans="1:10" x14ac:dyDescent="0.2">
      <c r="B543" s="33" t="s">
        <v>283</v>
      </c>
      <c r="J543" s="189"/>
    </row>
    <row r="544" spans="1:10" x14ac:dyDescent="0.2">
      <c r="J544" s="189"/>
    </row>
    <row r="545" spans="2:10" x14ac:dyDescent="0.2">
      <c r="J545" s="189"/>
    </row>
    <row r="546" spans="2:10" x14ac:dyDescent="0.2">
      <c r="B546" s="35" t="s">
        <v>69</v>
      </c>
      <c r="J546" s="189"/>
    </row>
    <row r="547" spans="2:10" x14ac:dyDescent="0.2">
      <c r="B547" s="104" t="s">
        <v>271</v>
      </c>
      <c r="C547" s="118">
        <f t="shared" ref="C547:I554" si="73">IF(C493&gt;0,C493+C$538,"")</f>
        <v>8.0719999999999992</v>
      </c>
      <c r="D547" s="118">
        <f t="shared" si="73"/>
        <v>7.077</v>
      </c>
      <c r="E547" s="118" t="str">
        <f t="shared" si="73"/>
        <v/>
      </c>
      <c r="F547" s="118">
        <f t="shared" si="73"/>
        <v>6.2850000000000001</v>
      </c>
      <c r="G547" s="118">
        <f t="shared" si="73"/>
        <v>4.7869999999999999</v>
      </c>
      <c r="H547" s="118">
        <f t="shared" si="73"/>
        <v>4.7050000000000001</v>
      </c>
      <c r="I547" s="118">
        <f t="shared" si="73"/>
        <v>4.7530000000000001</v>
      </c>
      <c r="J547" s="189"/>
    </row>
    <row r="548" spans="2:10" x14ac:dyDescent="0.2">
      <c r="B548" s="104" t="s">
        <v>272</v>
      </c>
      <c r="C548" s="118" t="str">
        <f t="shared" si="73"/>
        <v/>
      </c>
      <c r="D548" s="118" t="str">
        <f t="shared" si="73"/>
        <v/>
      </c>
      <c r="E548" s="118">
        <f t="shared" si="73"/>
        <v>11.73</v>
      </c>
      <c r="F548" s="118" t="str">
        <f t="shared" si="73"/>
        <v/>
      </c>
      <c r="G548" s="118" t="str">
        <f t="shared" si="73"/>
        <v/>
      </c>
      <c r="H548" s="118" t="str">
        <f t="shared" si="73"/>
        <v/>
      </c>
      <c r="I548" s="118" t="str">
        <f t="shared" si="73"/>
        <v/>
      </c>
      <c r="J548" s="189"/>
    </row>
    <row r="549" spans="2:10" x14ac:dyDescent="0.2">
      <c r="B549" s="104" t="s">
        <v>273</v>
      </c>
      <c r="C549" s="118" t="str">
        <f t="shared" si="73"/>
        <v/>
      </c>
      <c r="D549" s="118" t="str">
        <f t="shared" si="73"/>
        <v/>
      </c>
      <c r="E549" s="118">
        <f t="shared" si="73"/>
        <v>4.3100000000000005</v>
      </c>
      <c r="F549" s="118" t="str">
        <f t="shared" si="73"/>
        <v/>
      </c>
      <c r="G549" s="118" t="str">
        <f t="shared" si="73"/>
        <v/>
      </c>
      <c r="H549" s="118" t="str">
        <f t="shared" si="73"/>
        <v/>
      </c>
      <c r="I549" s="118" t="str">
        <f t="shared" si="73"/>
        <v/>
      </c>
      <c r="J549" s="189"/>
    </row>
    <row r="550" spans="2:10" x14ac:dyDescent="0.2">
      <c r="B550" s="102" t="s">
        <v>41</v>
      </c>
      <c r="C550" s="118">
        <f t="shared" si="73"/>
        <v>6.6879999999999997</v>
      </c>
      <c r="D550" s="118">
        <f t="shared" si="73"/>
        <v>6.4240000000000004</v>
      </c>
      <c r="E550" s="118" t="str">
        <f t="shared" si="73"/>
        <v/>
      </c>
      <c r="F550" s="118" t="str">
        <f t="shared" si="73"/>
        <v/>
      </c>
      <c r="G550" s="118" t="str">
        <f t="shared" si="73"/>
        <v/>
      </c>
      <c r="H550" s="118" t="str">
        <f t="shared" si="73"/>
        <v/>
      </c>
      <c r="I550" s="118" t="str">
        <f t="shared" si="73"/>
        <v/>
      </c>
      <c r="J550" s="189"/>
    </row>
    <row r="551" spans="2:10" x14ac:dyDescent="0.2">
      <c r="B551" s="104" t="s">
        <v>42</v>
      </c>
      <c r="C551" s="118">
        <f t="shared" si="73"/>
        <v>9.1129999999999995</v>
      </c>
      <c r="D551" s="118">
        <f t="shared" si="73"/>
        <v>8.1269999999999989</v>
      </c>
      <c r="E551" s="118" t="str">
        <f t="shared" si="73"/>
        <v/>
      </c>
      <c r="F551" s="118" t="str">
        <f t="shared" si="73"/>
        <v/>
      </c>
      <c r="G551" s="118" t="str">
        <f t="shared" si="73"/>
        <v/>
      </c>
      <c r="H551" s="118" t="str">
        <f t="shared" si="73"/>
        <v/>
      </c>
      <c r="I551" s="118" t="str">
        <f t="shared" si="73"/>
        <v/>
      </c>
      <c r="J551" s="189"/>
    </row>
    <row r="552" spans="2:10" x14ac:dyDescent="0.2">
      <c r="B552" s="118"/>
      <c r="C552" s="118"/>
      <c r="D552" s="118"/>
      <c r="E552" s="118" t="str">
        <f t="shared" si="73"/>
        <v/>
      </c>
      <c r="F552" s="118" t="str">
        <f t="shared" si="73"/>
        <v/>
      </c>
      <c r="G552" s="118" t="str">
        <f t="shared" si="73"/>
        <v/>
      </c>
      <c r="H552" s="118" t="str">
        <f t="shared" si="73"/>
        <v/>
      </c>
      <c r="I552" s="118" t="str">
        <f t="shared" si="73"/>
        <v/>
      </c>
      <c r="J552" s="189"/>
    </row>
    <row r="553" spans="2:10" x14ac:dyDescent="0.2">
      <c r="C553" s="118" t="str">
        <f t="shared" si="73"/>
        <v/>
      </c>
      <c r="D553" s="118" t="str">
        <f t="shared" si="73"/>
        <v/>
      </c>
      <c r="E553" s="118" t="str">
        <f t="shared" si="73"/>
        <v/>
      </c>
      <c r="F553" s="118" t="str">
        <f t="shared" si="73"/>
        <v/>
      </c>
      <c r="G553" s="118" t="str">
        <f t="shared" si="73"/>
        <v/>
      </c>
      <c r="H553" s="118" t="str">
        <f t="shared" si="73"/>
        <v/>
      </c>
      <c r="I553" s="118" t="str">
        <f t="shared" si="73"/>
        <v/>
      </c>
      <c r="J553" s="189"/>
    </row>
    <row r="554" spans="2:10" x14ac:dyDescent="0.2">
      <c r="B554" s="102" t="s">
        <v>284</v>
      </c>
      <c r="C554" s="118" t="str">
        <f t="shared" si="73"/>
        <v/>
      </c>
      <c r="D554" s="118" t="str">
        <f t="shared" si="73"/>
        <v/>
      </c>
      <c r="E554" s="118" t="str">
        <f t="shared" si="73"/>
        <v/>
      </c>
      <c r="F554" s="118" t="str">
        <f t="shared" si="73"/>
        <v/>
      </c>
      <c r="G554" s="118" t="str">
        <f t="shared" si="73"/>
        <v/>
      </c>
      <c r="H554" s="118" t="str">
        <f t="shared" si="73"/>
        <v/>
      </c>
      <c r="I554" s="118">
        <f>IF(I500&gt;0,I500+I$539,"")</f>
        <v>2.99</v>
      </c>
      <c r="J554" s="189"/>
    </row>
    <row r="555" spans="2:10" x14ac:dyDescent="0.2">
      <c r="J555" s="189"/>
    </row>
    <row r="556" spans="2:10" x14ac:dyDescent="0.2">
      <c r="B556" s="35" t="s">
        <v>62</v>
      </c>
      <c r="J556" s="189"/>
    </row>
    <row r="557" spans="2:10" x14ac:dyDescent="0.2">
      <c r="B557" s="104" t="s">
        <v>271</v>
      </c>
      <c r="C557" s="118">
        <f t="shared" ref="C557:I561" si="74">IF(C504&gt;0,C504+C$538,"")</f>
        <v>9.4199999999999982</v>
      </c>
      <c r="D557" s="118">
        <f t="shared" si="74"/>
        <v>7.4480000000000004</v>
      </c>
      <c r="E557" s="118" t="str">
        <f t="shared" si="74"/>
        <v/>
      </c>
      <c r="F557" s="118">
        <f t="shared" si="74"/>
        <v>6.4939999999999998</v>
      </c>
      <c r="G557" s="118">
        <f t="shared" si="74"/>
        <v>5.36</v>
      </c>
      <c r="H557" s="118">
        <f t="shared" si="74"/>
        <v>5.21</v>
      </c>
      <c r="I557" s="118">
        <f t="shared" si="74"/>
        <v>5.2450000000000001</v>
      </c>
      <c r="J557" s="189"/>
    </row>
    <row r="558" spans="2:10" x14ac:dyDescent="0.2">
      <c r="B558" s="104" t="s">
        <v>272</v>
      </c>
      <c r="C558" s="118" t="str">
        <f t="shared" si="74"/>
        <v/>
      </c>
      <c r="D558" s="118" t="str">
        <f t="shared" si="74"/>
        <v/>
      </c>
      <c r="E558" s="118">
        <f t="shared" si="74"/>
        <v>11.643000000000001</v>
      </c>
      <c r="F558" s="118" t="str">
        <f t="shared" si="74"/>
        <v/>
      </c>
      <c r="G558" s="118" t="str">
        <f t="shared" si="74"/>
        <v/>
      </c>
      <c r="H558" s="118" t="str">
        <f t="shared" si="74"/>
        <v/>
      </c>
      <c r="I558" s="118" t="str">
        <f t="shared" si="74"/>
        <v/>
      </c>
      <c r="J558" s="189"/>
    </row>
    <row r="559" spans="2:10" x14ac:dyDescent="0.2">
      <c r="B559" s="104" t="s">
        <v>273</v>
      </c>
      <c r="C559" s="118" t="str">
        <f t="shared" si="74"/>
        <v/>
      </c>
      <c r="D559" s="118" t="str">
        <f t="shared" si="74"/>
        <v/>
      </c>
      <c r="E559" s="118">
        <f t="shared" si="74"/>
        <v>5.0979999999999999</v>
      </c>
      <c r="F559" s="118" t="str">
        <f t="shared" si="74"/>
        <v/>
      </c>
      <c r="G559" s="118" t="str">
        <f t="shared" si="74"/>
        <v/>
      </c>
      <c r="H559" s="118" t="str">
        <f t="shared" si="74"/>
        <v/>
      </c>
      <c r="I559" s="118" t="str">
        <f t="shared" si="74"/>
        <v/>
      </c>
      <c r="J559" s="189"/>
    </row>
    <row r="560" spans="2:10" x14ac:dyDescent="0.2">
      <c r="C560" s="118" t="str">
        <f t="shared" si="74"/>
        <v/>
      </c>
      <c r="D560" s="118" t="str">
        <f t="shared" si="74"/>
        <v/>
      </c>
      <c r="E560" s="118" t="str">
        <f t="shared" si="74"/>
        <v/>
      </c>
      <c r="F560" s="118" t="str">
        <f t="shared" si="74"/>
        <v/>
      </c>
      <c r="G560" s="118" t="str">
        <f t="shared" si="74"/>
        <v/>
      </c>
      <c r="H560" s="118" t="str">
        <f t="shared" si="74"/>
        <v/>
      </c>
      <c r="I560" s="118" t="str">
        <f t="shared" si="74"/>
        <v/>
      </c>
      <c r="J560" s="189"/>
    </row>
    <row r="561" spans="1:10" x14ac:dyDescent="0.2">
      <c r="B561" s="102" t="s">
        <v>284</v>
      </c>
      <c r="C561" s="118" t="str">
        <f t="shared" si="74"/>
        <v/>
      </c>
      <c r="D561" s="118" t="str">
        <f t="shared" si="74"/>
        <v/>
      </c>
      <c r="E561" s="118" t="str">
        <f t="shared" si="74"/>
        <v/>
      </c>
      <c r="F561" s="118" t="str">
        <f t="shared" si="74"/>
        <v/>
      </c>
      <c r="G561" s="118" t="str">
        <f t="shared" si="74"/>
        <v/>
      </c>
      <c r="H561" s="118" t="str">
        <f t="shared" si="74"/>
        <v/>
      </c>
      <c r="I561" s="118">
        <f>IF(I508&gt;0,I508+I$540,"")</f>
        <v>2.6640000000000001</v>
      </c>
      <c r="J561" s="189"/>
    </row>
    <row r="562" spans="1:10" x14ac:dyDescent="0.2">
      <c r="B562" s="102"/>
      <c r="I562" s="189"/>
      <c r="J562" s="189"/>
    </row>
    <row r="563" spans="1:10" x14ac:dyDescent="0.2">
      <c r="B563" s="102"/>
      <c r="I563" s="189"/>
      <c r="J563" s="189"/>
    </row>
    <row r="565" spans="1:10" x14ac:dyDescent="0.2">
      <c r="A565" s="11"/>
      <c r="C565" s="131"/>
      <c r="E565" s="131"/>
    </row>
    <row r="566" spans="1:10" x14ac:dyDescent="0.2">
      <c r="A566" s="181" t="s">
        <v>285</v>
      </c>
      <c r="B566" s="20" t="s">
        <v>286</v>
      </c>
      <c r="C566" s="131"/>
      <c r="E566" s="131"/>
    </row>
    <row r="567" spans="1:10" x14ac:dyDescent="0.2">
      <c r="A567" s="11"/>
      <c r="C567" s="131"/>
      <c r="E567" s="131"/>
    </row>
    <row r="568" spans="1:10" x14ac:dyDescent="0.2">
      <c r="A568" s="11"/>
      <c r="B568" s="102" t="s">
        <v>287</v>
      </c>
      <c r="C568" s="17">
        <f>+D223</f>
        <v>79.870087357115821</v>
      </c>
      <c r="E568" s="131"/>
    </row>
    <row r="569" spans="1:10" x14ac:dyDescent="0.2">
      <c r="A569" s="11"/>
      <c r="B569" s="102" t="s">
        <v>288</v>
      </c>
      <c r="C569" s="262">
        <f>+J377</f>
        <v>0.94010000000000005</v>
      </c>
      <c r="E569" s="131"/>
    </row>
    <row r="570" spans="1:10" x14ac:dyDescent="0.2">
      <c r="A570" s="11"/>
      <c r="B570" s="102" t="s">
        <v>289</v>
      </c>
      <c r="C570" s="262">
        <f>+J378</f>
        <v>1.0402</v>
      </c>
      <c r="E570" s="131"/>
    </row>
    <row r="571" spans="1:10" x14ac:dyDescent="0.2">
      <c r="A571" s="11"/>
      <c r="B571" s="104" t="s">
        <v>290</v>
      </c>
      <c r="C571" s="263">
        <f>ROUND(C568*C569,4)</f>
        <v>75.085899999999995</v>
      </c>
      <c r="E571" s="131"/>
    </row>
    <row r="572" spans="1:10" x14ac:dyDescent="0.2">
      <c r="A572" s="11"/>
      <c r="B572" s="104" t="s">
        <v>291</v>
      </c>
      <c r="C572" s="263">
        <f>ROUND(C568*C570,4)</f>
        <v>83.0809</v>
      </c>
      <c r="E572" s="131"/>
    </row>
    <row r="573" spans="1:10" x14ac:dyDescent="0.2">
      <c r="A573" s="11"/>
      <c r="B573" s="102"/>
      <c r="C573" s="131"/>
      <c r="E573" s="131"/>
    </row>
    <row r="574" spans="1:10" x14ac:dyDescent="0.2">
      <c r="A574" s="11"/>
      <c r="C574" s="131"/>
      <c r="E574" s="131"/>
    </row>
    <row r="575" spans="1:10" x14ac:dyDescent="0.2">
      <c r="A575" s="11"/>
      <c r="C575" s="34" t="str">
        <f t="shared" ref="C575:I575" si="75">C6</f>
        <v>SC1</v>
      </c>
      <c r="D575" s="34" t="str">
        <f t="shared" si="75"/>
        <v>SC5</v>
      </c>
      <c r="E575" s="34" t="str">
        <f t="shared" si="75"/>
        <v>SC3</v>
      </c>
      <c r="F575" s="34" t="str">
        <f t="shared" si="75"/>
        <v>SC2 ND</v>
      </c>
      <c r="G575" s="34" t="str">
        <f t="shared" si="75"/>
        <v>SC4</v>
      </c>
      <c r="H575" s="34" t="str">
        <f t="shared" si="75"/>
        <v>SC6</v>
      </c>
      <c r="I575" s="34" t="str">
        <f t="shared" si="75"/>
        <v>SC2 Dem</v>
      </c>
      <c r="J575" s="34"/>
    </row>
    <row r="576" spans="1:10" x14ac:dyDescent="0.2">
      <c r="A576" s="11"/>
      <c r="B576" s="113" t="s">
        <v>292</v>
      </c>
    </row>
    <row r="577" spans="1:12" x14ac:dyDescent="0.2">
      <c r="A577" s="11"/>
      <c r="B577" s="182" t="s">
        <v>69</v>
      </c>
      <c r="C577" s="26">
        <f>ROUND((C493*M48)/100,0)</f>
        <v>19373</v>
      </c>
      <c r="D577" s="26">
        <f>ROUND((D493*N48)/100,0)</f>
        <v>305</v>
      </c>
      <c r="E577" s="108">
        <f>ROUND((E494*O49+E495*O50)/100,0)</f>
        <v>5</v>
      </c>
      <c r="F577" s="26">
        <f>ROUND(F493*P48/100,0)</f>
        <v>424</v>
      </c>
      <c r="G577" s="26">
        <f>ROUND(G493*Q48/100,0)</f>
        <v>57</v>
      </c>
      <c r="H577" s="26">
        <f>ROUND(H493*R48/100,0)</f>
        <v>64</v>
      </c>
      <c r="I577" s="108">
        <v>6240</v>
      </c>
      <c r="J577" s="108"/>
    </row>
    <row r="578" spans="1:12" x14ac:dyDescent="0.2">
      <c r="A578" s="11"/>
      <c r="B578" s="182" t="s">
        <v>62</v>
      </c>
      <c r="C578" s="36">
        <f>ROUND(C504*M44/100,0)</f>
        <v>30670</v>
      </c>
      <c r="D578" s="36">
        <f>ROUND(D504*N44/100,0)</f>
        <v>624</v>
      </c>
      <c r="E578" s="264">
        <f>ROUND((E505*O45+E506*O46)/100,0)</f>
        <v>11</v>
      </c>
      <c r="F578" s="36">
        <f>ROUND(F504*P44/100,0)</f>
        <v>982</v>
      </c>
      <c r="G578" s="36">
        <f>ROUND(G504*Q44/100,0)</f>
        <v>165</v>
      </c>
      <c r="H578" s="36">
        <f>ROUND(H504*R44/100,0)</f>
        <v>167</v>
      </c>
      <c r="I578" s="264">
        <v>12053</v>
      </c>
      <c r="J578" s="108"/>
    </row>
    <row r="579" spans="1:12" x14ac:dyDescent="0.2">
      <c r="A579" s="11"/>
      <c r="B579" s="182" t="s">
        <v>36</v>
      </c>
      <c r="C579" s="124">
        <f>+C578+C577</f>
        <v>50043</v>
      </c>
      <c r="D579" s="124">
        <f t="shared" ref="D579:I579" si="76">+D578+D577</f>
        <v>929</v>
      </c>
      <c r="E579" s="124">
        <f t="shared" si="76"/>
        <v>16</v>
      </c>
      <c r="F579" s="124">
        <f t="shared" si="76"/>
        <v>1406</v>
      </c>
      <c r="G579" s="124">
        <f t="shared" si="76"/>
        <v>222</v>
      </c>
      <c r="H579" s="124">
        <f t="shared" si="76"/>
        <v>231</v>
      </c>
      <c r="I579" s="124">
        <f t="shared" si="76"/>
        <v>18293</v>
      </c>
      <c r="J579" s="124"/>
    </row>
    <row r="580" spans="1:12" x14ac:dyDescent="0.2">
      <c r="A580" s="11"/>
      <c r="B580" s="182"/>
      <c r="C580" s="124"/>
      <c r="D580" s="124"/>
      <c r="E580" s="124"/>
      <c r="F580" s="124"/>
      <c r="G580" s="124"/>
      <c r="H580" s="124"/>
      <c r="I580" s="124"/>
      <c r="J580" s="124"/>
    </row>
    <row r="581" spans="1:12" x14ac:dyDescent="0.2">
      <c r="A581" s="11"/>
      <c r="B581" s="182" t="s">
        <v>36</v>
      </c>
      <c r="C581" s="124"/>
      <c r="D581" s="124"/>
      <c r="E581" s="124"/>
      <c r="F581" s="124"/>
      <c r="G581" s="124"/>
      <c r="H581" s="124"/>
      <c r="I581" s="124"/>
      <c r="J581" s="124"/>
    </row>
    <row r="582" spans="1:12" x14ac:dyDescent="0.2">
      <c r="A582" s="11"/>
      <c r="B582" s="182" t="s">
        <v>69</v>
      </c>
      <c r="C582" s="124">
        <f>SUM(C577:I577)</f>
        <v>26468</v>
      </c>
      <c r="D582" s="124"/>
      <c r="E582" s="124"/>
      <c r="F582" s="124"/>
      <c r="G582" s="124"/>
      <c r="H582" s="124"/>
      <c r="I582" s="124"/>
      <c r="J582" s="124"/>
      <c r="L582" s="193"/>
    </row>
    <row r="583" spans="1:12" x14ac:dyDescent="0.2">
      <c r="A583" s="11"/>
      <c r="B583" s="182" t="s">
        <v>62</v>
      </c>
      <c r="C583" s="37">
        <f>SUM(C578:I578)</f>
        <v>44672</v>
      </c>
      <c r="E583" s="131"/>
      <c r="F583" s="124"/>
      <c r="G583" s="124"/>
    </row>
    <row r="584" spans="1:12" x14ac:dyDescent="0.2">
      <c r="A584" s="11"/>
      <c r="B584" s="182" t="s">
        <v>36</v>
      </c>
      <c r="C584" s="38">
        <f>+C583+C582</f>
        <v>71140</v>
      </c>
      <c r="E584" s="131"/>
      <c r="F584" s="38"/>
      <c r="G584" s="38"/>
    </row>
    <row r="585" spans="1:12" x14ac:dyDescent="0.2">
      <c r="A585" s="11"/>
      <c r="B585" s="182"/>
      <c r="C585" s="124"/>
      <c r="E585" s="131"/>
    </row>
    <row r="586" spans="1:12" x14ac:dyDescent="0.2">
      <c r="A586" s="11"/>
      <c r="C586" s="34" t="str">
        <f t="shared" ref="C586:I586" si="77">C6</f>
        <v>SC1</v>
      </c>
      <c r="D586" s="34" t="str">
        <f t="shared" si="77"/>
        <v>SC5</v>
      </c>
      <c r="E586" s="34" t="str">
        <f t="shared" si="77"/>
        <v>SC3</v>
      </c>
      <c r="F586" s="34" t="str">
        <f t="shared" si="77"/>
        <v>SC2 ND</v>
      </c>
      <c r="G586" s="34" t="str">
        <f t="shared" si="77"/>
        <v>SC4</v>
      </c>
      <c r="H586" s="34" t="str">
        <f t="shared" si="77"/>
        <v>SC6</v>
      </c>
      <c r="I586" s="34" t="str">
        <f t="shared" si="77"/>
        <v>SC2 Dem</v>
      </c>
      <c r="J586" s="34"/>
    </row>
    <row r="587" spans="1:12" x14ac:dyDescent="0.2">
      <c r="A587" s="11"/>
      <c r="B587" s="97" t="s">
        <v>293</v>
      </c>
    </row>
    <row r="588" spans="1:12" x14ac:dyDescent="0.2">
      <c r="A588" s="11"/>
      <c r="B588" s="182" t="s">
        <v>69</v>
      </c>
      <c r="C588" s="26">
        <f t="shared" ref="C588:I588" si="78">+$C571*M48*C78/1000</f>
        <v>22724.210500255602</v>
      </c>
      <c r="D588" s="26">
        <f t="shared" si="78"/>
        <v>391.4759256584212</v>
      </c>
      <c r="E588" s="26">
        <f t="shared" si="78"/>
        <v>6.8401409787430847</v>
      </c>
      <c r="F588" s="26">
        <f t="shared" si="78"/>
        <v>598.34947514052612</v>
      </c>
      <c r="G588" s="26">
        <f t="shared" si="78"/>
        <v>111.5767368533936</v>
      </c>
      <c r="H588" s="26">
        <f t="shared" si="78"/>
        <v>125.89913252948377</v>
      </c>
      <c r="I588" s="26">
        <f t="shared" si="78"/>
        <v>10804.396024746105</v>
      </c>
      <c r="J588" s="26"/>
    </row>
    <row r="589" spans="1:12" x14ac:dyDescent="0.2">
      <c r="A589" s="11"/>
      <c r="B589" s="182" t="s">
        <v>62</v>
      </c>
      <c r="C589" s="36">
        <f t="shared" ref="C589:I589" si="79">+$C572*M44*C78/1000</f>
        <v>33333.640894063763</v>
      </c>
      <c r="D589" s="36">
        <f t="shared" si="79"/>
        <v>837.84718779731008</v>
      </c>
      <c r="E589" s="36">
        <f t="shared" si="79"/>
        <v>15.27208284026713</v>
      </c>
      <c r="F589" s="36">
        <f t="shared" si="79"/>
        <v>1480.6261788443053</v>
      </c>
      <c r="G589" s="36">
        <f t="shared" si="79"/>
        <v>315.60152203570505</v>
      </c>
      <c r="H589" s="36">
        <f t="shared" si="79"/>
        <v>324.35576055589883</v>
      </c>
      <c r="I589" s="36">
        <f t="shared" si="79"/>
        <v>20984.657820274781</v>
      </c>
      <c r="J589" s="26"/>
    </row>
    <row r="590" spans="1:12" x14ac:dyDescent="0.2">
      <c r="A590" s="11"/>
      <c r="B590" s="182" t="s">
        <v>36</v>
      </c>
      <c r="C590" s="124">
        <f t="shared" ref="C590:I590" si="80">+C589+C588</f>
        <v>56057.851394319368</v>
      </c>
      <c r="D590" s="124">
        <f t="shared" si="80"/>
        <v>1229.3231134557313</v>
      </c>
      <c r="E590" s="124">
        <f t="shared" si="80"/>
        <v>22.112223819010214</v>
      </c>
      <c r="F590" s="124">
        <f t="shared" si="80"/>
        <v>2078.9756539848313</v>
      </c>
      <c r="G590" s="124">
        <f t="shared" si="80"/>
        <v>427.17825888909863</v>
      </c>
      <c r="H590" s="26">
        <f t="shared" si="80"/>
        <v>450.25489308538261</v>
      </c>
      <c r="I590" s="26">
        <f t="shared" si="80"/>
        <v>31789.053845020884</v>
      </c>
      <c r="J590" s="26"/>
    </row>
    <row r="591" spans="1:12" x14ac:dyDescent="0.2">
      <c r="A591" s="11"/>
      <c r="C591" s="131"/>
      <c r="D591" s="131"/>
      <c r="E591" s="131"/>
      <c r="F591" s="131"/>
      <c r="G591" s="131"/>
      <c r="H591" s="131"/>
      <c r="I591" s="131"/>
      <c r="J591" s="131"/>
    </row>
    <row r="592" spans="1:12" x14ac:dyDescent="0.2">
      <c r="A592" s="11"/>
      <c r="B592" s="182" t="s">
        <v>36</v>
      </c>
      <c r="C592" s="192"/>
      <c r="D592" s="131"/>
      <c r="E592" s="131"/>
      <c r="F592" s="131"/>
      <c r="G592" s="131"/>
      <c r="H592" s="131"/>
      <c r="I592" s="131"/>
      <c r="J592" s="131"/>
    </row>
    <row r="593" spans="1:7" x14ac:dyDescent="0.2">
      <c r="A593" s="11"/>
      <c r="B593" s="182" t="s">
        <v>69</v>
      </c>
      <c r="C593" s="124">
        <f>SUM(C588:I588)</f>
        <v>34762.747936162275</v>
      </c>
      <c r="G593" s="124"/>
    </row>
    <row r="594" spans="1:7" x14ac:dyDescent="0.2">
      <c r="A594" s="11"/>
      <c r="B594" s="182" t="s">
        <v>62</v>
      </c>
      <c r="C594" s="37">
        <f>SUM(C589:I589)</f>
        <v>57292.001446412032</v>
      </c>
      <c r="G594" s="124"/>
    </row>
    <row r="595" spans="1:7" x14ac:dyDescent="0.2">
      <c r="A595" s="11"/>
      <c r="B595" s="182" t="s">
        <v>36</v>
      </c>
      <c r="C595" s="124">
        <f>+C594+C593</f>
        <v>92054.749382574315</v>
      </c>
      <c r="G595" s="124"/>
    </row>
    <row r="596" spans="1:7" x14ac:dyDescent="0.2">
      <c r="A596" s="11"/>
      <c r="C596" s="131"/>
      <c r="D596" s="39"/>
      <c r="E596" s="131"/>
      <c r="F596" s="261"/>
    </row>
    <row r="597" spans="1:7" x14ac:dyDescent="0.2">
      <c r="B597" s="182" t="s">
        <v>294</v>
      </c>
      <c r="C597" s="124"/>
    </row>
    <row r="598" spans="1:7" x14ac:dyDescent="0.2">
      <c r="B598" s="182" t="s">
        <v>69</v>
      </c>
      <c r="C598" s="130">
        <f>ROUND($C$147*SUM($C$141:$I$141)/12*H$144/1000*E447,0)</f>
        <v>5125</v>
      </c>
    </row>
    <row r="599" spans="1:7" x14ac:dyDescent="0.2">
      <c r="B599" s="182" t="s">
        <v>62</v>
      </c>
      <c r="C599" s="40">
        <f>ROUND($C$147*SUM($C$141:$I$141)/12*H$145/1000*E447,0)</f>
        <v>10249</v>
      </c>
    </row>
    <row r="600" spans="1:7" x14ac:dyDescent="0.2">
      <c r="B600" s="182" t="s">
        <v>36</v>
      </c>
      <c r="C600" s="124">
        <f>SUM(C598:C599)</f>
        <v>15374</v>
      </c>
    </row>
    <row r="602" spans="1:7" x14ac:dyDescent="0.2">
      <c r="B602" s="97" t="s">
        <v>295</v>
      </c>
    </row>
    <row r="603" spans="1:7" x14ac:dyDescent="0.2">
      <c r="B603" s="182" t="s">
        <v>69</v>
      </c>
      <c r="C603" s="124">
        <f>C593-C598</f>
        <v>29637.747936162275</v>
      </c>
    </row>
    <row r="604" spans="1:7" x14ac:dyDescent="0.2">
      <c r="B604" s="182" t="s">
        <v>62</v>
      </c>
      <c r="C604" s="37">
        <f>C594-C599</f>
        <v>47043.001446412032</v>
      </c>
    </row>
    <row r="605" spans="1:7" x14ac:dyDescent="0.2">
      <c r="B605" s="182" t="s">
        <v>36</v>
      </c>
      <c r="C605" s="38">
        <f>SUM(C603:C604)</f>
        <v>76680.749382574315</v>
      </c>
    </row>
    <row r="607" spans="1:7" x14ac:dyDescent="0.2">
      <c r="B607" s="97" t="s">
        <v>112</v>
      </c>
    </row>
    <row r="608" spans="1:7" x14ac:dyDescent="0.2">
      <c r="B608" s="182" t="s">
        <v>69</v>
      </c>
      <c r="C608" s="124">
        <f>C603-C582</f>
        <v>3169.7479361622754</v>
      </c>
    </row>
    <row r="609" spans="2:3" x14ac:dyDescent="0.2">
      <c r="B609" s="182" t="s">
        <v>62</v>
      </c>
      <c r="C609" s="37">
        <f>C604-C583</f>
        <v>2371.0014464120322</v>
      </c>
    </row>
    <row r="610" spans="2:3" x14ac:dyDescent="0.2">
      <c r="B610" s="182" t="s">
        <v>36</v>
      </c>
      <c r="C610" s="124">
        <f>SUM(C608:C609)</f>
        <v>5540.7493825743077</v>
      </c>
    </row>
  </sheetData>
  <mergeCells count="3">
    <mergeCell ref="U210:V210"/>
    <mergeCell ref="I376:J376"/>
    <mergeCell ref="I398:J398"/>
  </mergeCells>
  <pageMargins left="0.5" right="0.5" top="1" bottom="0.75" header="0.5" footer="0.5"/>
  <pageSetup scale="86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8"/>
  <sheetViews>
    <sheetView zoomScaleNormal="100" workbookViewId="0">
      <selection activeCell="Q29" sqref="Q29"/>
    </sheetView>
  </sheetViews>
  <sheetFormatPr defaultRowHeight="12.75" x14ac:dyDescent="0.2"/>
  <cols>
    <col min="1" max="1" width="9.140625" style="4"/>
    <col min="2" max="2" width="4.7109375" style="4" customWidth="1"/>
    <col min="3" max="3" width="26.140625" style="4" customWidth="1"/>
    <col min="4" max="6" width="9.5703125" style="4" customWidth="1"/>
    <col min="7" max="7" width="9.85546875" style="4" customWidth="1"/>
    <col min="8" max="8" width="2.42578125" style="4" customWidth="1"/>
    <col min="9" max="13" width="9.140625" style="4"/>
    <col min="14" max="14" width="12.85546875" style="4" customWidth="1"/>
    <col min="15" max="17" width="9.140625" style="4"/>
    <col min="18" max="18" width="13.140625" style="4" customWidth="1"/>
    <col min="19" max="16384" width="9.140625" style="4"/>
  </cols>
  <sheetData>
    <row r="1" spans="1:14" x14ac:dyDescent="0.2">
      <c r="A1" s="41" t="s">
        <v>296</v>
      </c>
    </row>
    <row r="2" spans="1:14" x14ac:dyDescent="0.2">
      <c r="A2" s="6" t="str">
        <f>'BGS Cost &amp; Bid Factors'!M1&amp;" BGS Auction"</f>
        <v>2018 BGS Auction</v>
      </c>
    </row>
    <row r="4" spans="1:14" s="42" customFormat="1" x14ac:dyDescent="0.2">
      <c r="A4" s="6" t="s">
        <v>297</v>
      </c>
      <c r="B4" s="6" t="s">
        <v>298</v>
      </c>
    </row>
    <row r="5" spans="1:14" s="42" customFormat="1" ht="11.25" x14ac:dyDescent="0.2"/>
    <row r="6" spans="1:14" s="42" customFormat="1" ht="11.25" x14ac:dyDescent="0.2">
      <c r="D6" s="43">
        <f>F6-2</f>
        <v>2016</v>
      </c>
      <c r="E6" s="43">
        <f>F6-1</f>
        <v>2017</v>
      </c>
      <c r="F6" s="43">
        <v>2018</v>
      </c>
    </row>
    <row r="7" spans="1:14" s="42" customFormat="1" ht="11.25" x14ac:dyDescent="0.2">
      <c r="D7" s="43" t="s">
        <v>299</v>
      </c>
      <c r="E7" s="43" t="s">
        <v>299</v>
      </c>
      <c r="F7" s="43" t="s">
        <v>299</v>
      </c>
    </row>
    <row r="8" spans="1:14" s="42" customFormat="1" ht="11.25" x14ac:dyDescent="0.2">
      <c r="B8" s="48" t="s">
        <v>300</v>
      </c>
      <c r="C8" s="48" t="s">
        <v>301</v>
      </c>
      <c r="D8" s="265" t="s">
        <v>302</v>
      </c>
      <c r="E8" s="265" t="s">
        <v>302</v>
      </c>
      <c r="F8" s="265" t="s">
        <v>302</v>
      </c>
      <c r="G8" s="266" t="s">
        <v>36</v>
      </c>
      <c r="H8" s="45"/>
      <c r="I8" s="48" t="s">
        <v>303</v>
      </c>
      <c r="J8" s="45"/>
      <c r="K8" s="45"/>
      <c r="L8" s="45"/>
      <c r="M8" s="45"/>
      <c r="N8" s="45"/>
    </row>
    <row r="9" spans="1:14" s="42" customFormat="1" ht="11.25" x14ac:dyDescent="0.2">
      <c r="B9" s="47">
        <v>1</v>
      </c>
      <c r="C9" s="45" t="s">
        <v>304</v>
      </c>
      <c r="D9" s="51">
        <v>1</v>
      </c>
      <c r="E9" s="51">
        <v>2</v>
      </c>
      <c r="F9" s="51">
        <v>1</v>
      </c>
      <c r="G9" s="45">
        <f>SUM(D9:F9)</f>
        <v>4</v>
      </c>
      <c r="H9" s="45"/>
      <c r="I9" s="45" t="s">
        <v>305</v>
      </c>
      <c r="J9" s="45"/>
      <c r="K9" s="45"/>
      <c r="L9" s="45"/>
      <c r="M9" s="45"/>
      <c r="N9" s="45"/>
    </row>
    <row r="10" spans="1:14" s="42" customFormat="1" ht="11.25" x14ac:dyDescent="0.2">
      <c r="B10" s="267" t="s">
        <v>306</v>
      </c>
      <c r="C10" s="45" t="s">
        <v>307</v>
      </c>
      <c r="D10" s="51">
        <v>8.5020000000000007</v>
      </c>
      <c r="E10" s="44">
        <v>8.0500000000000007</v>
      </c>
      <c r="F10" s="44">
        <v>8.0500000000000007</v>
      </c>
      <c r="G10" s="45"/>
      <c r="H10" s="45"/>
      <c r="I10" s="45" t="str">
        <f>"(Note: "&amp;$F$6&amp;" Auction Price Shown for Illustrative Purpose Only)"</f>
        <v>(Note: 2018 Auction Price Shown for Illustrative Purpose Only)</v>
      </c>
      <c r="J10" s="45"/>
      <c r="K10" s="45"/>
      <c r="L10" s="45"/>
      <c r="M10" s="45"/>
      <c r="N10" s="45"/>
    </row>
    <row r="11" spans="1:14" s="42" customFormat="1" ht="11.25" x14ac:dyDescent="0.2">
      <c r="B11" s="267" t="s">
        <v>308</v>
      </c>
      <c r="C11" s="45" t="s">
        <v>309</v>
      </c>
      <c r="D11" s="51">
        <f>'Incremental RPM Cost'!$C$25</f>
        <v>0</v>
      </c>
      <c r="E11" s="51">
        <v>0</v>
      </c>
      <c r="F11" s="51">
        <v>0</v>
      </c>
      <c r="G11" s="45"/>
      <c r="H11" s="45"/>
      <c r="I11" s="45" t="s">
        <v>441</v>
      </c>
      <c r="J11" s="45"/>
      <c r="K11" s="45"/>
      <c r="L11" s="45"/>
      <c r="M11" s="45"/>
      <c r="N11" s="45"/>
    </row>
    <row r="12" spans="1:14" s="42" customFormat="1" ht="11.25" x14ac:dyDescent="0.2">
      <c r="B12" s="267" t="s">
        <v>310</v>
      </c>
      <c r="C12" s="268" t="s">
        <v>307</v>
      </c>
      <c r="D12" s="44">
        <f>D10+D11</f>
        <v>8.5020000000000007</v>
      </c>
      <c r="E12" s="44">
        <f t="shared" ref="E12:F12" si="0">E10+E11</f>
        <v>8.0500000000000007</v>
      </c>
      <c r="F12" s="44">
        <f t="shared" si="0"/>
        <v>8.0500000000000007</v>
      </c>
      <c r="G12" s="45"/>
      <c r="H12" s="45"/>
      <c r="I12" s="45" t="str">
        <f>"Winning Bids"</f>
        <v>Winning Bids</v>
      </c>
      <c r="J12" s="45"/>
      <c r="K12" s="45"/>
      <c r="L12" s="45"/>
      <c r="M12" s="45"/>
      <c r="N12" s="45"/>
    </row>
    <row r="13" spans="1:14" s="42" customFormat="1" ht="11.25" x14ac:dyDescent="0.2">
      <c r="B13" s="47">
        <v>3</v>
      </c>
      <c r="C13" s="268" t="s">
        <v>311</v>
      </c>
      <c r="D13" s="44">
        <f>F13</f>
        <v>1.3991731431489172</v>
      </c>
      <c r="E13" s="44">
        <f>F13</f>
        <v>1.3991731431489172</v>
      </c>
      <c r="F13" s="44">
        <f>'BGS Cost &amp; Bid Factors'!M468/10</f>
        <v>1.3991731431489172</v>
      </c>
      <c r="G13" s="45"/>
      <c r="H13" s="45"/>
      <c r="I13" s="45" t="s">
        <v>312</v>
      </c>
      <c r="J13" s="45"/>
      <c r="K13" s="45"/>
      <c r="L13" s="45"/>
      <c r="M13" s="45"/>
      <c r="N13" s="45"/>
    </row>
    <row r="14" spans="1:14" s="42" customFormat="1" ht="11.25" x14ac:dyDescent="0.2">
      <c r="B14" s="47">
        <v>4</v>
      </c>
      <c r="C14" s="268" t="s">
        <v>313</v>
      </c>
      <c r="D14" s="44">
        <f>D12-D13</f>
        <v>7.1028268568510837</v>
      </c>
      <c r="E14" s="44">
        <f>E12-E13</f>
        <v>6.6508268568510838</v>
      </c>
      <c r="F14" s="44">
        <f>F12-F13</f>
        <v>6.6508268568510838</v>
      </c>
      <c r="G14" s="269"/>
      <c r="H14" s="45"/>
      <c r="I14" s="268" t="s">
        <v>314</v>
      </c>
      <c r="J14" s="45"/>
      <c r="K14" s="45"/>
      <c r="L14" s="45"/>
      <c r="M14" s="45"/>
      <c r="N14" s="45"/>
    </row>
    <row r="15" spans="1:14" s="42" customFormat="1" ht="11.25" x14ac:dyDescent="0.2">
      <c r="B15" s="47">
        <v>5</v>
      </c>
      <c r="C15" s="268" t="s">
        <v>315</v>
      </c>
      <c r="D15" s="44">
        <f>D9/$G$9*D14</f>
        <v>1.7757067142127709</v>
      </c>
      <c r="E15" s="44">
        <f>E9/$G$9*E14</f>
        <v>3.3254134284255419</v>
      </c>
      <c r="F15" s="44">
        <f>F9/$G$9*F14</f>
        <v>1.6627067142127709</v>
      </c>
      <c r="G15" s="269">
        <f>SUM(D15:F15)</f>
        <v>6.7638268568510833</v>
      </c>
      <c r="H15" s="45"/>
      <c r="I15" s="268" t="s">
        <v>316</v>
      </c>
      <c r="J15" s="45"/>
      <c r="K15" s="45"/>
      <c r="L15" s="45"/>
      <c r="M15" s="45"/>
      <c r="N15" s="45"/>
    </row>
    <row r="16" spans="1:14" s="42" customFormat="1" ht="11.25" x14ac:dyDescent="0.2">
      <c r="B16" s="47">
        <v>6</v>
      </c>
      <c r="C16" s="268" t="s">
        <v>317</v>
      </c>
      <c r="D16" s="44">
        <f>D9/$G$9*D13</f>
        <v>0.34979328578722929</v>
      </c>
      <c r="E16" s="44">
        <f>E9/$G$9*E13</f>
        <v>0.69958657157445858</v>
      </c>
      <c r="F16" s="44">
        <f>F9/$G$9*F13</f>
        <v>0.34979328578722929</v>
      </c>
      <c r="G16" s="269">
        <f>SUM(D16:F16)</f>
        <v>1.3991731431489172</v>
      </c>
      <c r="H16" s="45"/>
      <c r="I16" s="268" t="s">
        <v>318</v>
      </c>
      <c r="J16" s="45"/>
      <c r="K16" s="45"/>
      <c r="L16" s="45"/>
      <c r="M16" s="45"/>
      <c r="N16" s="45"/>
    </row>
    <row r="17" spans="2:14" s="42" customFormat="1" ht="11.25" x14ac:dyDescent="0.2">
      <c r="B17" s="47">
        <v>7</v>
      </c>
      <c r="C17" s="268" t="s">
        <v>319</v>
      </c>
      <c r="D17" s="45"/>
      <c r="E17" s="45"/>
      <c r="F17" s="45"/>
      <c r="G17" s="270">
        <f>G15+G16</f>
        <v>8.1630000000000003</v>
      </c>
      <c r="H17" s="45"/>
      <c r="I17" s="45"/>
      <c r="J17" s="45"/>
      <c r="K17" s="45"/>
      <c r="L17" s="45"/>
      <c r="M17" s="45"/>
      <c r="N17" s="45"/>
    </row>
    <row r="18" spans="2:14" s="42" customFormat="1" ht="11.25" x14ac:dyDescent="0.2">
      <c r="B18" s="47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2:14" s="42" customFormat="1" ht="11.25" x14ac:dyDescent="0.2">
      <c r="B19" s="47"/>
      <c r="C19" s="48" t="s">
        <v>320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2:14" s="42" customFormat="1" ht="11.25" x14ac:dyDescent="0.2">
      <c r="B20" s="47">
        <v>8</v>
      </c>
      <c r="C20" s="271" t="s">
        <v>321</v>
      </c>
      <c r="D20" s="46">
        <v>1</v>
      </c>
      <c r="E20" s="46">
        <v>1</v>
      </c>
      <c r="F20" s="46">
        <f>IF('BGS Cost &amp; Bid Factors'!J377&lt;1,1,'BGS Cost &amp; Bid Factors'!J377)</f>
        <v>1</v>
      </c>
      <c r="G20" s="45" t="s">
        <v>322</v>
      </c>
      <c r="H20" s="45"/>
      <c r="I20" s="268" t="s">
        <v>323</v>
      </c>
      <c r="J20" s="45"/>
      <c r="K20" s="45"/>
      <c r="L20" s="45"/>
      <c r="M20" s="45"/>
      <c r="N20" s="45"/>
    </row>
    <row r="21" spans="2:14" s="42" customFormat="1" ht="11.25" x14ac:dyDescent="0.2">
      <c r="B21" s="47">
        <v>9</v>
      </c>
      <c r="C21" s="271" t="s">
        <v>324</v>
      </c>
      <c r="D21" s="46">
        <v>1</v>
      </c>
      <c r="E21" s="46">
        <v>1</v>
      </c>
      <c r="F21" s="46">
        <f>IF('BGS Cost &amp; Bid Factors'!J378&gt;1,1,'BGS Cost &amp; Bid Factors'!J378)</f>
        <v>1</v>
      </c>
      <c r="G21" s="45" t="s">
        <v>322</v>
      </c>
      <c r="H21" s="45"/>
      <c r="I21" s="268" t="s">
        <v>323</v>
      </c>
      <c r="J21" s="45"/>
      <c r="K21" s="45"/>
      <c r="L21" s="45"/>
      <c r="M21" s="45"/>
      <c r="N21" s="45"/>
    </row>
    <row r="22" spans="2:14" s="42" customFormat="1" ht="11.25" x14ac:dyDescent="0.2">
      <c r="B22" s="47"/>
      <c r="C22" s="45"/>
      <c r="D22" s="46"/>
      <c r="E22" s="46"/>
      <c r="F22" s="46"/>
      <c r="G22" s="45"/>
      <c r="H22" s="45"/>
      <c r="I22" s="45"/>
      <c r="J22" s="45"/>
      <c r="K22" s="45"/>
      <c r="L22" s="45"/>
      <c r="M22" s="45"/>
      <c r="N22" s="45"/>
    </row>
    <row r="23" spans="2:14" s="42" customFormat="1" ht="11.25" x14ac:dyDescent="0.2">
      <c r="B23" s="47"/>
      <c r="C23" s="48" t="s">
        <v>325</v>
      </c>
      <c r="D23" s="45"/>
      <c r="E23" s="45"/>
      <c r="F23" s="47" t="s">
        <v>326</v>
      </c>
      <c r="G23" s="45"/>
      <c r="H23" s="45"/>
      <c r="I23" s="45"/>
      <c r="J23" s="45"/>
      <c r="K23" s="45"/>
      <c r="L23" s="45"/>
      <c r="M23" s="45"/>
      <c r="N23" s="45"/>
    </row>
    <row r="24" spans="2:14" s="42" customFormat="1" ht="11.25" x14ac:dyDescent="0.2">
      <c r="B24" s="47">
        <v>10</v>
      </c>
      <c r="C24" s="272" t="s">
        <v>327</v>
      </c>
      <c r="D24" s="49">
        <f>'Rate Calculations'!$D$251</f>
        <v>408737.28556473</v>
      </c>
      <c r="E24" s="45"/>
      <c r="F24" s="45"/>
      <c r="G24" s="45"/>
      <c r="H24" s="45"/>
      <c r="I24" s="268" t="s">
        <v>323</v>
      </c>
      <c r="J24" s="45"/>
      <c r="K24" s="45"/>
      <c r="L24" s="45"/>
      <c r="M24" s="45"/>
      <c r="N24" s="49"/>
    </row>
    <row r="25" spans="2:14" s="42" customFormat="1" ht="11.25" x14ac:dyDescent="0.2">
      <c r="B25" s="47">
        <v>11</v>
      </c>
      <c r="C25" s="272" t="s">
        <v>328</v>
      </c>
      <c r="D25" s="50">
        <f>'Rate Calculations'!$D$252</f>
        <v>608808.90347550332</v>
      </c>
      <c r="E25" s="45"/>
      <c r="F25" s="45"/>
      <c r="G25" s="45"/>
      <c r="H25" s="45"/>
      <c r="I25" s="268" t="s">
        <v>323</v>
      </c>
      <c r="J25" s="45"/>
      <c r="K25" s="45"/>
      <c r="L25" s="45"/>
      <c r="M25" s="45"/>
      <c r="N25" s="49"/>
    </row>
    <row r="26" spans="2:14" s="42" customFormat="1" ht="11.25" x14ac:dyDescent="0.2">
      <c r="B26" s="47">
        <v>12</v>
      </c>
      <c r="C26" s="45"/>
      <c r="D26" s="49">
        <f>SUM(D24:D25)</f>
        <v>1017546.1890402334</v>
      </c>
      <c r="E26" s="45"/>
      <c r="F26" s="45"/>
      <c r="G26" s="45"/>
      <c r="H26" s="45"/>
      <c r="I26" s="45"/>
      <c r="J26" s="45"/>
      <c r="K26" s="45"/>
      <c r="L26" s="45"/>
      <c r="M26" s="45"/>
      <c r="N26" s="49"/>
    </row>
    <row r="27" spans="2:14" s="42" customFormat="1" ht="11.25" x14ac:dyDescent="0.2">
      <c r="B27" s="47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2:14" s="42" customFormat="1" ht="11.25" x14ac:dyDescent="0.2">
      <c r="B28" s="47"/>
      <c r="C28" s="48" t="s">
        <v>329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2:14" s="42" customFormat="1" ht="11.25" x14ac:dyDescent="0.2">
      <c r="B29" s="47">
        <v>13</v>
      </c>
      <c r="C29" s="272" t="s">
        <v>69</v>
      </c>
      <c r="D29" s="49">
        <f>ROUND(D$9/$G$9*D$12/100*D$20*$D$24*1000,0)</f>
        <v>8687711</v>
      </c>
      <c r="E29" s="49">
        <f>ROUND(E$9/$G$9*E$12/100*E$20*$D$24*1000,0)</f>
        <v>16451676</v>
      </c>
      <c r="F29" s="49">
        <f>ROUND(F$9/$G$9*F$12/100*F$20*$D$24*1000,0)</f>
        <v>8225838</v>
      </c>
      <c r="G29" s="49">
        <f>SUM(D29:F29)</f>
        <v>33365225</v>
      </c>
      <c r="H29" s="45"/>
      <c r="I29" s="268" t="s">
        <v>330</v>
      </c>
      <c r="J29" s="45"/>
      <c r="K29" s="45"/>
      <c r="L29" s="45"/>
      <c r="M29" s="45"/>
      <c r="N29" s="45"/>
    </row>
    <row r="30" spans="2:14" s="42" customFormat="1" ht="11.25" x14ac:dyDescent="0.2">
      <c r="B30" s="47">
        <v>14</v>
      </c>
      <c r="C30" s="272" t="s">
        <v>62</v>
      </c>
      <c r="D30" s="50">
        <f>ROUND(D$9/$G$9*D$12/100*D$21*$D$25*1000,0)</f>
        <v>12940233</v>
      </c>
      <c r="E30" s="50">
        <f>ROUND(E$9/$G$9*E$12/100*E$21*$D$25*1000,0)</f>
        <v>24504558</v>
      </c>
      <c r="F30" s="50">
        <f>ROUND(F$9/$G$9*F$12/100*F$21*$D$25*1000,0)</f>
        <v>12252279</v>
      </c>
      <c r="G30" s="50">
        <f>SUM(D30:F30)</f>
        <v>49697070</v>
      </c>
      <c r="H30" s="45"/>
      <c r="I30" s="268" t="s">
        <v>331</v>
      </c>
      <c r="J30" s="45"/>
      <c r="K30" s="45"/>
      <c r="L30" s="45"/>
      <c r="M30" s="45"/>
      <c r="N30" s="45"/>
    </row>
    <row r="31" spans="2:14" s="42" customFormat="1" ht="11.25" x14ac:dyDescent="0.2">
      <c r="B31" s="47">
        <v>15</v>
      </c>
      <c r="C31" s="272" t="s">
        <v>36</v>
      </c>
      <c r="D31" s="49">
        <f>SUM(D29:D30)</f>
        <v>21627944</v>
      </c>
      <c r="E31" s="49">
        <f>SUM(E29:E30)</f>
        <v>40956234</v>
      </c>
      <c r="F31" s="49">
        <f>SUM(F29:F30)</f>
        <v>20478117</v>
      </c>
      <c r="G31" s="49">
        <f>SUM(G29:G30)</f>
        <v>83062295</v>
      </c>
      <c r="H31" s="45"/>
      <c r="I31" s="268" t="s">
        <v>332</v>
      </c>
      <c r="J31" s="45"/>
      <c r="K31" s="45"/>
      <c r="L31" s="45"/>
      <c r="M31" s="45"/>
      <c r="N31" s="45"/>
    </row>
    <row r="32" spans="2:14" s="42" customFormat="1" ht="11.25" x14ac:dyDescent="0.2">
      <c r="B32" s="47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2:14" s="42" customFormat="1" ht="11.25" x14ac:dyDescent="0.2">
      <c r="B33" s="47"/>
      <c r="C33" s="273" t="s">
        <v>333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2:14" s="42" customFormat="1" ht="11.25" x14ac:dyDescent="0.2">
      <c r="B34" s="47">
        <v>16</v>
      </c>
      <c r="C34" s="272" t="s">
        <v>69</v>
      </c>
      <c r="D34" s="269">
        <f>ROUND(G29/D24/1000*100,3)</f>
        <v>8.1630000000000003</v>
      </c>
      <c r="E34" s="45" t="s">
        <v>114</v>
      </c>
      <c r="F34" s="45"/>
      <c r="G34" s="45"/>
      <c r="H34" s="45"/>
      <c r="I34" s="268" t="s">
        <v>334</v>
      </c>
      <c r="J34" s="45"/>
      <c r="K34" s="45"/>
      <c r="L34" s="45"/>
      <c r="M34" s="45"/>
      <c r="N34" s="45"/>
    </row>
    <row r="35" spans="2:14" s="42" customFormat="1" ht="11.25" x14ac:dyDescent="0.2">
      <c r="B35" s="47">
        <v>17</v>
      </c>
      <c r="C35" s="272" t="s">
        <v>62</v>
      </c>
      <c r="D35" s="269">
        <f>ROUND(G30/D25/1000*100,3)</f>
        <v>8.1630000000000003</v>
      </c>
      <c r="E35" s="45" t="s">
        <v>114</v>
      </c>
      <c r="F35" s="45"/>
      <c r="G35" s="45"/>
      <c r="H35" s="45"/>
      <c r="I35" s="268" t="s">
        <v>335</v>
      </c>
      <c r="J35" s="45"/>
      <c r="K35" s="45"/>
      <c r="L35" s="45"/>
      <c r="M35" s="45"/>
      <c r="N35" s="45"/>
    </row>
    <row r="36" spans="2:14" s="42" customFormat="1" ht="11.25" x14ac:dyDescent="0.2">
      <c r="B36" s="47">
        <v>18</v>
      </c>
      <c r="C36" s="272" t="s">
        <v>36</v>
      </c>
      <c r="D36" s="270">
        <f>ROUND(G31/D26/1000*100,3)</f>
        <v>8.1630000000000003</v>
      </c>
      <c r="E36" s="45" t="s">
        <v>114</v>
      </c>
      <c r="F36" s="45"/>
      <c r="G36" s="45"/>
      <c r="H36" s="45"/>
      <c r="I36" s="268" t="s">
        <v>336</v>
      </c>
      <c r="J36" s="45"/>
      <c r="K36" s="45"/>
      <c r="L36" s="45"/>
      <c r="M36" s="45"/>
      <c r="N36" s="45"/>
    </row>
    <row r="37" spans="2:14" s="42" customFormat="1" ht="11.25" x14ac:dyDescent="0.2">
      <c r="B37" s="47"/>
      <c r="C37" s="4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2:14" s="42" customFormat="1" ht="11.25" x14ac:dyDescent="0.2">
      <c r="B38" s="47"/>
      <c r="C38" s="48" t="s">
        <v>337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2:14" s="42" customFormat="1" ht="11.25" x14ac:dyDescent="0.2">
      <c r="B39" s="47"/>
      <c r="C39" s="45"/>
      <c r="D39" s="272" t="s">
        <v>338</v>
      </c>
      <c r="E39" s="272" t="s">
        <v>339</v>
      </c>
      <c r="F39" s="45"/>
      <c r="G39" s="45"/>
      <c r="H39" s="45"/>
      <c r="I39" s="45"/>
      <c r="J39" s="45"/>
      <c r="K39" s="45"/>
      <c r="L39" s="45"/>
      <c r="M39" s="45"/>
      <c r="N39" s="45"/>
    </row>
    <row r="40" spans="2:14" s="42" customFormat="1" ht="11.25" x14ac:dyDescent="0.2">
      <c r="B40" s="47"/>
      <c r="C40" s="45"/>
      <c r="D40" s="266" t="s">
        <v>299</v>
      </c>
      <c r="E40" s="266" t="s">
        <v>340</v>
      </c>
      <c r="F40" s="274"/>
      <c r="G40" s="266" t="s">
        <v>36</v>
      </c>
      <c r="H40" s="45"/>
      <c r="I40" s="45"/>
      <c r="J40" s="45"/>
      <c r="K40" s="45"/>
      <c r="L40" s="45"/>
      <c r="M40" s="45"/>
      <c r="N40" s="45"/>
    </row>
    <row r="41" spans="2:14" s="42" customFormat="1" ht="11.25" x14ac:dyDescent="0.2">
      <c r="B41" s="47">
        <v>19</v>
      </c>
      <c r="C41" s="45" t="s">
        <v>304</v>
      </c>
      <c r="D41" s="51">
        <f>SUM(D9:F9)</f>
        <v>4</v>
      </c>
      <c r="E41" s="51">
        <f>'BGS Cost &amp; Bid Factors'!M466</f>
        <v>0.48799999999999999</v>
      </c>
      <c r="F41" s="51"/>
      <c r="G41" s="45">
        <f>SUM(D41:E41)</f>
        <v>4.4879999999999995</v>
      </c>
      <c r="H41" s="45"/>
      <c r="I41" s="45" t="s">
        <v>341</v>
      </c>
      <c r="J41" s="45"/>
      <c r="K41" s="45"/>
      <c r="L41" s="45"/>
      <c r="M41" s="45"/>
      <c r="N41" s="45"/>
    </row>
    <row r="42" spans="2:14" s="42" customFormat="1" ht="11.25" x14ac:dyDescent="0.2">
      <c r="B42" s="47">
        <v>20</v>
      </c>
      <c r="C42" s="45" t="s">
        <v>342</v>
      </c>
      <c r="D42" s="44">
        <f>D36</f>
        <v>8.1630000000000003</v>
      </c>
      <c r="E42" s="44">
        <f>'Rate Calculations'!$D$286*(100/1000)</f>
        <v>8.8090000000000011</v>
      </c>
      <c r="F42" s="44"/>
      <c r="G42" s="45"/>
      <c r="H42" s="45"/>
      <c r="I42" s="45" t="str">
        <f>"BGS Auction from (18)"</f>
        <v>BGS Auction from (18)</v>
      </c>
      <c r="J42" s="45"/>
      <c r="K42" s="45" t="str">
        <f>"Note "&amp;$E$42&amp;"¢ for RFP is illustrative"</f>
        <v>Note 8.809¢ for RFP is illustrative</v>
      </c>
      <c r="L42" s="45"/>
      <c r="M42" s="45"/>
      <c r="N42" s="45"/>
    </row>
    <row r="43" spans="2:14" s="42" customFormat="1" ht="11.25" x14ac:dyDescent="0.2">
      <c r="B43" s="47"/>
      <c r="C43" s="45"/>
      <c r="D43" s="44"/>
      <c r="E43" s="276"/>
      <c r="F43" s="44"/>
      <c r="G43" s="45"/>
      <c r="H43" s="45"/>
      <c r="I43" s="45" t="s">
        <v>343</v>
      </c>
      <c r="J43" s="45"/>
      <c r="K43" s="45"/>
      <c r="L43" s="45"/>
      <c r="M43" s="45"/>
      <c r="N43" s="45"/>
    </row>
    <row r="44" spans="2:14" s="42" customFormat="1" ht="11.25" x14ac:dyDescent="0.2">
      <c r="B44" s="47">
        <v>21</v>
      </c>
      <c r="C44" s="45" t="s">
        <v>344</v>
      </c>
      <c r="D44" s="44">
        <f>F13</f>
        <v>1.3991731431489172</v>
      </c>
      <c r="E44" s="44">
        <v>0</v>
      </c>
      <c r="F44" s="51"/>
      <c r="G44" s="45"/>
      <c r="H44" s="45"/>
      <c r="I44" s="45"/>
      <c r="J44" s="45"/>
      <c r="K44" s="45"/>
      <c r="L44" s="45"/>
      <c r="M44" s="45"/>
      <c r="N44" s="45"/>
    </row>
    <row r="45" spans="2:14" s="42" customFormat="1" ht="11.25" x14ac:dyDescent="0.2">
      <c r="B45" s="47">
        <v>22</v>
      </c>
      <c r="C45" s="45" t="s">
        <v>338</v>
      </c>
      <c r="D45" s="44">
        <f>D42-D44</f>
        <v>6.7638268568510833</v>
      </c>
      <c r="E45" s="51">
        <f>E42-E44</f>
        <v>8.8090000000000011</v>
      </c>
      <c r="F45" s="51"/>
      <c r="G45" s="45"/>
      <c r="H45" s="45"/>
      <c r="I45" s="268" t="s">
        <v>345</v>
      </c>
      <c r="J45" s="45"/>
      <c r="K45" s="45"/>
      <c r="L45" s="45"/>
      <c r="M45" s="45"/>
      <c r="N45" s="45"/>
    </row>
    <row r="46" spans="2:14" s="42" customFormat="1" ht="11.25" x14ac:dyDescent="0.2">
      <c r="B46" s="47">
        <v>23</v>
      </c>
      <c r="C46" s="268" t="s">
        <v>315</v>
      </c>
      <c r="D46" s="44">
        <f>D41/$G$41*D45</f>
        <v>6.0283661825767236</v>
      </c>
      <c r="E46" s="44">
        <f>E41/$G$41*E45</f>
        <v>0.95784135472370791</v>
      </c>
      <c r="F46" s="44"/>
      <c r="G46" s="269">
        <f>SUM(D46:E46)</f>
        <v>6.986207537300432</v>
      </c>
      <c r="H46" s="45"/>
      <c r="I46" s="268" t="s">
        <v>346</v>
      </c>
      <c r="J46" s="45"/>
      <c r="K46" s="45"/>
      <c r="L46" s="45"/>
      <c r="M46" s="45"/>
      <c r="N46" s="45"/>
    </row>
    <row r="47" spans="2:14" s="42" customFormat="1" ht="12" thickBot="1" x14ac:dyDescent="0.25">
      <c r="B47" s="47">
        <v>24</v>
      </c>
      <c r="C47" s="268" t="s">
        <v>317</v>
      </c>
      <c r="D47" s="44">
        <f>D41/$G$41*D44</f>
        <v>1.247034886941994</v>
      </c>
      <c r="E47" s="44">
        <f>E41/$G$41*E44</f>
        <v>0</v>
      </c>
      <c r="F47" s="44"/>
      <c r="G47" s="269">
        <f>SUM(D47:E47)</f>
        <v>1.247034886941994</v>
      </c>
      <c r="H47" s="45"/>
      <c r="I47" s="268" t="s">
        <v>347</v>
      </c>
      <c r="J47" s="45"/>
      <c r="K47" s="45"/>
      <c r="L47" s="45"/>
      <c r="M47" s="45"/>
      <c r="N47" s="45"/>
    </row>
    <row r="48" spans="2:14" s="42" customFormat="1" ht="12" thickBot="1" x14ac:dyDescent="0.25">
      <c r="B48" s="47">
        <v>25</v>
      </c>
      <c r="C48" s="275" t="s">
        <v>348</v>
      </c>
      <c r="D48" s="45"/>
      <c r="E48" s="45"/>
      <c r="F48" s="45"/>
      <c r="G48" s="52">
        <f>ROUND(G46+G47,3)</f>
        <v>8.2330000000000005</v>
      </c>
      <c r="H48" s="45"/>
      <c r="I48" s="268" t="s">
        <v>349</v>
      </c>
      <c r="J48" s="45"/>
      <c r="K48" s="45"/>
      <c r="L48" s="45"/>
      <c r="M48" s="45"/>
      <c r="N48" s="45"/>
    </row>
    <row r="49" spans="2:14" x14ac:dyDescent="0.2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2:14" x14ac:dyDescent="0.2">
      <c r="B50" s="97"/>
      <c r="C50" s="267" t="s">
        <v>350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2:14" x14ac:dyDescent="0.2">
      <c r="B51" s="97"/>
      <c r="C51" s="267" t="s">
        <v>351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</row>
    <row r="52" spans="2:14" x14ac:dyDescent="0.2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2:14" x14ac:dyDescent="0.2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</row>
    <row r="54" spans="2:14" x14ac:dyDescent="0.2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</row>
    <row r="55" spans="2:14" x14ac:dyDescent="0.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</row>
    <row r="56" spans="2:14" x14ac:dyDescent="0.2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</row>
    <row r="57" spans="2:14" x14ac:dyDescent="0.2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2:14" x14ac:dyDescent="0.2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</row>
  </sheetData>
  <printOptions horizontalCentered="1"/>
  <pageMargins left="0.5" right="0.5" top="0.5" bottom="0.5" header="0.5" footer="0.5"/>
  <pageSetup scale="93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308"/>
  <sheetViews>
    <sheetView zoomScaleNormal="100" workbookViewId="0">
      <pane ySplit="3" topLeftCell="A4" activePane="bottomLeft" state="frozen"/>
      <selection activeCell="J468" sqref="J468"/>
      <selection pane="bottomLeft" activeCell="L295" sqref="L295"/>
    </sheetView>
  </sheetViews>
  <sheetFormatPr defaultRowHeight="12.75" x14ac:dyDescent="0.2"/>
  <cols>
    <col min="1" max="1" width="9.5703125" style="1" customWidth="1"/>
    <col min="2" max="2" width="27.85546875" customWidth="1"/>
    <col min="3" max="3" width="14.140625" customWidth="1"/>
    <col min="4" max="5" width="12.7109375" customWidth="1"/>
    <col min="6" max="7" width="13.42578125" customWidth="1"/>
    <col min="8" max="8" width="12.7109375" customWidth="1"/>
    <col min="9" max="9" width="11.85546875" customWidth="1"/>
    <col min="10" max="10" width="12.5703125" customWidth="1"/>
    <col min="11" max="11" width="10.7109375" customWidth="1"/>
    <col min="12" max="12" width="11.7109375" customWidth="1"/>
    <col min="13" max="17" width="9.42578125" customWidth="1"/>
    <col min="18" max="18" width="9.28515625" customWidth="1"/>
    <col min="19" max="19" width="8.7109375" customWidth="1"/>
    <col min="20" max="20" width="12.7109375" customWidth="1"/>
    <col min="21" max="21" width="10.140625" customWidth="1"/>
    <col min="22" max="27" width="8.7109375" customWidth="1"/>
    <col min="28" max="28" width="2.85546875" customWidth="1"/>
    <col min="29" max="29" width="21" customWidth="1"/>
    <col min="30" max="37" width="9.42578125" customWidth="1"/>
  </cols>
  <sheetData>
    <row r="1" spans="1:22" x14ac:dyDescent="0.2">
      <c r="A1" s="41" t="s">
        <v>296</v>
      </c>
    </row>
    <row r="2" spans="1:22" x14ac:dyDescent="0.2">
      <c r="A2" s="6" t="str">
        <f>'BGS Cost &amp; Bid Factors'!M1 &amp;" BGS Auction"</f>
        <v>2018 BGS Auction</v>
      </c>
    </row>
    <row r="3" spans="1:22" x14ac:dyDescent="0.2">
      <c r="A3" s="6"/>
    </row>
    <row r="4" spans="1:22" x14ac:dyDescent="0.2">
      <c r="A4" s="6"/>
    </row>
    <row r="6" spans="1:22" x14ac:dyDescent="0.2">
      <c r="A6" s="29" t="s">
        <v>352</v>
      </c>
      <c r="B6" s="25" t="s">
        <v>184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1:22" x14ac:dyDescent="0.2">
      <c r="A7" s="10"/>
      <c r="B7" s="113" t="s">
        <v>353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</row>
    <row r="8" spans="1:22" x14ac:dyDescent="0.2">
      <c r="A8" s="5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</row>
    <row r="9" spans="1:22" x14ac:dyDescent="0.2">
      <c r="A9" s="5"/>
      <c r="B9" s="20" t="s">
        <v>165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x14ac:dyDescent="0.2">
      <c r="A10" s="5"/>
      <c r="B10" s="13" t="s">
        <v>354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</row>
    <row r="11" spans="1:22" x14ac:dyDescent="0.2">
      <c r="A11" s="5"/>
      <c r="B11" s="20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</row>
    <row r="12" spans="1:22" x14ac:dyDescent="0.2">
      <c r="A12" s="5"/>
      <c r="B12" s="97"/>
      <c r="C12" s="30" t="str">
        <f>'BGS Cost &amp; Bid Factors'!C$6</f>
        <v>SC1</v>
      </c>
      <c r="D12" s="30" t="str">
        <f>'BGS Cost &amp; Bid Factors'!D$6</f>
        <v>SC5</v>
      </c>
      <c r="E12" s="30" t="str">
        <f>'BGS Cost &amp; Bid Factors'!E$6</f>
        <v>SC3</v>
      </c>
      <c r="F12" s="30" t="str">
        <f>'BGS Cost &amp; Bid Factors'!F$6</f>
        <v>SC2 ND</v>
      </c>
      <c r="G12" s="30" t="str">
        <f>'BGS Cost &amp; Bid Factors'!G$6</f>
        <v>SC4</v>
      </c>
      <c r="H12" s="30" t="str">
        <f>'BGS Cost &amp; Bid Factors'!H$6</f>
        <v>SC6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</row>
    <row r="13" spans="1:22" x14ac:dyDescent="0.2">
      <c r="A13" s="5"/>
      <c r="B13" s="97"/>
      <c r="C13" s="34"/>
      <c r="D13" s="34"/>
      <c r="E13" s="34"/>
      <c r="F13" s="34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</row>
    <row r="14" spans="1:22" x14ac:dyDescent="0.2">
      <c r="A14" s="5"/>
      <c r="B14" s="126" t="s">
        <v>64</v>
      </c>
      <c r="C14" s="21">
        <f>'BGS Cost &amp; Bid Factors'!C327</f>
        <v>1.03</v>
      </c>
      <c r="D14" s="21">
        <f>'BGS Cost &amp; Bid Factors'!D327</f>
        <v>0.94</v>
      </c>
      <c r="E14" s="222"/>
      <c r="F14" s="21">
        <f>'BGS Cost &amp; Bid Factors'!F327</f>
        <v>0.85599999999999998</v>
      </c>
      <c r="G14" s="21">
        <f>'BGS Cost &amp; Bid Factors'!G327</f>
        <v>0.61199999999999999</v>
      </c>
      <c r="H14" s="21">
        <f>'BGS Cost &amp; Bid Factors'!H327</f>
        <v>0.61199999999999999</v>
      </c>
      <c r="I14" s="131"/>
      <c r="J14" s="131"/>
      <c r="K14" s="131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5" spans="1:22" x14ac:dyDescent="0.2">
      <c r="A15" s="5"/>
      <c r="B15" s="127" t="s">
        <v>79</v>
      </c>
      <c r="C15" s="222"/>
      <c r="D15" s="222"/>
      <c r="E15" s="21">
        <f>'BGS Cost &amp; Bid Factors'!E328</f>
        <v>1.6279999999999999</v>
      </c>
      <c r="F15" s="222"/>
      <c r="G15" s="222"/>
      <c r="H15" s="222"/>
      <c r="I15" s="131"/>
      <c r="J15" s="131"/>
      <c r="K15" s="131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</row>
    <row r="16" spans="1:22" x14ac:dyDescent="0.2">
      <c r="A16" s="5"/>
      <c r="B16" s="127" t="s">
        <v>80</v>
      </c>
      <c r="C16" s="222"/>
      <c r="D16" s="222"/>
      <c r="E16" s="21">
        <f>'BGS Cost &amp; Bid Factors'!E329</f>
        <v>0.52700000000000002</v>
      </c>
      <c r="F16" s="222"/>
      <c r="G16" s="222"/>
      <c r="H16" s="222"/>
      <c r="I16" s="131"/>
      <c r="J16" s="131"/>
      <c r="K16" s="131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spans="1:22" x14ac:dyDescent="0.2">
      <c r="A17" s="5"/>
      <c r="B17" s="97"/>
      <c r="C17" s="222"/>
      <c r="D17" s="222"/>
      <c r="E17" s="222"/>
      <c r="F17" s="222"/>
      <c r="G17" s="222"/>
      <c r="H17" s="222"/>
      <c r="I17" s="131"/>
      <c r="J17" s="131"/>
      <c r="K17" s="131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</row>
    <row r="18" spans="1:22" x14ac:dyDescent="0.2">
      <c r="A18" s="5"/>
      <c r="B18" s="22"/>
      <c r="C18" s="97"/>
      <c r="D18" s="97"/>
      <c r="E18" s="222"/>
      <c r="F18" s="222"/>
      <c r="G18" s="222"/>
      <c r="H18" s="222"/>
      <c r="I18" s="131"/>
      <c r="J18" s="131"/>
      <c r="K18" s="131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</row>
    <row r="19" spans="1:22" x14ac:dyDescent="0.2">
      <c r="A19" s="5"/>
      <c r="B19" s="23" t="s">
        <v>168</v>
      </c>
      <c r="C19" s="53">
        <f>'BGS Cost &amp; Bid Factors'!C332</f>
        <v>-13.839475000000014</v>
      </c>
      <c r="D19" s="24">
        <f>'BGS Cost &amp; Bid Factors'!D332</f>
        <v>-6.5310050000000004</v>
      </c>
      <c r="E19" s="222"/>
      <c r="F19" s="222"/>
      <c r="G19" s="222"/>
      <c r="H19" s="222"/>
      <c r="I19" s="131"/>
      <c r="J19" s="131"/>
      <c r="K19" s="131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</row>
    <row r="20" spans="1:22" x14ac:dyDescent="0.2">
      <c r="A20" s="5"/>
      <c r="B20" s="23" t="s">
        <v>169</v>
      </c>
      <c r="C20" s="24">
        <f>'BGS Cost &amp; Bid Factors'!C333</f>
        <v>10.410524999999993</v>
      </c>
      <c r="D20" s="24">
        <f>'BGS Cost &amp; Bid Factors'!D333</f>
        <v>10.498994999999994</v>
      </c>
      <c r="E20" s="222"/>
      <c r="F20" s="222"/>
      <c r="G20" s="222"/>
      <c r="H20" s="222"/>
      <c r="I20" s="131"/>
      <c r="J20" s="131"/>
      <c r="K20" s="131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</row>
    <row r="21" spans="1:22" x14ac:dyDescent="0.2">
      <c r="A21" s="5"/>
      <c r="B21" s="222"/>
      <c r="C21" s="222"/>
      <c r="D21" s="222"/>
      <c r="E21" s="222"/>
      <c r="F21" s="222"/>
      <c r="G21" s="222"/>
      <c r="H21" s="222"/>
      <c r="I21" s="131"/>
      <c r="J21" s="131"/>
      <c r="K21" s="131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1:22" x14ac:dyDescent="0.2">
      <c r="A22" s="5"/>
      <c r="B22" s="97"/>
      <c r="C22" s="222"/>
      <c r="D22" s="222"/>
      <c r="E22" s="222"/>
      <c r="F22" s="222"/>
      <c r="G22" s="222"/>
      <c r="H22" s="222"/>
      <c r="I22" s="131"/>
      <c r="J22" s="131"/>
      <c r="K22" s="131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</row>
    <row r="23" spans="1:22" x14ac:dyDescent="0.2">
      <c r="A23" s="5"/>
      <c r="B23" s="126" t="s">
        <v>70</v>
      </c>
      <c r="C23" s="21">
        <f>'BGS Cost &amp; Bid Factors'!C336</f>
        <v>1.23</v>
      </c>
      <c r="D23" s="21">
        <f>'BGS Cost &amp; Bid Factors'!D336</f>
        <v>0.995</v>
      </c>
      <c r="E23" s="222"/>
      <c r="F23" s="21">
        <f>'BGS Cost &amp; Bid Factors'!F336</f>
        <v>0.88700000000000001</v>
      </c>
      <c r="G23" s="21">
        <f>'BGS Cost &amp; Bid Factors'!G336</f>
        <v>0.69699999999999995</v>
      </c>
      <c r="H23" s="21">
        <f>'BGS Cost &amp; Bid Factors'!H336</f>
        <v>0.68700000000000006</v>
      </c>
      <c r="I23" s="131"/>
      <c r="J23" s="131"/>
      <c r="K23" s="131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</row>
    <row r="24" spans="1:22" x14ac:dyDescent="0.2">
      <c r="A24" s="5"/>
      <c r="B24" s="127" t="s">
        <v>79</v>
      </c>
      <c r="C24" s="222"/>
      <c r="D24" s="222"/>
      <c r="E24" s="21">
        <f>'BGS Cost &amp; Bid Factors'!E337</f>
        <v>1.615</v>
      </c>
      <c r="F24" s="222"/>
      <c r="G24" s="222"/>
      <c r="H24" s="222"/>
      <c r="I24" s="131"/>
      <c r="J24" s="131"/>
      <c r="K24" s="131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</row>
    <row r="25" spans="1:22" x14ac:dyDescent="0.2">
      <c r="A25" s="5"/>
      <c r="B25" s="127" t="s">
        <v>80</v>
      </c>
      <c r="C25" s="222"/>
      <c r="D25" s="222"/>
      <c r="E25" s="21">
        <f>'BGS Cost &amp; Bid Factors'!E338</f>
        <v>0.64400000000000002</v>
      </c>
      <c r="F25" s="222"/>
      <c r="G25" s="222"/>
      <c r="H25" s="222"/>
      <c r="I25" s="131"/>
      <c r="J25" s="131"/>
      <c r="K25" s="131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</row>
    <row r="26" spans="1:22" x14ac:dyDescent="0.2">
      <c r="A26" s="5"/>
      <c r="B26" s="97"/>
      <c r="C26" s="131"/>
      <c r="D26" s="131"/>
      <c r="E26" s="131"/>
      <c r="F26" s="131"/>
      <c r="G26" s="131"/>
      <c r="H26" s="131"/>
      <c r="I26" s="131"/>
      <c r="J26" s="131"/>
      <c r="K26" s="131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2" x14ac:dyDescent="0.2">
      <c r="A27" s="5"/>
      <c r="B27" s="97" t="s">
        <v>170</v>
      </c>
      <c r="C27" s="224">
        <f>'BGS Cost &amp; Bid Factors'!C340</f>
        <v>1.1439999999999999</v>
      </c>
      <c r="D27" s="224">
        <f>'BGS Cost &amp; Bid Factors'!D340</f>
        <v>0.97599999999999998</v>
      </c>
      <c r="E27" s="224">
        <f>'BGS Cost &amp; Bid Factors'!E340</f>
        <v>0.97899999999999998</v>
      </c>
      <c r="F27" s="224">
        <f>'BGS Cost &amp; Bid Factors'!F340</f>
        <v>0.87756818044172802</v>
      </c>
      <c r="G27" s="224">
        <f>'BGS Cost &amp; Bid Factors'!G340</f>
        <v>0.67300000000000004</v>
      </c>
      <c r="H27" s="224">
        <f>'BGS Cost &amp; Bid Factors'!H340</f>
        <v>0.66400000000000003</v>
      </c>
      <c r="I27" s="131"/>
      <c r="J27" s="131"/>
      <c r="K27" s="131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</row>
    <row r="28" spans="1:22" x14ac:dyDescent="0.2">
      <c r="A28" s="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</row>
    <row r="29" spans="1:22" x14ac:dyDescent="0.2">
      <c r="A29" s="5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</row>
    <row r="30" spans="1:22" x14ac:dyDescent="0.2">
      <c r="A30" s="5"/>
      <c r="B30" s="20" t="s">
        <v>171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spans="1:22" x14ac:dyDescent="0.2">
      <c r="A31" s="5"/>
      <c r="B31" s="13" t="s">
        <v>185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</row>
    <row r="32" spans="1:22" x14ac:dyDescent="0.2">
      <c r="A32" s="5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spans="1:22" x14ac:dyDescent="0.2">
      <c r="A33" s="5"/>
      <c r="B33" s="97"/>
      <c r="C33" s="22" t="str">
        <f>'BGS Cost &amp; Bid Factors'!I6</f>
        <v>SC2 Dem</v>
      </c>
      <c r="D33" s="22" t="str">
        <f>+C33</f>
        <v>SC2 Dem</v>
      </c>
      <c r="E33" s="34"/>
      <c r="F33" s="34"/>
      <c r="G33" s="226" t="s">
        <v>135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</row>
    <row r="34" spans="1:22" x14ac:dyDescent="0.2">
      <c r="A34" s="5"/>
      <c r="B34" s="97"/>
      <c r="C34" s="30" t="s">
        <v>173</v>
      </c>
      <c r="D34" s="233" t="s">
        <v>174</v>
      </c>
      <c r="E34" s="34"/>
      <c r="F34" s="34"/>
      <c r="G34" s="120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</row>
    <row r="35" spans="1:22" x14ac:dyDescent="0.2">
      <c r="A35" s="5"/>
      <c r="B35" s="126" t="s">
        <v>64</v>
      </c>
      <c r="C35" s="21">
        <f>'BGS Cost &amp; Bid Factors'!C348</f>
        <v>0.93700000000000006</v>
      </c>
      <c r="D35" s="21">
        <f>'BGS Cost &amp; Bid Factors'!D348</f>
        <v>-20.777391218395515</v>
      </c>
      <c r="E35" s="97"/>
      <c r="F35" s="137"/>
      <c r="G35" s="201" t="s">
        <v>136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</row>
    <row r="36" spans="1:22" x14ac:dyDescent="0.2">
      <c r="A36" s="5"/>
      <c r="B36" s="127"/>
      <c r="C36" s="224"/>
      <c r="D36" s="234"/>
      <c r="E36" s="223"/>
      <c r="F36" s="229"/>
      <c r="G36" s="120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</row>
    <row r="37" spans="1:22" x14ac:dyDescent="0.2">
      <c r="A37" s="5"/>
      <c r="B37" s="127"/>
      <c r="C37" s="224"/>
      <c r="D37" s="234"/>
      <c r="E37" s="223"/>
      <c r="F37" s="229"/>
      <c r="G37" s="120"/>
      <c r="H37" s="30">
        <f>'BGS Cost &amp; Bid Factors'!G212</f>
        <v>0</v>
      </c>
      <c r="I37" s="30" t="str">
        <f>'BGS Cost &amp; Bid Factors'!H212</f>
        <v>&lt; 5 kW</v>
      </c>
      <c r="J37" s="30" t="str">
        <f>'BGS Cost &amp; Bid Factors'!I212</f>
        <v>&gt; 5 kW</v>
      </c>
      <c r="K37" s="30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</row>
    <row r="38" spans="1:22" x14ac:dyDescent="0.2">
      <c r="A38" s="5"/>
      <c r="B38" s="97"/>
      <c r="C38" s="224"/>
      <c r="D38" s="234"/>
      <c r="E38" s="222"/>
      <c r="F38" s="229"/>
      <c r="G38" s="120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spans="1:22" x14ac:dyDescent="0.2">
      <c r="A39" s="5"/>
      <c r="B39" s="126" t="s">
        <v>70</v>
      </c>
      <c r="C39" s="21">
        <f>'BGS Cost &amp; Bid Factors'!C352</f>
        <v>1.0009999999999999</v>
      </c>
      <c r="D39" s="21">
        <f>'BGS Cost &amp; Bid Factors'!D352</f>
        <v>-20.176849379185938</v>
      </c>
      <c r="E39" s="223"/>
      <c r="F39" s="229"/>
      <c r="G39" s="230" t="s">
        <v>99</v>
      </c>
      <c r="H39" s="128">
        <f>'BGS Cost &amp; Bid Factors'!H352</f>
        <v>0</v>
      </c>
      <c r="I39" s="128">
        <f>'BGS Cost &amp; Bid Factors'!I352</f>
        <v>1.7</v>
      </c>
      <c r="J39" s="128">
        <f>'BGS Cost &amp; Bid Factors'!J352</f>
        <v>5.8769999999999998</v>
      </c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</row>
    <row r="40" spans="1:22" x14ac:dyDescent="0.2">
      <c r="A40" s="5"/>
      <c r="B40" s="127"/>
      <c r="C40" s="224"/>
      <c r="D40" s="235"/>
      <c r="E40" s="223"/>
      <c r="F40" s="229"/>
      <c r="G40" s="230" t="s">
        <v>105</v>
      </c>
      <c r="H40" s="128">
        <f>'BGS Cost &amp; Bid Factors'!H353</f>
        <v>0</v>
      </c>
      <c r="I40" s="128">
        <f>'BGS Cost &amp; Bid Factors'!I353</f>
        <v>1.554</v>
      </c>
      <c r="J40" s="128">
        <f>'BGS Cost &amp; Bid Factors'!J353</f>
        <v>5.4740000000000002</v>
      </c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22" x14ac:dyDescent="0.2">
      <c r="A41" s="5"/>
      <c r="B41" s="127"/>
      <c r="C41" s="224"/>
      <c r="D41" s="235"/>
      <c r="E41" s="223"/>
      <c r="F41" s="229"/>
      <c r="G41" s="230"/>
      <c r="H41" s="107"/>
      <c r="I41" s="123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22" x14ac:dyDescent="0.2">
      <c r="A42" s="5"/>
      <c r="B42" s="97"/>
      <c r="C42" s="225"/>
      <c r="D42" s="235"/>
      <c r="E42" s="131"/>
      <c r="F42" s="97"/>
      <c r="G42" s="231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</row>
    <row r="43" spans="1:22" x14ac:dyDescent="0.2">
      <c r="A43" s="5"/>
      <c r="B43" s="97" t="s">
        <v>154</v>
      </c>
      <c r="C43" s="21">
        <f>'BGS Cost &amp; Bid Factors'!C356</f>
        <v>0.97799999999999998</v>
      </c>
      <c r="D43" s="235"/>
      <c r="E43" s="131"/>
      <c r="F43" s="97"/>
      <c r="G43" s="230"/>
      <c r="H43" s="107"/>
      <c r="I43" s="123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</row>
    <row r="44" spans="1:22" x14ac:dyDescent="0.2">
      <c r="A44" s="5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</row>
    <row r="45" spans="1:22" x14ac:dyDescent="0.2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</row>
    <row r="46" spans="1:22" x14ac:dyDescent="0.2">
      <c r="A46" s="29" t="s">
        <v>355</v>
      </c>
      <c r="B46" s="25" t="s">
        <v>356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</row>
    <row r="47" spans="1:22" x14ac:dyDescent="0.2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</row>
    <row r="48" spans="1:22" x14ac:dyDescent="0.2">
      <c r="B48" s="143" t="s">
        <v>357</v>
      </c>
      <c r="C48" s="97"/>
      <c r="D48" s="277">
        <f>'Weighted Avg Price Calc'!G48*10</f>
        <v>82.330000000000013</v>
      </c>
      <c r="E48" s="113" t="s">
        <v>358</v>
      </c>
      <c r="F48" s="113" t="s">
        <v>265</v>
      </c>
      <c r="G48" s="97"/>
      <c r="H48" s="97"/>
      <c r="I48" s="97"/>
      <c r="J48" s="97"/>
      <c r="K48" s="45" t="s">
        <v>238</v>
      </c>
      <c r="L48" s="134">
        <f>'BGS Cost &amp; Bid Factors'!M464</f>
        <v>49</v>
      </c>
      <c r="M48" s="97"/>
      <c r="N48" s="97"/>
      <c r="O48" s="97"/>
      <c r="P48" s="97"/>
      <c r="Q48" s="97"/>
      <c r="R48" s="97"/>
      <c r="S48" s="97"/>
      <c r="T48" s="97"/>
      <c r="U48" s="97"/>
      <c r="V48" s="97"/>
    </row>
    <row r="49" spans="2:22" x14ac:dyDescent="0.2">
      <c r="B49" s="143" t="s">
        <v>266</v>
      </c>
      <c r="C49" s="97"/>
      <c r="D49" s="260">
        <f>-L54</f>
        <v>-12.471731431489172</v>
      </c>
      <c r="E49" s="113" t="s">
        <v>359</v>
      </c>
      <c r="F49" s="97" t="s">
        <v>267</v>
      </c>
      <c r="G49" s="97"/>
      <c r="H49" s="97"/>
      <c r="I49" s="97"/>
      <c r="J49" s="97"/>
      <c r="K49" s="45" t="s">
        <v>240</v>
      </c>
      <c r="L49" s="134">
        <f>'BGS Cost &amp; Bid Factors'!M465</f>
        <v>100.5</v>
      </c>
      <c r="M49" s="97"/>
      <c r="N49" s="97"/>
      <c r="O49" s="97"/>
      <c r="P49" s="97"/>
      <c r="Q49" s="97"/>
      <c r="R49" s="97"/>
      <c r="S49" s="97"/>
      <c r="T49" s="97"/>
      <c r="U49" s="97"/>
      <c r="V49" s="97"/>
    </row>
    <row r="50" spans="2:22" x14ac:dyDescent="0.2">
      <c r="B50" s="143" t="s">
        <v>268</v>
      </c>
      <c r="C50" s="97"/>
      <c r="D50" s="137">
        <f>D48+D49</f>
        <v>69.858268568510837</v>
      </c>
      <c r="E50" s="113" t="s">
        <v>120</v>
      </c>
      <c r="F50" s="97" t="str">
        <f>"** RECO average transmission rate of "&amp;TEXT(L52,"0.00")&amp;" minus"</f>
        <v>** RECO average transmission rate of 13.99 minus</v>
      </c>
      <c r="G50" s="97"/>
      <c r="H50" s="97"/>
      <c r="I50" s="97"/>
      <c r="J50" s="97"/>
      <c r="K50" s="45" t="s">
        <v>242</v>
      </c>
      <c r="L50" s="97">
        <f>ROUND(L48/L49,3)</f>
        <v>0.48799999999999999</v>
      </c>
      <c r="M50" s="97"/>
      <c r="N50" s="97"/>
      <c r="O50" s="97"/>
      <c r="P50" s="97"/>
      <c r="Q50" s="97"/>
      <c r="R50" s="97"/>
      <c r="S50" s="97"/>
      <c r="T50" s="97"/>
      <c r="U50" s="97"/>
      <c r="V50" s="97"/>
    </row>
    <row r="51" spans="2:22" x14ac:dyDescent="0.2">
      <c r="B51" s="97"/>
      <c r="C51" s="97"/>
      <c r="D51" s="97"/>
      <c r="E51" s="97"/>
      <c r="F51" s="97" t="s">
        <v>269</v>
      </c>
      <c r="G51" s="97"/>
      <c r="H51" s="97"/>
      <c r="I51" s="97"/>
      <c r="J51" s="97"/>
      <c r="K51" s="97"/>
      <c r="L51" s="142"/>
      <c r="M51" s="97"/>
      <c r="N51" s="97"/>
      <c r="O51" s="97"/>
      <c r="P51" s="97"/>
      <c r="Q51" s="97"/>
      <c r="R51" s="97"/>
      <c r="S51" s="97"/>
      <c r="T51" s="97"/>
      <c r="U51" s="97"/>
      <c r="V51" s="97"/>
    </row>
    <row r="52" spans="2:22" x14ac:dyDescent="0.2">
      <c r="B52" s="97"/>
      <c r="C52" s="97"/>
      <c r="D52" s="261"/>
      <c r="E52" s="97"/>
      <c r="F52" s="97" t="str">
        <f>"average rate "&amp;TEXT(L50,"0.000")&amp;"/"&amp;TEXT(4+L50,"0.000")&amp;" *$"&amp;TEXT(L52,"0.00")&amp;" per MWh)."</f>
        <v>average rate 0.488/4.488 *$13.99 per MWh).</v>
      </c>
      <c r="G52" s="97"/>
      <c r="H52" s="97"/>
      <c r="I52" s="284">
        <f>ROUND(L50/(4+L50)*L52,2)</f>
        <v>1.52</v>
      </c>
      <c r="J52" s="97"/>
      <c r="K52" s="45" t="s">
        <v>246</v>
      </c>
      <c r="L52" s="142">
        <f>'BGS Cost &amp; Bid Factors'!D223-'BGS Cost &amp; Bid Factors'!D318</f>
        <v>13.991731431489171</v>
      </c>
      <c r="M52" s="97" t="s">
        <v>247</v>
      </c>
      <c r="N52" s="97"/>
      <c r="O52" s="97"/>
      <c r="P52" s="97"/>
      <c r="Q52" s="97"/>
      <c r="R52" s="97"/>
      <c r="S52" s="97"/>
      <c r="T52" s="97"/>
      <c r="U52" s="97"/>
      <c r="V52" s="97"/>
    </row>
    <row r="53" spans="2:22" x14ac:dyDescent="0.2">
      <c r="B53" s="33" t="s">
        <v>270</v>
      </c>
      <c r="C53" s="97"/>
      <c r="D53" s="97"/>
      <c r="E53" s="97"/>
      <c r="F53" s="97"/>
      <c r="G53" s="97"/>
      <c r="H53" s="97"/>
      <c r="I53" s="97"/>
      <c r="J53" s="97"/>
      <c r="K53" s="45" t="s">
        <v>249</v>
      </c>
      <c r="L53" s="142">
        <f>I52</f>
        <v>1.52</v>
      </c>
      <c r="M53" s="97" t="s">
        <v>247</v>
      </c>
      <c r="N53" s="97"/>
      <c r="O53" s="97"/>
      <c r="P53" s="97"/>
      <c r="Q53" s="97"/>
      <c r="R53" s="97"/>
      <c r="S53" s="97"/>
      <c r="T53" s="97"/>
      <c r="U53" s="97"/>
      <c r="V53" s="97"/>
    </row>
    <row r="54" spans="2:22" x14ac:dyDescent="0.2">
      <c r="B54" s="97"/>
      <c r="C54" s="97"/>
      <c r="D54" s="97"/>
      <c r="E54" s="97"/>
      <c r="F54" s="97"/>
      <c r="G54" s="97"/>
      <c r="H54" s="97"/>
      <c r="I54" s="97"/>
      <c r="J54" s="97"/>
      <c r="K54" s="45" t="s">
        <v>251</v>
      </c>
      <c r="L54" s="134">
        <f>L52-L53</f>
        <v>12.471731431489172</v>
      </c>
      <c r="M54" s="97" t="s">
        <v>247</v>
      </c>
      <c r="N54" s="97"/>
      <c r="O54" s="97"/>
      <c r="P54" s="97"/>
      <c r="Q54" s="97"/>
      <c r="R54" s="97"/>
      <c r="S54" s="97"/>
      <c r="T54" s="97"/>
      <c r="U54" s="97"/>
      <c r="V54" s="97"/>
    </row>
    <row r="55" spans="2:22" x14ac:dyDescent="0.2">
      <c r="B55" s="97"/>
      <c r="C55" s="30" t="str">
        <f>'BGS Cost &amp; Bid Factors'!C$6</f>
        <v>SC1</v>
      </c>
      <c r="D55" s="30" t="str">
        <f>'BGS Cost &amp; Bid Factors'!D$6</f>
        <v>SC5</v>
      </c>
      <c r="E55" s="30" t="str">
        <f>'BGS Cost &amp; Bid Factors'!E$6</f>
        <v>SC3</v>
      </c>
      <c r="F55" s="30" t="str">
        <f>'BGS Cost &amp; Bid Factors'!F$6</f>
        <v>SC2 ND</v>
      </c>
      <c r="G55" s="30" t="str">
        <f>'BGS Cost &amp; Bid Factors'!G$6</f>
        <v>SC4</v>
      </c>
      <c r="H55" s="30" t="str">
        <f>'BGS Cost &amp; Bid Factors'!H$6</f>
        <v>SC6</v>
      </c>
      <c r="I55" s="30" t="str">
        <f>'BGS Cost &amp; Bid Factors'!I$6</f>
        <v>SC2 Dem</v>
      </c>
      <c r="J55" s="34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</row>
    <row r="56" spans="2:22" x14ac:dyDescent="0.2">
      <c r="B56" s="35" t="s">
        <v>69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</row>
    <row r="57" spans="2:22" x14ac:dyDescent="0.2">
      <c r="B57" s="104" t="s">
        <v>271</v>
      </c>
      <c r="C57" s="140">
        <f>ROUND(($D$50*C14)/10,3)</f>
        <v>7.1950000000000003</v>
      </c>
      <c r="D57" s="140">
        <f>ROUND(($D$50*D14)/10,3)</f>
        <v>6.5670000000000002</v>
      </c>
      <c r="E57" s="118"/>
      <c r="F57" s="118">
        <f>ROUND(F14*$D$50/10,3)</f>
        <v>5.98</v>
      </c>
      <c r="G57" s="118">
        <f>ROUND(G14*$D$50/10,3)</f>
        <v>4.2750000000000004</v>
      </c>
      <c r="H57" s="118">
        <f>ROUND(H14*$D$50/10,3)</f>
        <v>4.2750000000000004</v>
      </c>
      <c r="I57" s="118">
        <f>ROUND((C35*$D$50+D35)/10,3)</f>
        <v>4.468</v>
      </c>
      <c r="J57" s="118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spans="2:22" x14ac:dyDescent="0.2">
      <c r="B58" s="104" t="s">
        <v>272</v>
      </c>
      <c r="C58" s="118"/>
      <c r="D58" s="118"/>
      <c r="E58" s="118">
        <f>ROUND(E15*$D$50/10,3)</f>
        <v>11.372999999999999</v>
      </c>
      <c r="F58" s="118"/>
      <c r="G58" s="118"/>
      <c r="H58" s="118"/>
      <c r="I58" s="118"/>
      <c r="J58" s="118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</row>
    <row r="59" spans="2:22" x14ac:dyDescent="0.2">
      <c r="B59" s="104" t="s">
        <v>273</v>
      </c>
      <c r="C59" s="118"/>
      <c r="D59" s="118"/>
      <c r="E59" s="118">
        <f>ROUND(E16*$D$50/10,3)</f>
        <v>3.6819999999999999</v>
      </c>
      <c r="F59" s="118"/>
      <c r="G59" s="118"/>
      <c r="H59" s="118"/>
      <c r="I59" s="118"/>
      <c r="J59" s="118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</row>
    <row r="60" spans="2:22" x14ac:dyDescent="0.2">
      <c r="B60" s="102" t="s">
        <v>41</v>
      </c>
      <c r="C60" s="140">
        <f>ROUND(($D$50*C14+C19)/10,3)</f>
        <v>5.8109999999999999</v>
      </c>
      <c r="D60" s="118">
        <f>ROUND(($D$50*D14+D19)/10,3)</f>
        <v>5.9139999999999997</v>
      </c>
      <c r="E60" s="118"/>
      <c r="F60" s="118"/>
      <c r="G60" s="118"/>
      <c r="H60" s="118"/>
      <c r="I60" s="118"/>
      <c r="J60" s="118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</row>
    <row r="61" spans="2:22" x14ac:dyDescent="0.2">
      <c r="B61" s="104" t="s">
        <v>42</v>
      </c>
      <c r="C61" s="118">
        <f>ROUND(($D$50*C14+C20)/10,3)</f>
        <v>8.2360000000000007</v>
      </c>
      <c r="D61" s="118">
        <f>ROUND(($D$50*D14+D20)/10,3)</f>
        <v>7.617</v>
      </c>
      <c r="E61" s="118"/>
      <c r="F61" s="118"/>
      <c r="G61" s="118"/>
      <c r="H61" s="118"/>
      <c r="I61" s="118"/>
      <c r="J61" s="118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</row>
    <row r="62" spans="2:22" x14ac:dyDescent="0.2">
      <c r="B62" s="118"/>
      <c r="C62" s="118"/>
      <c r="D62" s="118"/>
      <c r="E62" s="118"/>
      <c r="F62" s="118"/>
      <c r="G62" s="118"/>
      <c r="H62" s="118"/>
      <c r="I62" s="118"/>
      <c r="J62" s="118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</row>
    <row r="63" spans="2:22" x14ac:dyDescent="0.2">
      <c r="B63" s="97"/>
      <c r="C63" s="118"/>
      <c r="D63" s="118"/>
      <c r="E63" s="118"/>
      <c r="F63" s="118"/>
      <c r="G63" s="118"/>
      <c r="H63" s="118"/>
      <c r="I63" s="118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</row>
    <row r="64" spans="2:22" x14ac:dyDescent="0.2">
      <c r="B64" s="102" t="s">
        <v>274</v>
      </c>
      <c r="C64" s="118"/>
      <c r="D64" s="118"/>
      <c r="E64" s="118"/>
      <c r="F64" s="118"/>
      <c r="G64" s="118"/>
      <c r="H64" s="118"/>
      <c r="I64" s="118">
        <f>'BGS Cost &amp; Bid Factors'!H213</f>
        <v>1.7</v>
      </c>
      <c r="J64" s="189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</row>
    <row r="65" spans="1:22" x14ac:dyDescent="0.2">
      <c r="B65" s="102" t="s">
        <v>360</v>
      </c>
      <c r="C65" s="118"/>
      <c r="D65" s="118"/>
      <c r="E65" s="118"/>
      <c r="F65" s="118"/>
      <c r="G65" s="118"/>
      <c r="H65" s="118"/>
      <c r="I65" s="118">
        <f>'BGS Cost &amp; Bid Factors'!I213</f>
        <v>5.8769999999999998</v>
      </c>
      <c r="J65" s="189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</row>
    <row r="66" spans="1:22" x14ac:dyDescent="0.2">
      <c r="B66" s="97"/>
      <c r="C66" s="118"/>
      <c r="D66" s="118"/>
      <c r="E66" s="118"/>
      <c r="F66" s="118"/>
      <c r="G66" s="118"/>
      <c r="H66" s="118"/>
      <c r="I66" s="118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</row>
    <row r="67" spans="1:22" x14ac:dyDescent="0.2">
      <c r="B67" s="35" t="s">
        <v>62</v>
      </c>
      <c r="C67" s="118"/>
      <c r="D67" s="118"/>
      <c r="E67" s="118"/>
      <c r="F67" s="118"/>
      <c r="G67" s="118"/>
      <c r="H67" s="118"/>
      <c r="I67" s="118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</row>
    <row r="68" spans="1:22" x14ac:dyDescent="0.2">
      <c r="B68" s="104" t="s">
        <v>271</v>
      </c>
      <c r="C68" s="118">
        <f>ROUND(C23*$D$50/10,3)</f>
        <v>8.593</v>
      </c>
      <c r="D68" s="118">
        <f>ROUND(D23*$D$50/10,3)</f>
        <v>6.9509999999999996</v>
      </c>
      <c r="E68" s="118"/>
      <c r="F68" s="118">
        <f>ROUND(F23*$D$50/10,3)</f>
        <v>6.1959999999999997</v>
      </c>
      <c r="G68" s="118">
        <f>ROUND(G23*$D$50/10,3)</f>
        <v>4.8689999999999998</v>
      </c>
      <c r="H68" s="118">
        <f>ROUND(H23*$D$50/10,3)</f>
        <v>4.7990000000000004</v>
      </c>
      <c r="I68" s="118">
        <f>ROUND((C39*$D$50+D39)/10,3)</f>
        <v>4.9749999999999996</v>
      </c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</row>
    <row r="69" spans="1:22" x14ac:dyDescent="0.2">
      <c r="B69" s="104" t="s">
        <v>272</v>
      </c>
      <c r="C69" s="118"/>
      <c r="D69" s="118"/>
      <c r="E69" s="118">
        <f>ROUND(E24*$D$50/10,3)</f>
        <v>11.282</v>
      </c>
      <c r="F69" s="118"/>
      <c r="G69" s="118"/>
      <c r="H69" s="118"/>
      <c r="I69" s="118"/>
      <c r="J69" s="118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</row>
    <row r="70" spans="1:22" x14ac:dyDescent="0.2">
      <c r="B70" s="104" t="s">
        <v>273</v>
      </c>
      <c r="C70" s="118"/>
      <c r="D70" s="118"/>
      <c r="E70" s="118">
        <f>ROUND(E25*$D$50/10,3)</f>
        <v>4.4989999999999997</v>
      </c>
      <c r="F70" s="118"/>
      <c r="G70" s="118"/>
      <c r="H70" s="118"/>
      <c r="I70" s="118"/>
      <c r="J70" s="118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</row>
    <row r="71" spans="1:22" x14ac:dyDescent="0.2">
      <c r="B71" s="97"/>
      <c r="C71" s="118"/>
      <c r="D71" s="118"/>
      <c r="E71" s="118"/>
      <c r="F71" s="118"/>
      <c r="G71" s="118"/>
      <c r="H71" s="118"/>
      <c r="I71" s="118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</row>
    <row r="72" spans="1:22" x14ac:dyDescent="0.2">
      <c r="B72" s="102" t="s">
        <v>274</v>
      </c>
      <c r="C72" s="118"/>
      <c r="D72" s="118"/>
      <c r="E72" s="118"/>
      <c r="F72" s="118"/>
      <c r="G72" s="118"/>
      <c r="H72" s="118"/>
      <c r="I72" s="118">
        <f>'BGS Cost &amp; Bid Factors'!H214</f>
        <v>1.554</v>
      </c>
      <c r="J72" s="189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</row>
    <row r="73" spans="1:22" x14ac:dyDescent="0.2">
      <c r="B73" s="102" t="s">
        <v>275</v>
      </c>
      <c r="C73" s="118"/>
      <c r="D73" s="118"/>
      <c r="E73" s="118"/>
      <c r="F73" s="118"/>
      <c r="G73" s="118"/>
      <c r="H73" s="118"/>
      <c r="I73" s="118">
        <f>'BGS Cost &amp; Bid Factors'!I214</f>
        <v>5.4740000000000002</v>
      </c>
      <c r="J73" s="189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</row>
    <row r="74" spans="1:22" x14ac:dyDescent="0.2">
      <c r="B74" s="102"/>
      <c r="C74" s="118"/>
      <c r="D74" s="118"/>
      <c r="E74" s="118"/>
      <c r="F74" s="118"/>
      <c r="G74" s="118"/>
      <c r="H74" s="118"/>
      <c r="I74" s="118"/>
      <c r="J74" s="189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</row>
    <row r="75" spans="1:22" x14ac:dyDescent="0.2">
      <c r="B75" s="102"/>
      <c r="C75" s="97"/>
      <c r="D75" s="97"/>
      <c r="E75" s="97"/>
      <c r="F75" s="97"/>
      <c r="G75" s="97"/>
      <c r="H75" s="97"/>
      <c r="I75" s="189"/>
      <c r="J75" s="189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</row>
    <row r="76" spans="1:22" x14ac:dyDescent="0.2">
      <c r="A76" s="29" t="s">
        <v>361</v>
      </c>
      <c r="B76" s="25" t="s">
        <v>362</v>
      </c>
      <c r="C76" s="97"/>
      <c r="D76" s="97"/>
      <c r="E76" s="97"/>
      <c r="F76" s="97"/>
      <c r="G76" s="97"/>
      <c r="H76" s="97"/>
      <c r="I76" s="189"/>
      <c r="J76" s="189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</row>
    <row r="77" spans="1:22" ht="13.5" thickBot="1" x14ac:dyDescent="0.25">
      <c r="B77" s="102"/>
      <c r="C77" s="97"/>
      <c r="D77" s="97"/>
      <c r="E77" s="97"/>
      <c r="F77" s="97"/>
      <c r="G77" s="97"/>
      <c r="H77" s="97"/>
      <c r="I77" s="189"/>
      <c r="J77" s="189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</row>
    <row r="78" spans="1:22" x14ac:dyDescent="0.2">
      <c r="B78" s="97"/>
      <c r="C78" s="30" t="str">
        <f>'BGS Cost &amp; Bid Factors'!C$6</f>
        <v>SC1</v>
      </c>
      <c r="D78" s="30" t="str">
        <f>'BGS Cost &amp; Bid Factors'!D$6</f>
        <v>SC5</v>
      </c>
      <c r="E78" s="30" t="str">
        <f>'BGS Cost &amp; Bid Factors'!E$6</f>
        <v>SC3</v>
      </c>
      <c r="F78" s="30" t="str">
        <f>'BGS Cost &amp; Bid Factors'!F$6</f>
        <v>SC2 ND</v>
      </c>
      <c r="G78" s="30" t="str">
        <f>'BGS Cost &amp; Bid Factors'!G$6</f>
        <v>SC4</v>
      </c>
      <c r="H78" s="30" t="str">
        <f>'BGS Cost &amp; Bid Factors'!H$6</f>
        <v>SC6</v>
      </c>
      <c r="I78" s="30" t="str">
        <f>'BGS Cost &amp; Bid Factors'!I$6</f>
        <v>SC2 Dem</v>
      </c>
      <c r="J78" s="189"/>
      <c r="K78" s="215" t="s">
        <v>157</v>
      </c>
      <c r="L78" s="216"/>
      <c r="M78" s="97"/>
      <c r="N78" s="97"/>
      <c r="O78" s="97"/>
      <c r="P78" s="97"/>
      <c r="Q78" s="97"/>
      <c r="R78" s="97"/>
      <c r="S78" s="97"/>
      <c r="T78" s="97"/>
      <c r="U78" s="97"/>
      <c r="V78" s="97"/>
    </row>
    <row r="79" spans="1:22" x14ac:dyDescent="0.2">
      <c r="B79" s="113" t="s">
        <v>292</v>
      </c>
      <c r="C79" s="97"/>
      <c r="D79" s="97"/>
      <c r="E79" s="97"/>
      <c r="F79" s="97"/>
      <c r="G79" s="97"/>
      <c r="H79" s="97"/>
      <c r="I79" s="97"/>
      <c r="J79" s="189"/>
      <c r="K79" s="217"/>
      <c r="L79" s="218" t="s">
        <v>160</v>
      </c>
      <c r="M79" s="97"/>
      <c r="N79" s="97"/>
      <c r="O79" s="97"/>
      <c r="P79" s="97"/>
      <c r="Q79" s="97"/>
      <c r="R79" s="97"/>
      <c r="S79" s="97"/>
      <c r="T79" s="97"/>
      <c r="U79" s="97"/>
      <c r="V79" s="97"/>
    </row>
    <row r="80" spans="1:22" x14ac:dyDescent="0.2">
      <c r="B80" s="182" t="s">
        <v>69</v>
      </c>
      <c r="C80" s="26">
        <f>ROUND((C57*'BGS Cost &amp; Bid Factors'!M$48)/100,0)</f>
        <v>20079</v>
      </c>
      <c r="D80" s="26">
        <f>ROUND((D57*'BGS Cost &amp; Bid Factors'!N$48)/100,0)</f>
        <v>316</v>
      </c>
      <c r="E80" s="108">
        <f>ROUND((E58*'BGS Cost &amp; Bid Factors'!O$49+E59*'BGS Cost &amp; Bid Factors'!O$50)/100,0)</f>
        <v>6</v>
      </c>
      <c r="F80" s="26">
        <f>ROUND((F57*'BGS Cost &amp; Bid Factors'!P$48)/100,0)</f>
        <v>439</v>
      </c>
      <c r="G80" s="26">
        <f>ROUND((G57*'BGS Cost &amp; Bid Factors'!Q$48)/100,0)</f>
        <v>59</v>
      </c>
      <c r="H80" s="26">
        <f>ROUND((H57*'BGS Cost &amp; Bid Factors'!R$48)/100,0)</f>
        <v>66</v>
      </c>
      <c r="I80" s="108">
        <f>ROUND(I57*'BGS Cost &amp; Bid Factors'!S$48/100+(I64*($L$80/4*'BGS Cost &amp; Bid Factors'!H$144)+I65*($L$80/4*'BGS Cost &amp; Bid Factors'!H$144))/1000,0)</f>
        <v>8685</v>
      </c>
      <c r="J80" s="189"/>
      <c r="K80" s="217" t="s">
        <v>69</v>
      </c>
      <c r="L80" s="219">
        <v>363838.33671143744</v>
      </c>
      <c r="M80" s="97"/>
      <c r="N80" s="97"/>
      <c r="O80" s="97"/>
      <c r="P80" s="97"/>
      <c r="Q80" s="97"/>
      <c r="R80" s="97"/>
      <c r="S80" s="97"/>
      <c r="T80" s="97"/>
      <c r="U80" s="97"/>
      <c r="V80" s="97"/>
    </row>
    <row r="81" spans="1:22" ht="13.5" thickBot="1" x14ac:dyDescent="0.25">
      <c r="B81" s="182" t="s">
        <v>62</v>
      </c>
      <c r="C81" s="36">
        <f>ROUND(C68*'BGS Cost &amp; Bid Factors'!M$44/100,0)</f>
        <v>31791</v>
      </c>
      <c r="D81" s="36">
        <f>ROUND(D68*'BGS Cost &amp; Bid Factors'!N$44/100,0)</f>
        <v>646</v>
      </c>
      <c r="E81" s="264">
        <f>ROUND((E69*'BGS Cost &amp; Bid Factors'!O$45+E70*'BGS Cost &amp; Bid Factors'!O$46)/100,0)</f>
        <v>12</v>
      </c>
      <c r="F81" s="36">
        <f>ROUND(F68*'BGS Cost &amp; Bid Factors'!P$44/100,0)</f>
        <v>1018</v>
      </c>
      <c r="G81" s="36">
        <f>ROUND(G68*'BGS Cost &amp; Bid Factors'!Q$44/100,0)</f>
        <v>171</v>
      </c>
      <c r="H81" s="36">
        <f>ROUND(H68*'BGS Cost &amp; Bid Factors'!R$44/100,0)</f>
        <v>173</v>
      </c>
      <c r="I81" s="264">
        <f>ROUND(I68*'BGS Cost &amp; Bid Factors'!S$44/100+(I72*($L$81/8*'BGS Cost &amp; Bid Factors'!H$145)++I73*($L$81/8*'BGS Cost &amp; Bid Factors'!H$145))/1000,0)</f>
        <v>16286</v>
      </c>
      <c r="J81" s="189"/>
      <c r="K81" s="220" t="s">
        <v>62</v>
      </c>
      <c r="L81" s="221">
        <v>668643.95476709632</v>
      </c>
      <c r="M81" s="97"/>
      <c r="N81" s="97"/>
      <c r="O81" s="97"/>
      <c r="P81" s="97"/>
      <c r="Q81" s="97"/>
      <c r="R81" s="97"/>
      <c r="S81" s="97"/>
      <c r="T81" s="97"/>
      <c r="U81" s="97"/>
      <c r="V81" s="97"/>
    </row>
    <row r="82" spans="1:22" x14ac:dyDescent="0.2">
      <c r="B82" s="182" t="s">
        <v>36</v>
      </c>
      <c r="C82" s="124">
        <f t="shared" ref="C82:I82" si="0">+C81+C80</f>
        <v>51870</v>
      </c>
      <c r="D82" s="124">
        <f t="shared" si="0"/>
        <v>962</v>
      </c>
      <c r="E82" s="124">
        <f t="shared" si="0"/>
        <v>18</v>
      </c>
      <c r="F82" s="124">
        <f t="shared" si="0"/>
        <v>1457</v>
      </c>
      <c r="G82" s="124">
        <f t="shared" si="0"/>
        <v>230</v>
      </c>
      <c r="H82" s="124">
        <f t="shared" si="0"/>
        <v>239</v>
      </c>
      <c r="I82" s="124">
        <f t="shared" si="0"/>
        <v>24971</v>
      </c>
      <c r="J82" s="189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</row>
    <row r="83" spans="1:22" x14ac:dyDescent="0.2">
      <c r="B83" s="182"/>
      <c r="C83" s="124"/>
      <c r="D83" s="124"/>
      <c r="E83" s="124"/>
      <c r="F83" s="124"/>
      <c r="G83" s="124"/>
      <c r="H83" s="124"/>
      <c r="I83" s="124"/>
      <c r="J83" s="189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</row>
    <row r="84" spans="1:22" x14ac:dyDescent="0.2">
      <c r="B84" s="182" t="s">
        <v>36</v>
      </c>
      <c r="C84" s="124"/>
      <c r="D84" s="124"/>
      <c r="E84" s="124"/>
      <c r="F84" s="124"/>
      <c r="G84" s="124"/>
      <c r="H84" s="124"/>
      <c r="I84" s="124"/>
      <c r="J84" s="189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</row>
    <row r="85" spans="1:22" x14ac:dyDescent="0.2">
      <c r="B85" s="182" t="s">
        <v>69</v>
      </c>
      <c r="C85" s="124">
        <f>SUM(C80:I80)</f>
        <v>29650</v>
      </c>
      <c r="D85" s="124"/>
      <c r="E85" s="124"/>
      <c r="F85" s="124"/>
      <c r="G85" s="97"/>
      <c r="H85" s="124"/>
      <c r="I85" s="124"/>
      <c r="J85" s="189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</row>
    <row r="86" spans="1:22" x14ac:dyDescent="0.2">
      <c r="B86" s="182" t="s">
        <v>62</v>
      </c>
      <c r="C86" s="37">
        <f>SUM(C81:I81)</f>
        <v>50097</v>
      </c>
      <c r="D86" s="97"/>
      <c r="E86" s="131"/>
      <c r="F86" s="97"/>
      <c r="G86" s="97"/>
      <c r="H86" s="97"/>
      <c r="I86" s="97"/>
      <c r="J86" s="189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</row>
    <row r="87" spans="1:22" x14ac:dyDescent="0.2">
      <c r="B87" s="182" t="s">
        <v>36</v>
      </c>
      <c r="C87" s="124">
        <f>+C86+C85</f>
        <v>79747</v>
      </c>
      <c r="D87" s="97"/>
      <c r="E87" s="131"/>
      <c r="F87" s="97"/>
      <c r="G87" s="97"/>
      <c r="H87" s="97"/>
      <c r="I87" s="97"/>
      <c r="J87" s="189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</row>
    <row r="88" spans="1:22" x14ac:dyDescent="0.2">
      <c r="B88" s="182"/>
      <c r="C88" s="124"/>
      <c r="D88" s="97"/>
      <c r="E88" s="131"/>
      <c r="F88" s="97"/>
      <c r="G88" s="97"/>
      <c r="H88" s="97"/>
      <c r="I88" s="97"/>
      <c r="J88" s="189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</row>
    <row r="89" spans="1:22" x14ac:dyDescent="0.2">
      <c r="B89" s="97"/>
      <c r="C89" s="131"/>
      <c r="D89" s="131"/>
      <c r="E89" s="131"/>
      <c r="F89" s="131"/>
      <c r="G89" s="131"/>
      <c r="H89" s="131"/>
      <c r="I89" s="131"/>
      <c r="J89" s="189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</row>
    <row r="90" spans="1:22" x14ac:dyDescent="0.2">
      <c r="B90" s="35" t="s">
        <v>363</v>
      </c>
      <c r="C90" s="131"/>
      <c r="D90" s="131"/>
      <c r="E90" s="131"/>
      <c r="F90" s="131"/>
      <c r="G90" s="131"/>
      <c r="H90" s="131"/>
      <c r="I90" s="131"/>
      <c r="J90" s="189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</row>
    <row r="91" spans="1:22" x14ac:dyDescent="0.2">
      <c r="A91" s="54"/>
      <c r="B91" s="97"/>
      <c r="C91" s="131"/>
      <c r="D91" s="131"/>
      <c r="E91" s="131"/>
      <c r="F91" s="131"/>
      <c r="G91" s="131"/>
      <c r="H91" s="131"/>
      <c r="I91" s="131"/>
      <c r="J91" s="189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</row>
    <row r="92" spans="1:22" ht="15" x14ac:dyDescent="0.35">
      <c r="A92" s="54"/>
      <c r="B92" s="97" t="s">
        <v>364</v>
      </c>
      <c r="C92" s="56" t="s">
        <v>36</v>
      </c>
      <c r="D92" s="56" t="s">
        <v>344</v>
      </c>
      <c r="E92" s="56" t="s">
        <v>365</v>
      </c>
      <c r="F92" s="131"/>
      <c r="G92" s="131"/>
      <c r="H92" s="131"/>
      <c r="I92" s="131"/>
      <c r="J92" s="189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</row>
    <row r="93" spans="1:22" x14ac:dyDescent="0.2">
      <c r="A93" s="54"/>
      <c r="B93" s="182" t="s">
        <v>69</v>
      </c>
      <c r="C93" s="124">
        <f>'Weighted Avg Price Calc'!G$29/1000</f>
        <v>33365.224999999999</v>
      </c>
      <c r="D93" s="130">
        <f>ROUND('BGS Cost &amp; Bid Factors'!$C$147*SUM('BGS Cost &amp; Bid Factors'!$C$141:$I$141)/12*'BGS Cost &amp; Bid Factors'!H$144/1000*'BGS Cost &amp; Bid Factors'!E447,0)</f>
        <v>5125</v>
      </c>
      <c r="E93" s="124">
        <f>C93-D93</f>
        <v>28240.224999999999</v>
      </c>
      <c r="F93" s="131"/>
      <c r="G93" s="131"/>
      <c r="H93" s="131"/>
      <c r="I93" s="131"/>
      <c r="J93" s="189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</row>
    <row r="94" spans="1:22" ht="15" x14ac:dyDescent="0.35">
      <c r="A94" s="54"/>
      <c r="B94" s="182" t="s">
        <v>62</v>
      </c>
      <c r="C94" s="57">
        <f>'Weighted Avg Price Calc'!G$30/1000</f>
        <v>49697.07</v>
      </c>
      <c r="D94" s="57">
        <f>ROUND('BGS Cost &amp; Bid Factors'!$C$147*SUM('BGS Cost &amp; Bid Factors'!$C$141:$I$141)/12*'BGS Cost &amp; Bid Factors'!H$145/1000*'BGS Cost &amp; Bid Factors'!F459,0)</f>
        <v>10249</v>
      </c>
      <c r="E94" s="57">
        <f>C94-D94</f>
        <v>39448.07</v>
      </c>
      <c r="F94" s="131"/>
      <c r="G94" s="131"/>
      <c r="H94" s="131"/>
      <c r="I94" s="131"/>
      <c r="J94" s="189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</row>
    <row r="95" spans="1:22" x14ac:dyDescent="0.2">
      <c r="A95" s="54"/>
      <c r="B95" s="182" t="s">
        <v>36</v>
      </c>
      <c r="C95" s="124">
        <f>+C94+C93</f>
        <v>83062.294999999998</v>
      </c>
      <c r="D95" s="124">
        <f>D93+D94</f>
        <v>15374</v>
      </c>
      <c r="E95" s="124">
        <f>E93+E94</f>
        <v>67688.294999999998</v>
      </c>
      <c r="F95" s="131"/>
      <c r="G95" s="131"/>
      <c r="H95" s="131"/>
      <c r="I95" s="131"/>
      <c r="J95" s="189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</row>
    <row r="96" spans="1:22" x14ac:dyDescent="0.2">
      <c r="A96" s="54"/>
      <c r="B96" s="97"/>
      <c r="C96" s="131"/>
      <c r="D96" s="131"/>
      <c r="E96" s="131"/>
      <c r="F96" s="131"/>
      <c r="G96" s="131"/>
      <c r="H96" s="131"/>
      <c r="I96" s="131"/>
      <c r="J96" s="189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</row>
    <row r="97" spans="1:22" ht="15" x14ac:dyDescent="0.35">
      <c r="A97" s="54"/>
      <c r="B97" s="97" t="s">
        <v>366</v>
      </c>
      <c r="C97" s="56" t="s">
        <v>36</v>
      </c>
      <c r="D97" s="56" t="s">
        <v>344</v>
      </c>
      <c r="E97" s="56" t="s">
        <v>365</v>
      </c>
      <c r="F97" s="131"/>
      <c r="G97" s="131"/>
      <c r="H97" s="131"/>
      <c r="I97" s="131"/>
      <c r="J97" s="189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</row>
    <row r="98" spans="1:22" x14ac:dyDescent="0.2">
      <c r="A98" s="54"/>
      <c r="B98" s="182" t="s">
        <v>69</v>
      </c>
      <c r="C98" s="124">
        <f>ROUND($E$251*1000*'Weighted Avg Price Calc'!E42/100/1000,0)</f>
        <v>4435</v>
      </c>
      <c r="D98" s="124">
        <v>0</v>
      </c>
      <c r="E98" s="124">
        <f>C98-D98</f>
        <v>4435</v>
      </c>
      <c r="F98" s="131"/>
      <c r="G98" s="131"/>
      <c r="H98" s="131"/>
      <c r="I98" s="131"/>
      <c r="J98" s="189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</row>
    <row r="99" spans="1:22" ht="15" x14ac:dyDescent="0.35">
      <c r="A99" s="54"/>
      <c r="B99" s="182" t="s">
        <v>62</v>
      </c>
      <c r="C99" s="57">
        <f>ROUND($E$252*1000*'Weighted Avg Price Calc'!E42/100/1000,0)</f>
        <v>6543</v>
      </c>
      <c r="D99" s="57">
        <v>0</v>
      </c>
      <c r="E99" s="57">
        <f>C99-D99</f>
        <v>6543</v>
      </c>
      <c r="F99" s="131"/>
      <c r="G99" s="131"/>
      <c r="H99" s="131"/>
      <c r="I99" s="131"/>
      <c r="J99" s="189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</row>
    <row r="100" spans="1:22" x14ac:dyDescent="0.2">
      <c r="A100" s="54"/>
      <c r="B100" s="182" t="s">
        <v>36</v>
      </c>
      <c r="C100" s="124">
        <f>+C99+C98</f>
        <v>10978</v>
      </c>
      <c r="D100" s="124">
        <f>D98+D99</f>
        <v>0</v>
      </c>
      <c r="E100" s="124">
        <f>E98+E99</f>
        <v>10978</v>
      </c>
      <c r="F100" s="131"/>
      <c r="G100" s="131"/>
      <c r="H100" s="131"/>
      <c r="I100" s="131"/>
      <c r="J100" s="189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</row>
    <row r="101" spans="1:22" x14ac:dyDescent="0.2">
      <c r="A101" s="54"/>
      <c r="B101" s="97"/>
      <c r="C101" s="131"/>
      <c r="D101" s="131"/>
      <c r="E101" s="131"/>
      <c r="F101" s="131"/>
      <c r="G101" s="131"/>
      <c r="H101" s="131"/>
      <c r="I101" s="131"/>
      <c r="J101" s="189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</row>
    <row r="102" spans="1:22" ht="15" x14ac:dyDescent="0.35">
      <c r="B102" s="97" t="s">
        <v>367</v>
      </c>
      <c r="C102" s="56" t="s">
        <v>36</v>
      </c>
      <c r="D102" s="56" t="s">
        <v>344</v>
      </c>
      <c r="E102" s="56" t="s">
        <v>365</v>
      </c>
      <c r="F102" s="131"/>
      <c r="G102" s="131"/>
      <c r="H102" s="131"/>
      <c r="I102" s="131"/>
      <c r="J102" s="189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</row>
    <row r="103" spans="1:22" x14ac:dyDescent="0.2">
      <c r="B103" s="182" t="s">
        <v>69</v>
      </c>
      <c r="C103" s="124">
        <f>C93+C98</f>
        <v>37800.224999999999</v>
      </c>
      <c r="D103" s="124">
        <f>D93+D98</f>
        <v>5125</v>
      </c>
      <c r="E103" s="124">
        <f>C103-D103</f>
        <v>32675.224999999999</v>
      </c>
      <c r="F103" s="97"/>
      <c r="G103" s="97"/>
      <c r="H103" s="97"/>
      <c r="I103" s="97"/>
      <c r="J103" s="189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</row>
    <row r="104" spans="1:22" ht="15" x14ac:dyDescent="0.35">
      <c r="B104" s="182" t="s">
        <v>62</v>
      </c>
      <c r="C104" s="57">
        <f>C94+C99</f>
        <v>56240.07</v>
      </c>
      <c r="D104" s="57">
        <f>D94+D99</f>
        <v>10249</v>
      </c>
      <c r="E104" s="57">
        <f>C104-D104</f>
        <v>45991.07</v>
      </c>
      <c r="F104" s="97"/>
      <c r="G104" s="97"/>
      <c r="H104" s="97"/>
      <c r="I104" s="97"/>
      <c r="J104" s="189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</row>
    <row r="105" spans="1:22" x14ac:dyDescent="0.2">
      <c r="B105" s="182" t="s">
        <v>36</v>
      </c>
      <c r="C105" s="124">
        <f>+C104+C103</f>
        <v>94040.294999999998</v>
      </c>
      <c r="D105" s="124">
        <f>+D104+D103</f>
        <v>15374</v>
      </c>
      <c r="E105" s="124">
        <f>E103+E104</f>
        <v>78666.294999999998</v>
      </c>
      <c r="F105" s="97"/>
      <c r="G105" s="97"/>
      <c r="H105" s="97"/>
      <c r="I105" s="97"/>
      <c r="J105" s="189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</row>
    <row r="106" spans="1:22" x14ac:dyDescent="0.2">
      <c r="B106" s="97"/>
      <c r="C106" s="131"/>
      <c r="D106" s="39"/>
      <c r="E106" s="131"/>
      <c r="F106" s="261"/>
      <c r="G106" s="102" t="s">
        <v>368</v>
      </c>
      <c r="H106" s="97"/>
      <c r="I106" s="97"/>
      <c r="J106" s="189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</row>
    <row r="107" spans="1:22" x14ac:dyDescent="0.2">
      <c r="B107" s="97" t="s">
        <v>112</v>
      </c>
      <c r="C107" s="102" t="s">
        <v>338</v>
      </c>
      <c r="D107" s="102" t="s">
        <v>338</v>
      </c>
      <c r="E107" s="102"/>
      <c r="F107" s="97"/>
      <c r="G107" s="102" t="s">
        <v>369</v>
      </c>
      <c r="H107" s="97"/>
      <c r="I107" s="97"/>
      <c r="J107" s="189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</row>
    <row r="108" spans="1:22" x14ac:dyDescent="0.2">
      <c r="B108" s="102"/>
      <c r="C108" s="246" t="s">
        <v>370</v>
      </c>
      <c r="D108" s="246" t="s">
        <v>371</v>
      </c>
      <c r="E108" s="246" t="s">
        <v>372</v>
      </c>
      <c r="F108" s="97"/>
      <c r="G108" s="246" t="s">
        <v>373</v>
      </c>
      <c r="H108" s="97"/>
      <c r="I108" s="189"/>
      <c r="J108" s="189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</row>
    <row r="109" spans="1:22" x14ac:dyDescent="0.2">
      <c r="B109" s="182" t="s">
        <v>69</v>
      </c>
      <c r="C109" s="124">
        <f>C85</f>
        <v>29650</v>
      </c>
      <c r="D109" s="124">
        <f>E103</f>
        <v>32675.224999999999</v>
      </c>
      <c r="E109" s="124">
        <f>D109-C109</f>
        <v>3025.2249999999985</v>
      </c>
      <c r="F109" s="97"/>
      <c r="G109" s="20">
        <f>ROUND(1+E109/C85,5)</f>
        <v>1.1020300000000001</v>
      </c>
      <c r="H109" s="97"/>
      <c r="I109" s="189"/>
      <c r="J109" s="189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</row>
    <row r="110" spans="1:22" x14ac:dyDescent="0.2">
      <c r="B110" s="182" t="s">
        <v>62</v>
      </c>
      <c r="C110" s="37">
        <f>C86</f>
        <v>50097</v>
      </c>
      <c r="D110" s="37">
        <f>E104</f>
        <v>45991.07</v>
      </c>
      <c r="E110" s="37">
        <f>D110-C110</f>
        <v>-4105.93</v>
      </c>
      <c r="F110" s="97"/>
      <c r="G110" s="20">
        <f>ROUND(1+E110/C86,5)</f>
        <v>0.91803999999999997</v>
      </c>
      <c r="H110" s="97"/>
      <c r="I110" s="189"/>
      <c r="J110" s="189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</row>
    <row r="111" spans="1:22" x14ac:dyDescent="0.2">
      <c r="B111" s="182" t="s">
        <v>36</v>
      </c>
      <c r="C111" s="124">
        <f>+C110+C109</f>
        <v>79747</v>
      </c>
      <c r="D111" s="124">
        <f>+D110+D109</f>
        <v>78666.294999999998</v>
      </c>
      <c r="E111" s="124">
        <f>+E110+E109</f>
        <v>-1080.7050000000017</v>
      </c>
      <c r="F111" s="97"/>
      <c r="G111" s="97"/>
      <c r="H111" s="97"/>
      <c r="I111" s="189"/>
      <c r="J111" s="189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</row>
    <row r="112" spans="1:22" x14ac:dyDescent="0.2">
      <c r="B112" s="102"/>
      <c r="C112" s="97"/>
      <c r="D112" s="97"/>
      <c r="E112" s="97"/>
      <c r="F112" s="97"/>
      <c r="G112" s="97"/>
      <c r="H112" s="97"/>
      <c r="I112" s="189"/>
      <c r="J112" s="189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</row>
    <row r="113" spans="1:36" x14ac:dyDescent="0.2">
      <c r="A113" s="29" t="s">
        <v>374</v>
      </c>
      <c r="B113" s="25" t="s">
        <v>375</v>
      </c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</row>
    <row r="114" spans="1:36" x14ac:dyDescent="0.2">
      <c r="A114" s="29"/>
      <c r="B114" s="25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</row>
    <row r="115" spans="1:36" x14ac:dyDescent="0.2">
      <c r="A115" s="29"/>
      <c r="B115" s="25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</row>
    <row r="116" spans="1:36" x14ac:dyDescent="0.2">
      <c r="B116" s="285" t="s">
        <v>376</v>
      </c>
      <c r="C116" s="97"/>
      <c r="D116" s="97"/>
      <c r="E116" s="97"/>
      <c r="F116" s="97"/>
      <c r="G116" s="97"/>
      <c r="H116" s="97"/>
      <c r="I116" s="97"/>
      <c r="J116" s="97"/>
      <c r="K116" s="285" t="s">
        <v>377</v>
      </c>
      <c r="L116" s="97"/>
      <c r="M116" s="97"/>
      <c r="N116" s="97"/>
      <c r="O116" s="97"/>
      <c r="P116" s="97"/>
      <c r="Q116" s="97"/>
      <c r="R116" s="97"/>
      <c r="S116" s="97"/>
      <c r="T116" s="285" t="s">
        <v>372</v>
      </c>
      <c r="U116" s="97"/>
      <c r="V116" s="97"/>
      <c r="W116" s="58"/>
      <c r="X116" s="58"/>
      <c r="Y116" s="58"/>
      <c r="Z116" s="58"/>
      <c r="AA116" s="58"/>
      <c r="AB116" s="58"/>
      <c r="AC116" s="59" t="s">
        <v>372</v>
      </c>
      <c r="AD116" s="58"/>
      <c r="AE116" s="58"/>
      <c r="AF116" s="58"/>
      <c r="AG116" s="58"/>
      <c r="AH116" s="58"/>
      <c r="AI116" s="58"/>
      <c r="AJ116" s="58"/>
    </row>
    <row r="117" spans="1:36" x14ac:dyDescent="0.2">
      <c r="B117" s="20"/>
      <c r="C117" s="97"/>
      <c r="D117" s="97"/>
      <c r="E117" s="97"/>
      <c r="F117" s="97"/>
      <c r="G117" s="97"/>
      <c r="H117" s="97"/>
      <c r="I117" s="97"/>
      <c r="J117" s="97"/>
      <c r="K117" s="20"/>
      <c r="L117" s="97"/>
      <c r="M117" s="97"/>
      <c r="N117" s="97"/>
      <c r="O117" s="97"/>
      <c r="P117" s="97"/>
      <c r="Q117" s="97"/>
      <c r="R117" s="97"/>
      <c r="S117" s="97"/>
      <c r="T117" s="20"/>
      <c r="U117" s="97"/>
      <c r="V117" s="97"/>
      <c r="W117" s="58"/>
      <c r="X117" s="58"/>
      <c r="Y117" s="58"/>
      <c r="Z117" s="58"/>
      <c r="AA117" s="58"/>
      <c r="AB117" s="58"/>
      <c r="AC117" s="60"/>
      <c r="AD117" s="58"/>
      <c r="AE117" s="58"/>
      <c r="AF117" s="58"/>
      <c r="AG117" s="58"/>
      <c r="AH117" s="58"/>
      <c r="AI117" s="58"/>
      <c r="AJ117" s="58"/>
    </row>
    <row r="118" spans="1:36" x14ac:dyDescent="0.2">
      <c r="B118" s="97"/>
      <c r="C118" s="30" t="str">
        <f>'BGS Cost &amp; Bid Factors'!C$6</f>
        <v>SC1</v>
      </c>
      <c r="D118" s="30" t="str">
        <f>'BGS Cost &amp; Bid Factors'!D$6</f>
        <v>SC5</v>
      </c>
      <c r="E118" s="30" t="str">
        <f>'BGS Cost &amp; Bid Factors'!E$6</f>
        <v>SC3</v>
      </c>
      <c r="F118" s="30" t="str">
        <f>'BGS Cost &amp; Bid Factors'!F$6</f>
        <v>SC2 ND</v>
      </c>
      <c r="G118" s="30" t="str">
        <f>'BGS Cost &amp; Bid Factors'!G$6</f>
        <v>SC4</v>
      </c>
      <c r="H118" s="30" t="str">
        <f>'BGS Cost &amp; Bid Factors'!H$6</f>
        <v>SC6</v>
      </c>
      <c r="I118" s="30" t="str">
        <f>'BGS Cost &amp; Bid Factors'!I$6</f>
        <v>SC2 Dem</v>
      </c>
      <c r="J118" s="34"/>
      <c r="K118" s="97"/>
      <c r="L118" s="30" t="s">
        <v>7</v>
      </c>
      <c r="M118" s="30" t="s">
        <v>8</v>
      </c>
      <c r="N118" s="30" t="s">
        <v>9</v>
      </c>
      <c r="O118" s="30" t="s">
        <v>10</v>
      </c>
      <c r="P118" s="30" t="s">
        <v>11</v>
      </c>
      <c r="Q118" s="30" t="s">
        <v>12</v>
      </c>
      <c r="R118" s="30" t="s">
        <v>13</v>
      </c>
      <c r="S118" s="97"/>
      <c r="T118" s="97"/>
      <c r="U118" s="30" t="s">
        <v>7</v>
      </c>
      <c r="V118" s="30" t="s">
        <v>8</v>
      </c>
      <c r="W118" s="61" t="s">
        <v>9</v>
      </c>
      <c r="X118" s="61" t="s">
        <v>10</v>
      </c>
      <c r="Y118" s="61" t="s">
        <v>11</v>
      </c>
      <c r="Z118" s="61" t="s">
        <v>12</v>
      </c>
      <c r="AA118" s="61" t="s">
        <v>13</v>
      </c>
      <c r="AB118" s="58"/>
      <c r="AC118" s="58"/>
      <c r="AD118" s="61" t="s">
        <v>7</v>
      </c>
      <c r="AE118" s="61" t="s">
        <v>8</v>
      </c>
      <c r="AF118" s="61" t="s">
        <v>9</v>
      </c>
      <c r="AG118" s="61" t="s">
        <v>10</v>
      </c>
      <c r="AH118" s="61" t="s">
        <v>11</v>
      </c>
      <c r="AI118" s="61" t="s">
        <v>12</v>
      </c>
      <c r="AJ118" s="61" t="s">
        <v>13</v>
      </c>
    </row>
    <row r="119" spans="1:36" x14ac:dyDescent="0.2">
      <c r="B119" s="97"/>
      <c r="C119" s="34"/>
      <c r="D119" s="34"/>
      <c r="E119" s="34"/>
      <c r="F119" s="34"/>
      <c r="G119" s="34"/>
      <c r="H119" s="34"/>
      <c r="I119" s="34"/>
      <c r="J119" s="34"/>
      <c r="K119" s="97"/>
      <c r="L119" s="34"/>
      <c r="M119" s="34"/>
      <c r="N119" s="34"/>
      <c r="O119" s="34"/>
      <c r="P119" s="34"/>
      <c r="Q119" s="34"/>
      <c r="R119" s="34"/>
      <c r="S119" s="97"/>
      <c r="T119" s="97"/>
      <c r="U119" s="34"/>
      <c r="V119" s="34"/>
      <c r="W119" s="62"/>
      <c r="X119" s="62"/>
      <c r="Y119" s="62"/>
      <c r="Z119" s="62"/>
      <c r="AA119" s="62"/>
      <c r="AB119" s="58"/>
      <c r="AC119" s="58"/>
      <c r="AD119" s="62"/>
      <c r="AE119" s="62"/>
      <c r="AF119" s="62"/>
      <c r="AG119" s="62"/>
      <c r="AH119" s="62"/>
      <c r="AI119" s="62"/>
      <c r="AJ119" s="62"/>
    </row>
    <row r="120" spans="1:36" x14ac:dyDescent="0.2">
      <c r="B120" s="35" t="s">
        <v>69</v>
      </c>
      <c r="C120" s="97"/>
      <c r="D120" s="97"/>
      <c r="E120" s="97"/>
      <c r="F120" s="97"/>
      <c r="G120" s="97"/>
      <c r="H120" s="97"/>
      <c r="I120" s="97"/>
      <c r="J120" s="97"/>
      <c r="K120" s="35" t="s">
        <v>69</v>
      </c>
      <c r="L120" s="97"/>
      <c r="M120" s="97"/>
      <c r="N120" s="97"/>
      <c r="O120" s="97"/>
      <c r="P120" s="97"/>
      <c r="Q120" s="97"/>
      <c r="R120" s="97"/>
      <c r="S120" s="97"/>
      <c r="T120" s="35" t="s">
        <v>69</v>
      </c>
      <c r="U120" s="97"/>
      <c r="V120" s="97"/>
      <c r="W120" s="58"/>
      <c r="X120" s="58"/>
      <c r="Y120" s="58"/>
      <c r="Z120" s="58"/>
      <c r="AA120" s="58"/>
      <c r="AB120" s="58"/>
      <c r="AC120" s="63" t="s">
        <v>69</v>
      </c>
      <c r="AD120" s="58"/>
      <c r="AE120" s="58"/>
      <c r="AF120" s="58"/>
      <c r="AG120" s="58"/>
      <c r="AH120" s="58"/>
      <c r="AI120" s="58"/>
      <c r="AJ120" s="58"/>
    </row>
    <row r="121" spans="1:36" x14ac:dyDescent="0.2">
      <c r="B121" s="104" t="s">
        <v>271</v>
      </c>
      <c r="C121" s="278">
        <f>ROUND(C57*$G$109,3)</f>
        <v>7.9290000000000003</v>
      </c>
      <c r="D121" s="278">
        <f>ROUND(D57*$G$109,3)</f>
        <v>7.2370000000000001</v>
      </c>
      <c r="E121" s="286"/>
      <c r="F121" s="278">
        <f>ROUND(F57*$G$109,3)</f>
        <v>6.59</v>
      </c>
      <c r="G121" s="278">
        <f>ROUND(G57*$G$109,3)</f>
        <v>4.7110000000000003</v>
      </c>
      <c r="H121" s="278">
        <f>ROUND(H57*$G$109,3)</f>
        <v>4.7110000000000003</v>
      </c>
      <c r="I121" s="278">
        <f>ROUND(I57*$G$109,3)</f>
        <v>4.9240000000000004</v>
      </c>
      <c r="J121" s="118"/>
      <c r="K121" s="113" t="s">
        <v>271</v>
      </c>
      <c r="L121" s="278">
        <v>9.5500000000000007</v>
      </c>
      <c r="M121" s="278">
        <v>8.9689999999999994</v>
      </c>
      <c r="N121" s="286"/>
      <c r="O121" s="278">
        <v>9.7089999999999996</v>
      </c>
      <c r="P121" s="278">
        <v>5.8860000000000001</v>
      </c>
      <c r="Q121" s="278">
        <v>5.8860000000000001</v>
      </c>
      <c r="R121" s="278">
        <v>7.4980000000000002</v>
      </c>
      <c r="S121" s="97"/>
      <c r="T121" s="113" t="s">
        <v>271</v>
      </c>
      <c r="U121" s="278">
        <f>C121-L121</f>
        <v>-1.6210000000000004</v>
      </c>
      <c r="V121" s="278">
        <f>D121-M121</f>
        <v>-1.7319999999999993</v>
      </c>
      <c r="W121" s="66"/>
      <c r="X121" s="65">
        <f t="shared" ref="X121:AA121" si="1">F121-O121</f>
        <v>-3.1189999999999998</v>
      </c>
      <c r="Y121" s="65">
        <f t="shared" si="1"/>
        <v>-1.1749999999999998</v>
      </c>
      <c r="Z121" s="65">
        <f t="shared" si="1"/>
        <v>-1.1749999999999998</v>
      </c>
      <c r="AA121" s="65">
        <f t="shared" si="1"/>
        <v>-2.5739999999999998</v>
      </c>
      <c r="AB121" s="58"/>
      <c r="AC121" s="64" t="s">
        <v>271</v>
      </c>
      <c r="AD121" s="67">
        <f>U121/L121</f>
        <v>-0.16973821989528798</v>
      </c>
      <c r="AE121" s="67">
        <f>V121/M121</f>
        <v>-0.19310959973241157</v>
      </c>
      <c r="AF121" s="66"/>
      <c r="AG121" s="67">
        <f t="shared" ref="AG121:AJ121" si="2">X121/O121</f>
        <v>-0.32124832629519001</v>
      </c>
      <c r="AH121" s="67">
        <f t="shared" si="2"/>
        <v>-0.19962623173632343</v>
      </c>
      <c r="AI121" s="67">
        <f t="shared" si="2"/>
        <v>-0.19962623173632343</v>
      </c>
      <c r="AJ121" s="67">
        <f t="shared" si="2"/>
        <v>-0.34329154441184312</v>
      </c>
    </row>
    <row r="122" spans="1:36" x14ac:dyDescent="0.2">
      <c r="B122" s="104" t="s">
        <v>272</v>
      </c>
      <c r="C122" s="286"/>
      <c r="D122" s="286"/>
      <c r="E122" s="278">
        <f>ROUND(E58*$G$109,3)</f>
        <v>12.532999999999999</v>
      </c>
      <c r="F122" s="286"/>
      <c r="G122" s="286"/>
      <c r="H122" s="286"/>
      <c r="I122" s="286"/>
      <c r="J122" s="118"/>
      <c r="K122" s="113" t="s">
        <v>272</v>
      </c>
      <c r="L122" s="286"/>
      <c r="M122" s="286"/>
      <c r="N122" s="278">
        <v>14.58</v>
      </c>
      <c r="O122" s="286"/>
      <c r="P122" s="286"/>
      <c r="Q122" s="286"/>
      <c r="R122" s="286"/>
      <c r="S122" s="97"/>
      <c r="T122" s="113" t="s">
        <v>272</v>
      </c>
      <c r="U122" s="286"/>
      <c r="V122" s="286"/>
      <c r="W122" s="65">
        <f t="shared" ref="W122:W123" si="3">E122-N122</f>
        <v>-2.0470000000000006</v>
      </c>
      <c r="X122" s="66"/>
      <c r="Y122" s="66"/>
      <c r="Z122" s="66"/>
      <c r="AA122" s="66"/>
      <c r="AB122" s="58"/>
      <c r="AC122" s="64" t="s">
        <v>272</v>
      </c>
      <c r="AD122" s="66"/>
      <c r="AE122" s="66"/>
      <c r="AF122" s="67">
        <f>W122/N122</f>
        <v>-0.14039780521262007</v>
      </c>
      <c r="AG122" s="66"/>
      <c r="AH122" s="66"/>
      <c r="AI122" s="66"/>
      <c r="AJ122" s="66"/>
    </row>
    <row r="123" spans="1:36" x14ac:dyDescent="0.2">
      <c r="B123" s="104" t="s">
        <v>273</v>
      </c>
      <c r="C123" s="286"/>
      <c r="D123" s="286"/>
      <c r="E123" s="278">
        <f>ROUND(E59*$G$109,3)</f>
        <v>4.0579999999999998</v>
      </c>
      <c r="F123" s="286"/>
      <c r="G123" s="286"/>
      <c r="H123" s="286"/>
      <c r="I123" s="286"/>
      <c r="J123" s="118"/>
      <c r="K123" s="113" t="s">
        <v>273</v>
      </c>
      <c r="L123" s="286"/>
      <c r="M123" s="286"/>
      <c r="N123" s="278">
        <v>5.7709999999999999</v>
      </c>
      <c r="O123" s="286"/>
      <c r="P123" s="286"/>
      <c r="Q123" s="286"/>
      <c r="R123" s="286"/>
      <c r="S123" s="97"/>
      <c r="T123" s="113" t="s">
        <v>273</v>
      </c>
      <c r="U123" s="286"/>
      <c r="V123" s="286"/>
      <c r="W123" s="65">
        <f t="shared" si="3"/>
        <v>-1.7130000000000001</v>
      </c>
      <c r="X123" s="66"/>
      <c r="Y123" s="66"/>
      <c r="Z123" s="66"/>
      <c r="AA123" s="66"/>
      <c r="AB123" s="58"/>
      <c r="AC123" s="64" t="s">
        <v>273</v>
      </c>
      <c r="AD123" s="66"/>
      <c r="AE123" s="66"/>
      <c r="AF123" s="67">
        <f>W123/N123</f>
        <v>-0.29682897244844914</v>
      </c>
      <c r="AG123" s="66"/>
      <c r="AH123" s="66"/>
      <c r="AI123" s="66"/>
      <c r="AJ123" s="66"/>
    </row>
    <row r="124" spans="1:36" x14ac:dyDescent="0.2">
      <c r="B124" s="102" t="s">
        <v>41</v>
      </c>
      <c r="C124" s="278">
        <f>ROUND(C60*$G$109,3)</f>
        <v>6.4039999999999999</v>
      </c>
      <c r="D124" s="278">
        <f>ROUND(D60*$G$109,3)</f>
        <v>6.5170000000000003</v>
      </c>
      <c r="E124" s="286"/>
      <c r="F124" s="286"/>
      <c r="G124" s="286"/>
      <c r="H124" s="286"/>
      <c r="I124" s="286"/>
      <c r="J124" s="118"/>
      <c r="K124" s="143" t="s">
        <v>41</v>
      </c>
      <c r="L124" s="278">
        <v>8.4120000000000008</v>
      </c>
      <c r="M124" s="278">
        <v>7.6520000000000001</v>
      </c>
      <c r="N124" s="286"/>
      <c r="O124" s="286"/>
      <c r="P124" s="286"/>
      <c r="Q124" s="286"/>
      <c r="R124" s="286"/>
      <c r="S124" s="97"/>
      <c r="T124" s="143" t="s">
        <v>41</v>
      </c>
      <c r="U124" s="278">
        <f t="shared" ref="U124:V125" si="4">C124-L124</f>
        <v>-2.0080000000000009</v>
      </c>
      <c r="V124" s="278">
        <f t="shared" si="4"/>
        <v>-1.1349999999999998</v>
      </c>
      <c r="W124" s="69"/>
      <c r="X124" s="66"/>
      <c r="Y124" s="66"/>
      <c r="Z124" s="66"/>
      <c r="AA124" s="66"/>
      <c r="AB124" s="58"/>
      <c r="AC124" s="68" t="s">
        <v>41</v>
      </c>
      <c r="AD124" s="67">
        <f t="shared" ref="AD124:AE126" si="5">U124/L124</f>
        <v>-0.2387066096053258</v>
      </c>
      <c r="AE124" s="67">
        <f t="shared" si="5"/>
        <v>-0.14832723470987974</v>
      </c>
      <c r="AF124" s="69"/>
      <c r="AG124" s="66"/>
      <c r="AH124" s="66"/>
      <c r="AI124" s="66"/>
      <c r="AJ124" s="66"/>
    </row>
    <row r="125" spans="1:36" x14ac:dyDescent="0.2">
      <c r="B125" s="104" t="s">
        <v>42</v>
      </c>
      <c r="C125" s="278">
        <f>ROUND(C61*$G$109,3)</f>
        <v>9.0760000000000005</v>
      </c>
      <c r="D125" s="278">
        <f>ROUND(D61*$G$109,3)</f>
        <v>8.3940000000000001</v>
      </c>
      <c r="E125" s="286"/>
      <c r="F125" s="286"/>
      <c r="G125" s="286"/>
      <c r="H125" s="286"/>
      <c r="I125" s="286"/>
      <c r="J125" s="118"/>
      <c r="K125" s="113" t="s">
        <v>42</v>
      </c>
      <c r="L125" s="278">
        <v>9.8390000000000004</v>
      </c>
      <c r="M125" s="278">
        <v>9.0920000000000005</v>
      </c>
      <c r="N125" s="286"/>
      <c r="O125" s="286"/>
      <c r="P125" s="286"/>
      <c r="Q125" s="286"/>
      <c r="R125" s="286"/>
      <c r="S125" s="97"/>
      <c r="T125" s="113" t="s">
        <v>42</v>
      </c>
      <c r="U125" s="278">
        <f t="shared" si="4"/>
        <v>-0.7629999999999999</v>
      </c>
      <c r="V125" s="278">
        <f t="shared" si="4"/>
        <v>-0.6980000000000004</v>
      </c>
      <c r="W125" s="69"/>
      <c r="X125" s="66"/>
      <c r="Y125" s="66"/>
      <c r="Z125" s="66"/>
      <c r="AA125" s="66"/>
      <c r="AB125" s="58"/>
      <c r="AC125" s="70" t="s">
        <v>42</v>
      </c>
      <c r="AD125" s="67">
        <f t="shared" si="5"/>
        <v>-7.7548531354812461E-2</v>
      </c>
      <c r="AE125" s="67">
        <f t="shared" si="5"/>
        <v>-7.6770787505499385E-2</v>
      </c>
      <c r="AF125" s="69"/>
      <c r="AG125" s="66"/>
      <c r="AH125" s="66"/>
      <c r="AI125" s="66"/>
      <c r="AJ125" s="66"/>
    </row>
    <row r="126" spans="1:36" x14ac:dyDescent="0.2">
      <c r="B126" s="286"/>
      <c r="C126" s="286"/>
      <c r="D126" s="286"/>
      <c r="E126" s="286"/>
      <c r="F126" s="286"/>
      <c r="G126" s="286"/>
      <c r="H126" s="286"/>
      <c r="I126" s="286"/>
      <c r="J126" s="118"/>
      <c r="K126" s="113" t="s">
        <v>43</v>
      </c>
      <c r="L126" s="287" t="s">
        <v>378</v>
      </c>
      <c r="M126" s="278">
        <v>10.063000000000001</v>
      </c>
      <c r="N126" s="286"/>
      <c r="O126" s="286"/>
      <c r="P126" s="286"/>
      <c r="Q126" s="286"/>
      <c r="R126" s="286"/>
      <c r="S126" s="97"/>
      <c r="T126" s="113" t="s">
        <v>43</v>
      </c>
      <c r="U126" s="287" t="s">
        <v>378</v>
      </c>
      <c r="V126" s="278">
        <f>D126-M126</f>
        <v>-10.063000000000001</v>
      </c>
      <c r="W126" s="69"/>
      <c r="X126" s="66"/>
      <c r="Y126" s="66"/>
      <c r="Z126" s="66"/>
      <c r="AA126" s="66"/>
      <c r="AB126" s="58"/>
      <c r="AC126" s="70" t="s">
        <v>43</v>
      </c>
      <c r="AD126" s="71" t="s">
        <v>378</v>
      </c>
      <c r="AE126" s="67">
        <f t="shared" si="5"/>
        <v>-1</v>
      </c>
      <c r="AF126" s="69"/>
      <c r="AG126" s="66"/>
      <c r="AH126" s="66"/>
      <c r="AI126" s="66"/>
      <c r="AJ126" s="66"/>
    </row>
    <row r="127" spans="1:36" x14ac:dyDescent="0.2">
      <c r="B127" s="97"/>
      <c r="C127" s="286"/>
      <c r="D127" s="286"/>
      <c r="E127" s="286"/>
      <c r="F127" s="286"/>
      <c r="G127" s="286"/>
      <c r="H127" s="286"/>
      <c r="I127" s="286"/>
      <c r="J127" s="97"/>
      <c r="K127" s="97"/>
      <c r="L127" s="286"/>
      <c r="M127" s="286"/>
      <c r="N127" s="286"/>
      <c r="O127" s="286"/>
      <c r="P127" s="286"/>
      <c r="Q127" s="286"/>
      <c r="R127" s="286"/>
      <c r="S127" s="97"/>
      <c r="T127" s="97"/>
      <c r="U127" s="286"/>
      <c r="V127" s="286"/>
      <c r="W127" s="66"/>
      <c r="X127" s="66"/>
      <c r="Y127" s="66"/>
      <c r="Z127" s="66"/>
      <c r="AA127" s="66"/>
      <c r="AB127" s="58"/>
      <c r="AC127" s="72"/>
      <c r="AD127" s="66"/>
      <c r="AE127" s="66"/>
      <c r="AF127" s="66"/>
      <c r="AG127" s="66"/>
      <c r="AH127" s="66"/>
      <c r="AI127" s="66"/>
      <c r="AJ127" s="66"/>
    </row>
    <row r="128" spans="1:36" x14ac:dyDescent="0.2">
      <c r="B128" s="102" t="s">
        <v>274</v>
      </c>
      <c r="C128" s="286"/>
      <c r="D128" s="286"/>
      <c r="E128" s="286"/>
      <c r="F128" s="286"/>
      <c r="G128" s="286"/>
      <c r="H128" s="286"/>
      <c r="I128" s="278">
        <f>ROUND(I64*$G$109,3)</f>
        <v>1.873</v>
      </c>
      <c r="J128" s="189"/>
      <c r="K128" s="143" t="s">
        <v>284</v>
      </c>
      <c r="L128" s="286"/>
      <c r="M128" s="286"/>
      <c r="N128" s="286"/>
      <c r="O128" s="286"/>
      <c r="P128" s="286"/>
      <c r="Q128" s="286"/>
      <c r="R128" s="278">
        <v>5.4420000000000002</v>
      </c>
      <c r="S128" s="97"/>
      <c r="T128" s="143" t="s">
        <v>284</v>
      </c>
      <c r="U128" s="286"/>
      <c r="V128" s="286"/>
      <c r="W128" s="66"/>
      <c r="X128" s="66"/>
      <c r="Y128" s="66"/>
      <c r="Z128" s="66"/>
      <c r="AA128" s="65">
        <f>I128-R128</f>
        <v>-3.569</v>
      </c>
      <c r="AB128" s="58"/>
      <c r="AC128" s="72" t="s">
        <v>284</v>
      </c>
      <c r="AD128" s="66"/>
      <c r="AE128" s="66"/>
      <c r="AF128" s="66"/>
      <c r="AG128" s="66"/>
      <c r="AH128" s="66"/>
      <c r="AI128" s="66"/>
      <c r="AJ128" s="67">
        <f>AA128/R128</f>
        <v>-0.6558250643145902</v>
      </c>
    </row>
    <row r="129" spans="1:36" x14ac:dyDescent="0.2">
      <c r="B129" s="102" t="s">
        <v>275</v>
      </c>
      <c r="C129" s="286"/>
      <c r="D129" s="286"/>
      <c r="E129" s="286"/>
      <c r="F129" s="286"/>
      <c r="G129" s="286"/>
      <c r="H129" s="286"/>
      <c r="I129" s="278">
        <f>ROUND(I65*$G$109,3)</f>
        <v>6.4770000000000003</v>
      </c>
      <c r="J129" s="189"/>
      <c r="K129" s="97"/>
      <c r="L129" s="286"/>
      <c r="M129" s="286"/>
      <c r="N129" s="286"/>
      <c r="O129" s="286"/>
      <c r="P129" s="286"/>
      <c r="Q129" s="286"/>
      <c r="R129" s="286"/>
      <c r="S129" s="97"/>
      <c r="T129" s="97"/>
      <c r="U129" s="286"/>
      <c r="V129" s="286"/>
      <c r="W129" s="66"/>
      <c r="X129" s="66"/>
      <c r="Y129" s="66"/>
      <c r="Z129" s="66"/>
      <c r="AA129" s="66"/>
      <c r="AB129" s="58"/>
      <c r="AC129" s="72"/>
      <c r="AD129" s="66"/>
      <c r="AE129" s="66"/>
      <c r="AF129" s="66"/>
      <c r="AG129" s="66"/>
      <c r="AH129" s="66"/>
      <c r="AI129" s="66"/>
      <c r="AJ129" s="66"/>
    </row>
    <row r="130" spans="1:36" x14ac:dyDescent="0.2">
      <c r="B130" s="97"/>
      <c r="C130" s="286"/>
      <c r="D130" s="286"/>
      <c r="E130" s="286"/>
      <c r="F130" s="286"/>
      <c r="G130" s="286"/>
      <c r="H130" s="286"/>
      <c r="I130" s="286"/>
      <c r="J130" s="97"/>
      <c r="K130" s="35" t="s">
        <v>62</v>
      </c>
      <c r="L130" s="286"/>
      <c r="M130" s="286"/>
      <c r="N130" s="286"/>
      <c r="O130" s="286"/>
      <c r="P130" s="286"/>
      <c r="Q130" s="286"/>
      <c r="R130" s="286"/>
      <c r="S130" s="97"/>
      <c r="T130" s="35" t="s">
        <v>62</v>
      </c>
      <c r="U130" s="286"/>
      <c r="V130" s="286"/>
      <c r="W130" s="66"/>
      <c r="X130" s="66"/>
      <c r="Y130" s="66"/>
      <c r="Z130" s="66"/>
      <c r="AA130" s="66"/>
      <c r="AB130" s="58"/>
      <c r="AC130" s="73" t="s">
        <v>62</v>
      </c>
      <c r="AD130" s="66"/>
      <c r="AE130" s="66"/>
      <c r="AF130" s="66"/>
      <c r="AG130" s="66"/>
      <c r="AH130" s="66"/>
      <c r="AI130" s="66"/>
      <c r="AJ130" s="66"/>
    </row>
    <row r="131" spans="1:36" x14ac:dyDescent="0.2">
      <c r="B131" s="35" t="s">
        <v>62</v>
      </c>
      <c r="C131" s="286"/>
      <c r="D131" s="286"/>
      <c r="E131" s="286"/>
      <c r="F131" s="286"/>
      <c r="G131" s="286"/>
      <c r="H131" s="286"/>
      <c r="I131" s="286"/>
      <c r="J131" s="97"/>
      <c r="K131" s="113" t="s">
        <v>271</v>
      </c>
      <c r="L131" s="278">
        <v>9.7379999999999995</v>
      </c>
      <c r="M131" s="278">
        <v>8.0760000000000005</v>
      </c>
      <c r="N131" s="286"/>
      <c r="O131" s="278">
        <v>8.1769999999999996</v>
      </c>
      <c r="P131" s="278">
        <v>5.8460000000000001</v>
      </c>
      <c r="Q131" s="278">
        <v>5.8209999999999997</v>
      </c>
      <c r="R131" s="278">
        <v>6.7539999999999996</v>
      </c>
      <c r="S131" s="97"/>
      <c r="T131" s="113" t="s">
        <v>271</v>
      </c>
      <c r="U131" s="278">
        <f>C132-L131</f>
        <v>-1.8489999999999993</v>
      </c>
      <c r="V131" s="278">
        <f>D132-M131</f>
        <v>-1.6950000000000003</v>
      </c>
      <c r="W131" s="66"/>
      <c r="X131" s="65">
        <f>F132-O131</f>
        <v>-2.4889999999999999</v>
      </c>
      <c r="Y131" s="65">
        <f>G132-P131</f>
        <v>-1.3760000000000003</v>
      </c>
      <c r="Z131" s="65">
        <f>H132-Q131</f>
        <v>-1.415</v>
      </c>
      <c r="AA131" s="65">
        <f>I132-R131</f>
        <v>-2.1869999999999994</v>
      </c>
      <c r="AB131" s="58"/>
      <c r="AC131" s="64" t="s">
        <v>271</v>
      </c>
      <c r="AD131" s="67">
        <f t="shared" ref="AD131:AE131" si="6">U131/L131</f>
        <v>-0.18987471760115007</v>
      </c>
      <c r="AE131" s="67">
        <f t="shared" si="6"/>
        <v>-0.20988112927191682</v>
      </c>
      <c r="AF131" s="66"/>
      <c r="AG131" s="67">
        <f t="shared" ref="AG131:AJ131" si="7">X131/O131</f>
        <v>-0.30439036321389262</v>
      </c>
      <c r="AH131" s="67">
        <f t="shared" si="7"/>
        <v>-0.23537461512145061</v>
      </c>
      <c r="AI131" s="67">
        <f t="shared" si="7"/>
        <v>-0.24308538051881121</v>
      </c>
      <c r="AJ131" s="67">
        <f t="shared" si="7"/>
        <v>-0.32380811371039375</v>
      </c>
    </row>
    <row r="132" spans="1:36" x14ac:dyDescent="0.2">
      <c r="B132" s="104" t="s">
        <v>271</v>
      </c>
      <c r="C132" s="278">
        <f>ROUND(C68*$G$110,3)</f>
        <v>7.8890000000000002</v>
      </c>
      <c r="D132" s="278">
        <f>ROUND(D68*$G$110,3)</f>
        <v>6.3810000000000002</v>
      </c>
      <c r="E132" s="286"/>
      <c r="F132" s="278">
        <f>ROUND(F68*$G$110,3)</f>
        <v>5.6879999999999997</v>
      </c>
      <c r="G132" s="278">
        <f>ROUND(G68*$G$110,3)</f>
        <v>4.47</v>
      </c>
      <c r="H132" s="278">
        <f>ROUND(H68*$G$110,3)</f>
        <v>4.4059999999999997</v>
      </c>
      <c r="I132" s="278">
        <f>ROUND(I68*$G$110,3)</f>
        <v>4.5670000000000002</v>
      </c>
      <c r="J132" s="97"/>
      <c r="K132" s="113" t="s">
        <v>272</v>
      </c>
      <c r="L132" s="286"/>
      <c r="M132" s="286"/>
      <c r="N132" s="278">
        <v>12.37</v>
      </c>
      <c r="O132" s="286"/>
      <c r="P132" s="286"/>
      <c r="Q132" s="286"/>
      <c r="R132" s="286"/>
      <c r="S132" s="97"/>
      <c r="T132" s="113" t="s">
        <v>272</v>
      </c>
      <c r="U132" s="286"/>
      <c r="V132" s="286"/>
      <c r="W132" s="65">
        <f>E133-N132</f>
        <v>-2.0129999999999999</v>
      </c>
      <c r="X132" s="66"/>
      <c r="Y132" s="66"/>
      <c r="Z132" s="66"/>
      <c r="AA132" s="66"/>
      <c r="AB132" s="58"/>
      <c r="AC132" s="64" t="s">
        <v>272</v>
      </c>
      <c r="AD132" s="66"/>
      <c r="AE132" s="66"/>
      <c r="AF132" s="67">
        <f t="shared" ref="AF132:AF133" si="8">W132/N132</f>
        <v>-0.16273241713823766</v>
      </c>
      <c r="AG132" s="66"/>
      <c r="AH132" s="66"/>
      <c r="AI132" s="66"/>
      <c r="AJ132" s="66"/>
    </row>
    <row r="133" spans="1:36" x14ac:dyDescent="0.2">
      <c r="B133" s="104" t="s">
        <v>272</v>
      </c>
      <c r="C133" s="286"/>
      <c r="D133" s="286"/>
      <c r="E133" s="278">
        <f>ROUND(E69*$G$110,3)</f>
        <v>10.356999999999999</v>
      </c>
      <c r="F133" s="286"/>
      <c r="G133" s="286"/>
      <c r="H133" s="286"/>
      <c r="I133" s="286"/>
      <c r="J133" s="118"/>
      <c r="K133" s="113" t="s">
        <v>273</v>
      </c>
      <c r="L133" s="286"/>
      <c r="M133" s="286"/>
      <c r="N133" s="278">
        <v>5.6959999999999997</v>
      </c>
      <c r="O133" s="286"/>
      <c r="P133" s="286"/>
      <c r="Q133" s="286"/>
      <c r="R133" s="286"/>
      <c r="S133" s="97"/>
      <c r="T133" s="113" t="s">
        <v>273</v>
      </c>
      <c r="U133" s="286"/>
      <c r="V133" s="286"/>
      <c r="W133" s="65">
        <f>E134-N133</f>
        <v>-1.5659999999999998</v>
      </c>
      <c r="X133" s="66"/>
      <c r="Y133" s="66"/>
      <c r="Z133" s="66"/>
      <c r="AA133" s="66"/>
      <c r="AB133" s="58"/>
      <c r="AC133" s="64" t="s">
        <v>273</v>
      </c>
      <c r="AD133" s="66"/>
      <c r="AE133" s="66"/>
      <c r="AF133" s="67">
        <f t="shared" si="8"/>
        <v>-0.27492977528089885</v>
      </c>
      <c r="AG133" s="66"/>
      <c r="AH133" s="66"/>
      <c r="AI133" s="66"/>
      <c r="AJ133" s="66"/>
    </row>
    <row r="134" spans="1:36" x14ac:dyDescent="0.2">
      <c r="B134" s="104" t="s">
        <v>273</v>
      </c>
      <c r="C134" s="286"/>
      <c r="D134" s="286"/>
      <c r="E134" s="278">
        <f>ROUND(E70*$G$110,3)</f>
        <v>4.13</v>
      </c>
      <c r="F134" s="286"/>
      <c r="G134" s="286"/>
      <c r="H134" s="286"/>
      <c r="I134" s="286"/>
      <c r="J134" s="118"/>
      <c r="K134" s="143"/>
      <c r="L134" s="286"/>
      <c r="M134" s="286"/>
      <c r="N134" s="286"/>
      <c r="O134" s="286"/>
      <c r="P134" s="286"/>
      <c r="Q134" s="286"/>
      <c r="R134" s="286"/>
      <c r="S134" s="97"/>
      <c r="T134" s="143"/>
      <c r="U134" s="286"/>
      <c r="V134" s="286"/>
      <c r="W134" s="66"/>
      <c r="X134" s="66"/>
      <c r="Y134" s="66"/>
      <c r="Z134" s="66"/>
      <c r="AA134" s="66"/>
      <c r="AB134" s="58"/>
      <c r="AC134" s="72"/>
      <c r="AD134" s="66"/>
      <c r="AE134" s="66"/>
      <c r="AF134" s="66"/>
      <c r="AG134" s="66"/>
      <c r="AH134" s="66"/>
      <c r="AI134" s="66"/>
      <c r="AJ134" s="66"/>
    </row>
    <row r="135" spans="1:36" x14ac:dyDescent="0.2">
      <c r="B135" s="97"/>
      <c r="C135" s="286"/>
      <c r="D135" s="286"/>
      <c r="E135" s="286"/>
      <c r="F135" s="286"/>
      <c r="G135" s="286"/>
      <c r="H135" s="286"/>
      <c r="I135" s="286"/>
      <c r="J135" s="97"/>
      <c r="K135" s="143" t="s">
        <v>284</v>
      </c>
      <c r="L135" s="286"/>
      <c r="M135" s="286"/>
      <c r="N135" s="286"/>
      <c r="O135" s="286"/>
      <c r="P135" s="286"/>
      <c r="Q135" s="286"/>
      <c r="R135" s="278">
        <v>5.4</v>
      </c>
      <c r="S135" s="97"/>
      <c r="T135" s="143" t="s">
        <v>284</v>
      </c>
      <c r="U135" s="286"/>
      <c r="V135" s="286"/>
      <c r="W135" s="66"/>
      <c r="X135" s="66"/>
      <c r="Y135" s="66"/>
      <c r="Z135" s="66"/>
      <c r="AA135" s="65">
        <f>I136-R135</f>
        <v>-3.9730000000000003</v>
      </c>
      <c r="AB135" s="58"/>
      <c r="AC135" s="72" t="s">
        <v>284</v>
      </c>
      <c r="AD135" s="66"/>
      <c r="AE135" s="66"/>
      <c r="AF135" s="66"/>
      <c r="AG135" s="66"/>
      <c r="AH135" s="66"/>
      <c r="AI135" s="66"/>
      <c r="AJ135" s="67">
        <f>AA135/R135</f>
        <v>-0.7357407407407407</v>
      </c>
    </row>
    <row r="136" spans="1:36" x14ac:dyDescent="0.2">
      <c r="B136" s="102" t="s">
        <v>274</v>
      </c>
      <c r="C136" s="286"/>
      <c r="D136" s="286"/>
      <c r="E136" s="286"/>
      <c r="F136" s="286"/>
      <c r="G136" s="286"/>
      <c r="H136" s="286"/>
      <c r="I136" s="278">
        <f>ROUND(I72*$G$110,3)</f>
        <v>1.427</v>
      </c>
      <c r="J136" s="189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</row>
    <row r="137" spans="1:36" x14ac:dyDescent="0.2">
      <c r="B137" s="102" t="s">
        <v>275</v>
      </c>
      <c r="C137" s="286"/>
      <c r="D137" s="286"/>
      <c r="E137" s="286"/>
      <c r="F137" s="286"/>
      <c r="G137" s="286"/>
      <c r="H137" s="286"/>
      <c r="I137" s="278">
        <f>ROUND(I73*$G$110,3)</f>
        <v>5.0250000000000004</v>
      </c>
      <c r="J137" s="189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</row>
    <row r="138" spans="1:36" x14ac:dyDescent="0.2">
      <c r="A138" s="54"/>
      <c r="B138" s="102"/>
      <c r="C138" s="97"/>
      <c r="D138" s="97"/>
      <c r="E138" s="97"/>
      <c r="F138" s="97"/>
      <c r="G138" s="97"/>
      <c r="H138" s="97"/>
      <c r="I138" s="140"/>
      <c r="J138" s="189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</row>
    <row r="139" spans="1:36" x14ac:dyDescent="0.2">
      <c r="A139" s="54"/>
      <c r="B139" s="285" t="s">
        <v>379</v>
      </c>
      <c r="C139" s="97"/>
      <c r="D139" s="97" t="s">
        <v>277</v>
      </c>
      <c r="E139" s="139">
        <v>6.6250000000000003E-2</v>
      </c>
      <c r="F139" s="97"/>
      <c r="G139" s="97"/>
      <c r="H139" s="97"/>
      <c r="I139" s="97"/>
      <c r="J139" s="189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</row>
    <row r="140" spans="1:36" x14ac:dyDescent="0.2">
      <c r="A140" s="54"/>
      <c r="B140" s="97"/>
      <c r="C140" s="97"/>
      <c r="D140" s="97"/>
      <c r="E140" s="97"/>
      <c r="F140" s="97"/>
      <c r="G140" s="97"/>
      <c r="H140" s="97"/>
      <c r="I140" s="97"/>
      <c r="J140" s="189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</row>
    <row r="141" spans="1:36" x14ac:dyDescent="0.2">
      <c r="A141" s="54"/>
      <c r="B141" s="97"/>
      <c r="C141" s="30" t="s">
        <v>7</v>
      </c>
      <c r="D141" s="30" t="s">
        <v>8</v>
      </c>
      <c r="E141" s="30" t="s">
        <v>9</v>
      </c>
      <c r="F141" s="30" t="s">
        <v>10</v>
      </c>
      <c r="G141" s="30" t="s">
        <v>11</v>
      </c>
      <c r="H141" s="30" t="s">
        <v>12</v>
      </c>
      <c r="I141" s="30" t="s">
        <v>13</v>
      </c>
      <c r="J141" s="189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</row>
    <row r="142" spans="1:36" x14ac:dyDescent="0.2">
      <c r="A142" s="54"/>
      <c r="B142" s="35" t="s">
        <v>69</v>
      </c>
      <c r="C142" s="97"/>
      <c r="D142" s="97"/>
      <c r="E142" s="97"/>
      <c r="F142" s="97"/>
      <c r="G142" s="97"/>
      <c r="H142" s="97"/>
      <c r="I142" s="97"/>
      <c r="J142" s="189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</row>
    <row r="143" spans="1:36" x14ac:dyDescent="0.2">
      <c r="A143" s="54"/>
      <c r="B143" s="104" t="s">
        <v>271</v>
      </c>
      <c r="C143" s="104"/>
      <c r="D143" s="104"/>
      <c r="E143" s="97"/>
      <c r="F143" s="140">
        <f>ROUND(F121*(1+$E$139),3)</f>
        <v>7.0270000000000001</v>
      </c>
      <c r="G143" s="140">
        <f>ROUND(G121*(1+$E$139),3)</f>
        <v>5.0229999999999997</v>
      </c>
      <c r="H143" s="140">
        <f>ROUND(H121*(1+$E$139),3)</f>
        <v>5.0229999999999997</v>
      </c>
      <c r="I143" s="140">
        <f>ROUND(I121*(1+$E$139),3)</f>
        <v>5.25</v>
      </c>
      <c r="J143" s="189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</row>
    <row r="144" spans="1:36" x14ac:dyDescent="0.2">
      <c r="A144" s="54"/>
      <c r="B144" s="104" t="s">
        <v>272</v>
      </c>
      <c r="C144" s="97"/>
      <c r="D144" s="97"/>
      <c r="E144" s="140">
        <f>ROUND(E122*(1+$E$139),3)</f>
        <v>13.363</v>
      </c>
      <c r="F144" s="97"/>
      <c r="G144" s="97"/>
      <c r="H144" s="97"/>
      <c r="I144" s="97"/>
      <c r="J144" s="189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</row>
    <row r="145" spans="1:22" x14ac:dyDescent="0.2">
      <c r="A145" s="54"/>
      <c r="B145" s="104" t="s">
        <v>273</v>
      </c>
      <c r="C145" s="97"/>
      <c r="D145" s="97"/>
      <c r="E145" s="140">
        <f>ROUND(E123*(1+$E$139),3)</f>
        <v>4.327</v>
      </c>
      <c r="F145" s="97"/>
      <c r="G145" s="97"/>
      <c r="H145" s="97"/>
      <c r="I145" s="97"/>
      <c r="J145" s="189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</row>
    <row r="146" spans="1:22" x14ac:dyDescent="0.2">
      <c r="A146" s="54"/>
      <c r="B146" s="102" t="s">
        <v>41</v>
      </c>
      <c r="C146" s="140">
        <f>ROUND(C124*(1+$E$139),3)</f>
        <v>6.8280000000000003</v>
      </c>
      <c r="D146" s="140">
        <f>ROUND(D124*(1+$E$139),3)</f>
        <v>6.9489999999999998</v>
      </c>
      <c r="E146" s="118"/>
      <c r="F146" s="97"/>
      <c r="G146" s="97"/>
      <c r="H146" s="97"/>
      <c r="I146" s="97"/>
      <c r="J146" s="189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</row>
    <row r="147" spans="1:22" x14ac:dyDescent="0.2">
      <c r="A147" s="54"/>
      <c r="B147" s="104" t="s">
        <v>42</v>
      </c>
      <c r="C147" s="140">
        <f>ROUND(C125*(1+$E$139),3)</f>
        <v>9.6769999999999996</v>
      </c>
      <c r="D147" s="140">
        <f>ROUND(D125*(1+$E$139),3)</f>
        <v>8.9499999999999993</v>
      </c>
      <c r="E147" s="118"/>
      <c r="F147" s="97"/>
      <c r="G147" s="97"/>
      <c r="H147" s="97"/>
      <c r="I147" s="97"/>
      <c r="J147" s="189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</row>
    <row r="148" spans="1:22" x14ac:dyDescent="0.2">
      <c r="A148" s="54"/>
      <c r="B148" s="118"/>
      <c r="C148" s="118"/>
      <c r="D148" s="118"/>
      <c r="E148" s="118"/>
      <c r="F148" s="97"/>
      <c r="G148" s="97"/>
      <c r="H148" s="97"/>
      <c r="I148" s="97"/>
      <c r="J148" s="189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</row>
    <row r="149" spans="1:22" x14ac:dyDescent="0.2">
      <c r="A149" s="54"/>
      <c r="B149" s="97"/>
      <c r="C149" s="97"/>
      <c r="D149" s="97"/>
      <c r="E149" s="97"/>
      <c r="F149" s="97"/>
      <c r="G149" s="97"/>
      <c r="H149" s="97"/>
      <c r="I149" s="97"/>
      <c r="J149" s="189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</row>
    <row r="150" spans="1:22" x14ac:dyDescent="0.2">
      <c r="A150" s="54"/>
      <c r="B150" s="102" t="s">
        <v>274</v>
      </c>
      <c r="C150" s="97"/>
      <c r="D150" s="97"/>
      <c r="E150" s="97"/>
      <c r="F150" s="97"/>
      <c r="G150" s="97"/>
      <c r="H150" s="97"/>
      <c r="I150" s="279">
        <f>ROUND(I128*(1+$E$139),2)</f>
        <v>2</v>
      </c>
      <c r="J150" s="189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</row>
    <row r="151" spans="1:22" x14ac:dyDescent="0.2">
      <c r="A151" s="54"/>
      <c r="B151" s="102" t="s">
        <v>360</v>
      </c>
      <c r="C151" s="97"/>
      <c r="D151" s="97"/>
      <c r="E151" s="97"/>
      <c r="F151" s="97"/>
      <c r="G151" s="97"/>
      <c r="H151" s="97"/>
      <c r="I151" s="279">
        <f>ROUND(I129*(1+$E$139),2)</f>
        <v>6.91</v>
      </c>
      <c r="J151" s="189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</row>
    <row r="152" spans="1:22" x14ac:dyDescent="0.2">
      <c r="A152" s="54"/>
      <c r="B152" s="97"/>
      <c r="C152" s="97"/>
      <c r="D152" s="97"/>
      <c r="E152" s="97"/>
      <c r="F152" s="97"/>
      <c r="G152" s="97"/>
      <c r="H152" s="97"/>
      <c r="I152" s="97"/>
      <c r="J152" s="189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</row>
    <row r="153" spans="1:22" x14ac:dyDescent="0.2">
      <c r="A153" s="54"/>
      <c r="B153" s="35" t="s">
        <v>62</v>
      </c>
      <c r="C153" s="97"/>
      <c r="D153" s="97"/>
      <c r="E153" s="97"/>
      <c r="F153" s="97"/>
      <c r="G153" s="97"/>
      <c r="H153" s="97"/>
      <c r="I153" s="97"/>
      <c r="J153" s="189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</row>
    <row r="154" spans="1:22" x14ac:dyDescent="0.2">
      <c r="A154" s="54"/>
      <c r="B154" s="104" t="s">
        <v>271</v>
      </c>
      <c r="C154" s="140">
        <f>ROUND(C132*(1+$E$139),3)</f>
        <v>8.4120000000000008</v>
      </c>
      <c r="D154" s="140">
        <f>ROUND(D132*(1+$E$139),3)</f>
        <v>6.8040000000000003</v>
      </c>
      <c r="E154" s="97"/>
      <c r="F154" s="140">
        <f>ROUND(F132*(1+$E$139),3)</f>
        <v>6.0650000000000004</v>
      </c>
      <c r="G154" s="140">
        <f>ROUND(G132*(1+$E$139),3)</f>
        <v>4.766</v>
      </c>
      <c r="H154" s="140">
        <f>ROUND(H132*(1+$E$139),3)</f>
        <v>4.6980000000000004</v>
      </c>
      <c r="I154" s="140">
        <f>ROUND(I132*(1+$E$139),3)</f>
        <v>4.87</v>
      </c>
      <c r="J154" s="189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</row>
    <row r="155" spans="1:22" x14ac:dyDescent="0.2">
      <c r="A155" s="54"/>
      <c r="B155" s="104" t="s">
        <v>272</v>
      </c>
      <c r="C155" s="97"/>
      <c r="D155" s="97"/>
      <c r="E155" s="140">
        <f>ROUND(E133*(1+$E$139),3)</f>
        <v>11.042999999999999</v>
      </c>
      <c r="F155" s="97"/>
      <c r="G155" s="97"/>
      <c r="H155" s="97"/>
      <c r="I155" s="97"/>
      <c r="J155" s="189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</row>
    <row r="156" spans="1:22" x14ac:dyDescent="0.2">
      <c r="A156" s="54"/>
      <c r="B156" s="104" t="s">
        <v>273</v>
      </c>
      <c r="C156" s="97"/>
      <c r="D156" s="97"/>
      <c r="E156" s="140">
        <f>ROUND(E134*(1+$E$139),3)</f>
        <v>4.4039999999999999</v>
      </c>
      <c r="F156" s="97"/>
      <c r="G156" s="97"/>
      <c r="H156" s="97"/>
      <c r="I156" s="97"/>
      <c r="J156" s="189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</row>
    <row r="157" spans="1:22" x14ac:dyDescent="0.2">
      <c r="A157" s="54"/>
      <c r="B157" s="97"/>
      <c r="C157" s="97"/>
      <c r="D157" s="97"/>
      <c r="E157" s="97"/>
      <c r="F157" s="97"/>
      <c r="G157" s="97"/>
      <c r="H157" s="97"/>
      <c r="I157" s="97"/>
      <c r="J157" s="189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</row>
    <row r="158" spans="1:22" x14ac:dyDescent="0.2">
      <c r="A158" s="54"/>
      <c r="B158" s="102" t="s">
        <v>274</v>
      </c>
      <c r="C158" s="97"/>
      <c r="D158" s="97"/>
      <c r="E158" s="97"/>
      <c r="F158" s="97"/>
      <c r="G158" s="97"/>
      <c r="H158" s="97"/>
      <c r="I158" s="279">
        <f>ROUND(I136*(1+$E$139),2)</f>
        <v>1.52</v>
      </c>
      <c r="J158" s="189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</row>
    <row r="159" spans="1:22" x14ac:dyDescent="0.2">
      <c r="A159" s="54"/>
      <c r="B159" s="102" t="s">
        <v>275</v>
      </c>
      <c r="C159" s="97"/>
      <c r="D159" s="97"/>
      <c r="E159" s="97"/>
      <c r="F159" s="97"/>
      <c r="G159" s="97"/>
      <c r="H159" s="97"/>
      <c r="I159" s="279">
        <f>ROUND(I137*(1+$E$139),2)</f>
        <v>5.36</v>
      </c>
      <c r="J159" s="189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</row>
    <row r="160" spans="1:22" x14ac:dyDescent="0.2">
      <c r="A160" s="54"/>
      <c r="B160" s="102"/>
      <c r="C160" s="97"/>
      <c r="D160" s="97"/>
      <c r="E160" s="97"/>
      <c r="F160" s="97"/>
      <c r="G160" s="97"/>
      <c r="H160" s="97"/>
      <c r="I160" s="140"/>
      <c r="J160" s="189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</row>
    <row r="161" spans="1:22" x14ac:dyDescent="0.2">
      <c r="B161" s="102"/>
      <c r="C161" s="97"/>
      <c r="D161" s="97"/>
      <c r="E161" s="97"/>
      <c r="F161" s="97"/>
      <c r="G161" s="97"/>
      <c r="H161" s="97"/>
      <c r="I161" s="189"/>
      <c r="J161" s="189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</row>
    <row r="162" spans="1:22" x14ac:dyDescent="0.2">
      <c r="A162" s="29" t="s">
        <v>380</v>
      </c>
      <c r="B162" s="240" t="s">
        <v>381</v>
      </c>
      <c r="C162" s="97"/>
      <c r="D162" s="97"/>
      <c r="E162" s="97"/>
      <c r="F162" s="97"/>
      <c r="G162" s="97"/>
      <c r="H162" s="97"/>
      <c r="I162" s="189"/>
      <c r="J162" s="189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</row>
    <row r="163" spans="1:22" x14ac:dyDescent="0.2">
      <c r="B163" s="240"/>
      <c r="C163" s="97"/>
      <c r="D163" s="97"/>
      <c r="E163" s="97"/>
      <c r="F163" s="97"/>
      <c r="G163" s="97"/>
      <c r="H163" s="97"/>
      <c r="I163" s="189"/>
      <c r="J163" s="189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</row>
    <row r="164" spans="1:22" x14ac:dyDescent="0.2">
      <c r="B164" s="240"/>
      <c r="C164" s="97"/>
      <c r="D164" s="97"/>
      <c r="E164" s="97"/>
      <c r="F164" s="97"/>
      <c r="G164" s="97"/>
      <c r="H164" s="97"/>
      <c r="I164" s="189"/>
      <c r="J164" s="189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</row>
    <row r="165" spans="1:22" x14ac:dyDescent="0.2">
      <c r="B165" s="33" t="s">
        <v>292</v>
      </c>
      <c r="C165" s="97"/>
      <c r="D165" s="97"/>
      <c r="E165" s="97"/>
      <c r="F165" s="97"/>
      <c r="G165" s="97"/>
      <c r="H165" s="97"/>
      <c r="I165" s="189"/>
      <c r="J165" s="189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</row>
    <row r="166" spans="1:22" ht="13.5" thickBot="1" x14ac:dyDescent="0.25">
      <c r="B166" s="33"/>
      <c r="C166" s="97"/>
      <c r="D166" s="97"/>
      <c r="E166" s="97"/>
      <c r="F166" s="97"/>
      <c r="G166" s="97"/>
      <c r="H166" s="97"/>
      <c r="I166" s="189"/>
      <c r="J166" s="189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</row>
    <row r="167" spans="1:22" x14ac:dyDescent="0.2">
      <c r="B167" s="97"/>
      <c r="C167" s="30" t="str">
        <f>'BGS Cost &amp; Bid Factors'!C$6</f>
        <v>SC1</v>
      </c>
      <c r="D167" s="30" t="str">
        <f>'BGS Cost &amp; Bid Factors'!D$6</f>
        <v>SC5</v>
      </c>
      <c r="E167" s="30" t="str">
        <f>'BGS Cost &amp; Bid Factors'!E$6</f>
        <v>SC3</v>
      </c>
      <c r="F167" s="30" t="str">
        <f>'BGS Cost &amp; Bid Factors'!F$6</f>
        <v>SC2 ND</v>
      </c>
      <c r="G167" s="30" t="str">
        <f>'BGS Cost &amp; Bid Factors'!G$6</f>
        <v>SC4</v>
      </c>
      <c r="H167" s="30" t="str">
        <f>'BGS Cost &amp; Bid Factors'!H$6</f>
        <v>SC6</v>
      </c>
      <c r="I167" s="30" t="str">
        <f>'BGS Cost &amp; Bid Factors'!I$6</f>
        <v>SC2 Dem</v>
      </c>
      <c r="J167" s="189"/>
      <c r="K167" s="215" t="s">
        <v>157</v>
      </c>
      <c r="L167" s="216"/>
      <c r="M167" s="97"/>
      <c r="N167" s="97"/>
      <c r="O167" s="97"/>
      <c r="P167" s="97"/>
      <c r="Q167" s="97"/>
      <c r="R167" s="97"/>
      <c r="S167" s="97"/>
      <c r="T167" s="97"/>
      <c r="U167" s="97"/>
      <c r="V167" s="97"/>
    </row>
    <row r="168" spans="1:22" x14ac:dyDescent="0.2">
      <c r="B168" s="33"/>
      <c r="C168" s="97"/>
      <c r="D168" s="97"/>
      <c r="E168" s="97"/>
      <c r="F168" s="97"/>
      <c r="G168" s="97"/>
      <c r="H168" s="97"/>
      <c r="I168" s="97"/>
      <c r="J168" s="189"/>
      <c r="K168" s="217"/>
      <c r="L168" s="218" t="s">
        <v>160</v>
      </c>
      <c r="M168" s="97"/>
      <c r="N168" s="97"/>
      <c r="O168" s="97"/>
      <c r="P168" s="97"/>
      <c r="Q168" s="97"/>
      <c r="R168" s="97"/>
      <c r="S168" s="97"/>
      <c r="T168" s="97"/>
      <c r="U168" s="97"/>
      <c r="V168" s="97"/>
    </row>
    <row r="169" spans="1:22" x14ac:dyDescent="0.2">
      <c r="B169" s="182" t="s">
        <v>69</v>
      </c>
      <c r="C169" s="26">
        <f>ROUND((C121*'BGS Cost &amp; Bid Factors'!M$48)/100,0)</f>
        <v>22127</v>
      </c>
      <c r="D169" s="26">
        <f>ROUND((D121*'BGS Cost &amp; Bid Factors'!N$48)/100,0)</f>
        <v>348</v>
      </c>
      <c r="E169" s="108">
        <f>ROUND((E122*'BGS Cost &amp; Bid Factors'!O$49+E123*'BGS Cost &amp; Bid Factors'!O$50)/100,0)</f>
        <v>6</v>
      </c>
      <c r="F169" s="26">
        <f>ROUND((F121*'BGS Cost &amp; Bid Factors'!P$48)/100,0)</f>
        <v>484</v>
      </c>
      <c r="G169" s="26">
        <f>ROUND((G121*'BGS Cost &amp; Bid Factors'!Q$48)/100,0)</f>
        <v>65</v>
      </c>
      <c r="H169" s="26">
        <f>ROUND((H121*'BGS Cost &amp; Bid Factors'!R$48)/100,0)</f>
        <v>73</v>
      </c>
      <c r="I169" s="108">
        <f>ROUND(I121*'BGS Cost &amp; Bid Factors'!S$48/100+(I128*($L$169/4*'BGS Cost &amp; Bid Factors'!H$144)+I129*($L$169/4*'BGS Cost &amp; Bid Factors'!H$144))/1000,0)</f>
        <v>9571</v>
      </c>
      <c r="J169" s="189"/>
      <c r="K169" s="217" t="s">
        <v>69</v>
      </c>
      <c r="L169" s="219">
        <v>363838.33671143744</v>
      </c>
      <c r="M169" s="97"/>
      <c r="N169" s="97"/>
      <c r="O169" s="97"/>
      <c r="P169" s="97"/>
      <c r="Q169" s="97"/>
      <c r="R169" s="97"/>
      <c r="S169" s="97"/>
      <c r="T169" s="97"/>
      <c r="U169" s="97"/>
      <c r="V169" s="97"/>
    </row>
    <row r="170" spans="1:22" ht="13.5" thickBot="1" x14ac:dyDescent="0.25">
      <c r="B170" s="182" t="s">
        <v>62</v>
      </c>
      <c r="C170" s="36">
        <f>ROUND(C132*'BGS Cost &amp; Bid Factors'!M$44/100,0)</f>
        <v>29186</v>
      </c>
      <c r="D170" s="36">
        <f>ROUND(D132*'BGS Cost &amp; Bid Factors'!N$44/100,0)</f>
        <v>593</v>
      </c>
      <c r="E170" s="264">
        <f>ROUND((E133*'BGS Cost &amp; Bid Factors'!O$45+E134*'BGS Cost &amp; Bid Factors'!O$46)/100,0)</f>
        <v>11</v>
      </c>
      <c r="F170" s="36">
        <f>ROUND(F132*'BGS Cost &amp; Bid Factors'!P$44/100,0)</f>
        <v>935</v>
      </c>
      <c r="G170" s="36">
        <f>ROUND(G132*'BGS Cost &amp; Bid Factors'!Q$44/100,0)</f>
        <v>157</v>
      </c>
      <c r="H170" s="36">
        <f>ROUND(H132*'BGS Cost &amp; Bid Factors'!R$44/100,0)</f>
        <v>159</v>
      </c>
      <c r="I170" s="264">
        <f>ROUND(I132*'BGS Cost &amp; Bid Factors'!S$44/100+(I136*($L$170/8*'BGS Cost &amp; Bid Factors'!H$145)+I137*($L$170/8*'BGS Cost &amp; Bid Factors'!H$145))/1000,0)</f>
        <v>14951</v>
      </c>
      <c r="J170" s="189"/>
      <c r="K170" s="220" t="s">
        <v>62</v>
      </c>
      <c r="L170" s="221">
        <v>668643.95476709632</v>
      </c>
      <c r="M170" s="97"/>
      <c r="N170" s="97"/>
      <c r="O170" s="97"/>
      <c r="P170" s="97"/>
      <c r="Q170" s="97"/>
      <c r="R170" s="97"/>
      <c r="S170" s="97"/>
      <c r="T170" s="97"/>
      <c r="U170" s="97"/>
      <c r="V170" s="97"/>
    </row>
    <row r="171" spans="1:22" x14ac:dyDescent="0.2">
      <c r="B171" s="182" t="s">
        <v>36</v>
      </c>
      <c r="C171" s="124">
        <f t="shared" ref="C171:I171" si="9">+C170+C169</f>
        <v>51313</v>
      </c>
      <c r="D171" s="124">
        <f t="shared" si="9"/>
        <v>941</v>
      </c>
      <c r="E171" s="124">
        <f t="shared" si="9"/>
        <v>17</v>
      </c>
      <c r="F171" s="124">
        <f t="shared" si="9"/>
        <v>1419</v>
      </c>
      <c r="G171" s="124">
        <f t="shared" si="9"/>
        <v>222</v>
      </c>
      <c r="H171" s="124">
        <f t="shared" si="9"/>
        <v>232</v>
      </c>
      <c r="I171" s="124">
        <f t="shared" si="9"/>
        <v>24522</v>
      </c>
      <c r="J171" s="189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</row>
    <row r="172" spans="1:22" x14ac:dyDescent="0.2">
      <c r="B172" s="182"/>
      <c r="C172" s="124"/>
      <c r="D172" s="124"/>
      <c r="E172" s="124"/>
      <c r="F172" s="124"/>
      <c r="G172" s="124"/>
      <c r="H172" s="124"/>
      <c r="I172" s="124"/>
      <c r="J172" s="189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</row>
    <row r="173" spans="1:22" x14ac:dyDescent="0.2">
      <c r="B173" s="182" t="s">
        <v>36</v>
      </c>
      <c r="C173" s="124"/>
      <c r="D173" s="124"/>
      <c r="E173" s="124"/>
      <c r="F173" s="124"/>
      <c r="G173" s="124"/>
      <c r="H173" s="124"/>
      <c r="I173" s="124"/>
      <c r="J173" s="189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</row>
    <row r="174" spans="1:22" x14ac:dyDescent="0.2">
      <c r="B174" s="182" t="s">
        <v>69</v>
      </c>
      <c r="C174" s="124">
        <f>SUM(C169:I169)</f>
        <v>32674</v>
      </c>
      <c r="D174" s="124"/>
      <c r="E174" s="124"/>
      <c r="F174" s="124"/>
      <c r="G174" s="124"/>
      <c r="H174" s="124"/>
      <c r="I174" s="124"/>
      <c r="J174" s="189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</row>
    <row r="175" spans="1:22" x14ac:dyDescent="0.2">
      <c r="B175" s="182" t="s">
        <v>62</v>
      </c>
      <c r="C175" s="37">
        <f>SUM(C170:I170)</f>
        <v>45992</v>
      </c>
      <c r="D175" s="97"/>
      <c r="E175" s="131"/>
      <c r="F175" s="97"/>
      <c r="G175" s="97"/>
      <c r="H175" s="97"/>
      <c r="I175" s="97"/>
      <c r="J175" s="189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</row>
    <row r="176" spans="1:22" x14ac:dyDescent="0.2">
      <c r="B176" s="182" t="s">
        <v>36</v>
      </c>
      <c r="C176" s="124">
        <f>+C175+C174</f>
        <v>78666</v>
      </c>
      <c r="D176" s="97"/>
      <c r="E176" s="131"/>
      <c r="F176" s="97"/>
      <c r="G176" s="97"/>
      <c r="H176" s="97"/>
      <c r="I176" s="108"/>
      <c r="J176" s="189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</row>
    <row r="177" spans="2:22" x14ac:dyDescent="0.2">
      <c r="B177" s="182"/>
      <c r="C177" s="124"/>
      <c r="D177" s="97"/>
      <c r="E177" s="131"/>
      <c r="F177" s="97"/>
      <c r="G177" s="97"/>
      <c r="H177" s="97"/>
      <c r="I177" s="264"/>
      <c r="J177" s="189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</row>
    <row r="178" spans="2:22" x14ac:dyDescent="0.2">
      <c r="B178" s="35" t="s">
        <v>382</v>
      </c>
      <c r="C178" s="34"/>
      <c r="D178" s="34"/>
      <c r="E178" s="34"/>
      <c r="F178" s="34"/>
      <c r="G178" s="34"/>
      <c r="H178" s="34"/>
      <c r="I178" s="124"/>
      <c r="J178" s="189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</row>
    <row r="179" spans="2:22" x14ac:dyDescent="0.2">
      <c r="B179" s="97"/>
      <c r="C179" s="34"/>
      <c r="D179" s="34"/>
      <c r="E179" s="34"/>
      <c r="F179" s="34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</row>
    <row r="180" spans="2:22" x14ac:dyDescent="0.2">
      <c r="B180" s="97" t="s">
        <v>364</v>
      </c>
      <c r="C180" s="131"/>
      <c r="D180" s="131"/>
      <c r="E180" s="131"/>
      <c r="F180" s="34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</row>
    <row r="181" spans="2:22" ht="15" x14ac:dyDescent="0.35">
      <c r="B181" s="97"/>
      <c r="C181" s="56" t="s">
        <v>36</v>
      </c>
      <c r="D181" s="56" t="s">
        <v>344</v>
      </c>
      <c r="E181" s="56" t="s">
        <v>365</v>
      </c>
      <c r="F181" s="34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</row>
    <row r="182" spans="2:22" x14ac:dyDescent="0.2">
      <c r="B182" s="182" t="s">
        <v>69</v>
      </c>
      <c r="C182" s="124">
        <f>'Weighted Avg Price Calc'!G$29/1000</f>
        <v>33365.224999999999</v>
      </c>
      <c r="D182" s="130">
        <f>ROUND('BGS Cost &amp; Bid Factors'!$C$147*SUM('BGS Cost &amp; Bid Factors'!$C$141:$I$141)/12*'BGS Cost &amp; Bid Factors'!H$144/1000*'BGS Cost &amp; Bid Factors'!E447,0)</f>
        <v>5125</v>
      </c>
      <c r="E182" s="124">
        <f>C182-D182</f>
        <v>28240.224999999999</v>
      </c>
      <c r="F182" s="34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</row>
    <row r="183" spans="2:22" ht="15" x14ac:dyDescent="0.35">
      <c r="B183" s="182" t="s">
        <v>62</v>
      </c>
      <c r="C183" s="57">
        <f>'Weighted Avg Price Calc'!G$30/1000</f>
        <v>49697.07</v>
      </c>
      <c r="D183" s="57">
        <f>ROUND('BGS Cost &amp; Bid Factors'!$C$147*SUM('BGS Cost &amp; Bid Factors'!$C$141:$I$141)/12*'BGS Cost &amp; Bid Factors'!H$145/1000*'BGS Cost &amp; Bid Factors'!E447,0)</f>
        <v>10249</v>
      </c>
      <c r="E183" s="57">
        <f>C183-D183</f>
        <v>39448.07</v>
      </c>
      <c r="F183" s="34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</row>
    <row r="184" spans="2:22" x14ac:dyDescent="0.2">
      <c r="B184" s="182" t="s">
        <v>36</v>
      </c>
      <c r="C184" s="124">
        <f>+C183+C182</f>
        <v>83062.294999999998</v>
      </c>
      <c r="D184" s="124">
        <f>D182+D183</f>
        <v>15374</v>
      </c>
      <c r="E184" s="124">
        <f>E182+E183</f>
        <v>67688.294999999998</v>
      </c>
      <c r="F184" s="34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</row>
    <row r="185" spans="2:22" x14ac:dyDescent="0.2">
      <c r="B185" s="97"/>
      <c r="C185" s="131"/>
      <c r="D185" s="131"/>
      <c r="E185" s="131"/>
      <c r="F185" s="34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</row>
    <row r="186" spans="2:22" x14ac:dyDescent="0.2">
      <c r="B186" s="97" t="s">
        <v>366</v>
      </c>
      <c r="C186" s="131"/>
      <c r="D186" s="131"/>
      <c r="E186" s="131"/>
      <c r="F186" s="34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</row>
    <row r="187" spans="2:22" ht="15" x14ac:dyDescent="0.35">
      <c r="B187" s="97"/>
      <c r="C187" s="56" t="s">
        <v>36</v>
      </c>
      <c r="D187" s="56" t="s">
        <v>344</v>
      </c>
      <c r="E187" s="56" t="s">
        <v>365</v>
      </c>
      <c r="F187" s="34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</row>
    <row r="188" spans="2:22" x14ac:dyDescent="0.2">
      <c r="B188" s="182" t="s">
        <v>69</v>
      </c>
      <c r="C188" s="124">
        <f>ROUND($E$251*1000*'Weighted Avg Price Calc'!E42/100/1000,0)</f>
        <v>4435</v>
      </c>
      <c r="D188" s="124">
        <v>0</v>
      </c>
      <c r="E188" s="124">
        <f>C188-D188</f>
        <v>4435</v>
      </c>
      <c r="F188" s="34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</row>
    <row r="189" spans="2:22" ht="15" x14ac:dyDescent="0.35">
      <c r="B189" s="182" t="s">
        <v>62</v>
      </c>
      <c r="C189" s="57">
        <f>ROUND($E$252*1000*'Weighted Avg Price Calc'!E42/100/1000,0)</f>
        <v>6543</v>
      </c>
      <c r="D189" s="57">
        <v>0</v>
      </c>
      <c r="E189" s="57">
        <f>C189-D189</f>
        <v>6543</v>
      </c>
      <c r="F189" s="34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</row>
    <row r="190" spans="2:22" x14ac:dyDescent="0.2">
      <c r="B190" s="182" t="s">
        <v>36</v>
      </c>
      <c r="C190" s="124">
        <f>+C189+C188</f>
        <v>10978</v>
      </c>
      <c r="D190" s="124">
        <f>D188+D189</f>
        <v>0</v>
      </c>
      <c r="E190" s="124">
        <f>E188+E189</f>
        <v>10978</v>
      </c>
      <c r="F190" s="34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</row>
    <row r="191" spans="2:22" x14ac:dyDescent="0.2">
      <c r="B191" s="97"/>
      <c r="C191" s="131"/>
      <c r="D191" s="131"/>
      <c r="E191" s="131"/>
      <c r="F191" s="34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</row>
    <row r="192" spans="2:22" x14ac:dyDescent="0.2">
      <c r="B192" s="97" t="s">
        <v>367</v>
      </c>
      <c r="C192" s="34"/>
      <c r="D192" s="34"/>
      <c r="E192" s="34"/>
      <c r="F192" s="34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</row>
    <row r="193" spans="1:22" ht="15" x14ac:dyDescent="0.35">
      <c r="B193" s="97"/>
      <c r="C193" s="56" t="s">
        <v>36</v>
      </c>
      <c r="D193" s="56" t="s">
        <v>344</v>
      </c>
      <c r="E193" s="56" t="s">
        <v>365</v>
      </c>
      <c r="F193" s="131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</row>
    <row r="194" spans="1:22" x14ac:dyDescent="0.2">
      <c r="B194" s="182" t="s">
        <v>69</v>
      </c>
      <c r="C194" s="124">
        <f>C182+C188</f>
        <v>37800.224999999999</v>
      </c>
      <c r="D194" s="124">
        <f>D182+D188</f>
        <v>5125</v>
      </c>
      <c r="E194" s="124">
        <f>C194-D194</f>
        <v>32675.224999999999</v>
      </c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</row>
    <row r="195" spans="1:22" ht="15" x14ac:dyDescent="0.35">
      <c r="B195" s="182" t="s">
        <v>62</v>
      </c>
      <c r="C195" s="57">
        <f>C183+C189</f>
        <v>56240.07</v>
      </c>
      <c r="D195" s="57">
        <f>D183+D189</f>
        <v>10249</v>
      </c>
      <c r="E195" s="57">
        <f>C195-D195</f>
        <v>45991.07</v>
      </c>
      <c r="F195" s="97"/>
      <c r="G195" s="97"/>
      <c r="H195" s="97"/>
      <c r="I195" s="97"/>
      <c r="J195" s="189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</row>
    <row r="196" spans="1:22" x14ac:dyDescent="0.2">
      <c r="B196" s="182" t="s">
        <v>36</v>
      </c>
      <c r="C196" s="124">
        <f>+C195+C194</f>
        <v>94040.294999999998</v>
      </c>
      <c r="D196" s="124">
        <f>D194+D195</f>
        <v>15374</v>
      </c>
      <c r="E196" s="124">
        <f>E194+E195</f>
        <v>78666.294999999998</v>
      </c>
      <c r="F196" s="97"/>
      <c r="G196" s="97"/>
      <c r="H196" s="97"/>
      <c r="I196" s="97"/>
      <c r="J196" s="189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</row>
    <row r="197" spans="1:22" x14ac:dyDescent="0.2">
      <c r="B197" s="97"/>
      <c r="C197" s="131"/>
      <c r="D197" s="39"/>
      <c r="E197" s="131"/>
      <c r="F197" s="261"/>
      <c r="G197" s="97"/>
      <c r="H197" s="97"/>
      <c r="I197" s="97"/>
      <c r="J197" s="189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</row>
    <row r="198" spans="1:22" x14ac:dyDescent="0.2">
      <c r="B198" s="97" t="s">
        <v>112</v>
      </c>
      <c r="C198" s="97"/>
      <c r="D198" s="97"/>
      <c r="E198" s="97"/>
      <c r="F198" s="97"/>
      <c r="G198" s="102"/>
      <c r="H198" s="97"/>
      <c r="I198" s="97"/>
      <c r="J198" s="189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</row>
    <row r="199" spans="1:22" x14ac:dyDescent="0.2">
      <c r="B199" s="97"/>
      <c r="C199" s="102" t="s">
        <v>338</v>
      </c>
      <c r="D199" s="102" t="s">
        <v>338</v>
      </c>
      <c r="E199" s="102"/>
      <c r="F199" s="97"/>
      <c r="G199" s="102"/>
      <c r="H199" s="97"/>
      <c r="I199" s="97"/>
      <c r="J199" s="189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</row>
    <row r="200" spans="1:22" x14ac:dyDescent="0.2">
      <c r="B200" s="102"/>
      <c r="C200" s="246" t="s">
        <v>370</v>
      </c>
      <c r="D200" s="246" t="s">
        <v>371</v>
      </c>
      <c r="E200" s="246" t="s">
        <v>372</v>
      </c>
      <c r="F200" s="97"/>
      <c r="G200" s="246"/>
      <c r="H200" s="97"/>
      <c r="I200" s="189"/>
      <c r="J200" s="189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</row>
    <row r="201" spans="1:22" x14ac:dyDescent="0.2">
      <c r="B201" s="182" t="s">
        <v>69</v>
      </c>
      <c r="C201" s="124">
        <f>C174</f>
        <v>32674</v>
      </c>
      <c r="D201" s="124">
        <f>E194</f>
        <v>32675.224999999999</v>
      </c>
      <c r="E201" s="124">
        <f>D201-C201</f>
        <v>1.2249999999985448</v>
      </c>
      <c r="F201" s="97"/>
      <c r="G201" s="97"/>
      <c r="H201" s="97"/>
      <c r="I201" s="189"/>
      <c r="J201" s="189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</row>
    <row r="202" spans="1:22" x14ac:dyDescent="0.2">
      <c r="B202" s="182" t="s">
        <v>62</v>
      </c>
      <c r="C202" s="37">
        <f>C175</f>
        <v>45992</v>
      </c>
      <c r="D202" s="37">
        <f>E195</f>
        <v>45991.07</v>
      </c>
      <c r="E202" s="37">
        <f>D202-C202</f>
        <v>-0.93000000000029104</v>
      </c>
      <c r="F202" s="97"/>
      <c r="G202" s="97"/>
      <c r="H202" s="97"/>
      <c r="I202" s="189"/>
      <c r="J202" s="189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</row>
    <row r="203" spans="1:22" x14ac:dyDescent="0.2">
      <c r="B203" s="182" t="s">
        <v>36</v>
      </c>
      <c r="C203" s="124">
        <f>+C202+C201</f>
        <v>78666</v>
      </c>
      <c r="D203" s="124">
        <f>+D202+D201</f>
        <v>78666.294999999998</v>
      </c>
      <c r="E203" s="124">
        <f>+E202+E201</f>
        <v>0.29499999999825377</v>
      </c>
      <c r="F203" s="97"/>
      <c r="G203" s="97"/>
      <c r="H203" s="97"/>
      <c r="I203" s="189"/>
      <c r="J203" s="189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</row>
    <row r="204" spans="1:22" x14ac:dyDescent="0.2">
      <c r="B204" s="102"/>
      <c r="C204" s="97"/>
      <c r="D204" s="97"/>
      <c r="E204" s="97"/>
      <c r="F204" s="97"/>
      <c r="G204" s="97"/>
      <c r="H204" s="97"/>
      <c r="I204" s="189"/>
      <c r="J204" s="189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</row>
    <row r="205" spans="1:22" x14ac:dyDescent="0.2">
      <c r="A205" s="10"/>
      <c r="B205" s="25" t="s">
        <v>279</v>
      </c>
      <c r="C205" s="97"/>
      <c r="D205" s="97"/>
      <c r="E205" s="97"/>
      <c r="F205" s="97"/>
      <c r="G205" s="97"/>
      <c r="H205" s="97"/>
      <c r="I205" s="97"/>
      <c r="J205" s="189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</row>
    <row r="206" spans="1:22" x14ac:dyDescent="0.2">
      <c r="A206" s="10"/>
      <c r="B206" s="25"/>
      <c r="C206" s="97"/>
      <c r="D206" s="97"/>
      <c r="E206" s="97"/>
      <c r="F206" s="97"/>
      <c r="G206" s="97"/>
      <c r="H206" s="97"/>
      <c r="I206" s="97"/>
      <c r="J206" s="189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</row>
    <row r="207" spans="1:22" x14ac:dyDescent="0.2">
      <c r="A207" s="10"/>
      <c r="B207" s="33" t="s">
        <v>280</v>
      </c>
      <c r="C207" s="97"/>
      <c r="D207" s="97"/>
      <c r="E207" s="97"/>
      <c r="F207" s="97"/>
      <c r="G207" s="97"/>
      <c r="H207" s="97"/>
      <c r="I207" s="97"/>
      <c r="J207" s="189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</row>
    <row r="208" spans="1:22" x14ac:dyDescent="0.2">
      <c r="A208" s="10"/>
      <c r="B208" s="143"/>
      <c r="C208" s="34" t="str">
        <f t="shared" ref="C208:I208" si="10">C55</f>
        <v>SC1</v>
      </c>
      <c r="D208" s="34" t="str">
        <f t="shared" si="10"/>
        <v>SC5</v>
      </c>
      <c r="E208" s="34" t="str">
        <f t="shared" si="10"/>
        <v>SC3</v>
      </c>
      <c r="F208" s="34" t="str">
        <f t="shared" si="10"/>
        <v>SC2 ND</v>
      </c>
      <c r="G208" s="34" t="str">
        <f t="shared" si="10"/>
        <v>SC4</v>
      </c>
      <c r="H208" s="34" t="str">
        <f t="shared" si="10"/>
        <v>SC6</v>
      </c>
      <c r="I208" s="34" t="str">
        <f t="shared" si="10"/>
        <v>SC2 Dem</v>
      </c>
      <c r="J208" s="189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</row>
    <row r="209" spans="1:22" x14ac:dyDescent="0.2">
      <c r="A209" s="10"/>
      <c r="B209" s="143" t="s">
        <v>281</v>
      </c>
      <c r="C209" s="109">
        <f>'BGS Cost &amp; Bid Factors'!C538</f>
        <v>1.1299999999999999</v>
      </c>
      <c r="D209" s="109">
        <f>'BGS Cost &amp; Bid Factors'!D538</f>
        <v>0.74199999999999999</v>
      </c>
      <c r="E209" s="109">
        <f>'BGS Cost &amp; Bid Factors'!E538</f>
        <v>0.75800000000000001</v>
      </c>
      <c r="F209" s="109">
        <f>'BGS Cost &amp; Bid Factors'!F538</f>
        <v>0.51600000000000001</v>
      </c>
      <c r="G209" s="109">
        <f>'BGS Cost &amp; Bid Factors'!G538</f>
        <v>0.66200000000000003</v>
      </c>
      <c r="H209" s="109">
        <f>'BGS Cost &amp; Bid Factors'!H538</f>
        <v>0.57999999999999996</v>
      </c>
      <c r="I209" s="109">
        <f>'BGS Cost &amp; Bid Factors'!I538</f>
        <v>0.51600000000000001</v>
      </c>
      <c r="J209" s="189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</row>
    <row r="210" spans="1:22" x14ac:dyDescent="0.2">
      <c r="A210" s="10"/>
      <c r="B210" s="143" t="s">
        <v>282</v>
      </c>
      <c r="C210" s="97"/>
      <c r="D210" s="97"/>
      <c r="E210" s="97"/>
      <c r="F210" s="97"/>
      <c r="G210" s="97"/>
      <c r="H210" s="97"/>
      <c r="I210" s="142">
        <f>'BGS Cost &amp; Bid Factors'!I539</f>
        <v>1.29</v>
      </c>
      <c r="J210" s="189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</row>
    <row r="211" spans="1:22" x14ac:dyDescent="0.2">
      <c r="B211" s="97"/>
      <c r="C211" s="97"/>
      <c r="D211" s="97"/>
      <c r="E211" s="97"/>
      <c r="F211" s="97"/>
      <c r="G211" s="97"/>
      <c r="H211" s="97"/>
      <c r="I211" s="142">
        <f>'BGS Cost &amp; Bid Factors'!I540</f>
        <v>1.1100000000000001</v>
      </c>
      <c r="J211" s="189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</row>
    <row r="212" spans="1:22" x14ac:dyDescent="0.2">
      <c r="B212" s="97"/>
      <c r="C212" s="97"/>
      <c r="D212" s="97"/>
      <c r="E212" s="97"/>
      <c r="F212" s="97"/>
      <c r="G212" s="97"/>
      <c r="H212" s="97"/>
      <c r="I212" s="97"/>
      <c r="J212" s="189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</row>
    <row r="213" spans="1:22" x14ac:dyDescent="0.2">
      <c r="B213" s="97"/>
      <c r="C213" s="97"/>
      <c r="D213" s="97"/>
      <c r="E213" s="97"/>
      <c r="F213" s="97"/>
      <c r="G213" s="97"/>
      <c r="H213" s="97"/>
      <c r="I213" s="97"/>
      <c r="J213" s="189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</row>
    <row r="214" spans="1:22" x14ac:dyDescent="0.2">
      <c r="B214" s="33" t="s">
        <v>283</v>
      </c>
      <c r="C214" s="97"/>
      <c r="D214" s="97"/>
      <c r="E214" s="97"/>
      <c r="F214" s="97"/>
      <c r="G214" s="97"/>
      <c r="H214" s="97"/>
      <c r="I214" s="97"/>
      <c r="J214" s="189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</row>
    <row r="215" spans="1:22" x14ac:dyDescent="0.2">
      <c r="B215" s="97"/>
      <c r="C215" s="97"/>
      <c r="D215" s="97"/>
      <c r="E215" s="97"/>
      <c r="F215" s="97"/>
      <c r="G215" s="97"/>
      <c r="H215" s="97"/>
      <c r="I215" s="97"/>
      <c r="J215" s="189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</row>
    <row r="216" spans="1:22" x14ac:dyDescent="0.2">
      <c r="B216" s="97"/>
      <c r="C216" s="97"/>
      <c r="D216" s="97"/>
      <c r="E216" s="97"/>
      <c r="F216" s="97"/>
      <c r="G216" s="97"/>
      <c r="H216" s="97"/>
      <c r="I216" s="97"/>
      <c r="J216" s="189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</row>
    <row r="217" spans="1:22" x14ac:dyDescent="0.2">
      <c r="B217" s="35" t="s">
        <v>69</v>
      </c>
      <c r="C217" s="97"/>
      <c r="D217" s="97"/>
      <c r="E217" s="97"/>
      <c r="F217" s="97"/>
      <c r="G217" s="97"/>
      <c r="H217" s="97"/>
      <c r="I217" s="97"/>
      <c r="J217" s="189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</row>
    <row r="218" spans="1:22" x14ac:dyDescent="0.2">
      <c r="B218" s="104" t="s">
        <v>271</v>
      </c>
      <c r="C218" s="118">
        <f t="shared" ref="C218:I225" si="11">IF(C121&gt;0,C121+C$209,"")</f>
        <v>9.0590000000000011</v>
      </c>
      <c r="D218" s="118">
        <f t="shared" si="11"/>
        <v>7.9790000000000001</v>
      </c>
      <c r="E218" s="118" t="str">
        <f t="shared" si="11"/>
        <v/>
      </c>
      <c r="F218" s="118">
        <f t="shared" si="11"/>
        <v>7.1059999999999999</v>
      </c>
      <c r="G218" s="118">
        <f t="shared" si="11"/>
        <v>5.3730000000000002</v>
      </c>
      <c r="H218" s="118">
        <f t="shared" si="11"/>
        <v>5.2910000000000004</v>
      </c>
      <c r="I218" s="118">
        <f t="shared" si="11"/>
        <v>5.44</v>
      </c>
      <c r="J218" s="189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</row>
    <row r="219" spans="1:22" x14ac:dyDescent="0.2">
      <c r="B219" s="104" t="s">
        <v>272</v>
      </c>
      <c r="C219" s="118" t="str">
        <f t="shared" si="11"/>
        <v/>
      </c>
      <c r="D219" s="118" t="str">
        <f t="shared" si="11"/>
        <v/>
      </c>
      <c r="E219" s="118">
        <f t="shared" si="11"/>
        <v>13.291</v>
      </c>
      <c r="F219" s="118" t="str">
        <f t="shared" si="11"/>
        <v/>
      </c>
      <c r="G219" s="118" t="str">
        <f t="shared" si="11"/>
        <v/>
      </c>
      <c r="H219" s="118" t="str">
        <f t="shared" si="11"/>
        <v/>
      </c>
      <c r="I219" s="118" t="str">
        <f t="shared" si="11"/>
        <v/>
      </c>
      <c r="J219" s="189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</row>
    <row r="220" spans="1:22" x14ac:dyDescent="0.2">
      <c r="B220" s="104" t="s">
        <v>273</v>
      </c>
      <c r="C220" s="118" t="str">
        <f t="shared" si="11"/>
        <v/>
      </c>
      <c r="D220" s="118" t="str">
        <f t="shared" si="11"/>
        <v/>
      </c>
      <c r="E220" s="118">
        <f t="shared" si="11"/>
        <v>4.8159999999999998</v>
      </c>
      <c r="F220" s="118" t="str">
        <f t="shared" si="11"/>
        <v/>
      </c>
      <c r="G220" s="118" t="str">
        <f t="shared" si="11"/>
        <v/>
      </c>
      <c r="H220" s="118" t="str">
        <f t="shared" si="11"/>
        <v/>
      </c>
      <c r="I220" s="118" t="str">
        <f t="shared" si="11"/>
        <v/>
      </c>
      <c r="J220" s="189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</row>
    <row r="221" spans="1:22" x14ac:dyDescent="0.2">
      <c r="B221" s="102" t="s">
        <v>41</v>
      </c>
      <c r="C221" s="118">
        <f t="shared" si="11"/>
        <v>7.5339999999999998</v>
      </c>
      <c r="D221" s="118">
        <f t="shared" si="11"/>
        <v>7.2590000000000003</v>
      </c>
      <c r="E221" s="118" t="str">
        <f t="shared" si="11"/>
        <v/>
      </c>
      <c r="F221" s="118" t="str">
        <f t="shared" si="11"/>
        <v/>
      </c>
      <c r="G221" s="118" t="str">
        <f t="shared" si="11"/>
        <v/>
      </c>
      <c r="H221" s="118" t="str">
        <f t="shared" si="11"/>
        <v/>
      </c>
      <c r="I221" s="118" t="str">
        <f t="shared" si="11"/>
        <v/>
      </c>
      <c r="J221" s="189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</row>
    <row r="222" spans="1:22" x14ac:dyDescent="0.2">
      <c r="B222" s="104" t="s">
        <v>42</v>
      </c>
      <c r="C222" s="118">
        <f t="shared" si="11"/>
        <v>10.206</v>
      </c>
      <c r="D222" s="118">
        <f t="shared" si="11"/>
        <v>9.1359999999999992</v>
      </c>
      <c r="E222" s="118" t="str">
        <f t="shared" si="11"/>
        <v/>
      </c>
      <c r="F222" s="118" t="str">
        <f t="shared" si="11"/>
        <v/>
      </c>
      <c r="G222" s="118" t="str">
        <f t="shared" si="11"/>
        <v/>
      </c>
      <c r="H222" s="118" t="str">
        <f t="shared" si="11"/>
        <v/>
      </c>
      <c r="I222" s="118" t="str">
        <f t="shared" si="11"/>
        <v/>
      </c>
      <c r="J222" s="189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</row>
    <row r="223" spans="1:22" x14ac:dyDescent="0.2">
      <c r="B223" s="118"/>
      <c r="C223" s="118"/>
      <c r="D223" s="118"/>
      <c r="E223" s="118" t="str">
        <f t="shared" si="11"/>
        <v/>
      </c>
      <c r="F223" s="118" t="str">
        <f t="shared" si="11"/>
        <v/>
      </c>
      <c r="G223" s="118" t="str">
        <f t="shared" si="11"/>
        <v/>
      </c>
      <c r="H223" s="118" t="str">
        <f t="shared" si="11"/>
        <v/>
      </c>
      <c r="I223" s="118" t="str">
        <f t="shared" si="11"/>
        <v/>
      </c>
      <c r="J223" s="189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</row>
    <row r="224" spans="1:22" x14ac:dyDescent="0.2">
      <c r="B224" s="97"/>
      <c r="C224" s="118" t="str">
        <f t="shared" si="11"/>
        <v/>
      </c>
      <c r="D224" s="118" t="str">
        <f t="shared" si="11"/>
        <v/>
      </c>
      <c r="E224" s="118" t="str">
        <f t="shared" si="11"/>
        <v/>
      </c>
      <c r="F224" s="118" t="str">
        <f t="shared" si="11"/>
        <v/>
      </c>
      <c r="G224" s="118" t="str">
        <f t="shared" si="11"/>
        <v/>
      </c>
      <c r="H224" s="118" t="str">
        <f t="shared" si="11"/>
        <v/>
      </c>
      <c r="I224" s="118" t="str">
        <f t="shared" si="11"/>
        <v/>
      </c>
      <c r="J224" s="189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</row>
    <row r="225" spans="1:22" x14ac:dyDescent="0.2">
      <c r="B225" s="102" t="s">
        <v>274</v>
      </c>
      <c r="C225" s="118" t="str">
        <f t="shared" si="11"/>
        <v/>
      </c>
      <c r="D225" s="118" t="str">
        <f t="shared" si="11"/>
        <v/>
      </c>
      <c r="E225" s="118" t="str">
        <f t="shared" si="11"/>
        <v/>
      </c>
      <c r="F225" s="118" t="str">
        <f t="shared" si="11"/>
        <v/>
      </c>
      <c r="G225" s="118" t="str">
        <f t="shared" si="11"/>
        <v/>
      </c>
      <c r="H225" s="118" t="str">
        <f t="shared" si="11"/>
        <v/>
      </c>
      <c r="I225" s="118">
        <f>IF(I128&gt;0,I128+I$210,"")</f>
        <v>3.1630000000000003</v>
      </c>
      <c r="J225" s="189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</row>
    <row r="226" spans="1:22" x14ac:dyDescent="0.2">
      <c r="B226" s="102" t="s">
        <v>275</v>
      </c>
      <c r="C226" s="97"/>
      <c r="D226" s="97"/>
      <c r="E226" s="97"/>
      <c r="F226" s="97"/>
      <c r="G226" s="97"/>
      <c r="H226" s="97"/>
      <c r="I226" s="118">
        <f>IF(I129&gt;0,I129+I$210,"")</f>
        <v>7.7670000000000003</v>
      </c>
      <c r="J226" s="189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</row>
    <row r="227" spans="1:22" x14ac:dyDescent="0.2">
      <c r="B227" s="102"/>
      <c r="C227" s="97"/>
      <c r="D227" s="97"/>
      <c r="E227" s="97"/>
      <c r="F227" s="97"/>
      <c r="G227" s="97"/>
      <c r="H227" s="97"/>
      <c r="I227" s="97"/>
      <c r="J227" s="189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</row>
    <row r="228" spans="1:22" x14ac:dyDescent="0.2">
      <c r="B228" s="35" t="s">
        <v>62</v>
      </c>
      <c r="C228" s="97"/>
      <c r="D228" s="97"/>
      <c r="E228" s="97"/>
      <c r="F228" s="97"/>
      <c r="G228" s="97"/>
      <c r="H228" s="97"/>
      <c r="I228" s="97"/>
      <c r="J228" s="189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</row>
    <row r="229" spans="1:22" x14ac:dyDescent="0.2">
      <c r="B229" s="104" t="s">
        <v>271</v>
      </c>
      <c r="C229" s="118">
        <f t="shared" ref="C229:I233" si="12">IF(C132&gt;0,C132+C$209,"")</f>
        <v>9.0190000000000001</v>
      </c>
      <c r="D229" s="118">
        <f t="shared" si="12"/>
        <v>7.1230000000000002</v>
      </c>
      <c r="E229" s="118" t="str">
        <f t="shared" si="12"/>
        <v/>
      </c>
      <c r="F229" s="118">
        <f t="shared" si="12"/>
        <v>6.2039999999999997</v>
      </c>
      <c r="G229" s="118">
        <f t="shared" si="12"/>
        <v>5.1319999999999997</v>
      </c>
      <c r="H229" s="118">
        <f t="shared" si="12"/>
        <v>4.9859999999999998</v>
      </c>
      <c r="I229" s="118">
        <f t="shared" si="12"/>
        <v>5.0830000000000002</v>
      </c>
      <c r="J229" s="189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</row>
    <row r="230" spans="1:22" x14ac:dyDescent="0.2">
      <c r="B230" s="104" t="s">
        <v>272</v>
      </c>
      <c r="C230" s="118" t="str">
        <f t="shared" si="12"/>
        <v/>
      </c>
      <c r="D230" s="118" t="str">
        <f t="shared" si="12"/>
        <v/>
      </c>
      <c r="E230" s="118">
        <f t="shared" si="12"/>
        <v>11.114999999999998</v>
      </c>
      <c r="F230" s="118" t="str">
        <f t="shared" si="12"/>
        <v/>
      </c>
      <c r="G230" s="118" t="str">
        <f t="shared" si="12"/>
        <v/>
      </c>
      <c r="H230" s="118" t="str">
        <f t="shared" si="12"/>
        <v/>
      </c>
      <c r="I230" s="118" t="str">
        <f t="shared" si="12"/>
        <v/>
      </c>
      <c r="J230" s="189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</row>
    <row r="231" spans="1:22" x14ac:dyDescent="0.2">
      <c r="B231" s="104" t="s">
        <v>273</v>
      </c>
      <c r="C231" s="118" t="str">
        <f t="shared" si="12"/>
        <v/>
      </c>
      <c r="D231" s="118" t="str">
        <f t="shared" si="12"/>
        <v/>
      </c>
      <c r="E231" s="118">
        <f t="shared" si="12"/>
        <v>4.8879999999999999</v>
      </c>
      <c r="F231" s="118" t="str">
        <f t="shared" si="12"/>
        <v/>
      </c>
      <c r="G231" s="118" t="str">
        <f t="shared" si="12"/>
        <v/>
      </c>
      <c r="H231" s="118" t="str">
        <f t="shared" si="12"/>
        <v/>
      </c>
      <c r="I231" s="118" t="str">
        <f t="shared" si="12"/>
        <v/>
      </c>
      <c r="J231" s="189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</row>
    <row r="232" spans="1:22" x14ac:dyDescent="0.2">
      <c r="B232" s="97"/>
      <c r="C232" s="118" t="str">
        <f t="shared" si="12"/>
        <v/>
      </c>
      <c r="D232" s="118" t="str">
        <f t="shared" si="12"/>
        <v/>
      </c>
      <c r="E232" s="118" t="str">
        <f t="shared" si="12"/>
        <v/>
      </c>
      <c r="F232" s="118" t="str">
        <f t="shared" si="12"/>
        <v/>
      </c>
      <c r="G232" s="118" t="str">
        <f t="shared" si="12"/>
        <v/>
      </c>
      <c r="H232" s="118" t="str">
        <f t="shared" si="12"/>
        <v/>
      </c>
      <c r="I232" s="118" t="str">
        <f t="shared" si="12"/>
        <v/>
      </c>
      <c r="J232" s="189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</row>
    <row r="233" spans="1:22" x14ac:dyDescent="0.2">
      <c r="B233" s="102" t="s">
        <v>274</v>
      </c>
      <c r="C233" s="118" t="str">
        <f t="shared" si="12"/>
        <v/>
      </c>
      <c r="D233" s="118" t="str">
        <f t="shared" si="12"/>
        <v/>
      </c>
      <c r="E233" s="118" t="str">
        <f t="shared" si="12"/>
        <v/>
      </c>
      <c r="F233" s="118" t="str">
        <f t="shared" si="12"/>
        <v/>
      </c>
      <c r="G233" s="118" t="str">
        <f t="shared" si="12"/>
        <v/>
      </c>
      <c r="H233" s="118" t="str">
        <f t="shared" si="12"/>
        <v/>
      </c>
      <c r="I233" s="118">
        <f>IF(I136&gt;0,I136+I$211,"")</f>
        <v>2.5369999999999999</v>
      </c>
      <c r="J233" s="189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</row>
    <row r="234" spans="1:22" x14ac:dyDescent="0.2">
      <c r="B234" s="102" t="s">
        <v>275</v>
      </c>
      <c r="C234" s="97"/>
      <c r="D234" s="97"/>
      <c r="E234" s="97"/>
      <c r="F234" s="97"/>
      <c r="G234" s="97"/>
      <c r="H234" s="97"/>
      <c r="I234" s="118">
        <f>IF(I137&gt;0,I137+I$211,"")</f>
        <v>6.1350000000000007</v>
      </c>
      <c r="J234" s="189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</row>
    <row r="235" spans="1:22" x14ac:dyDescent="0.2">
      <c r="B235" s="102"/>
      <c r="C235" s="97"/>
      <c r="D235" s="97"/>
      <c r="E235" s="97"/>
      <c r="F235" s="97"/>
      <c r="G235" s="97"/>
      <c r="H235" s="97"/>
      <c r="I235" s="189"/>
      <c r="J235" s="189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</row>
    <row r="236" spans="1:22" ht="13.5" thickBot="1" x14ac:dyDescent="0.25"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</row>
    <row r="237" spans="1:22" ht="13.5" thickBot="1" x14ac:dyDescent="0.25">
      <c r="A237" s="74" t="s">
        <v>383</v>
      </c>
      <c r="B237" s="288"/>
      <c r="C237" s="288"/>
      <c r="D237" s="288"/>
      <c r="E237" s="288"/>
      <c r="F237" s="288"/>
      <c r="G237" s="288"/>
      <c r="H237" s="288"/>
      <c r="I237" s="288"/>
      <c r="J237" s="288"/>
      <c r="K237" s="288"/>
      <c r="L237" s="288"/>
      <c r="M237" s="288"/>
      <c r="N237" s="288"/>
      <c r="O237" s="288"/>
      <c r="P237" s="288"/>
      <c r="Q237" s="288"/>
      <c r="R237" s="288"/>
      <c r="S237" s="288"/>
      <c r="T237" s="288"/>
      <c r="U237" s="288"/>
      <c r="V237" s="289"/>
    </row>
    <row r="238" spans="1:22" ht="13.5" thickBot="1" x14ac:dyDescent="0.25"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</row>
    <row r="239" spans="1:22" x14ac:dyDescent="0.2">
      <c r="B239" s="290" t="s">
        <v>384</v>
      </c>
      <c r="C239" s="291"/>
      <c r="D239" s="291"/>
      <c r="E239" s="292"/>
      <c r="F239" s="216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</row>
    <row r="240" spans="1:22" x14ac:dyDescent="0.2">
      <c r="B240" s="293"/>
      <c r="C240" s="173"/>
      <c r="D240" s="173"/>
      <c r="E240" s="294"/>
      <c r="F240" s="218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</row>
    <row r="241" spans="2:22" x14ac:dyDescent="0.2">
      <c r="B241" s="295" t="s">
        <v>385</v>
      </c>
      <c r="C241" s="173"/>
      <c r="D241" s="173"/>
      <c r="E241" s="294"/>
      <c r="F241" s="218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</row>
    <row r="242" spans="2:22" x14ac:dyDescent="0.2">
      <c r="B242" s="293"/>
      <c r="C242" s="173"/>
      <c r="D242" s="174" t="s">
        <v>386</v>
      </c>
      <c r="E242" s="296" t="s">
        <v>387</v>
      </c>
      <c r="F242" s="297" t="s">
        <v>36</v>
      </c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</row>
    <row r="243" spans="2:22" x14ac:dyDescent="0.2">
      <c r="B243" s="293"/>
      <c r="C243" s="173"/>
      <c r="D243" s="173"/>
      <c r="E243" s="294"/>
      <c r="F243" s="218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</row>
    <row r="244" spans="2:22" x14ac:dyDescent="0.2">
      <c r="B244" s="293"/>
      <c r="C244" s="173" t="s">
        <v>69</v>
      </c>
      <c r="D244" s="298">
        <v>380493</v>
      </c>
      <c r="E244" s="298">
        <v>46421</v>
      </c>
      <c r="F244" s="299">
        <f>SUM(D244:E244)</f>
        <v>426914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</row>
    <row r="245" spans="2:22" x14ac:dyDescent="0.2">
      <c r="B245" s="293"/>
      <c r="C245" s="173" t="s">
        <v>62</v>
      </c>
      <c r="D245" s="298">
        <v>566748</v>
      </c>
      <c r="E245" s="298">
        <v>69142</v>
      </c>
      <c r="F245" s="299">
        <f>SUM(D245:E245)</f>
        <v>635890</v>
      </c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</row>
    <row r="246" spans="2:22" x14ac:dyDescent="0.2">
      <c r="B246" s="293"/>
      <c r="C246" s="300" t="s">
        <v>36</v>
      </c>
      <c r="D246" s="301">
        <f>SUM(D244:D245)</f>
        <v>947241</v>
      </c>
      <c r="E246" s="301">
        <f t="shared" ref="E246:F246" si="13">SUM(E244:E245)</f>
        <v>115563</v>
      </c>
      <c r="F246" s="301">
        <f t="shared" si="13"/>
        <v>1062804</v>
      </c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</row>
    <row r="247" spans="2:22" x14ac:dyDescent="0.2">
      <c r="B247" s="293"/>
      <c r="C247" s="173"/>
      <c r="D247" s="173"/>
      <c r="E247" s="294"/>
      <c r="F247" s="218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</row>
    <row r="248" spans="2:22" x14ac:dyDescent="0.2">
      <c r="B248" s="295" t="s">
        <v>388</v>
      </c>
      <c r="C248" s="173"/>
      <c r="D248" s="173"/>
      <c r="E248" s="294"/>
      <c r="F248" s="218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</row>
    <row r="249" spans="2:22" x14ac:dyDescent="0.2">
      <c r="B249" s="293"/>
      <c r="C249" s="173"/>
      <c r="D249" s="174" t="s">
        <v>386</v>
      </c>
      <c r="E249" s="296" t="s">
        <v>387</v>
      </c>
      <c r="F249" s="297" t="s">
        <v>36</v>
      </c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</row>
    <row r="250" spans="2:22" x14ac:dyDescent="0.2">
      <c r="B250" s="293"/>
      <c r="C250" s="173"/>
      <c r="D250" s="173"/>
      <c r="E250" s="294"/>
      <c r="F250" s="218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</row>
    <row r="251" spans="2:22" x14ac:dyDescent="0.2">
      <c r="B251" s="293"/>
      <c r="C251" s="173" t="s">
        <v>69</v>
      </c>
      <c r="D251" s="298">
        <v>408737.28556473</v>
      </c>
      <c r="E251" s="298">
        <v>50342.117185563249</v>
      </c>
      <c r="F251" s="299">
        <f>SUM(D251:E251)</f>
        <v>459079.40275029326</v>
      </c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</row>
    <row r="252" spans="2:22" x14ac:dyDescent="0.2">
      <c r="B252" s="293"/>
      <c r="C252" s="173" t="s">
        <v>62</v>
      </c>
      <c r="D252" s="298">
        <v>608808.90347550332</v>
      </c>
      <c r="E252" s="298">
        <v>74273.337204842101</v>
      </c>
      <c r="F252" s="299">
        <f>SUM(D252:E252)</f>
        <v>683082.24068034545</v>
      </c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</row>
    <row r="253" spans="2:22" x14ac:dyDescent="0.2">
      <c r="B253" s="302"/>
      <c r="C253" s="300" t="s">
        <v>36</v>
      </c>
      <c r="D253" s="301">
        <f>SUM(D251:D252)</f>
        <v>1017546.1890402334</v>
      </c>
      <c r="E253" s="301">
        <f t="shared" ref="E253:F253" si="14">SUM(E251:E252)</f>
        <v>124615.45439040536</v>
      </c>
      <c r="F253" s="301">
        <f t="shared" si="14"/>
        <v>1142161.6434306386</v>
      </c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</row>
    <row r="254" spans="2:22" ht="13.5" thickBot="1" x14ac:dyDescent="0.25">
      <c r="B254" s="220"/>
      <c r="C254" s="303"/>
      <c r="D254" s="303"/>
      <c r="E254" s="304"/>
      <c r="F254" s="25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</row>
    <row r="255" spans="2:22" x14ac:dyDescent="0.2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</row>
    <row r="256" spans="2:22" ht="13.5" thickBot="1" x14ac:dyDescent="0.25"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</row>
    <row r="257" spans="2:22" ht="16.5" thickBot="1" x14ac:dyDescent="0.3">
      <c r="B257" s="305"/>
      <c r="C257" s="306"/>
      <c r="D257" s="307" t="s">
        <v>389</v>
      </c>
      <c r="E257" s="346" t="s">
        <v>390</v>
      </c>
      <c r="F257" s="346"/>
      <c r="G257" s="347"/>
      <c r="H257" s="346" t="s">
        <v>391</v>
      </c>
      <c r="I257" s="346"/>
      <c r="J257" s="346"/>
      <c r="K257" s="345" t="s">
        <v>392</v>
      </c>
      <c r="L257" s="346"/>
      <c r="M257" s="347"/>
      <c r="N257" s="346" t="s">
        <v>118</v>
      </c>
      <c r="O257" s="346"/>
      <c r="P257" s="345" t="s">
        <v>393</v>
      </c>
      <c r="Q257" s="346"/>
      <c r="R257" s="347"/>
      <c r="S257" s="345" t="s">
        <v>394</v>
      </c>
      <c r="T257" s="346"/>
      <c r="U257" s="347"/>
      <c r="V257" s="97"/>
    </row>
    <row r="258" spans="2:22" ht="25.5" customHeight="1" thickBot="1" x14ac:dyDescent="0.25">
      <c r="B258" s="308"/>
      <c r="C258" s="309"/>
      <c r="D258" s="310" t="s">
        <v>395</v>
      </c>
      <c r="E258" s="311" t="s">
        <v>396</v>
      </c>
      <c r="F258" s="311" t="s">
        <v>397</v>
      </c>
      <c r="G258" s="312" t="s">
        <v>398</v>
      </c>
      <c r="H258" s="311" t="s">
        <v>395</v>
      </c>
      <c r="I258" s="311" t="s">
        <v>397</v>
      </c>
      <c r="J258" s="311" t="s">
        <v>398</v>
      </c>
      <c r="K258" s="313" t="s">
        <v>395</v>
      </c>
      <c r="L258" s="311" t="s">
        <v>399</v>
      </c>
      <c r="M258" s="312" t="s">
        <v>398</v>
      </c>
      <c r="N258" s="311" t="s">
        <v>400</v>
      </c>
      <c r="O258" s="311" t="s">
        <v>398</v>
      </c>
      <c r="P258" s="313" t="s">
        <v>401</v>
      </c>
      <c r="Q258" s="311" t="s">
        <v>402</v>
      </c>
      <c r="R258" s="312" t="s">
        <v>398</v>
      </c>
      <c r="S258" s="313" t="s">
        <v>401</v>
      </c>
      <c r="T258" s="311" t="s">
        <v>402</v>
      </c>
      <c r="U258" s="312" t="s">
        <v>398</v>
      </c>
      <c r="V258" s="97"/>
    </row>
    <row r="259" spans="2:22" x14ac:dyDescent="0.2">
      <c r="B259" s="314"/>
      <c r="C259" s="315"/>
      <c r="D259" s="316"/>
      <c r="E259" s="280"/>
      <c r="F259" s="280"/>
      <c r="G259" s="280"/>
      <c r="H259" s="316"/>
      <c r="I259" s="316"/>
      <c r="J259" s="182"/>
      <c r="K259" s="317"/>
      <c r="L259" s="318"/>
      <c r="M259" s="319"/>
      <c r="N259" s="316"/>
      <c r="O259" s="182"/>
      <c r="P259" s="317"/>
      <c r="Q259" s="318"/>
      <c r="R259" s="218"/>
      <c r="S259" s="317"/>
      <c r="T259" s="318"/>
      <c r="U259" s="218"/>
      <c r="V259" s="97"/>
    </row>
    <row r="260" spans="2:22" x14ac:dyDescent="0.2">
      <c r="B260" s="320">
        <v>42887</v>
      </c>
      <c r="C260" s="315"/>
      <c r="D260" s="321">
        <v>8636</v>
      </c>
      <c r="E260" s="281"/>
      <c r="F260" s="281"/>
      <c r="G260" s="281"/>
      <c r="H260" s="321">
        <v>7200</v>
      </c>
      <c r="I260" s="316">
        <v>47.4</v>
      </c>
      <c r="J260" s="282">
        <f t="shared" ref="J260:J271" si="15">H260*I260</f>
        <v>341280</v>
      </c>
      <c r="K260" s="322">
        <f>D260-E260-H260</f>
        <v>1436</v>
      </c>
      <c r="L260" s="280">
        <v>31.477777777777778</v>
      </c>
      <c r="M260" s="323">
        <f t="shared" ref="M260:M271" si="16">K260*L260</f>
        <v>45202.088888888888</v>
      </c>
      <c r="N260" s="321">
        <v>1.9811528799779232</v>
      </c>
      <c r="O260" s="282">
        <f t="shared" ref="O260:O271" si="17">N260*(K260+H260)</f>
        <v>17109.236271489346</v>
      </c>
      <c r="P260" s="283">
        <v>0</v>
      </c>
      <c r="Q260" s="280">
        <v>0</v>
      </c>
      <c r="R260" s="323">
        <v>0</v>
      </c>
      <c r="S260" s="283">
        <v>44.543669240702954</v>
      </c>
      <c r="T260" s="280">
        <v>11.254759771615367</v>
      </c>
      <c r="U260" s="323">
        <f>S260*T260*1000</f>
        <v>501328.2966504044</v>
      </c>
      <c r="V260" s="97"/>
    </row>
    <row r="261" spans="2:22" x14ac:dyDescent="0.2">
      <c r="B261" s="320">
        <f>B260+31-DAY(B260+31)+1</f>
        <v>42917</v>
      </c>
      <c r="C261" s="315"/>
      <c r="D261" s="321">
        <v>11449</v>
      </c>
      <c r="E261" s="281"/>
      <c r="F261" s="281"/>
      <c r="G261" s="281"/>
      <c r="H261" s="321">
        <v>7440</v>
      </c>
      <c r="I261" s="316">
        <v>47.4</v>
      </c>
      <c r="J261" s="282">
        <f t="shared" si="15"/>
        <v>352656</v>
      </c>
      <c r="K261" s="322">
        <f t="shared" ref="K261:K271" si="18">D261-E261-H261</f>
        <v>4009</v>
      </c>
      <c r="L261" s="280">
        <v>36.782258064516128</v>
      </c>
      <c r="M261" s="323">
        <f t="shared" si="16"/>
        <v>147460.07258064515</v>
      </c>
      <c r="N261" s="321">
        <v>1.5899756821706335</v>
      </c>
      <c r="O261" s="282">
        <f t="shared" si="17"/>
        <v>18203.631585171581</v>
      </c>
      <c r="P261" s="283">
        <v>0</v>
      </c>
      <c r="Q261" s="280">
        <v>0</v>
      </c>
      <c r="R261" s="323">
        <v>0</v>
      </c>
      <c r="S261" s="283">
        <v>44.543669240702954</v>
      </c>
      <c r="T261" s="280">
        <v>11.180527175748244</v>
      </c>
      <c r="U261" s="323">
        <f t="shared" ref="U261:U271" si="19">S261*T261*1000</f>
        <v>498021.70445322053</v>
      </c>
      <c r="V261" s="97"/>
    </row>
    <row r="262" spans="2:22" x14ac:dyDescent="0.2">
      <c r="B262" s="320">
        <f t="shared" ref="B262:B271" si="20">B261+31-DAY(B261+31)+1</f>
        <v>42948</v>
      </c>
      <c r="C262" s="315"/>
      <c r="D262" s="321">
        <v>10741</v>
      </c>
      <c r="E262" s="281"/>
      <c r="F262" s="281"/>
      <c r="G262" s="281"/>
      <c r="H262" s="321">
        <v>7440</v>
      </c>
      <c r="I262" s="316">
        <v>47.4</v>
      </c>
      <c r="J262" s="282">
        <f t="shared" si="15"/>
        <v>352656</v>
      </c>
      <c r="K262" s="322">
        <f t="shared" si="18"/>
        <v>3301</v>
      </c>
      <c r="L262" s="280">
        <v>36.642473118279568</v>
      </c>
      <c r="M262" s="323">
        <f t="shared" si="16"/>
        <v>120956.80376344085</v>
      </c>
      <c r="N262" s="321">
        <v>1.4750265862416942</v>
      </c>
      <c r="O262" s="282">
        <f t="shared" si="17"/>
        <v>15843.260562822037</v>
      </c>
      <c r="P262" s="283">
        <v>0</v>
      </c>
      <c r="Q262" s="280">
        <v>0</v>
      </c>
      <c r="R262" s="323">
        <v>0</v>
      </c>
      <c r="S262" s="283">
        <v>44.543669240702954</v>
      </c>
      <c r="T262" s="280">
        <v>11.186269618229211</v>
      </c>
      <c r="U262" s="323">
        <f t="shared" si="19"/>
        <v>498277.49391172646</v>
      </c>
      <c r="V262" s="97"/>
    </row>
    <row r="263" spans="2:22" x14ac:dyDescent="0.2">
      <c r="B263" s="320">
        <f t="shared" si="20"/>
        <v>42979</v>
      </c>
      <c r="C263" s="315"/>
      <c r="D263" s="321">
        <v>8224</v>
      </c>
      <c r="E263" s="281"/>
      <c r="F263" s="281"/>
      <c r="G263" s="281"/>
      <c r="H263" s="321">
        <v>7200</v>
      </c>
      <c r="I263" s="316">
        <v>47.4</v>
      </c>
      <c r="J263" s="282">
        <f t="shared" si="15"/>
        <v>341280</v>
      </c>
      <c r="K263" s="322">
        <f t="shared" si="18"/>
        <v>1024</v>
      </c>
      <c r="L263" s="280">
        <v>28.527777777777779</v>
      </c>
      <c r="M263" s="323">
        <f t="shared" si="16"/>
        <v>29212.444444444445</v>
      </c>
      <c r="N263" s="321">
        <v>1.6055462210391152</v>
      </c>
      <c r="O263" s="282">
        <f t="shared" si="17"/>
        <v>13204.012121825683</v>
      </c>
      <c r="P263" s="283">
        <v>0</v>
      </c>
      <c r="Q263" s="280">
        <v>0</v>
      </c>
      <c r="R263" s="323">
        <v>0</v>
      </c>
      <c r="S263" s="283">
        <v>44.543669240702954</v>
      </c>
      <c r="T263" s="280">
        <v>11.198634731600642</v>
      </c>
      <c r="U263" s="323">
        <f t="shared" si="19"/>
        <v>498828.28143186728</v>
      </c>
      <c r="V263" s="97"/>
    </row>
    <row r="264" spans="2:22" x14ac:dyDescent="0.2">
      <c r="B264" s="320">
        <f t="shared" si="20"/>
        <v>43009</v>
      </c>
      <c r="C264" s="315"/>
      <c r="D264" s="321">
        <v>7357</v>
      </c>
      <c r="E264" s="281"/>
      <c r="F264" s="281"/>
      <c r="G264" s="281"/>
      <c r="H264" s="321">
        <v>7440</v>
      </c>
      <c r="I264" s="316">
        <v>47.4</v>
      </c>
      <c r="J264" s="282">
        <f t="shared" si="15"/>
        <v>352656</v>
      </c>
      <c r="K264" s="322">
        <f t="shared" si="18"/>
        <v>-83</v>
      </c>
      <c r="L264" s="280">
        <v>30.954301075268816</v>
      </c>
      <c r="M264" s="323">
        <f t="shared" si="16"/>
        <v>-2569.2069892473119</v>
      </c>
      <c r="N264" s="321">
        <v>1.5735813086338084</v>
      </c>
      <c r="O264" s="282">
        <f t="shared" si="17"/>
        <v>11576.837687618929</v>
      </c>
      <c r="P264" s="283">
        <v>0</v>
      </c>
      <c r="Q264" s="280">
        <v>0</v>
      </c>
      <c r="R264" s="323">
        <v>0</v>
      </c>
      <c r="S264" s="283">
        <v>44.543669240702954</v>
      </c>
      <c r="T264" s="280">
        <v>11.199095803624664</v>
      </c>
      <c r="U264" s="323">
        <f t="shared" si="19"/>
        <v>498848.81927160145</v>
      </c>
      <c r="V264" s="97"/>
    </row>
    <row r="265" spans="2:22" x14ac:dyDescent="0.2">
      <c r="B265" s="320">
        <f t="shared" si="20"/>
        <v>43040</v>
      </c>
      <c r="C265" s="315"/>
      <c r="D265" s="321">
        <v>7456</v>
      </c>
      <c r="E265" s="281"/>
      <c r="F265" s="281"/>
      <c r="G265" s="281"/>
      <c r="H265" s="321">
        <v>7210</v>
      </c>
      <c r="I265" s="316">
        <v>47.4</v>
      </c>
      <c r="J265" s="282">
        <f t="shared" si="15"/>
        <v>341754</v>
      </c>
      <c r="K265" s="322">
        <f t="shared" si="18"/>
        <v>246</v>
      </c>
      <c r="L265" s="280">
        <v>33.657766990291265</v>
      </c>
      <c r="M265" s="323">
        <f t="shared" si="16"/>
        <v>8279.8106796116517</v>
      </c>
      <c r="N265" s="321">
        <v>1.5645070418380627</v>
      </c>
      <c r="O265" s="282">
        <f t="shared" si="17"/>
        <v>11664.964503944595</v>
      </c>
      <c r="P265" s="283">
        <v>0</v>
      </c>
      <c r="Q265" s="280">
        <v>0</v>
      </c>
      <c r="R265" s="323">
        <v>0</v>
      </c>
      <c r="S265" s="283">
        <v>44.543669240702954</v>
      </c>
      <c r="T265" s="280">
        <v>4.7053458145271829</v>
      </c>
      <c r="U265" s="323">
        <f t="shared" si="19"/>
        <v>209593.36762542487</v>
      </c>
      <c r="V265" s="97"/>
    </row>
    <row r="266" spans="2:22" x14ac:dyDescent="0.2">
      <c r="B266" s="320">
        <f t="shared" si="20"/>
        <v>43070</v>
      </c>
      <c r="C266" s="315"/>
      <c r="D266" s="321">
        <v>8588</v>
      </c>
      <c r="E266" s="281"/>
      <c r="F266" s="281"/>
      <c r="G266" s="281"/>
      <c r="H266" s="321">
        <v>7440</v>
      </c>
      <c r="I266" s="316">
        <v>47.4</v>
      </c>
      <c r="J266" s="282">
        <f t="shared" si="15"/>
        <v>352656</v>
      </c>
      <c r="K266" s="322">
        <f t="shared" si="18"/>
        <v>1148</v>
      </c>
      <c r="L266" s="280">
        <v>39.454301075268816</v>
      </c>
      <c r="M266" s="323">
        <f t="shared" si="16"/>
        <v>45293.537634408603</v>
      </c>
      <c r="N266" s="321">
        <v>1.985315604760979</v>
      </c>
      <c r="O266" s="282">
        <f t="shared" si="17"/>
        <v>17049.890413687288</v>
      </c>
      <c r="P266" s="283">
        <v>0</v>
      </c>
      <c r="Q266" s="280">
        <v>0</v>
      </c>
      <c r="R266" s="323">
        <v>0</v>
      </c>
      <c r="S266" s="283">
        <v>44.543669240702954</v>
      </c>
      <c r="T266" s="280">
        <v>4.5951850548102779</v>
      </c>
      <c r="U266" s="323">
        <f t="shared" si="19"/>
        <v>204686.40318129049</v>
      </c>
      <c r="V266" s="97"/>
    </row>
    <row r="267" spans="2:22" x14ac:dyDescent="0.2">
      <c r="B267" s="320">
        <f t="shared" si="20"/>
        <v>43101</v>
      </c>
      <c r="C267" s="315"/>
      <c r="D267" s="321">
        <v>9786</v>
      </c>
      <c r="E267" s="281"/>
      <c r="F267" s="281"/>
      <c r="G267" s="281"/>
      <c r="H267" s="321">
        <v>7440</v>
      </c>
      <c r="I267" s="316">
        <v>47.4</v>
      </c>
      <c r="J267" s="282">
        <f t="shared" si="15"/>
        <v>352656</v>
      </c>
      <c r="K267" s="322">
        <f t="shared" si="18"/>
        <v>2346</v>
      </c>
      <c r="L267" s="280">
        <v>56.333333333333336</v>
      </c>
      <c r="M267" s="323">
        <f t="shared" si="16"/>
        <v>132158</v>
      </c>
      <c r="N267" s="321">
        <v>0.93639676454940535</v>
      </c>
      <c r="O267" s="282">
        <f t="shared" si="17"/>
        <v>9163.5787378804798</v>
      </c>
      <c r="P267" s="283">
        <v>0</v>
      </c>
      <c r="Q267" s="280">
        <v>0</v>
      </c>
      <c r="R267" s="323">
        <v>0</v>
      </c>
      <c r="S267" s="283">
        <v>44.543669240702954</v>
      </c>
      <c r="T267" s="280">
        <v>4.5417915238201898</v>
      </c>
      <c r="U267" s="323">
        <f t="shared" si="19"/>
        <v>202308.05939727477</v>
      </c>
      <c r="V267" s="97"/>
    </row>
    <row r="268" spans="2:22" x14ac:dyDescent="0.2">
      <c r="B268" s="320">
        <f t="shared" si="20"/>
        <v>43132</v>
      </c>
      <c r="C268" s="315"/>
      <c r="D268" s="321">
        <v>8186</v>
      </c>
      <c r="E268" s="281"/>
      <c r="F268" s="281"/>
      <c r="G268" s="281"/>
      <c r="H268" s="321">
        <v>6720</v>
      </c>
      <c r="I268" s="316">
        <v>47.4</v>
      </c>
      <c r="J268" s="282">
        <f t="shared" si="15"/>
        <v>318528</v>
      </c>
      <c r="K268" s="322">
        <f t="shared" si="18"/>
        <v>1466</v>
      </c>
      <c r="L268" s="280">
        <v>54.726190476190474</v>
      </c>
      <c r="M268" s="323">
        <f t="shared" si="16"/>
        <v>80228.595238095237</v>
      </c>
      <c r="N268" s="321">
        <v>1.1270531919188584</v>
      </c>
      <c r="O268" s="282">
        <f t="shared" si="17"/>
        <v>9226.0574290477743</v>
      </c>
      <c r="P268" s="283">
        <v>0</v>
      </c>
      <c r="Q268" s="280">
        <v>0</v>
      </c>
      <c r="R268" s="323">
        <v>0</v>
      </c>
      <c r="S268" s="283">
        <v>44.543669240702954</v>
      </c>
      <c r="T268" s="280">
        <v>4.348008418803861</v>
      </c>
      <c r="U268" s="323">
        <f t="shared" si="19"/>
        <v>193676.24886299102</v>
      </c>
      <c r="V268" s="97"/>
    </row>
    <row r="269" spans="2:22" x14ac:dyDescent="0.2">
      <c r="B269" s="320">
        <f t="shared" si="20"/>
        <v>43160</v>
      </c>
      <c r="C269" s="315"/>
      <c r="D269" s="321">
        <v>7897</v>
      </c>
      <c r="E269" s="281"/>
      <c r="F269" s="281"/>
      <c r="G269" s="281"/>
      <c r="H269" s="321">
        <v>7440</v>
      </c>
      <c r="I269" s="316">
        <v>47.4</v>
      </c>
      <c r="J269" s="282">
        <f t="shared" si="15"/>
        <v>352656</v>
      </c>
      <c r="K269" s="322">
        <f t="shared" si="18"/>
        <v>457</v>
      </c>
      <c r="L269" s="280">
        <v>39.69086021505376</v>
      </c>
      <c r="M269" s="323">
        <f t="shared" si="16"/>
        <v>18138.723118279569</v>
      </c>
      <c r="N269" s="321">
        <v>1.3845124902224286</v>
      </c>
      <c r="O269" s="282">
        <f t="shared" si="17"/>
        <v>10933.495135286519</v>
      </c>
      <c r="P269" s="283">
        <v>0</v>
      </c>
      <c r="Q269" s="280">
        <v>0</v>
      </c>
      <c r="R269" s="323">
        <v>0</v>
      </c>
      <c r="S269" s="283">
        <v>44.543669240702954</v>
      </c>
      <c r="T269" s="280">
        <v>4.3116740866133005</v>
      </c>
      <c r="U269" s="323">
        <f t="shared" si="19"/>
        <v>192057.78438781289</v>
      </c>
      <c r="V269" s="97"/>
    </row>
    <row r="270" spans="2:22" x14ac:dyDescent="0.2">
      <c r="B270" s="320">
        <f t="shared" si="20"/>
        <v>43191</v>
      </c>
      <c r="C270" s="315"/>
      <c r="D270" s="321">
        <v>6854</v>
      </c>
      <c r="E270" s="281"/>
      <c r="F270" s="281"/>
      <c r="G270" s="281"/>
      <c r="H270" s="321">
        <v>7200</v>
      </c>
      <c r="I270" s="316">
        <v>47.4</v>
      </c>
      <c r="J270" s="282">
        <f t="shared" si="15"/>
        <v>341280</v>
      </c>
      <c r="K270" s="322">
        <f t="shared" si="18"/>
        <v>-346</v>
      </c>
      <c r="L270" s="280">
        <v>28.016666666666666</v>
      </c>
      <c r="M270" s="323">
        <f t="shared" si="16"/>
        <v>-9693.7666666666664</v>
      </c>
      <c r="N270" s="321">
        <v>1.4259535550744464</v>
      </c>
      <c r="O270" s="282">
        <f t="shared" si="17"/>
        <v>9773.4856664802555</v>
      </c>
      <c r="P270" s="283">
        <v>0</v>
      </c>
      <c r="Q270" s="280">
        <v>0</v>
      </c>
      <c r="R270" s="323">
        <v>0</v>
      </c>
      <c r="S270" s="283">
        <v>44.543669240702954</v>
      </c>
      <c r="T270" s="280">
        <v>4.2753397544227374</v>
      </c>
      <c r="U270" s="323">
        <f t="shared" si="19"/>
        <v>190439.31991263462</v>
      </c>
      <c r="V270" s="97"/>
    </row>
    <row r="271" spans="2:22" x14ac:dyDescent="0.2">
      <c r="B271" s="320">
        <f t="shared" si="20"/>
        <v>43221</v>
      </c>
      <c r="C271" s="315"/>
      <c r="D271" s="321">
        <v>6961</v>
      </c>
      <c r="E271" s="281"/>
      <c r="F271" s="281"/>
      <c r="G271" s="281"/>
      <c r="H271" s="321">
        <v>7440</v>
      </c>
      <c r="I271" s="316">
        <v>47.4</v>
      </c>
      <c r="J271" s="282">
        <f t="shared" si="15"/>
        <v>352656</v>
      </c>
      <c r="K271" s="322">
        <f t="shared" si="18"/>
        <v>-479</v>
      </c>
      <c r="L271" s="280">
        <v>29.336021505376344</v>
      </c>
      <c r="M271" s="323">
        <f t="shared" si="16"/>
        <v>-14051.95430107527</v>
      </c>
      <c r="N271" s="321">
        <v>1.3961860966291626</v>
      </c>
      <c r="O271" s="282">
        <f t="shared" si="17"/>
        <v>9718.8514186356006</v>
      </c>
      <c r="P271" s="283">
        <v>0</v>
      </c>
      <c r="Q271" s="280">
        <v>0</v>
      </c>
      <c r="R271" s="323">
        <v>0</v>
      </c>
      <c r="S271" s="283">
        <v>44.543669240702954</v>
      </c>
      <c r="T271" s="280">
        <v>9.0408024513391609</v>
      </c>
      <c r="U271" s="323">
        <f t="shared" si="19"/>
        <v>402710.51406298805</v>
      </c>
      <c r="V271" s="97"/>
    </row>
    <row r="272" spans="2:22" ht="13.5" thickBot="1" x14ac:dyDescent="0.25">
      <c r="B272" s="324"/>
      <c r="C272" s="257"/>
      <c r="D272" s="316"/>
      <c r="E272" s="325"/>
      <c r="F272" s="325"/>
      <c r="G272" s="326"/>
      <c r="H272" s="316"/>
      <c r="I272" s="316"/>
      <c r="J272" s="325"/>
      <c r="K272" s="327"/>
      <c r="L272" s="325"/>
      <c r="M272" s="326"/>
      <c r="N272" s="316"/>
      <c r="O272" s="325"/>
      <c r="P272" s="327"/>
      <c r="Q272" s="325"/>
      <c r="R272" s="257"/>
      <c r="S272" s="327"/>
      <c r="T272" s="325"/>
      <c r="U272" s="257"/>
      <c r="V272" s="97"/>
    </row>
    <row r="273" spans="2:22" ht="13.5" thickBot="1" x14ac:dyDescent="0.25">
      <c r="B273" s="328" t="s">
        <v>36</v>
      </c>
      <c r="C273" s="329"/>
      <c r="D273" s="330">
        <f>SUM(D260:D272)</f>
        <v>102135</v>
      </c>
      <c r="E273" s="331">
        <v>0</v>
      </c>
      <c r="F273" s="332">
        <v>0</v>
      </c>
      <c r="G273" s="333">
        <v>0</v>
      </c>
      <c r="H273" s="331">
        <f>SUM(H260:H272)</f>
        <v>87610</v>
      </c>
      <c r="I273" s="332"/>
      <c r="J273" s="331">
        <f>SUM(J260:J272)</f>
        <v>4152714</v>
      </c>
      <c r="K273" s="334">
        <f>SUM(K260:K272)</f>
        <v>14525</v>
      </c>
      <c r="L273" s="332"/>
      <c r="M273" s="333">
        <f>SUM(M260:M272)</f>
        <v>600615.14839082514</v>
      </c>
      <c r="N273" s="335">
        <f>O273/D273</f>
        <v>1.5025926620050922</v>
      </c>
      <c r="O273" s="331">
        <f>SUM(O260:O271)</f>
        <v>153467.3015338901</v>
      </c>
      <c r="P273" s="336"/>
      <c r="Q273" s="332"/>
      <c r="R273" s="333">
        <v>0</v>
      </c>
      <c r="S273" s="336"/>
      <c r="T273" s="332"/>
      <c r="U273" s="333">
        <f>SUM(U260:U272)</f>
        <v>4090776.2931492371</v>
      </c>
      <c r="V273" s="97"/>
    </row>
    <row r="274" spans="2:22" x14ac:dyDescent="0.2"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</row>
    <row r="275" spans="2:22" x14ac:dyDescent="0.2"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</row>
    <row r="276" spans="2:22" x14ac:dyDescent="0.2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</row>
    <row r="277" spans="2:22" x14ac:dyDescent="0.2">
      <c r="B277" s="337" t="s">
        <v>403</v>
      </c>
      <c r="C277" s="182"/>
      <c r="D277" s="182"/>
      <c r="E277" s="182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</row>
    <row r="278" spans="2:22" x14ac:dyDescent="0.2">
      <c r="B278" s="182"/>
      <c r="C278" s="182"/>
      <c r="D278" s="182"/>
      <c r="E278" s="182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</row>
    <row r="279" spans="2:22" x14ac:dyDescent="0.2">
      <c r="B279" s="143" t="s">
        <v>404</v>
      </c>
      <c r="C279" s="182"/>
      <c r="D279" s="338">
        <f>$G$273</f>
        <v>0</v>
      </c>
      <c r="E279" s="339">
        <f>ROUND(D279/$D$273,2)</f>
        <v>0</v>
      </c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</row>
    <row r="280" spans="2:22" x14ac:dyDescent="0.2">
      <c r="B280" s="143" t="s">
        <v>391</v>
      </c>
      <c r="C280" s="182"/>
      <c r="D280" s="338">
        <f>$J$273</f>
        <v>4152714</v>
      </c>
      <c r="E280" s="339">
        <f>ROUND(D280/$D$273,2)</f>
        <v>40.659999999999997</v>
      </c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</row>
    <row r="281" spans="2:22" x14ac:dyDescent="0.2">
      <c r="B281" s="143" t="s">
        <v>392</v>
      </c>
      <c r="C281" s="182"/>
      <c r="D281" s="338">
        <f>$M$273</f>
        <v>600615.14839082514</v>
      </c>
      <c r="E281" s="339">
        <f>ROUND(D281/$K$273,2)</f>
        <v>41.35</v>
      </c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</row>
    <row r="282" spans="2:22" x14ac:dyDescent="0.2">
      <c r="B282" s="143" t="s">
        <v>118</v>
      </c>
      <c r="C282" s="182"/>
      <c r="D282" s="338">
        <f>O273</f>
        <v>153467.3015338901</v>
      </c>
      <c r="E282" s="339">
        <f>ROUND(D282/$D$273,2)</f>
        <v>1.5</v>
      </c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</row>
    <row r="283" spans="2:22" x14ac:dyDescent="0.2">
      <c r="B283" s="143" t="s">
        <v>393</v>
      </c>
      <c r="C283" s="182"/>
      <c r="D283" s="340">
        <f>U273</f>
        <v>4090776.2931492371</v>
      </c>
      <c r="E283" s="341">
        <f>ROUND(D283/$D$273,2)</f>
        <v>40.049999999999997</v>
      </c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</row>
    <row r="284" spans="2:22" x14ac:dyDescent="0.2">
      <c r="B284" s="182"/>
      <c r="C284" s="182"/>
      <c r="D284" s="338">
        <f>SUM(D279:D283)</f>
        <v>8997572.7430739515</v>
      </c>
      <c r="E284" s="339">
        <f>SUM(E279:E283)</f>
        <v>123.55999999999999</v>
      </c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</row>
    <row r="285" spans="2:22" x14ac:dyDescent="0.2">
      <c r="B285" s="182" t="s">
        <v>405</v>
      </c>
      <c r="C285" s="182"/>
      <c r="D285" s="338">
        <f>$D$273</f>
        <v>102135</v>
      </c>
      <c r="E285" s="172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</row>
    <row r="286" spans="2:22" x14ac:dyDescent="0.2">
      <c r="B286" s="182" t="s">
        <v>247</v>
      </c>
      <c r="C286" s="182"/>
      <c r="D286" s="342">
        <f>ROUND(D284/D285,2)</f>
        <v>88.09</v>
      </c>
      <c r="E286" s="172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</row>
    <row r="287" spans="2:22" x14ac:dyDescent="0.2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</row>
    <row r="288" spans="2:22" x14ac:dyDescent="0.2"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</row>
    <row r="289" spans="2:22" x14ac:dyDescent="0.2"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</row>
    <row r="290" spans="2:22" x14ac:dyDescent="0.2"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</row>
    <row r="291" spans="2:22" x14ac:dyDescent="0.2"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</row>
    <row r="292" spans="2:22" x14ac:dyDescent="0.2"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</row>
    <row r="293" spans="2:22" x14ac:dyDescent="0.2"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</row>
    <row r="294" spans="2:22" x14ac:dyDescent="0.2"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</row>
    <row r="295" spans="2:22" x14ac:dyDescent="0.2"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</row>
    <row r="296" spans="2:22" x14ac:dyDescent="0.2"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</row>
    <row r="297" spans="2:22" x14ac:dyDescent="0.2"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</row>
    <row r="298" spans="2:22" x14ac:dyDescent="0.2"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</row>
    <row r="299" spans="2:22" x14ac:dyDescent="0.2"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</row>
    <row r="300" spans="2:22" x14ac:dyDescent="0.2"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</row>
    <row r="301" spans="2:22" x14ac:dyDescent="0.2"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</row>
    <row r="302" spans="2:22" x14ac:dyDescent="0.2"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</row>
    <row r="303" spans="2:22" x14ac:dyDescent="0.2"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</row>
    <row r="304" spans="2:22" x14ac:dyDescent="0.2"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</row>
    <row r="305" spans="2:22" x14ac:dyDescent="0.2"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</row>
    <row r="306" spans="2:22" x14ac:dyDescent="0.2"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</row>
    <row r="307" spans="2:22" x14ac:dyDescent="0.2"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</row>
    <row r="308" spans="2:22" x14ac:dyDescent="0.2"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M32"/>
  <sheetViews>
    <sheetView workbookViewId="0">
      <selection activeCell="L24" sqref="L24"/>
    </sheetView>
  </sheetViews>
  <sheetFormatPr defaultRowHeight="12.75" x14ac:dyDescent="0.2"/>
  <cols>
    <col min="1" max="1" width="4.5703125" customWidth="1"/>
    <col min="2" max="2" width="76" customWidth="1"/>
    <col min="3" max="3" width="14" bestFit="1" customWidth="1"/>
    <col min="4" max="4" width="5.7109375" customWidth="1"/>
  </cols>
  <sheetData>
    <row r="1" spans="1:13" ht="15.75" x14ac:dyDescent="0.25">
      <c r="B1" s="75" t="s">
        <v>440</v>
      </c>
      <c r="H1" s="6" t="s">
        <v>406</v>
      </c>
    </row>
    <row r="2" spans="1:13" ht="15.75" x14ac:dyDescent="0.25">
      <c r="B2" s="76"/>
    </row>
    <row r="3" spans="1:13" ht="25.5" x14ac:dyDescent="0.2">
      <c r="C3" s="77" t="s">
        <v>407</v>
      </c>
      <c r="E3" s="78" t="s">
        <v>303</v>
      </c>
    </row>
    <row r="4" spans="1:13" x14ac:dyDescent="0.2">
      <c r="A4">
        <v>1</v>
      </c>
      <c r="B4" s="20" t="s">
        <v>408</v>
      </c>
      <c r="C4" s="79">
        <v>151.37747155208379</v>
      </c>
      <c r="D4" s="80" t="s">
        <v>409</v>
      </c>
      <c r="E4" s="12" t="s">
        <v>410</v>
      </c>
    </row>
    <row r="5" spans="1:13" x14ac:dyDescent="0.2">
      <c r="A5">
        <v>2</v>
      </c>
      <c r="B5" s="20" t="s">
        <v>411</v>
      </c>
      <c r="C5" s="81">
        <f>C4</f>
        <v>151.37747155208379</v>
      </c>
      <c r="E5" s="12" t="s">
        <v>412</v>
      </c>
      <c r="F5" s="12"/>
      <c r="G5" s="12"/>
      <c r="H5" s="12"/>
      <c r="M5">
        <v>119.92389950467435</v>
      </c>
    </row>
    <row r="6" spans="1:13" x14ac:dyDescent="0.2">
      <c r="C6" s="77"/>
      <c r="E6" s="78"/>
    </row>
    <row r="7" spans="1:13" x14ac:dyDescent="0.2">
      <c r="A7">
        <v>3</v>
      </c>
      <c r="B7" s="20" t="s">
        <v>413</v>
      </c>
      <c r="C7" s="79">
        <f>+C4-C5</f>
        <v>0</v>
      </c>
      <c r="E7" s="12" t="s">
        <v>414</v>
      </c>
    </row>
    <row r="8" spans="1:13" x14ac:dyDescent="0.2">
      <c r="A8">
        <v>4</v>
      </c>
      <c r="B8" s="20" t="s">
        <v>415</v>
      </c>
      <c r="C8" s="82">
        <f>'BGS Cost &amp; Bid Factors'!$J$139</f>
        <v>441.30900000000008</v>
      </c>
      <c r="E8" s="15" t="s">
        <v>416</v>
      </c>
      <c r="J8" s="83" t="s">
        <v>417</v>
      </c>
    </row>
    <row r="9" spans="1:13" x14ac:dyDescent="0.2">
      <c r="A9">
        <v>5</v>
      </c>
      <c r="B9" s="20" t="s">
        <v>418</v>
      </c>
      <c r="C9" s="84">
        <v>365</v>
      </c>
    </row>
    <row r="10" spans="1:13" x14ac:dyDescent="0.2">
      <c r="A10">
        <v>6</v>
      </c>
      <c r="B10" s="20" t="s">
        <v>419</v>
      </c>
      <c r="C10" s="85">
        <f>C7*C8*C9</f>
        <v>0</v>
      </c>
      <c r="E10" s="12" t="s">
        <v>420</v>
      </c>
    </row>
    <row r="11" spans="1:13" x14ac:dyDescent="0.2">
      <c r="B11" s="20"/>
      <c r="C11" s="85"/>
      <c r="E11" s="12"/>
    </row>
    <row r="12" spans="1:13" x14ac:dyDescent="0.2">
      <c r="A12">
        <v>7</v>
      </c>
      <c r="B12" s="20" t="s">
        <v>421</v>
      </c>
      <c r="C12" s="86">
        <v>1</v>
      </c>
      <c r="E12" s="12" t="s">
        <v>422</v>
      </c>
    </row>
    <row r="13" spans="1:13" x14ac:dyDescent="0.2">
      <c r="A13">
        <v>8</v>
      </c>
      <c r="B13" s="20" t="s">
        <v>423</v>
      </c>
      <c r="C13" s="87">
        <f>SUM('Weighted Avg Price Calc'!$D$9:$F$9)</f>
        <v>4</v>
      </c>
      <c r="E13" s="12" t="s">
        <v>424</v>
      </c>
    </row>
    <row r="14" spans="1:13" x14ac:dyDescent="0.2">
      <c r="A14">
        <v>9</v>
      </c>
      <c r="B14" s="20" t="s">
        <v>425</v>
      </c>
      <c r="C14" s="88">
        <f>+C12/C13</f>
        <v>0.25</v>
      </c>
      <c r="E14" s="12" t="s">
        <v>426</v>
      </c>
    </row>
    <row r="15" spans="1:13" x14ac:dyDescent="0.2">
      <c r="B15" s="20"/>
      <c r="C15" s="85"/>
      <c r="E15" s="12"/>
    </row>
    <row r="16" spans="1:13" x14ac:dyDescent="0.2">
      <c r="A16">
        <v>10</v>
      </c>
      <c r="B16" s="20" t="s">
        <v>427</v>
      </c>
      <c r="C16" s="85">
        <f>+C10*C14</f>
        <v>0</v>
      </c>
      <c r="E16" s="12" t="s">
        <v>428</v>
      </c>
    </row>
    <row r="17" spans="1:5" x14ac:dyDescent="0.2">
      <c r="B17" s="20"/>
      <c r="C17" s="85"/>
      <c r="E17" s="12"/>
    </row>
    <row r="18" spans="1:5" x14ac:dyDescent="0.2">
      <c r="A18">
        <v>11</v>
      </c>
      <c r="B18" s="20" t="s">
        <v>429</v>
      </c>
      <c r="C18" s="7">
        <f>'Weighted Avg Price Calc'!$D$26</f>
        <v>1017546.1890402334</v>
      </c>
      <c r="E18" s="3" t="s">
        <v>430</v>
      </c>
    </row>
    <row r="19" spans="1:5" x14ac:dyDescent="0.2">
      <c r="A19">
        <v>12</v>
      </c>
      <c r="B19" s="20" t="s">
        <v>431</v>
      </c>
      <c r="C19" s="84">
        <f>+C14*C18</f>
        <v>254386.54726005835</v>
      </c>
      <c r="E19" s="12" t="s">
        <v>432</v>
      </c>
    </row>
    <row r="20" spans="1:5" x14ac:dyDescent="0.2">
      <c r="B20" s="20"/>
      <c r="C20" s="85"/>
      <c r="E20" s="12"/>
    </row>
    <row r="21" spans="1:5" ht="13.5" thickBot="1" x14ac:dyDescent="0.25">
      <c r="A21">
        <v>13</v>
      </c>
      <c r="B21" s="20" t="s">
        <v>433</v>
      </c>
      <c r="C21" s="89">
        <f>ROUND(+C16/C19,2)</f>
        <v>0</v>
      </c>
      <c r="E21" s="90" t="s">
        <v>434</v>
      </c>
    </row>
    <row r="22" spans="1:5" ht="13.5" thickTop="1" x14ac:dyDescent="0.2">
      <c r="B22" s="20"/>
      <c r="C22" s="91"/>
      <c r="E22" s="12"/>
    </row>
    <row r="23" spans="1:5" x14ac:dyDescent="0.2">
      <c r="B23" s="92" t="s">
        <v>435</v>
      </c>
      <c r="C23" s="93">
        <f>ROUND(C21/1000,5)</f>
        <v>0</v>
      </c>
      <c r="E23" s="12"/>
    </row>
    <row r="24" spans="1:5" x14ac:dyDescent="0.2">
      <c r="C24" s="94"/>
      <c r="E24" s="12"/>
    </row>
    <row r="25" spans="1:5" x14ac:dyDescent="0.2">
      <c r="B25" s="92" t="s">
        <v>309</v>
      </c>
      <c r="C25" s="95">
        <f>C23*100</f>
        <v>0</v>
      </c>
      <c r="E25" s="12"/>
    </row>
    <row r="26" spans="1:5" x14ac:dyDescent="0.2">
      <c r="B26" s="20"/>
      <c r="C26" s="94"/>
      <c r="E26" s="12"/>
    </row>
    <row r="27" spans="1:5" x14ac:dyDescent="0.2">
      <c r="B27" s="20"/>
      <c r="C27" s="94"/>
      <c r="E27" s="12"/>
    </row>
    <row r="28" spans="1:5" x14ac:dyDescent="0.2">
      <c r="B28" s="20" t="s">
        <v>303</v>
      </c>
      <c r="C28" s="91"/>
      <c r="E28" s="12"/>
    </row>
    <row r="29" spans="1:5" x14ac:dyDescent="0.2">
      <c r="B29" s="15" t="s">
        <v>436</v>
      </c>
    </row>
    <row r="30" spans="1:5" ht="17.25" customHeight="1" x14ac:dyDescent="0.2">
      <c r="B30" s="96" t="s">
        <v>437</v>
      </c>
      <c r="C30" s="8"/>
      <c r="E30" s="3"/>
    </row>
    <row r="31" spans="1:5" x14ac:dyDescent="0.2">
      <c r="B31" s="15"/>
    </row>
    <row r="32" spans="1:5" x14ac:dyDescent="0.2">
      <c r="B32" s="20"/>
      <c r="C32" s="55"/>
      <c r="E32" s="12"/>
    </row>
  </sheetData>
  <hyperlinks>
    <hyperlink ref="B30" r:id="rId1"/>
  </hyperlinks>
  <pageMargins left="0.7" right="0.7" top="0.75" bottom="0.75" header="0.3" footer="0.3"/>
  <pageSetup scale="7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BGS Cost &amp; Bid Factors</vt:lpstr>
      <vt:lpstr>Weighted Avg Price Calc</vt:lpstr>
      <vt:lpstr>Rate Calculations</vt:lpstr>
      <vt:lpstr>Incremental RPM Cost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Jacob, Shajan</dc:creator>
  <cp:lastModifiedBy>Jacob, Shajan</cp:lastModifiedBy>
  <dcterms:created xsi:type="dcterms:W3CDTF">2017-06-19T15:31:32Z</dcterms:created>
  <dcterms:modified xsi:type="dcterms:W3CDTF">2017-06-19T17:15:50Z</dcterms:modified>
</cp:coreProperties>
</file>